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worksheets/sheet112.xml" ContentType="application/vnd.openxmlformats-officedocument.spreadsheetml.worksheet+xml"/>
  <Override PartName="/xl/worksheets/sheet113.xml" ContentType="application/vnd.openxmlformats-officedocument.spreadsheetml.worksheet+xml"/>
  <Override PartName="/xl/worksheets/sheet114.xml" ContentType="application/vnd.openxmlformats-officedocument.spreadsheetml.worksheet+xml"/>
  <Override PartName="/xl/worksheets/sheet115.xml" ContentType="application/vnd.openxmlformats-officedocument.spreadsheetml.worksheet+xml"/>
  <Override PartName="/xl/worksheets/sheet116.xml" ContentType="application/vnd.openxmlformats-officedocument.spreadsheetml.worksheet+xml"/>
  <Override PartName="/xl/worksheets/sheet117.xml" ContentType="application/vnd.openxmlformats-officedocument.spreadsheetml.worksheet+xml"/>
  <Override PartName="/xl/worksheets/sheet118.xml" ContentType="application/vnd.openxmlformats-officedocument.spreadsheetml.worksheet+xml"/>
  <Override PartName="/xl/worksheets/sheet119.xml" ContentType="application/vnd.openxmlformats-officedocument.spreadsheetml.worksheet+xml"/>
  <Override PartName="/xl/worksheets/sheet120.xml" ContentType="application/vnd.openxmlformats-officedocument.spreadsheetml.worksheet+xml"/>
  <Override PartName="/xl/worksheets/sheet121.xml" ContentType="application/vnd.openxmlformats-officedocument.spreadsheetml.worksheet+xml"/>
  <Override PartName="/xl/worksheets/sheet122.xml" ContentType="application/vnd.openxmlformats-officedocument.spreadsheetml.worksheet+xml"/>
  <Override PartName="/xl/worksheets/sheet123.xml" ContentType="application/vnd.openxmlformats-officedocument.spreadsheetml.worksheet+xml"/>
  <Override PartName="/xl/worksheets/sheet124.xml" ContentType="application/vnd.openxmlformats-officedocument.spreadsheetml.worksheet+xml"/>
  <Override PartName="/xl/worksheets/sheet125.xml" ContentType="application/vnd.openxmlformats-officedocument.spreadsheetml.worksheet+xml"/>
  <Override PartName="/xl/worksheets/sheet126.xml" ContentType="application/vnd.openxmlformats-officedocument.spreadsheetml.worksheet+xml"/>
  <Override PartName="/xl/worksheets/sheet127.xml" ContentType="application/vnd.openxmlformats-officedocument.spreadsheetml.worksheet+xml"/>
  <Override PartName="/xl/worksheets/sheet128.xml" ContentType="application/vnd.openxmlformats-officedocument.spreadsheetml.worksheet+xml"/>
  <Override PartName="/xl/worksheets/sheet129.xml" ContentType="application/vnd.openxmlformats-officedocument.spreadsheetml.worksheet+xml"/>
  <Override PartName="/xl/worksheets/sheet130.xml" ContentType="application/vnd.openxmlformats-officedocument.spreadsheetml.worksheet+xml"/>
  <Override PartName="/xl/worksheets/sheet131.xml" ContentType="application/vnd.openxmlformats-officedocument.spreadsheetml.worksheet+xml"/>
  <Override PartName="/xl/worksheets/sheet13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comments5.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omments6.xml" ContentType="application/vnd.openxmlformats-officedocument.spreadsheetml.comments+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comments7.xml" ContentType="application/vnd.openxmlformats-officedocument.spreadsheetml.comments+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comments8.xml" ContentType="application/vnd.openxmlformats-officedocument.spreadsheetml.comments+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drawings/drawing57.xml" ContentType="application/vnd.openxmlformats-officedocument.drawing+xml"/>
  <Override PartName="/xl/drawings/drawing58.xml" ContentType="application/vnd.openxmlformats-officedocument.drawing+xml"/>
  <Override PartName="/xl/drawings/drawing59.xml" ContentType="application/vnd.openxmlformats-officedocument.drawing+xml"/>
  <Override PartName="/xl/drawings/drawing60.xml" ContentType="application/vnd.openxmlformats-officedocument.drawing+xml"/>
  <Override PartName="/xl/drawings/drawing61.xml" ContentType="application/vnd.openxmlformats-officedocument.drawing+xml"/>
  <Override PartName="/xl/drawings/drawing62.xml" ContentType="application/vnd.openxmlformats-officedocument.drawing+xml"/>
  <Override PartName="/xl/drawings/drawing63.xml" ContentType="application/vnd.openxmlformats-officedocument.drawing+xml"/>
  <Override PartName="/xl/drawings/drawing64.xml" ContentType="application/vnd.openxmlformats-officedocument.drawing+xml"/>
  <Override PartName="/xl/drawings/drawing65.xml" ContentType="application/vnd.openxmlformats-officedocument.drawing+xml"/>
  <Override PartName="/xl/drawings/drawing66.xml" ContentType="application/vnd.openxmlformats-officedocument.drawing+xml"/>
  <Override PartName="/xl/drawings/drawing67.xml" ContentType="application/vnd.openxmlformats-officedocument.drawing+xml"/>
  <Override PartName="/xl/drawings/drawing68.xml" ContentType="application/vnd.openxmlformats-officedocument.drawing+xml"/>
  <Override PartName="/xl/drawings/drawing69.xml" ContentType="application/vnd.openxmlformats-officedocument.drawing+xml"/>
  <Override PartName="/xl/drawings/drawing70.xml" ContentType="application/vnd.openxmlformats-officedocument.drawing+xml"/>
  <Override PartName="/xl/drawings/drawing71.xml" ContentType="application/vnd.openxmlformats-officedocument.drawing+xml"/>
  <Override PartName="/xl/drawings/drawing72.xml" ContentType="application/vnd.openxmlformats-officedocument.drawing+xml"/>
  <Override PartName="/xl/drawings/drawing73.xml" ContentType="application/vnd.openxmlformats-officedocument.drawing+xml"/>
  <Override PartName="/xl/drawings/drawing74.xml" ContentType="application/vnd.openxmlformats-officedocument.drawing+xml"/>
  <Override PartName="/xl/drawings/drawing75.xml" ContentType="application/vnd.openxmlformats-officedocument.drawing+xml"/>
  <Override PartName="/xl/drawings/drawing76.xml" ContentType="application/vnd.openxmlformats-officedocument.drawing+xml"/>
  <Override PartName="/xl/drawings/drawing77.xml" ContentType="application/vnd.openxmlformats-officedocument.drawing+xml"/>
  <Override PartName="/xl/drawings/drawing78.xml" ContentType="application/vnd.openxmlformats-officedocument.drawing+xml"/>
  <Override PartName="/xl/drawings/drawing79.xml" ContentType="application/vnd.openxmlformats-officedocument.drawing+xml"/>
  <Override PartName="/xl/drawings/drawing80.xml" ContentType="application/vnd.openxmlformats-officedocument.drawing+xml"/>
  <Override PartName="/xl/drawings/drawing81.xml" ContentType="application/vnd.openxmlformats-officedocument.drawing+xml"/>
  <Override PartName="/xl/drawings/drawing82.xml" ContentType="application/vnd.openxmlformats-officedocument.drawing+xml"/>
  <Override PartName="/xl/drawings/drawing83.xml" ContentType="application/vnd.openxmlformats-officedocument.drawing+xml"/>
  <Override PartName="/xl/drawings/drawing84.xml" ContentType="application/vnd.openxmlformats-officedocument.drawing+xml"/>
  <Override PartName="/xl/drawings/drawing85.xml" ContentType="application/vnd.openxmlformats-officedocument.drawing+xml"/>
  <Override PartName="/xl/drawings/drawing86.xml" ContentType="application/vnd.openxmlformats-officedocument.drawing+xml"/>
  <Override PartName="/xl/drawings/drawing87.xml" ContentType="application/vnd.openxmlformats-officedocument.drawing+xml"/>
  <Override PartName="/xl/drawings/drawing88.xml" ContentType="application/vnd.openxmlformats-officedocument.drawing+xml"/>
  <Override PartName="/xl/drawings/drawing89.xml" ContentType="application/vnd.openxmlformats-officedocument.drawing+xml"/>
  <Override PartName="/xl/drawings/drawing90.xml" ContentType="application/vnd.openxmlformats-officedocument.drawing+xml"/>
  <Override PartName="/xl/drawings/drawing91.xml" ContentType="application/vnd.openxmlformats-officedocument.drawing+xml"/>
  <Override PartName="/xl/drawings/drawing92.xml" ContentType="application/vnd.openxmlformats-officedocument.drawing+xml"/>
  <Override PartName="/xl/drawings/drawing93.xml" ContentType="application/vnd.openxmlformats-officedocument.drawing+xml"/>
  <Override PartName="/xl/drawings/drawing94.xml" ContentType="application/vnd.openxmlformats-officedocument.drawing+xml"/>
  <Override PartName="/xl/drawings/drawing95.xml" ContentType="application/vnd.openxmlformats-officedocument.drawing+xml"/>
  <Override PartName="/xl/drawings/drawing96.xml" ContentType="application/vnd.openxmlformats-officedocument.drawing+xml"/>
  <Override PartName="/xl/drawings/drawing97.xml" ContentType="application/vnd.openxmlformats-officedocument.drawing+xml"/>
  <Override PartName="/xl/drawings/drawing98.xml" ContentType="application/vnd.openxmlformats-officedocument.drawing+xml"/>
  <Override PartName="/xl/drawings/drawing99.xml" ContentType="application/vnd.openxmlformats-officedocument.drawing+xml"/>
  <Override PartName="/xl/drawings/drawing100.xml" ContentType="application/vnd.openxmlformats-officedocument.drawing+xml"/>
  <Override PartName="/xl/drawings/drawing101.xml" ContentType="application/vnd.openxmlformats-officedocument.drawing+xml"/>
  <Override PartName="/xl/drawings/drawing102.xml" ContentType="application/vnd.openxmlformats-officedocument.drawing+xml"/>
  <Override PartName="/xl/drawings/drawing103.xml" ContentType="application/vnd.openxmlformats-officedocument.drawing+xml"/>
  <Override PartName="/xl/drawings/drawing104.xml" ContentType="application/vnd.openxmlformats-officedocument.drawing+xml"/>
  <Override PartName="/xl/drawings/drawing105.xml" ContentType="application/vnd.openxmlformats-officedocument.drawing+xml"/>
  <Override PartName="/xl/drawings/drawing106.xml" ContentType="application/vnd.openxmlformats-officedocument.drawing+xml"/>
  <Override PartName="/xl/drawings/drawing107.xml" ContentType="application/vnd.openxmlformats-officedocument.drawing+xml"/>
  <Override PartName="/xl/drawings/drawing108.xml" ContentType="application/vnd.openxmlformats-officedocument.drawing+xml"/>
  <Override PartName="/xl/drawings/drawing109.xml" ContentType="application/vnd.openxmlformats-officedocument.drawing+xml"/>
  <Override PartName="/xl/drawings/drawing110.xml" ContentType="application/vnd.openxmlformats-officedocument.drawing+xml"/>
  <Override PartName="/xl/drawings/drawing111.xml" ContentType="application/vnd.openxmlformats-officedocument.drawing+xml"/>
  <Override PartName="/xl/drawings/drawing112.xml" ContentType="application/vnd.openxmlformats-officedocument.drawing+xml"/>
  <Override PartName="/xl/drawings/drawing113.xml" ContentType="application/vnd.openxmlformats-officedocument.drawing+xml"/>
  <Override PartName="/xl/drawings/drawing114.xml" ContentType="application/vnd.openxmlformats-officedocument.drawing+xml"/>
  <Override PartName="/xl/drawings/drawing115.xml" ContentType="application/vnd.openxmlformats-officedocument.drawing+xml"/>
  <Override PartName="/xl/drawings/drawing116.xml" ContentType="application/vnd.openxmlformats-officedocument.drawing+xml"/>
  <Override PartName="/xl/drawings/drawing117.xml" ContentType="application/vnd.openxmlformats-officedocument.drawing+xml"/>
  <Override PartName="/xl/drawings/drawing118.xml" ContentType="application/vnd.openxmlformats-officedocument.drawing+xml"/>
  <Override PartName="/xl/drawings/drawing119.xml" ContentType="application/vnd.openxmlformats-officedocument.drawing+xml"/>
  <Override PartName="/xl/drawings/drawing120.xml" ContentType="application/vnd.openxmlformats-officedocument.drawing+xml"/>
  <Override PartName="/xl/drawings/drawing121.xml" ContentType="application/vnd.openxmlformats-officedocument.drawing+xml"/>
  <Override PartName="/xl/drawings/drawing122.xml" ContentType="application/vnd.openxmlformats-officedocument.drawing+xml"/>
  <Override PartName="/xl/drawings/drawing12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ThisWorkbook"/>
  <mc:AlternateContent xmlns:mc="http://schemas.openxmlformats.org/markup-compatibility/2006">
    <mc:Choice Requires="x15">
      <x15ac:absPath xmlns:x15ac="http://schemas.microsoft.com/office/spreadsheetml/2010/11/ac" url="D:\USER\2\Mis documentos\Ing Yesid\iquira\PLAN MAESTRO AC IQUIRA\PROCESO PRECONTRACTUAL\OBRA CIVIL\"/>
    </mc:Choice>
  </mc:AlternateContent>
  <xr:revisionPtr revIDLastSave="0" documentId="13_ncr:1_{6C561F89-513E-4131-9DBF-F968C34D123D}" xr6:coauthVersionLast="47" xr6:coauthVersionMax="47" xr10:uidLastSave="{00000000-0000-0000-0000-000000000000}"/>
  <bookViews>
    <workbookView xWindow="-120" yWindow="-120" windowWidth="29040" windowHeight="15720" firstSheet="3" activeTab="15" xr2:uid="{D77D42D3-D080-4D71-996C-FF4B8FA6A6CF}"/>
  </bookViews>
  <sheets>
    <sheet name="INS" sheetId="13" state="hidden" r:id="rId1"/>
    <sheet name="INSUMOS" sheetId="14" state="hidden" r:id="rId2"/>
    <sheet name="Mem_CALCULO" sheetId="149" state="hidden" r:id="rId3"/>
    <sheet name="AIU" sheetId="132" r:id="rId4"/>
    <sheet name="ADMIN_SUMISTRO" sheetId="255" state="hidden" r:id="rId5"/>
    <sheet name="PAGA" sheetId="133" state="hidden" r:id="rId6"/>
    <sheet name="PMT" sheetId="134" state="hidden" r:id="rId7"/>
    <sheet name="F. MULT" sheetId="135" state="hidden" r:id="rId8"/>
    <sheet name="INTER OBRA" sheetId="136" state="hidden" r:id="rId9"/>
    <sheet name="INTER_SUMIN" sheetId="254" state="hidden" r:id="rId10"/>
    <sheet name="SMMV" sheetId="18" state="hidden" r:id="rId11"/>
    <sheet name="FP" sheetId="12" state="hidden" r:id="rId12"/>
    <sheet name="CUADRILLAS" sheetId="7" state="hidden" r:id="rId13"/>
    <sheet name="CRONOGRAMA" sheetId="240" state="hidden" r:id="rId14"/>
    <sheet name="PRESUPUESTO" sheetId="16" state="hidden" r:id="rId15"/>
    <sheet name="PTOOC PLIEGOS" sheetId="256" r:id="rId16"/>
    <sheet name="BASICOS" sheetId="17" state="hidden" r:id="rId17"/>
    <sheet name="APU-Modelo" sheetId="20" state="hidden" r:id="rId18"/>
    <sheet name="1.1.1" sheetId="147" r:id="rId19"/>
    <sheet name="1.1.2" sheetId="44" r:id="rId20"/>
    <sheet name="1.1.3" sheetId="146" r:id="rId21"/>
    <sheet name="1.1.4" sheetId="141" r:id="rId22"/>
    <sheet name="1.1.5" sheetId="251" r:id="rId23"/>
    <sheet name="1.1.6" sheetId="124" r:id="rId24"/>
    <sheet name="1.2.1" sheetId="242" r:id="rId25"/>
    <sheet name="1.2.2" sheetId="243" r:id="rId26"/>
    <sheet name="1.2.3" sheetId="244" r:id="rId27"/>
    <sheet name="1.2.4" sheetId="245" r:id="rId28"/>
    <sheet name="1.3.1" sheetId="41" r:id="rId29"/>
    <sheet name="1.3.2" sheetId="115" r:id="rId30"/>
    <sheet name="1.3.3" sheetId="116" r:id="rId31"/>
    <sheet name="1.3.4" sheetId="117" r:id="rId32"/>
    <sheet name="1.4.1" sheetId="126" r:id="rId33"/>
    <sheet name="1.4.2" sheetId="142" r:id="rId34"/>
    <sheet name="1.5.1" sheetId="120" r:id="rId35"/>
    <sheet name="1.5.2" sheetId="121" r:id="rId36"/>
    <sheet name="1.5.3" sheetId="144" r:id="rId37"/>
    <sheet name="1.6.1" sheetId="246" r:id="rId38"/>
    <sheet name="Kit 160" sheetId="247" state="hidden" r:id="rId39"/>
    <sheet name="1.6.2" sheetId="248" r:id="rId40"/>
    <sheet name="1.6.3" sheetId="249" r:id="rId41"/>
    <sheet name="1.6.4" sheetId="250" r:id="rId42"/>
    <sheet name="1.7.1" sheetId="122" r:id="rId43"/>
    <sheet name="1.7.2" sheetId="127" r:id="rId44"/>
    <sheet name="1.7.3" sheetId="128" r:id="rId45"/>
    <sheet name="1.7.4" sheetId="129" r:id="rId46"/>
    <sheet name="1.7.5" sheetId="123" r:id="rId47"/>
    <sheet name="1.7.6" sheetId="145" r:id="rId48"/>
    <sheet name="1.8.1" sheetId="252" r:id="rId49"/>
    <sheet name="1.8.2" sheetId="88" r:id="rId50"/>
    <sheet name="1.8.3" sheetId="89" r:id="rId51"/>
    <sheet name="1.9.1" sheetId="253" r:id="rId52"/>
    <sheet name="1.9.2" sheetId="235" r:id="rId53"/>
    <sheet name="1.9.3" sheetId="239" r:id="rId54"/>
    <sheet name="2.1.1" sheetId="153" state="hidden" r:id="rId55"/>
    <sheet name="2.1.2" sheetId="154" state="hidden" r:id="rId56"/>
    <sheet name="2.1.3" sheetId="155" state="hidden" r:id="rId57"/>
    <sheet name="2.1.4" sheetId="156" state="hidden" r:id="rId58"/>
    <sheet name="2.1.5" sheetId="157" state="hidden" r:id="rId59"/>
    <sheet name="2.1.6" sheetId="158" state="hidden" r:id="rId60"/>
    <sheet name="2.1.7" sheetId="159" state="hidden" r:id="rId61"/>
    <sheet name="2.1.9" sheetId="160" state="hidden" r:id="rId62"/>
    <sheet name="2.1.10" sheetId="161" state="hidden" r:id="rId63"/>
    <sheet name="2.1.11" sheetId="162" state="hidden" r:id="rId64"/>
    <sheet name="2.1.12" sheetId="163" state="hidden" r:id="rId65"/>
    <sheet name="2.1.13" sheetId="164" state="hidden" r:id="rId66"/>
    <sheet name="2.1.15" sheetId="165" state="hidden" r:id="rId67"/>
    <sheet name="2.1.16" sheetId="166" state="hidden" r:id="rId68"/>
    <sheet name="2.1.17" sheetId="167" state="hidden" r:id="rId69"/>
    <sheet name="2.2.1" sheetId="168" state="hidden" r:id="rId70"/>
    <sheet name="2.2.2" sheetId="170" state="hidden" r:id="rId71"/>
    <sheet name="2.2.3" sheetId="171" state="hidden" r:id="rId72"/>
    <sheet name="2.2.4" sheetId="173" state="hidden" r:id="rId73"/>
    <sheet name="2.2.5" sheetId="174" state="hidden" r:id="rId74"/>
    <sheet name="2.2.6" sheetId="175" state="hidden" r:id="rId75"/>
    <sheet name="2.2.7" sheetId="176" state="hidden" r:id="rId76"/>
    <sheet name="2.2.8" sheetId="177" state="hidden" r:id="rId77"/>
    <sheet name="2.2.9" sheetId="178" state="hidden" r:id="rId78"/>
    <sheet name="2.2.11" sheetId="179" state="hidden" r:id="rId79"/>
    <sheet name="2.2.12" sheetId="180" state="hidden" r:id="rId80"/>
    <sheet name="2.2.13" sheetId="181" state="hidden" r:id="rId81"/>
    <sheet name="2.3.1" sheetId="182" state="hidden" r:id="rId82"/>
    <sheet name="2.3.2" sheetId="183" state="hidden" r:id="rId83"/>
    <sheet name="2.3.3" sheetId="184" state="hidden" r:id="rId84"/>
    <sheet name="2.3.4" sheetId="185" state="hidden" r:id="rId85"/>
    <sheet name="2.3.5" sheetId="186" state="hidden" r:id="rId86"/>
    <sheet name="2.3.6" sheetId="187" state="hidden" r:id="rId87"/>
    <sheet name="2.3.8" sheetId="188" state="hidden" r:id="rId88"/>
    <sheet name="2.3.9" sheetId="189" state="hidden" r:id="rId89"/>
    <sheet name="2.3.10" sheetId="190" state="hidden" r:id="rId90"/>
    <sheet name="2.3.11" sheetId="191" state="hidden" r:id="rId91"/>
    <sheet name="2.3.12" sheetId="192" state="hidden" r:id="rId92"/>
    <sheet name="2.3.13" sheetId="193" state="hidden" r:id="rId93"/>
    <sheet name="2.3.14" sheetId="194" state="hidden" r:id="rId94"/>
    <sheet name="2.3.15" sheetId="196" state="hidden" r:id="rId95"/>
    <sheet name="2.3.16" sheetId="197" state="hidden" r:id="rId96"/>
    <sheet name="2.3.17" sheetId="198" state="hidden" r:id="rId97"/>
    <sheet name="2.4.1" sheetId="199" state="hidden" r:id="rId98"/>
    <sheet name="2.4.2" sheetId="200" state="hidden" r:id="rId99"/>
    <sheet name="2.4.3" sheetId="201" state="hidden" r:id="rId100"/>
    <sheet name="2.4.4" sheetId="202" state="hidden" r:id="rId101"/>
    <sheet name="2.4.5" sheetId="203" state="hidden" r:id="rId102"/>
    <sheet name="2.4.6" sheetId="204" state="hidden" r:id="rId103"/>
    <sheet name="2.4.8" sheetId="205" state="hidden" r:id="rId104"/>
    <sheet name="2.4.9" sheetId="206" state="hidden" r:id="rId105"/>
    <sheet name="2.4.10" sheetId="207" state="hidden" r:id="rId106"/>
    <sheet name="2.4.11" sheetId="208" state="hidden" r:id="rId107"/>
    <sheet name="2.4.12" sheetId="209" state="hidden" r:id="rId108"/>
    <sheet name="2.4.13" sheetId="210" state="hidden" r:id="rId109"/>
    <sheet name="2.4.14" sheetId="211" state="hidden" r:id="rId110"/>
    <sheet name="2.4.15" sheetId="212" state="hidden" r:id="rId111"/>
    <sheet name="2.4.16" sheetId="213" state="hidden" r:id="rId112"/>
    <sheet name="2.4.17" sheetId="214" state="hidden" r:id="rId113"/>
    <sheet name="2.4.18" sheetId="215" state="hidden" r:id="rId114"/>
    <sheet name="2.4.19" sheetId="216" state="hidden" r:id="rId115"/>
    <sheet name="2.4.20" sheetId="217" state="hidden" r:id="rId116"/>
    <sheet name="2.4.21" sheetId="218" state="hidden" r:id="rId117"/>
    <sheet name="2.4.22" sheetId="219" state="hidden" r:id="rId118"/>
    <sheet name="2.4.23" sheetId="220" state="hidden" r:id="rId119"/>
    <sheet name="2.4.24" sheetId="221" state="hidden" r:id="rId120"/>
    <sheet name="2.5.1" sheetId="222" state="hidden" r:id="rId121"/>
    <sheet name="2.5.2" sheetId="223" state="hidden" r:id="rId122"/>
    <sheet name="2.5.3" sheetId="224" state="hidden" r:id="rId123"/>
    <sheet name="2.5.4" sheetId="225" state="hidden" r:id="rId124"/>
    <sheet name="2.5.5" sheetId="226" state="hidden" r:id="rId125"/>
    <sheet name="2.5.7" sheetId="227" state="hidden" r:id="rId126"/>
    <sheet name="2.5.8" sheetId="228" state="hidden" r:id="rId127"/>
    <sheet name="2.5.9" sheetId="229" state="hidden" r:id="rId128"/>
    <sheet name="2.6.1" sheetId="230" state="hidden" r:id="rId129"/>
    <sheet name="2.7.1" sheetId="231" state="hidden" r:id="rId130"/>
    <sheet name="2.7.2" sheetId="232" state="hidden" r:id="rId131"/>
    <sheet name="2.8.1" sheetId="233" state="hidden" r:id="rId132"/>
  </sheets>
  <externalReferences>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s>
  <definedNames>
    <definedName name="\X" localSheetId="20">[0]!ERR</definedName>
    <definedName name="\X" localSheetId="22">[0]!ERR</definedName>
    <definedName name="\X" localSheetId="33">[0]!ERR</definedName>
    <definedName name="\X" localSheetId="36">[0]!ERR</definedName>
    <definedName name="\X" localSheetId="47">[0]!ERR</definedName>
    <definedName name="\X" localSheetId="48">[0]!ERR</definedName>
    <definedName name="\X" localSheetId="51">[0]!ERR</definedName>
    <definedName name="\X" localSheetId="52">[0]!ERR</definedName>
    <definedName name="\X" localSheetId="53">[0]!ERR</definedName>
    <definedName name="\X" localSheetId="54">[0]!ERR</definedName>
    <definedName name="\X" localSheetId="62">[0]!ERR</definedName>
    <definedName name="\X" localSheetId="63">[0]!ERR</definedName>
    <definedName name="\X" localSheetId="64">[0]!ERR</definedName>
    <definedName name="\X" localSheetId="65">[0]!ERR</definedName>
    <definedName name="\X" localSheetId="66">[0]!ERR</definedName>
    <definedName name="\X" localSheetId="67">[0]!ERR</definedName>
    <definedName name="\X" localSheetId="68">[0]!ERR</definedName>
    <definedName name="\X" localSheetId="55">[0]!ERR</definedName>
    <definedName name="\X" localSheetId="56">[0]!ERR</definedName>
    <definedName name="\X" localSheetId="57">[0]!ERR</definedName>
    <definedName name="\X" localSheetId="58">[0]!ERR</definedName>
    <definedName name="\X" localSheetId="59">[0]!ERR</definedName>
    <definedName name="\X" localSheetId="60">[0]!ERR</definedName>
    <definedName name="\X" localSheetId="61">[0]!ERR</definedName>
    <definedName name="\X" localSheetId="69">[0]!ERR</definedName>
    <definedName name="\X" localSheetId="78">[0]!ERR</definedName>
    <definedName name="\X" localSheetId="79">[0]!ERR</definedName>
    <definedName name="\X" localSheetId="80">[0]!ERR</definedName>
    <definedName name="\X" localSheetId="70">[0]!ERR</definedName>
    <definedName name="\X" localSheetId="71">[0]!ERR</definedName>
    <definedName name="\X" localSheetId="72">[0]!ERR</definedName>
    <definedName name="\X" localSheetId="73">[0]!ERR</definedName>
    <definedName name="\X" localSheetId="74">[0]!ERR</definedName>
    <definedName name="\X" localSheetId="75">[0]!ERR</definedName>
    <definedName name="\X" localSheetId="76">[0]!ERR</definedName>
    <definedName name="\X" localSheetId="77">[0]!ERR</definedName>
    <definedName name="\X" localSheetId="81">[0]!ERR</definedName>
    <definedName name="\X" localSheetId="89">[0]!ERR</definedName>
    <definedName name="\X" localSheetId="90">[0]!ERR</definedName>
    <definedName name="\X" localSheetId="91">[0]!ERR</definedName>
    <definedName name="\X" localSheetId="92">[0]!ERR</definedName>
    <definedName name="\X" localSheetId="93">[0]!ERR</definedName>
    <definedName name="\X" localSheetId="94">[0]!ERR</definedName>
    <definedName name="\X" localSheetId="95">[0]!ERR</definedName>
    <definedName name="\X" localSheetId="96">[0]!ERR</definedName>
    <definedName name="\X" localSheetId="82">[0]!ERR</definedName>
    <definedName name="\X" localSheetId="83">[0]!ERR</definedName>
    <definedName name="\X" localSheetId="84">[0]!ERR</definedName>
    <definedName name="\X" localSheetId="85">[0]!ERR</definedName>
    <definedName name="\X" localSheetId="86">[0]!ERR</definedName>
    <definedName name="\X" localSheetId="87">[0]!ERR</definedName>
    <definedName name="\X" localSheetId="88">[0]!ERR</definedName>
    <definedName name="\X" localSheetId="97">[0]!ERR</definedName>
    <definedName name="\X" localSheetId="105">[0]!ERR</definedName>
    <definedName name="\X" localSheetId="106">[0]!ERR</definedName>
    <definedName name="\X" localSheetId="107">[0]!ERR</definedName>
    <definedName name="\X" localSheetId="108">[0]!ERR</definedName>
    <definedName name="\X" localSheetId="109">[0]!ERR</definedName>
    <definedName name="\X" localSheetId="110">[0]!ERR</definedName>
    <definedName name="\X" localSheetId="111">[0]!ERR</definedName>
    <definedName name="\X" localSheetId="112">[0]!ERR</definedName>
    <definedName name="\X" localSheetId="113">[0]!ERR</definedName>
    <definedName name="\X" localSheetId="114">[0]!ERR</definedName>
    <definedName name="\X" localSheetId="98">[0]!ERR</definedName>
    <definedName name="\X" localSheetId="115">[0]!ERR</definedName>
    <definedName name="\X" localSheetId="116">[0]!ERR</definedName>
    <definedName name="\X" localSheetId="117">[0]!ERR</definedName>
    <definedName name="\X" localSheetId="118">[0]!ERR</definedName>
    <definedName name="\X" localSheetId="119">[0]!ERR</definedName>
    <definedName name="\X" localSheetId="99">[0]!ERR</definedName>
    <definedName name="\X" localSheetId="100">[0]!ERR</definedName>
    <definedName name="\X" localSheetId="101">[0]!ERR</definedName>
    <definedName name="\X" localSheetId="102">[0]!ERR</definedName>
    <definedName name="\X" localSheetId="103">[0]!ERR</definedName>
    <definedName name="\X" localSheetId="104">[0]!ERR</definedName>
    <definedName name="\X" localSheetId="120">[0]!ERR</definedName>
    <definedName name="\X" localSheetId="121">[0]!ERR</definedName>
    <definedName name="\X" localSheetId="122">[0]!ERR</definedName>
    <definedName name="\X" localSheetId="123">[0]!ERR</definedName>
    <definedName name="\X" localSheetId="124">[0]!ERR</definedName>
    <definedName name="\X" localSheetId="125">[0]!ERR</definedName>
    <definedName name="\X" localSheetId="126">[0]!ERR</definedName>
    <definedName name="\X" localSheetId="127">[0]!ERR</definedName>
    <definedName name="\X" localSheetId="128">[0]!ERR</definedName>
    <definedName name="\X" localSheetId="129">[0]!ERR</definedName>
    <definedName name="\X" localSheetId="130">[0]!ERR</definedName>
    <definedName name="\X" localSheetId="131">[0]!ERR</definedName>
    <definedName name="\X" localSheetId="38">[0]!ERR</definedName>
    <definedName name="\X" localSheetId="2">[0]!ERR</definedName>
    <definedName name="\X">[0]!ERR</definedName>
    <definedName name="\Z" localSheetId="20">[0]!ERR</definedName>
    <definedName name="\Z" localSheetId="22">[0]!ERR</definedName>
    <definedName name="\Z" localSheetId="33">[0]!ERR</definedName>
    <definedName name="\Z" localSheetId="36">[0]!ERR</definedName>
    <definedName name="\Z" localSheetId="47">[0]!ERR</definedName>
    <definedName name="\Z" localSheetId="48">[0]!ERR</definedName>
    <definedName name="\Z" localSheetId="51">[0]!ERR</definedName>
    <definedName name="\Z" localSheetId="52">[0]!ERR</definedName>
    <definedName name="\Z" localSheetId="53">[0]!ERR</definedName>
    <definedName name="\Z" localSheetId="54">[0]!ERR</definedName>
    <definedName name="\Z" localSheetId="62">[0]!ERR</definedName>
    <definedName name="\Z" localSheetId="63">[0]!ERR</definedName>
    <definedName name="\Z" localSheetId="64">[0]!ERR</definedName>
    <definedName name="\Z" localSheetId="65">[0]!ERR</definedName>
    <definedName name="\Z" localSheetId="66">[0]!ERR</definedName>
    <definedName name="\Z" localSheetId="67">[0]!ERR</definedName>
    <definedName name="\Z" localSheetId="68">[0]!ERR</definedName>
    <definedName name="\Z" localSheetId="55">[0]!ERR</definedName>
    <definedName name="\Z" localSheetId="56">[0]!ERR</definedName>
    <definedName name="\Z" localSheetId="57">[0]!ERR</definedName>
    <definedName name="\Z" localSheetId="58">[0]!ERR</definedName>
    <definedName name="\Z" localSheetId="59">[0]!ERR</definedName>
    <definedName name="\Z" localSheetId="60">[0]!ERR</definedName>
    <definedName name="\Z" localSheetId="61">[0]!ERR</definedName>
    <definedName name="\Z" localSheetId="69">[0]!ERR</definedName>
    <definedName name="\Z" localSheetId="78">[0]!ERR</definedName>
    <definedName name="\Z" localSheetId="79">[0]!ERR</definedName>
    <definedName name="\Z" localSheetId="80">[0]!ERR</definedName>
    <definedName name="\Z" localSheetId="70">[0]!ERR</definedName>
    <definedName name="\Z" localSheetId="71">[0]!ERR</definedName>
    <definedName name="\Z" localSheetId="72">[0]!ERR</definedName>
    <definedName name="\Z" localSheetId="73">[0]!ERR</definedName>
    <definedName name="\Z" localSheetId="74">[0]!ERR</definedName>
    <definedName name="\Z" localSheetId="75">[0]!ERR</definedName>
    <definedName name="\Z" localSheetId="76">[0]!ERR</definedName>
    <definedName name="\Z" localSheetId="77">[0]!ERR</definedName>
    <definedName name="\Z" localSheetId="81">[0]!ERR</definedName>
    <definedName name="\Z" localSheetId="89">[0]!ERR</definedName>
    <definedName name="\Z" localSheetId="90">[0]!ERR</definedName>
    <definedName name="\Z" localSheetId="91">[0]!ERR</definedName>
    <definedName name="\Z" localSheetId="92">[0]!ERR</definedName>
    <definedName name="\Z" localSheetId="93">[0]!ERR</definedName>
    <definedName name="\Z" localSheetId="94">[0]!ERR</definedName>
    <definedName name="\Z" localSheetId="95">[0]!ERR</definedName>
    <definedName name="\Z" localSheetId="96">[0]!ERR</definedName>
    <definedName name="\Z" localSheetId="82">[0]!ERR</definedName>
    <definedName name="\Z" localSheetId="83">[0]!ERR</definedName>
    <definedName name="\Z" localSheetId="84">[0]!ERR</definedName>
    <definedName name="\Z" localSheetId="85">[0]!ERR</definedName>
    <definedName name="\Z" localSheetId="86">[0]!ERR</definedName>
    <definedName name="\Z" localSheetId="87">[0]!ERR</definedName>
    <definedName name="\Z" localSheetId="88">[0]!ERR</definedName>
    <definedName name="\Z" localSheetId="97">[0]!ERR</definedName>
    <definedName name="\Z" localSheetId="105">[0]!ERR</definedName>
    <definedName name="\Z" localSheetId="106">[0]!ERR</definedName>
    <definedName name="\Z" localSheetId="107">[0]!ERR</definedName>
    <definedName name="\Z" localSheetId="108">[0]!ERR</definedName>
    <definedName name="\Z" localSheetId="109">[0]!ERR</definedName>
    <definedName name="\Z" localSheetId="110">[0]!ERR</definedName>
    <definedName name="\Z" localSheetId="111">[0]!ERR</definedName>
    <definedName name="\Z" localSheetId="112">[0]!ERR</definedName>
    <definedName name="\Z" localSheetId="113">[0]!ERR</definedName>
    <definedName name="\Z" localSheetId="114">[0]!ERR</definedName>
    <definedName name="\Z" localSheetId="98">[0]!ERR</definedName>
    <definedName name="\Z" localSheetId="115">[0]!ERR</definedName>
    <definedName name="\Z" localSheetId="116">[0]!ERR</definedName>
    <definedName name="\Z" localSheetId="117">[0]!ERR</definedName>
    <definedName name="\Z" localSheetId="118">[0]!ERR</definedName>
    <definedName name="\Z" localSheetId="119">[0]!ERR</definedName>
    <definedName name="\Z" localSheetId="99">[0]!ERR</definedName>
    <definedName name="\Z" localSheetId="100">[0]!ERR</definedName>
    <definedName name="\Z" localSheetId="101">[0]!ERR</definedName>
    <definedName name="\Z" localSheetId="102">[0]!ERR</definedName>
    <definedName name="\Z" localSheetId="103">[0]!ERR</definedName>
    <definedName name="\Z" localSheetId="104">[0]!ERR</definedName>
    <definedName name="\Z" localSheetId="120">[0]!ERR</definedName>
    <definedName name="\Z" localSheetId="121">[0]!ERR</definedName>
    <definedName name="\Z" localSheetId="122">[0]!ERR</definedName>
    <definedName name="\Z" localSheetId="123">[0]!ERR</definedName>
    <definedName name="\Z" localSheetId="124">[0]!ERR</definedName>
    <definedName name="\Z" localSheetId="125">[0]!ERR</definedName>
    <definedName name="\Z" localSheetId="126">[0]!ERR</definedName>
    <definedName name="\Z" localSheetId="127">[0]!ERR</definedName>
    <definedName name="\Z" localSheetId="128">[0]!ERR</definedName>
    <definedName name="\Z" localSheetId="129">[0]!ERR</definedName>
    <definedName name="\Z" localSheetId="130">[0]!ERR</definedName>
    <definedName name="\Z" localSheetId="131">[0]!ERR</definedName>
    <definedName name="\Z" localSheetId="38">[0]!ERR</definedName>
    <definedName name="\Z" localSheetId="2">[0]!ERR</definedName>
    <definedName name="\Z">[0]!ERR</definedName>
    <definedName name="_______FS01" localSheetId="20">ERR</definedName>
    <definedName name="_______FS01" localSheetId="22">ERR</definedName>
    <definedName name="_______FS01" localSheetId="33">ERR</definedName>
    <definedName name="_______FS01" localSheetId="36">ERR</definedName>
    <definedName name="_______FS01" localSheetId="47">ERR</definedName>
    <definedName name="_______FS01" localSheetId="48">ERR</definedName>
    <definedName name="_______FS01" localSheetId="51">ERR</definedName>
    <definedName name="_______FS01" localSheetId="52">ERR</definedName>
    <definedName name="_______FS01" localSheetId="53">ERR</definedName>
    <definedName name="_______FS01" localSheetId="54">ERR</definedName>
    <definedName name="_______FS01" localSheetId="62">ERR</definedName>
    <definedName name="_______FS01" localSheetId="63">ERR</definedName>
    <definedName name="_______FS01" localSheetId="64">ERR</definedName>
    <definedName name="_______FS01" localSheetId="65">ERR</definedName>
    <definedName name="_______FS01" localSheetId="66">ERR</definedName>
    <definedName name="_______FS01" localSheetId="67">ERR</definedName>
    <definedName name="_______FS01" localSheetId="68">ERR</definedName>
    <definedName name="_______FS01" localSheetId="55">ERR</definedName>
    <definedName name="_______FS01" localSheetId="56">ERR</definedName>
    <definedName name="_______FS01" localSheetId="57">ERR</definedName>
    <definedName name="_______FS01" localSheetId="58">ERR</definedName>
    <definedName name="_______FS01" localSheetId="59">ERR</definedName>
    <definedName name="_______FS01" localSheetId="60">ERR</definedName>
    <definedName name="_______FS01" localSheetId="61">ERR</definedName>
    <definedName name="_______FS01" localSheetId="69">ERR</definedName>
    <definedName name="_______FS01" localSheetId="78">ERR</definedName>
    <definedName name="_______FS01" localSheetId="79">ERR</definedName>
    <definedName name="_______FS01" localSheetId="80">ERR</definedName>
    <definedName name="_______FS01" localSheetId="70">ERR</definedName>
    <definedName name="_______FS01" localSheetId="71">ERR</definedName>
    <definedName name="_______FS01" localSheetId="72">ERR</definedName>
    <definedName name="_______FS01" localSheetId="73">ERR</definedName>
    <definedName name="_______FS01" localSheetId="74">ERR</definedName>
    <definedName name="_______FS01" localSheetId="75">ERR</definedName>
    <definedName name="_______FS01" localSheetId="76">ERR</definedName>
    <definedName name="_______FS01" localSheetId="77">ERR</definedName>
    <definedName name="_______FS01" localSheetId="81">ERR</definedName>
    <definedName name="_______FS01" localSheetId="89">ERR</definedName>
    <definedName name="_______FS01" localSheetId="90">ERR</definedName>
    <definedName name="_______FS01" localSheetId="91">ERR</definedName>
    <definedName name="_______FS01" localSheetId="92">ERR</definedName>
    <definedName name="_______FS01" localSheetId="93">ERR</definedName>
    <definedName name="_______FS01" localSheetId="94">ERR</definedName>
    <definedName name="_______FS01" localSheetId="95">ERR</definedName>
    <definedName name="_______FS01" localSheetId="96">ERR</definedName>
    <definedName name="_______FS01" localSheetId="82">ERR</definedName>
    <definedName name="_______FS01" localSheetId="83">ERR</definedName>
    <definedName name="_______FS01" localSheetId="84">ERR</definedName>
    <definedName name="_______FS01" localSheetId="85">ERR</definedName>
    <definedName name="_______FS01" localSheetId="86">ERR</definedName>
    <definedName name="_______FS01" localSheetId="87">ERR</definedName>
    <definedName name="_______FS01" localSheetId="88">ERR</definedName>
    <definedName name="_______FS01" localSheetId="97">ERR</definedName>
    <definedName name="_______FS01" localSheetId="105">ERR</definedName>
    <definedName name="_______FS01" localSheetId="106">ERR</definedName>
    <definedName name="_______FS01" localSheetId="107">ERR</definedName>
    <definedName name="_______FS01" localSheetId="108">ERR</definedName>
    <definedName name="_______FS01" localSheetId="109">ERR</definedName>
    <definedName name="_______FS01" localSheetId="110">ERR</definedName>
    <definedName name="_______FS01" localSheetId="111">ERR</definedName>
    <definedName name="_______FS01" localSheetId="112">ERR</definedName>
    <definedName name="_______FS01" localSheetId="113">ERR</definedName>
    <definedName name="_______FS01" localSheetId="114">ERR</definedName>
    <definedName name="_______FS01" localSheetId="98">ERR</definedName>
    <definedName name="_______FS01" localSheetId="115">ERR</definedName>
    <definedName name="_______FS01" localSheetId="116">ERR</definedName>
    <definedName name="_______FS01" localSheetId="117">ERR</definedName>
    <definedName name="_______FS01" localSheetId="118">ERR</definedName>
    <definedName name="_______FS01" localSheetId="119">ERR</definedName>
    <definedName name="_______FS01" localSheetId="99">ERR</definedName>
    <definedName name="_______FS01" localSheetId="100">ERR</definedName>
    <definedName name="_______FS01" localSheetId="101">ERR</definedName>
    <definedName name="_______FS01" localSheetId="102">ERR</definedName>
    <definedName name="_______FS01" localSheetId="103">ERR</definedName>
    <definedName name="_______FS01" localSheetId="104">ERR</definedName>
    <definedName name="_______FS01" localSheetId="120">ERR</definedName>
    <definedName name="_______FS01" localSheetId="121">ERR</definedName>
    <definedName name="_______FS01" localSheetId="122">ERR</definedName>
    <definedName name="_______FS01" localSheetId="123">ERR</definedName>
    <definedName name="_______FS01" localSheetId="124">ERR</definedName>
    <definedName name="_______FS01" localSheetId="125">ERR</definedName>
    <definedName name="_______FS01" localSheetId="126">ERR</definedName>
    <definedName name="_______FS01" localSheetId="127">ERR</definedName>
    <definedName name="_______FS01" localSheetId="128">ERR</definedName>
    <definedName name="_______FS01" localSheetId="129">ERR</definedName>
    <definedName name="_______FS01" localSheetId="130">ERR</definedName>
    <definedName name="_______FS01" localSheetId="131">ERR</definedName>
    <definedName name="_______FS01" localSheetId="9">ERR</definedName>
    <definedName name="_______FS01" localSheetId="38">ERR</definedName>
    <definedName name="_______FS01" localSheetId="2">ERR</definedName>
    <definedName name="_______FS01">ERR</definedName>
    <definedName name="______PR1" localSheetId="51">[1]PRECIOS!$A:$E</definedName>
    <definedName name="______PR1">[2]PRECIOS!$A:$E</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FC">#REF!</definedName>
    <definedName name="_____FOR1">#REF!</definedName>
    <definedName name="_____FS01" localSheetId="20">ERR</definedName>
    <definedName name="_____FS01" localSheetId="22">ERR</definedName>
    <definedName name="_____FS01" localSheetId="33">ERR</definedName>
    <definedName name="_____FS01" localSheetId="36">ERR</definedName>
    <definedName name="_____FS01" localSheetId="47">ERR</definedName>
    <definedName name="_____FS01" localSheetId="48">ERR</definedName>
    <definedName name="_____FS01" localSheetId="51">ERR</definedName>
    <definedName name="_____FS01" localSheetId="52">ERR</definedName>
    <definedName name="_____FS01" localSheetId="53">ERR</definedName>
    <definedName name="_____FS01" localSheetId="54">ERR</definedName>
    <definedName name="_____FS01" localSheetId="62">ERR</definedName>
    <definedName name="_____FS01" localSheetId="63">ERR</definedName>
    <definedName name="_____FS01" localSheetId="64">ERR</definedName>
    <definedName name="_____FS01" localSheetId="65">ERR</definedName>
    <definedName name="_____FS01" localSheetId="66">ERR</definedName>
    <definedName name="_____FS01" localSheetId="67">ERR</definedName>
    <definedName name="_____FS01" localSheetId="68">ERR</definedName>
    <definedName name="_____FS01" localSheetId="55">ERR</definedName>
    <definedName name="_____FS01" localSheetId="56">ERR</definedName>
    <definedName name="_____FS01" localSheetId="57">ERR</definedName>
    <definedName name="_____FS01" localSheetId="58">ERR</definedName>
    <definedName name="_____FS01" localSheetId="59">ERR</definedName>
    <definedName name="_____FS01" localSheetId="60">ERR</definedName>
    <definedName name="_____FS01" localSheetId="61">ERR</definedName>
    <definedName name="_____FS01" localSheetId="69">ERR</definedName>
    <definedName name="_____FS01" localSheetId="78">ERR</definedName>
    <definedName name="_____FS01" localSheetId="79">ERR</definedName>
    <definedName name="_____FS01" localSheetId="80">ERR</definedName>
    <definedName name="_____FS01" localSheetId="70">ERR</definedName>
    <definedName name="_____FS01" localSheetId="71">ERR</definedName>
    <definedName name="_____FS01" localSheetId="72">ERR</definedName>
    <definedName name="_____FS01" localSheetId="73">ERR</definedName>
    <definedName name="_____FS01" localSheetId="74">ERR</definedName>
    <definedName name="_____FS01" localSheetId="75">ERR</definedName>
    <definedName name="_____FS01" localSheetId="76">ERR</definedName>
    <definedName name="_____FS01" localSheetId="77">ERR</definedName>
    <definedName name="_____FS01" localSheetId="81">ERR</definedName>
    <definedName name="_____FS01" localSheetId="89">ERR</definedName>
    <definedName name="_____FS01" localSheetId="90">ERR</definedName>
    <definedName name="_____FS01" localSheetId="91">ERR</definedName>
    <definedName name="_____FS01" localSheetId="92">ERR</definedName>
    <definedName name="_____FS01" localSheetId="93">ERR</definedName>
    <definedName name="_____FS01" localSheetId="94">ERR</definedName>
    <definedName name="_____FS01" localSheetId="95">ERR</definedName>
    <definedName name="_____FS01" localSheetId="96">ERR</definedName>
    <definedName name="_____FS01" localSheetId="82">ERR</definedName>
    <definedName name="_____FS01" localSheetId="83">ERR</definedName>
    <definedName name="_____FS01" localSheetId="84">ERR</definedName>
    <definedName name="_____FS01" localSheetId="85">ERR</definedName>
    <definedName name="_____FS01" localSheetId="86">ERR</definedName>
    <definedName name="_____FS01" localSheetId="87">ERR</definedName>
    <definedName name="_____FS01" localSheetId="88">ERR</definedName>
    <definedName name="_____FS01" localSheetId="97">ERR</definedName>
    <definedName name="_____FS01" localSheetId="105">ERR</definedName>
    <definedName name="_____FS01" localSheetId="106">ERR</definedName>
    <definedName name="_____FS01" localSheetId="107">ERR</definedName>
    <definedName name="_____FS01" localSheetId="108">ERR</definedName>
    <definedName name="_____FS01" localSheetId="109">ERR</definedName>
    <definedName name="_____FS01" localSheetId="110">ERR</definedName>
    <definedName name="_____FS01" localSheetId="111">ERR</definedName>
    <definedName name="_____FS01" localSheetId="112">ERR</definedName>
    <definedName name="_____FS01" localSheetId="113">ERR</definedName>
    <definedName name="_____FS01" localSheetId="114">ERR</definedName>
    <definedName name="_____FS01" localSheetId="98">ERR</definedName>
    <definedName name="_____FS01" localSheetId="115">ERR</definedName>
    <definedName name="_____FS01" localSheetId="116">ERR</definedName>
    <definedName name="_____FS01" localSheetId="117">ERR</definedName>
    <definedName name="_____FS01" localSheetId="118">ERR</definedName>
    <definedName name="_____FS01" localSheetId="119">ERR</definedName>
    <definedName name="_____FS01" localSheetId="99">ERR</definedName>
    <definedName name="_____FS01" localSheetId="100">ERR</definedName>
    <definedName name="_____FS01" localSheetId="101">ERR</definedName>
    <definedName name="_____FS01" localSheetId="102">ERR</definedName>
    <definedName name="_____FS01" localSheetId="103">ERR</definedName>
    <definedName name="_____FS01" localSheetId="104">ERR</definedName>
    <definedName name="_____FS01" localSheetId="120">ERR</definedName>
    <definedName name="_____FS01" localSheetId="121">ERR</definedName>
    <definedName name="_____FS01" localSheetId="122">ERR</definedName>
    <definedName name="_____FS01" localSheetId="123">ERR</definedName>
    <definedName name="_____FS01" localSheetId="124">ERR</definedName>
    <definedName name="_____FS01" localSheetId="125">ERR</definedName>
    <definedName name="_____FS01" localSheetId="126">ERR</definedName>
    <definedName name="_____FS01" localSheetId="127">ERR</definedName>
    <definedName name="_____FS01" localSheetId="128">ERR</definedName>
    <definedName name="_____FS01" localSheetId="129">ERR</definedName>
    <definedName name="_____FS01" localSheetId="130">ERR</definedName>
    <definedName name="_____FS01" localSheetId="131">ERR</definedName>
    <definedName name="_____FS01" localSheetId="9">ERR</definedName>
    <definedName name="_____FS01" localSheetId="38">ERR</definedName>
    <definedName name="_____FS01" localSheetId="2">ERR</definedName>
    <definedName name="_____FS01">ERR</definedName>
    <definedName name="_____PR1" localSheetId="51">[1]PRECIOS!$A:$E</definedName>
    <definedName name="_____PR1">[2]PRECIOS!$A:$E</definedName>
    <definedName name="____AFC1">[3]INV!$A$25:$D$28</definedName>
    <definedName name="____AFC3">[3]INV!$F$25:$I$28</definedName>
    <definedName name="____AFC5">[3]INV!$K$25:$N$28</definedName>
    <definedName name="____BGC1">[3]INV!$A$5:$D$8</definedName>
    <definedName name="____BGC3">[3]INV!$F$5:$I$8</definedName>
    <definedName name="____BGC5">[3]INV!$K$5:$N$8</definedName>
    <definedName name="____CAC1">[3]INV!$A$19:$D$22</definedName>
    <definedName name="____CAC3">[3]INV!$F$19:$I$22</definedName>
    <definedName name="____CAC5">[3]INV!$K$19:$N$22</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FC">#REF!</definedName>
    <definedName name="____FOR1">#REF!</definedName>
    <definedName name="____PR1" localSheetId="51">[1]PRECIOS!$A:$E</definedName>
    <definedName name="____PR1">[2]PRECIOS!$A:$E</definedName>
    <definedName name="____SBC1">[3]INV!$A$12:$D$15</definedName>
    <definedName name="____SBC3">[3]INV!$F$12:$I$15</definedName>
    <definedName name="____SBC5">[3]INV!$K$12:$N$15</definedName>
    <definedName name="___AFC1">[3]INV!$A$25:$D$28</definedName>
    <definedName name="___AFC3">[3]INV!$F$25:$I$28</definedName>
    <definedName name="___AFC5">[3]INV!$K$25:$N$28</definedName>
    <definedName name="___BGC1">[3]INV!$A$5:$D$8</definedName>
    <definedName name="___BGC3">[3]INV!$F$5:$I$8</definedName>
    <definedName name="___BGC5">[3]INV!$K$5:$N$8</definedName>
    <definedName name="___CAC1">[3]INV!$A$19:$D$22</definedName>
    <definedName name="___CAC3">[3]INV!$F$19:$I$22</definedName>
    <definedName name="___CAC5">[3]INV!$K$19:$N$22</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FC">#REF!</definedName>
    <definedName name="___FOR1">#REF!</definedName>
    <definedName name="___FS01" localSheetId="20">ERR</definedName>
    <definedName name="___FS01" localSheetId="22">ERR</definedName>
    <definedName name="___FS01" localSheetId="33">ERR</definedName>
    <definedName name="___FS01" localSheetId="36">ERR</definedName>
    <definedName name="___FS01" localSheetId="47">ERR</definedName>
    <definedName name="___FS01" localSheetId="48">ERR</definedName>
    <definedName name="___FS01" localSheetId="51">ERR</definedName>
    <definedName name="___FS01" localSheetId="52">ERR</definedName>
    <definedName name="___FS01" localSheetId="53">ERR</definedName>
    <definedName name="___FS01" localSheetId="54">ERR</definedName>
    <definedName name="___FS01" localSheetId="62">ERR</definedName>
    <definedName name="___FS01" localSheetId="63">ERR</definedName>
    <definedName name="___FS01" localSheetId="64">ERR</definedName>
    <definedName name="___FS01" localSheetId="65">ERR</definedName>
    <definedName name="___FS01" localSheetId="66">ERR</definedName>
    <definedName name="___FS01" localSheetId="67">ERR</definedName>
    <definedName name="___FS01" localSheetId="68">ERR</definedName>
    <definedName name="___FS01" localSheetId="55">ERR</definedName>
    <definedName name="___FS01" localSheetId="56">ERR</definedName>
    <definedName name="___FS01" localSheetId="57">ERR</definedName>
    <definedName name="___FS01" localSheetId="58">ERR</definedName>
    <definedName name="___FS01" localSheetId="59">ERR</definedName>
    <definedName name="___FS01" localSheetId="60">ERR</definedName>
    <definedName name="___FS01" localSheetId="61">ERR</definedName>
    <definedName name="___FS01" localSheetId="69">ERR</definedName>
    <definedName name="___FS01" localSheetId="78">ERR</definedName>
    <definedName name="___FS01" localSheetId="79">ERR</definedName>
    <definedName name="___FS01" localSheetId="80">ERR</definedName>
    <definedName name="___FS01" localSheetId="70">ERR</definedName>
    <definedName name="___FS01" localSheetId="71">ERR</definedName>
    <definedName name="___FS01" localSheetId="72">ERR</definedName>
    <definedName name="___FS01" localSheetId="73">ERR</definedName>
    <definedName name="___FS01" localSheetId="74">ERR</definedName>
    <definedName name="___FS01" localSheetId="75">ERR</definedName>
    <definedName name="___FS01" localSheetId="76">ERR</definedName>
    <definedName name="___FS01" localSheetId="77">ERR</definedName>
    <definedName name="___FS01" localSheetId="81">ERR</definedName>
    <definedName name="___FS01" localSheetId="89">ERR</definedName>
    <definedName name="___FS01" localSheetId="90">ERR</definedName>
    <definedName name="___FS01" localSheetId="91">ERR</definedName>
    <definedName name="___FS01" localSheetId="92">ERR</definedName>
    <definedName name="___FS01" localSheetId="93">ERR</definedName>
    <definedName name="___FS01" localSheetId="94">ERR</definedName>
    <definedName name="___FS01" localSheetId="95">ERR</definedName>
    <definedName name="___FS01" localSheetId="96">ERR</definedName>
    <definedName name="___FS01" localSheetId="82">ERR</definedName>
    <definedName name="___FS01" localSheetId="83">ERR</definedName>
    <definedName name="___FS01" localSheetId="84">ERR</definedName>
    <definedName name="___FS01" localSheetId="85">ERR</definedName>
    <definedName name="___FS01" localSheetId="86">ERR</definedName>
    <definedName name="___FS01" localSheetId="87">ERR</definedName>
    <definedName name="___FS01" localSheetId="88">ERR</definedName>
    <definedName name="___FS01" localSheetId="97">ERR</definedName>
    <definedName name="___FS01" localSheetId="105">ERR</definedName>
    <definedName name="___FS01" localSheetId="106">ERR</definedName>
    <definedName name="___FS01" localSheetId="107">ERR</definedName>
    <definedName name="___FS01" localSheetId="108">ERR</definedName>
    <definedName name="___FS01" localSheetId="109">ERR</definedName>
    <definedName name="___FS01" localSheetId="110">ERR</definedName>
    <definedName name="___FS01" localSheetId="111">ERR</definedName>
    <definedName name="___FS01" localSheetId="112">ERR</definedName>
    <definedName name="___FS01" localSheetId="113">ERR</definedName>
    <definedName name="___FS01" localSheetId="114">ERR</definedName>
    <definedName name="___FS01" localSheetId="98">ERR</definedName>
    <definedName name="___FS01" localSheetId="115">ERR</definedName>
    <definedName name="___FS01" localSheetId="116">ERR</definedName>
    <definedName name="___FS01" localSheetId="117">ERR</definedName>
    <definedName name="___FS01" localSheetId="118">ERR</definedName>
    <definedName name="___FS01" localSheetId="119">ERR</definedName>
    <definedName name="___FS01" localSheetId="99">ERR</definedName>
    <definedName name="___FS01" localSheetId="100">ERR</definedName>
    <definedName name="___FS01" localSheetId="101">ERR</definedName>
    <definedName name="___FS01" localSheetId="102">ERR</definedName>
    <definedName name="___FS01" localSheetId="103">ERR</definedName>
    <definedName name="___FS01" localSheetId="104">ERR</definedName>
    <definedName name="___FS01" localSheetId="120">ERR</definedName>
    <definedName name="___FS01" localSheetId="121">ERR</definedName>
    <definedName name="___FS01" localSheetId="122">ERR</definedName>
    <definedName name="___FS01" localSheetId="123">ERR</definedName>
    <definedName name="___FS01" localSheetId="124">ERR</definedName>
    <definedName name="___FS01" localSheetId="125">ERR</definedName>
    <definedName name="___FS01" localSheetId="126">ERR</definedName>
    <definedName name="___FS01" localSheetId="127">ERR</definedName>
    <definedName name="___FS01" localSheetId="128">ERR</definedName>
    <definedName name="___FS01" localSheetId="129">ERR</definedName>
    <definedName name="___FS01" localSheetId="130">ERR</definedName>
    <definedName name="___FS01" localSheetId="131">ERR</definedName>
    <definedName name="___FS01" localSheetId="9">ERR</definedName>
    <definedName name="___FS01" localSheetId="38">ERR</definedName>
    <definedName name="___FS01" localSheetId="2">ERR</definedName>
    <definedName name="___FS01">ERR</definedName>
    <definedName name="___PR1" localSheetId="51">[1]PRECIOS!$A:$E</definedName>
    <definedName name="___PR1">[2]PRECIOS!$A:$E</definedName>
    <definedName name="___SBC1">[3]INV!$A$12:$D$15</definedName>
    <definedName name="___SBC3">[3]INV!$F$12:$I$15</definedName>
    <definedName name="___SBC5">[3]INV!$K$12:$N$15</definedName>
    <definedName name="__AFC1">[3]INV!$A$25:$D$28</definedName>
    <definedName name="__AFC3">[3]INV!$F$25:$I$28</definedName>
    <definedName name="__AFC5">[3]INV!$K$25:$N$28</definedName>
    <definedName name="__BGC1">[3]INV!$A$5:$D$8</definedName>
    <definedName name="__BGC3">[3]INV!$F$5:$I$8</definedName>
    <definedName name="__BGC5">[3]INV!$K$5:$N$8</definedName>
    <definedName name="__CAC1">[3]INV!$A$19:$D$22</definedName>
    <definedName name="__CAC3">[3]INV!$F$19:$I$22</definedName>
    <definedName name="__CAC5">[3]INV!$K$19:$N$22</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C">#REF!</definedName>
    <definedName name="__FOR1">#REF!</definedName>
    <definedName name="__FS01" localSheetId="20">[0]!ERR</definedName>
    <definedName name="__FS01" localSheetId="22">[0]!ERR</definedName>
    <definedName name="__FS01" localSheetId="33">[0]!ERR</definedName>
    <definedName name="__FS01" localSheetId="36">[0]!ERR</definedName>
    <definedName name="__FS01" localSheetId="47">[0]!ERR</definedName>
    <definedName name="__FS01" localSheetId="48">[0]!ERR</definedName>
    <definedName name="__FS01" localSheetId="51">[0]!ERR</definedName>
    <definedName name="__FS01" localSheetId="52">[0]!ERR</definedName>
    <definedName name="__FS01" localSheetId="53">[0]!ERR</definedName>
    <definedName name="__FS01" localSheetId="54">[0]!ERR</definedName>
    <definedName name="__FS01" localSheetId="62">[0]!ERR</definedName>
    <definedName name="__FS01" localSheetId="63">[0]!ERR</definedName>
    <definedName name="__FS01" localSheetId="64">[0]!ERR</definedName>
    <definedName name="__FS01" localSheetId="65">[0]!ERR</definedName>
    <definedName name="__FS01" localSheetId="66">[0]!ERR</definedName>
    <definedName name="__FS01" localSheetId="67">[0]!ERR</definedName>
    <definedName name="__FS01" localSheetId="68">[0]!ERR</definedName>
    <definedName name="__FS01" localSheetId="55">[0]!ERR</definedName>
    <definedName name="__FS01" localSheetId="56">[0]!ERR</definedName>
    <definedName name="__FS01" localSheetId="57">[0]!ERR</definedName>
    <definedName name="__FS01" localSheetId="58">[0]!ERR</definedName>
    <definedName name="__FS01" localSheetId="59">[0]!ERR</definedName>
    <definedName name="__FS01" localSheetId="60">[0]!ERR</definedName>
    <definedName name="__FS01" localSheetId="61">[0]!ERR</definedName>
    <definedName name="__FS01" localSheetId="69">[0]!ERR</definedName>
    <definedName name="__FS01" localSheetId="78">[0]!ERR</definedName>
    <definedName name="__FS01" localSheetId="79">[0]!ERR</definedName>
    <definedName name="__FS01" localSheetId="80">[0]!ERR</definedName>
    <definedName name="__FS01" localSheetId="70">[0]!ERR</definedName>
    <definedName name="__FS01" localSheetId="71">[0]!ERR</definedName>
    <definedName name="__FS01" localSheetId="72">[0]!ERR</definedName>
    <definedName name="__FS01" localSheetId="73">[0]!ERR</definedName>
    <definedName name="__FS01" localSheetId="74">[0]!ERR</definedName>
    <definedName name="__FS01" localSheetId="75">[0]!ERR</definedName>
    <definedName name="__FS01" localSheetId="76">[0]!ERR</definedName>
    <definedName name="__FS01" localSheetId="77">[0]!ERR</definedName>
    <definedName name="__FS01" localSheetId="81">[0]!ERR</definedName>
    <definedName name="__FS01" localSheetId="89">[0]!ERR</definedName>
    <definedName name="__FS01" localSheetId="90">[0]!ERR</definedName>
    <definedName name="__FS01" localSheetId="91">[0]!ERR</definedName>
    <definedName name="__FS01" localSheetId="92">[0]!ERR</definedName>
    <definedName name="__FS01" localSheetId="93">[0]!ERR</definedName>
    <definedName name="__FS01" localSheetId="94">[0]!ERR</definedName>
    <definedName name="__FS01" localSheetId="95">[0]!ERR</definedName>
    <definedName name="__FS01" localSheetId="96">[0]!ERR</definedName>
    <definedName name="__FS01" localSheetId="82">[0]!ERR</definedName>
    <definedName name="__FS01" localSheetId="83">[0]!ERR</definedName>
    <definedName name="__FS01" localSheetId="84">[0]!ERR</definedName>
    <definedName name="__FS01" localSheetId="85">[0]!ERR</definedName>
    <definedName name="__FS01" localSheetId="86">[0]!ERR</definedName>
    <definedName name="__FS01" localSheetId="87">[0]!ERR</definedName>
    <definedName name="__FS01" localSheetId="88">[0]!ERR</definedName>
    <definedName name="__FS01" localSheetId="97">[0]!ERR</definedName>
    <definedName name="__FS01" localSheetId="105">[0]!ERR</definedName>
    <definedName name="__FS01" localSheetId="106">[0]!ERR</definedName>
    <definedName name="__FS01" localSheetId="107">[0]!ERR</definedName>
    <definedName name="__FS01" localSheetId="108">[0]!ERR</definedName>
    <definedName name="__FS01" localSheetId="109">[0]!ERR</definedName>
    <definedName name="__FS01" localSheetId="110">[0]!ERR</definedName>
    <definedName name="__FS01" localSheetId="111">[0]!ERR</definedName>
    <definedName name="__FS01" localSheetId="112">[0]!ERR</definedName>
    <definedName name="__FS01" localSheetId="113">[0]!ERR</definedName>
    <definedName name="__FS01" localSheetId="114">[0]!ERR</definedName>
    <definedName name="__FS01" localSheetId="98">[0]!ERR</definedName>
    <definedName name="__FS01" localSheetId="115">[0]!ERR</definedName>
    <definedName name="__FS01" localSheetId="116">[0]!ERR</definedName>
    <definedName name="__FS01" localSheetId="117">[0]!ERR</definedName>
    <definedName name="__FS01" localSheetId="118">[0]!ERR</definedName>
    <definedName name="__FS01" localSheetId="119">[0]!ERR</definedName>
    <definedName name="__FS01" localSheetId="99">[0]!ERR</definedName>
    <definedName name="__FS01" localSheetId="100">[0]!ERR</definedName>
    <definedName name="__FS01" localSheetId="101">[0]!ERR</definedName>
    <definedName name="__FS01" localSheetId="102">[0]!ERR</definedName>
    <definedName name="__FS01" localSheetId="103">[0]!ERR</definedName>
    <definedName name="__FS01" localSheetId="104">[0]!ERR</definedName>
    <definedName name="__FS01" localSheetId="120">[0]!ERR</definedName>
    <definedName name="__FS01" localSheetId="121">[0]!ERR</definedName>
    <definedName name="__FS01" localSheetId="122">[0]!ERR</definedName>
    <definedName name="__FS01" localSheetId="123">[0]!ERR</definedName>
    <definedName name="__FS01" localSheetId="124">[0]!ERR</definedName>
    <definedName name="__FS01" localSheetId="125">[0]!ERR</definedName>
    <definedName name="__FS01" localSheetId="126">[0]!ERR</definedName>
    <definedName name="__FS01" localSheetId="127">[0]!ERR</definedName>
    <definedName name="__FS01" localSheetId="128">[0]!ERR</definedName>
    <definedName name="__FS01" localSheetId="129">[0]!ERR</definedName>
    <definedName name="__FS01" localSheetId="130">[0]!ERR</definedName>
    <definedName name="__FS01" localSheetId="131">[0]!ERR</definedName>
    <definedName name="__FS01" localSheetId="38">[0]!ERR</definedName>
    <definedName name="__FS01" localSheetId="2">[0]!ERR</definedName>
    <definedName name="__FS01">[0]!ERR</definedName>
    <definedName name="__PR1" localSheetId="51">[1]PRECIOS!$A$1:$E$65536</definedName>
    <definedName name="__PR1" localSheetId="13">[2]PRECIOS!$A:$E</definedName>
    <definedName name="__PR1" localSheetId="2">[2]PRECIOS!$A:$E</definedName>
    <definedName name="__PR1">[2]PRECIOS!$A$1:$E$65536</definedName>
    <definedName name="__SBC1">[3]INV!$A$12:$D$15</definedName>
    <definedName name="__SBC3">[3]INV!$F$12:$I$15</definedName>
    <definedName name="__SBC5">[3]INV!$K$12:$N$15</definedName>
    <definedName name="_42C" localSheetId="18">#REF!</definedName>
    <definedName name="_42C" localSheetId="21">#REF!</definedName>
    <definedName name="_42C" localSheetId="22">#REF!</definedName>
    <definedName name="_42C" localSheetId="51">#REF!</definedName>
    <definedName name="_42C" localSheetId="69">#REF!</definedName>
    <definedName name="_42C" localSheetId="81">#REF!</definedName>
    <definedName name="_42C" localSheetId="97">#REF!</definedName>
    <definedName name="_42C" localSheetId="13">#REF!</definedName>
    <definedName name="_42C" localSheetId="2">#REF!</definedName>
    <definedName name="_42C">#REF!</definedName>
    <definedName name="_42D" localSheetId="18">#REF!</definedName>
    <definedName name="_42D" localSheetId="21">#REF!</definedName>
    <definedName name="_42D" localSheetId="22">#REF!</definedName>
    <definedName name="_42D" localSheetId="51">#REF!</definedName>
    <definedName name="_42D" localSheetId="69">#REF!</definedName>
    <definedName name="_42D" localSheetId="81">#REF!</definedName>
    <definedName name="_42D" localSheetId="97">#REF!</definedName>
    <definedName name="_42D" localSheetId="13">#REF!</definedName>
    <definedName name="_42D" localSheetId="2">#REF!</definedName>
    <definedName name="_42D">#REF!</definedName>
    <definedName name="_42E" localSheetId="18">#REF!</definedName>
    <definedName name="_42E" localSheetId="21">#REF!</definedName>
    <definedName name="_42E" localSheetId="22">#REF!</definedName>
    <definedName name="_42E" localSheetId="51">#REF!</definedName>
    <definedName name="_42E" localSheetId="69">#REF!</definedName>
    <definedName name="_42E" localSheetId="81">#REF!</definedName>
    <definedName name="_42E" localSheetId="97">#REF!</definedName>
    <definedName name="_42E" localSheetId="13">#REF!</definedName>
    <definedName name="_42E" localSheetId="2">#REF!</definedName>
    <definedName name="_42E">#REF!</definedName>
    <definedName name="_44" localSheetId="18">#REF!</definedName>
    <definedName name="_44" localSheetId="21">#REF!</definedName>
    <definedName name="_44" localSheetId="22">#REF!</definedName>
    <definedName name="_44" localSheetId="51">#REF!</definedName>
    <definedName name="_44" localSheetId="69">#REF!</definedName>
    <definedName name="_44" localSheetId="81">#REF!</definedName>
    <definedName name="_44" localSheetId="97">#REF!</definedName>
    <definedName name="_44">#REF!</definedName>
    <definedName name="_6" localSheetId="18">#REF!</definedName>
    <definedName name="_6" localSheetId="21">#REF!</definedName>
    <definedName name="_6" localSheetId="22">#REF!</definedName>
    <definedName name="_6" localSheetId="51">#REF!</definedName>
    <definedName name="_6" localSheetId="69">#REF!</definedName>
    <definedName name="_6" localSheetId="81">#REF!</definedName>
    <definedName name="_6" localSheetId="97">#REF!</definedName>
    <definedName name="_6">#REF!</definedName>
    <definedName name="_AFC1">[3]INV!$A$25:$D$28</definedName>
    <definedName name="_AFC3">[3]INV!$F$25:$I$28</definedName>
    <definedName name="_AFC5">[3]INV!$K$25:$N$28</definedName>
    <definedName name="_BGC1">[3]INV!$A$5:$D$8</definedName>
    <definedName name="_BGC3">[3]INV!$F$5:$I$8</definedName>
    <definedName name="_BGC5">[3]INV!$K$5:$N$8</definedName>
    <definedName name="_CAC1">[3]INV!$A$19:$D$22</definedName>
    <definedName name="_CAC3">[3]INV!$F$19:$I$22</definedName>
    <definedName name="_CAC5">[3]INV!$K$19:$N$22</definedName>
    <definedName name="_EST1" localSheetId="51">#REF!</definedName>
    <definedName name="_EST1" localSheetId="13">#REF!</definedName>
    <definedName name="_EST1" localSheetId="2">#REF!</definedName>
    <definedName name="_EST1">#REF!</definedName>
    <definedName name="_EST10" localSheetId="51">#REF!</definedName>
    <definedName name="_EST10" localSheetId="13">#REF!</definedName>
    <definedName name="_EST10" localSheetId="2">#REF!</definedName>
    <definedName name="_EST10">#REF!</definedName>
    <definedName name="_EST11" localSheetId="51">#REF!</definedName>
    <definedName name="_EST11" localSheetId="13">#REF!</definedName>
    <definedName name="_EST11" localSheetId="2">#REF!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C">#REF!</definedName>
    <definedName name="_xlnm._FilterDatabase" localSheetId="1" hidden="1">INSUMOS!$A$1:$A$769</definedName>
    <definedName name="_xlnm._FilterDatabase" localSheetId="2" hidden="1">Mem_CALCULO!$DU$11:$DU$102</definedName>
    <definedName name="_FOR1" localSheetId="51">#REF!</definedName>
    <definedName name="_FOR1" localSheetId="13">#REF!</definedName>
    <definedName name="_FOR1" localSheetId="2">#REF!</definedName>
    <definedName name="_FOR1">#REF!</definedName>
    <definedName name="_FS01" localSheetId="20">[0]!ERR</definedName>
    <definedName name="_FS01" localSheetId="22">[0]!ERR</definedName>
    <definedName name="_FS01" localSheetId="33">[0]!ERR</definedName>
    <definedName name="_FS01" localSheetId="36">[0]!ERR</definedName>
    <definedName name="_FS01" localSheetId="47">[0]!ERR</definedName>
    <definedName name="_FS01" localSheetId="48">[0]!ERR</definedName>
    <definedName name="_FS01" localSheetId="51">[0]!ERR</definedName>
    <definedName name="_FS01" localSheetId="52">[0]!ERR</definedName>
    <definedName name="_FS01" localSheetId="53">[0]!ERR</definedName>
    <definedName name="_FS01" localSheetId="54">[0]!ERR</definedName>
    <definedName name="_FS01" localSheetId="62">[0]!ERR</definedName>
    <definedName name="_FS01" localSheetId="63">[0]!ERR</definedName>
    <definedName name="_FS01" localSheetId="64">[0]!ERR</definedName>
    <definedName name="_FS01" localSheetId="65">[0]!ERR</definedName>
    <definedName name="_FS01" localSheetId="66">[0]!ERR</definedName>
    <definedName name="_FS01" localSheetId="67">[0]!ERR</definedName>
    <definedName name="_FS01" localSheetId="68">[0]!ERR</definedName>
    <definedName name="_FS01" localSheetId="55">[0]!ERR</definedName>
    <definedName name="_FS01" localSheetId="56">[0]!ERR</definedName>
    <definedName name="_FS01" localSheetId="57">[0]!ERR</definedName>
    <definedName name="_FS01" localSheetId="58">[0]!ERR</definedName>
    <definedName name="_FS01" localSheetId="59">[0]!ERR</definedName>
    <definedName name="_FS01" localSheetId="60">[0]!ERR</definedName>
    <definedName name="_FS01" localSheetId="61">[0]!ERR</definedName>
    <definedName name="_FS01" localSheetId="69">[0]!ERR</definedName>
    <definedName name="_FS01" localSheetId="78">[0]!ERR</definedName>
    <definedName name="_FS01" localSheetId="79">[0]!ERR</definedName>
    <definedName name="_FS01" localSheetId="80">[0]!ERR</definedName>
    <definedName name="_FS01" localSheetId="70">[0]!ERR</definedName>
    <definedName name="_FS01" localSheetId="71">[0]!ERR</definedName>
    <definedName name="_FS01" localSheetId="72">[0]!ERR</definedName>
    <definedName name="_FS01" localSheetId="73">[0]!ERR</definedName>
    <definedName name="_FS01" localSheetId="74">[0]!ERR</definedName>
    <definedName name="_FS01" localSheetId="75">[0]!ERR</definedName>
    <definedName name="_FS01" localSheetId="76">[0]!ERR</definedName>
    <definedName name="_FS01" localSheetId="77">[0]!ERR</definedName>
    <definedName name="_FS01" localSheetId="81">[0]!ERR</definedName>
    <definedName name="_FS01" localSheetId="89">[0]!ERR</definedName>
    <definedName name="_FS01" localSheetId="90">[0]!ERR</definedName>
    <definedName name="_FS01" localSheetId="91">[0]!ERR</definedName>
    <definedName name="_FS01" localSheetId="92">[0]!ERR</definedName>
    <definedName name="_FS01" localSheetId="93">[0]!ERR</definedName>
    <definedName name="_FS01" localSheetId="94">[0]!ERR</definedName>
    <definedName name="_FS01" localSheetId="95">[0]!ERR</definedName>
    <definedName name="_FS01" localSheetId="96">[0]!ERR</definedName>
    <definedName name="_FS01" localSheetId="82">[0]!ERR</definedName>
    <definedName name="_FS01" localSheetId="83">[0]!ERR</definedName>
    <definedName name="_FS01" localSheetId="84">[0]!ERR</definedName>
    <definedName name="_FS01" localSheetId="85">[0]!ERR</definedName>
    <definedName name="_FS01" localSheetId="86">[0]!ERR</definedName>
    <definedName name="_FS01" localSheetId="87">[0]!ERR</definedName>
    <definedName name="_FS01" localSheetId="88">[0]!ERR</definedName>
    <definedName name="_FS01" localSheetId="97">[0]!ERR</definedName>
    <definedName name="_FS01" localSheetId="105">[0]!ERR</definedName>
    <definedName name="_FS01" localSheetId="106">[0]!ERR</definedName>
    <definedName name="_FS01" localSheetId="107">[0]!ERR</definedName>
    <definedName name="_FS01" localSheetId="108">[0]!ERR</definedName>
    <definedName name="_FS01" localSheetId="109">[0]!ERR</definedName>
    <definedName name="_FS01" localSheetId="110">[0]!ERR</definedName>
    <definedName name="_FS01" localSheetId="111">[0]!ERR</definedName>
    <definedName name="_FS01" localSheetId="112">[0]!ERR</definedName>
    <definedName name="_FS01" localSheetId="113">[0]!ERR</definedName>
    <definedName name="_FS01" localSheetId="114">[0]!ERR</definedName>
    <definedName name="_FS01" localSheetId="98">[0]!ERR</definedName>
    <definedName name="_FS01" localSheetId="115">[0]!ERR</definedName>
    <definedName name="_FS01" localSheetId="116">[0]!ERR</definedName>
    <definedName name="_FS01" localSheetId="117">[0]!ERR</definedName>
    <definedName name="_FS01" localSheetId="118">[0]!ERR</definedName>
    <definedName name="_FS01" localSheetId="119">[0]!ERR</definedName>
    <definedName name="_FS01" localSheetId="99">[0]!ERR</definedName>
    <definedName name="_FS01" localSheetId="100">[0]!ERR</definedName>
    <definedName name="_FS01" localSheetId="101">[0]!ERR</definedName>
    <definedName name="_FS01" localSheetId="102">[0]!ERR</definedName>
    <definedName name="_FS01" localSheetId="103">[0]!ERR</definedName>
    <definedName name="_FS01" localSheetId="104">[0]!ERR</definedName>
    <definedName name="_FS01" localSheetId="120">[0]!ERR</definedName>
    <definedName name="_FS01" localSheetId="121">[0]!ERR</definedName>
    <definedName name="_FS01" localSheetId="122">[0]!ERR</definedName>
    <definedName name="_FS01" localSheetId="123">[0]!ERR</definedName>
    <definedName name="_FS01" localSheetId="124">[0]!ERR</definedName>
    <definedName name="_FS01" localSheetId="125">[0]!ERR</definedName>
    <definedName name="_FS01" localSheetId="126">[0]!ERR</definedName>
    <definedName name="_FS01" localSheetId="127">[0]!ERR</definedName>
    <definedName name="_FS01" localSheetId="128">[0]!ERR</definedName>
    <definedName name="_FS01" localSheetId="129">[0]!ERR</definedName>
    <definedName name="_FS01" localSheetId="130">[0]!ERR</definedName>
    <definedName name="_FS01" localSheetId="131">[0]!ERR</definedName>
    <definedName name="_FS01" localSheetId="38">[0]!ERR</definedName>
    <definedName name="_FS01" localSheetId="2">[0]!ERR</definedName>
    <definedName name="_FS01">[0]!ERR</definedName>
    <definedName name="_PR1" localSheetId="51">[4]PRECIOS!$A$1:$E$65536</definedName>
    <definedName name="_PR1" localSheetId="13">[5]PRECIOS!$A:$E</definedName>
    <definedName name="_PR1" localSheetId="2">[5]PRECIOS!$A:$E</definedName>
    <definedName name="_PR1">[5]PRECIOS!$A$1:$E$65536</definedName>
    <definedName name="_SBC1">[3]INV!$A$12:$D$15</definedName>
    <definedName name="_SBC3">[3]INV!$F$12:$I$15</definedName>
    <definedName name="_SBC5">[3]INV!$K$12:$N$15</definedName>
    <definedName name="_X">#N/A</definedName>
    <definedName name="_X_10">#N/A</definedName>
    <definedName name="_X_3">#N/A</definedName>
    <definedName name="_X_4">#N/A</definedName>
    <definedName name="_X_5">#N/A</definedName>
    <definedName name="_X_6">#N/A</definedName>
    <definedName name="_X_7">#N/A</definedName>
    <definedName name="_X_8">#N/A</definedName>
    <definedName name="_X_9">#N/A</definedName>
    <definedName name="_Z">#N/A</definedName>
    <definedName name="_Z_10">#N/A</definedName>
    <definedName name="_Z_3">#N/A</definedName>
    <definedName name="_Z_4">#N/A</definedName>
    <definedName name="_Z_5">#N/A</definedName>
    <definedName name="_Z_6">#N/A</definedName>
    <definedName name="_Z_7">#N/A</definedName>
    <definedName name="_Z_8">#N/A</definedName>
    <definedName name="_Z_9">#N/A</definedName>
    <definedName name="A" localSheetId="51">[1]PRECIOS!$J$65</definedName>
    <definedName name="A" localSheetId="9">#REF!</definedName>
    <definedName name="A">[2]PRECIOS!$J$65</definedName>
    <definedName name="A.PVC">'[6]factores A.N.'!$M$7:$M$33</definedName>
    <definedName name="A_impresión_IM" localSheetId="18">#REF!</definedName>
    <definedName name="A_impresión_IM" localSheetId="21">#REF!</definedName>
    <definedName name="A_impresión_IM" localSheetId="22">#REF!</definedName>
    <definedName name="A_impresión_IM" localSheetId="51">#REF!</definedName>
    <definedName name="A_impresión_IM" localSheetId="69">#REF!</definedName>
    <definedName name="A_impresión_IM" localSheetId="81">#REF!</definedName>
    <definedName name="A_impresión_IM" localSheetId="97">#REF!</definedName>
    <definedName name="A_impresión_IM" localSheetId="13">#REF!</definedName>
    <definedName name="A_impresión_IM" localSheetId="2">#REF!</definedName>
    <definedName name="A_impresión_IM">#REF!</definedName>
    <definedName name="A1S" localSheetId="18">#REF!</definedName>
    <definedName name="A1S" localSheetId="21">#REF!</definedName>
    <definedName name="A1S" localSheetId="22">#REF!</definedName>
    <definedName name="A1S" localSheetId="51">#REF!</definedName>
    <definedName name="A1S" localSheetId="69">#REF!</definedName>
    <definedName name="A1S" localSheetId="81">#REF!</definedName>
    <definedName name="A1S" localSheetId="97">#REF!</definedName>
    <definedName name="A1S" localSheetId="13">#REF!</definedName>
    <definedName name="A1S" localSheetId="2">#REF!</definedName>
    <definedName name="A1S">#REF!</definedName>
    <definedName name="A1XO56" localSheetId="18">#REF!</definedName>
    <definedName name="A1XO56" localSheetId="21">#REF!</definedName>
    <definedName name="A1XO56" localSheetId="22">#REF!</definedName>
    <definedName name="A1XO56" localSheetId="51">#REF!</definedName>
    <definedName name="A1XO56" localSheetId="69">#REF!</definedName>
    <definedName name="A1XO56" localSheetId="81">#REF!</definedName>
    <definedName name="A1XO56" localSheetId="97">#REF!</definedName>
    <definedName name="A1XO56" localSheetId="13">#REF!</definedName>
    <definedName name="A1XO56" localSheetId="2">#REF!</definedName>
    <definedName name="A1XO56">#REF!</definedName>
    <definedName name="AAA" localSheetId="20">[0]!ERR</definedName>
    <definedName name="AAA" localSheetId="22">[0]!ERR</definedName>
    <definedName name="AAA" localSheetId="33">[0]!ERR</definedName>
    <definedName name="AAA" localSheetId="36">[0]!ERR</definedName>
    <definedName name="AAA" localSheetId="47">[0]!ERR</definedName>
    <definedName name="AAA" localSheetId="48">[0]!ERR</definedName>
    <definedName name="AAA" localSheetId="51">[0]!ERR</definedName>
    <definedName name="AAA" localSheetId="52">[0]!ERR</definedName>
    <definedName name="AAA" localSheetId="53">[0]!ERR</definedName>
    <definedName name="AAA" localSheetId="54">[0]!ERR</definedName>
    <definedName name="AAA" localSheetId="62">[0]!ERR</definedName>
    <definedName name="AAA" localSheetId="63">[0]!ERR</definedName>
    <definedName name="AAA" localSheetId="64">[0]!ERR</definedName>
    <definedName name="AAA" localSheetId="65">[0]!ERR</definedName>
    <definedName name="AAA" localSheetId="66">[0]!ERR</definedName>
    <definedName name="AAA" localSheetId="67">[0]!ERR</definedName>
    <definedName name="AAA" localSheetId="68">[0]!ERR</definedName>
    <definedName name="AAA" localSheetId="55">[0]!ERR</definedName>
    <definedName name="AAA" localSheetId="56">[0]!ERR</definedName>
    <definedName name="AAA" localSheetId="57">[0]!ERR</definedName>
    <definedName name="AAA" localSheetId="58">[0]!ERR</definedName>
    <definedName name="AAA" localSheetId="59">[0]!ERR</definedName>
    <definedName name="AAA" localSheetId="60">[0]!ERR</definedName>
    <definedName name="AAA" localSheetId="61">[0]!ERR</definedName>
    <definedName name="AAA" localSheetId="69">[0]!ERR</definedName>
    <definedName name="AAA" localSheetId="78">[0]!ERR</definedName>
    <definedName name="AAA" localSheetId="79">[0]!ERR</definedName>
    <definedName name="AAA" localSheetId="80">[0]!ERR</definedName>
    <definedName name="AAA" localSheetId="70">[0]!ERR</definedName>
    <definedName name="AAA" localSheetId="71">[0]!ERR</definedName>
    <definedName name="AAA" localSheetId="72">[0]!ERR</definedName>
    <definedName name="AAA" localSheetId="73">[0]!ERR</definedName>
    <definedName name="AAA" localSheetId="74">[0]!ERR</definedName>
    <definedName name="AAA" localSheetId="75">[0]!ERR</definedName>
    <definedName name="AAA" localSheetId="76">[0]!ERR</definedName>
    <definedName name="AAA" localSheetId="77">[0]!ERR</definedName>
    <definedName name="AAA" localSheetId="81">[0]!ERR</definedName>
    <definedName name="AAA" localSheetId="89">[0]!ERR</definedName>
    <definedName name="AAA" localSheetId="90">[0]!ERR</definedName>
    <definedName name="AAA" localSheetId="91">[0]!ERR</definedName>
    <definedName name="AAA" localSheetId="92">[0]!ERR</definedName>
    <definedName name="AAA" localSheetId="93">[0]!ERR</definedName>
    <definedName name="AAA" localSheetId="94">[0]!ERR</definedName>
    <definedName name="AAA" localSheetId="95">[0]!ERR</definedName>
    <definedName name="AAA" localSheetId="96">[0]!ERR</definedName>
    <definedName name="AAA" localSheetId="82">[0]!ERR</definedName>
    <definedName name="AAA" localSheetId="83">[0]!ERR</definedName>
    <definedName name="AAA" localSheetId="84">[0]!ERR</definedName>
    <definedName name="AAA" localSheetId="85">[0]!ERR</definedName>
    <definedName name="AAA" localSheetId="86">[0]!ERR</definedName>
    <definedName name="AAA" localSheetId="87">[0]!ERR</definedName>
    <definedName name="AAA" localSheetId="88">[0]!ERR</definedName>
    <definedName name="AAA" localSheetId="97">[0]!ERR</definedName>
    <definedName name="AAA" localSheetId="105">[0]!ERR</definedName>
    <definedName name="AAA" localSheetId="106">[0]!ERR</definedName>
    <definedName name="AAA" localSheetId="107">[0]!ERR</definedName>
    <definedName name="AAA" localSheetId="108">[0]!ERR</definedName>
    <definedName name="AAA" localSheetId="109">[0]!ERR</definedName>
    <definedName name="AAA" localSheetId="110">[0]!ERR</definedName>
    <definedName name="AAA" localSheetId="111">[0]!ERR</definedName>
    <definedName name="AAA" localSheetId="112">[0]!ERR</definedName>
    <definedName name="AAA" localSheetId="113">[0]!ERR</definedName>
    <definedName name="AAA" localSheetId="114">[0]!ERR</definedName>
    <definedName name="AAA" localSheetId="98">[0]!ERR</definedName>
    <definedName name="AAA" localSheetId="115">[0]!ERR</definedName>
    <definedName name="AAA" localSheetId="116">[0]!ERR</definedName>
    <definedName name="AAA" localSheetId="117">[0]!ERR</definedName>
    <definedName name="AAA" localSheetId="118">[0]!ERR</definedName>
    <definedName name="AAA" localSheetId="119">[0]!ERR</definedName>
    <definedName name="AAA" localSheetId="99">[0]!ERR</definedName>
    <definedName name="AAA" localSheetId="100">[0]!ERR</definedName>
    <definedName name="AAA" localSheetId="101">[0]!ERR</definedName>
    <definedName name="AAA" localSheetId="102">[0]!ERR</definedName>
    <definedName name="AAA" localSheetId="103">[0]!ERR</definedName>
    <definedName name="AAA" localSheetId="104">[0]!ERR</definedName>
    <definedName name="AAA" localSheetId="120">[0]!ERR</definedName>
    <definedName name="AAA" localSheetId="121">[0]!ERR</definedName>
    <definedName name="AAA" localSheetId="122">[0]!ERR</definedName>
    <definedName name="AAA" localSheetId="123">[0]!ERR</definedName>
    <definedName name="AAA" localSheetId="124">[0]!ERR</definedName>
    <definedName name="AAA" localSheetId="125">[0]!ERR</definedName>
    <definedName name="AAA" localSheetId="126">[0]!ERR</definedName>
    <definedName name="AAA" localSheetId="127">[0]!ERR</definedName>
    <definedName name="AAA" localSheetId="128">[0]!ERR</definedName>
    <definedName name="AAA" localSheetId="129">[0]!ERR</definedName>
    <definedName name="AAA" localSheetId="130">[0]!ERR</definedName>
    <definedName name="AAA" localSheetId="131">[0]!ERR</definedName>
    <definedName name="AAA" localSheetId="38">[0]!ERR</definedName>
    <definedName name="AAA" localSheetId="2">[0]!ERR</definedName>
    <definedName name="AAA">[0]!ERR</definedName>
    <definedName name="AAA_10">#N/A</definedName>
    <definedName name="AAA_3">#N/A</definedName>
    <definedName name="AAA_4">#N/A</definedName>
    <definedName name="AAA_5">#N/A</definedName>
    <definedName name="AAA_6">#N/A</definedName>
    <definedName name="AAA_7">#N/A</definedName>
    <definedName name="AAA_8">#N/A</definedName>
    <definedName name="AAA_9">#N/A</definedName>
    <definedName name="AAC">[3]AASHTO!$A$14:$F$17</definedName>
    <definedName name="ABG">[3]AASHTO!$A$2:$F$5</definedName>
    <definedName name="AC" localSheetId="18">#REF!</definedName>
    <definedName name="AC" localSheetId="21">#REF!</definedName>
    <definedName name="AC" localSheetId="22">#REF!</definedName>
    <definedName name="AC" localSheetId="51">#REF!</definedName>
    <definedName name="AC" localSheetId="69">#REF!</definedName>
    <definedName name="AC" localSheetId="81">#REF!</definedName>
    <definedName name="AC" localSheetId="97">#REF!</definedName>
    <definedName name="AC" localSheetId="13">#REF!</definedName>
    <definedName name="AC" localSheetId="2">#REF!</definedName>
    <definedName name="AC">#REF!</definedName>
    <definedName name="ACER" localSheetId="18">#REF!</definedName>
    <definedName name="ACER" localSheetId="21">#REF!</definedName>
    <definedName name="ACER" localSheetId="22">#REF!</definedName>
    <definedName name="ACER" localSheetId="51">#REF!</definedName>
    <definedName name="ACER" localSheetId="69">#REF!</definedName>
    <definedName name="ACER" localSheetId="81">#REF!</definedName>
    <definedName name="ACER" localSheetId="97">#REF!</definedName>
    <definedName name="ACER" localSheetId="13">#REF!</definedName>
    <definedName name="ACER" localSheetId="2">#REF!</definedName>
    <definedName name="ACER">#REF!</definedName>
    <definedName name="APB" localSheetId="51">[1]PRECIOS!$G$74:$J$154</definedName>
    <definedName name="APB">[2]PRECIOS!$G$74:$J$154</definedName>
    <definedName name="Apu" localSheetId="51">[7]Apu!$D$8:$AC$2207</definedName>
    <definedName name="Apu">[8]Apu!$D$8:$AC$2207</definedName>
    <definedName name="AREA" localSheetId="18">#REF!</definedName>
    <definedName name="AREA" localSheetId="21">#REF!</definedName>
    <definedName name="AREA" localSheetId="22">#REF!</definedName>
    <definedName name="AREA" localSheetId="51">#REF!</definedName>
    <definedName name="AREA" localSheetId="69">#REF!</definedName>
    <definedName name="AREA" localSheetId="81">#REF!</definedName>
    <definedName name="AREA" localSheetId="97">#REF!</definedName>
    <definedName name="AREA" localSheetId="13">#REF!</definedName>
    <definedName name="AREA" localSheetId="2">#REF!</definedName>
    <definedName name="AREA">#REF!</definedName>
    <definedName name="_xlnm.Print_Area" localSheetId="18">'1.1.1'!$A$2:$H$63</definedName>
    <definedName name="_xlnm.Print_Area" localSheetId="19">'1.1.2'!$A$2:$H$63</definedName>
    <definedName name="_xlnm.Print_Area" localSheetId="20">'1.1.3'!$A$2:$H$63</definedName>
    <definedName name="_xlnm.Print_Area" localSheetId="21">'1.1.4'!$A$2:$H$63</definedName>
    <definedName name="_xlnm.Print_Area" localSheetId="22">'1.1.5'!$A$2:$H$63</definedName>
    <definedName name="_xlnm.Print_Area" localSheetId="23">'1.1.6'!$A$2:$H$63</definedName>
    <definedName name="_xlnm.Print_Area" localSheetId="24">'1.2.1'!$A$2:$H$62</definedName>
    <definedName name="_xlnm.Print_Area" localSheetId="25">'1.2.2'!$A$2:$H$62</definedName>
    <definedName name="_xlnm.Print_Area" localSheetId="26">'1.2.3'!$A$2:$H$62</definedName>
    <definedName name="_xlnm.Print_Area" localSheetId="27">'1.2.4'!$A$2:$H$62</definedName>
    <definedName name="_xlnm.Print_Area" localSheetId="28">'1.3.1'!$A$2:$H$62</definedName>
    <definedName name="_xlnm.Print_Area" localSheetId="29">'1.3.2'!$A$2:$H$62</definedName>
    <definedName name="_xlnm.Print_Area" localSheetId="30">'1.3.3'!$A$2:$H$62</definedName>
    <definedName name="_xlnm.Print_Area" localSheetId="31">'1.3.4'!$A$2:$H$62</definedName>
    <definedName name="_xlnm.Print_Area" localSheetId="32">'1.4.1'!$A$2:$H$62</definedName>
    <definedName name="_xlnm.Print_Area" localSheetId="33">'1.4.2'!$A$2:$H$62</definedName>
    <definedName name="_xlnm.Print_Area" localSheetId="34">'1.5.1'!$A$2:$H$63</definedName>
    <definedName name="_xlnm.Print_Area" localSheetId="35">'1.5.2'!$A$2:$H$62</definedName>
    <definedName name="_xlnm.Print_Area" localSheetId="36">'1.5.3'!$A$2:$H$62</definedName>
    <definedName name="_xlnm.Print_Area" localSheetId="37">'1.6.1'!$A$2:$H$62</definedName>
    <definedName name="_xlnm.Print_Area" localSheetId="39">'1.6.2'!$A$2:$H$62</definedName>
    <definedName name="_xlnm.Print_Area" localSheetId="40">'1.6.3'!$A$2:$H$62</definedName>
    <definedName name="_xlnm.Print_Area" localSheetId="41">'1.6.4'!$A$2:$H$62</definedName>
    <definedName name="_xlnm.Print_Area" localSheetId="42">'1.7.1'!$A$2:$H$62</definedName>
    <definedName name="_xlnm.Print_Area" localSheetId="43">'1.7.2'!$A$2:$H$62</definedName>
    <definedName name="_xlnm.Print_Area" localSheetId="44">'1.7.3'!$A$2:$H$62</definedName>
    <definedName name="_xlnm.Print_Area" localSheetId="45">'1.7.4'!$A$2:$H$62</definedName>
    <definedName name="_xlnm.Print_Area" localSheetId="46">'1.7.5'!$A$2:$H$62</definedName>
    <definedName name="_xlnm.Print_Area" localSheetId="47">'1.7.6'!$A$2:$H$62</definedName>
    <definedName name="_xlnm.Print_Area" localSheetId="48">'1.8.1'!$A$2:$H$62</definedName>
    <definedName name="_xlnm.Print_Area" localSheetId="49">'1.8.2'!$A$2:$H$62</definedName>
    <definedName name="_xlnm.Print_Area" localSheetId="50">'1.8.3'!$A$2:$H$62</definedName>
    <definedName name="_xlnm.Print_Area" localSheetId="51">'1.9.1'!$A$2:$H$62</definedName>
    <definedName name="_xlnm.Print_Area" localSheetId="52">'1.9.2'!$A$2:$H$62</definedName>
    <definedName name="_xlnm.Print_Area" localSheetId="53">'1.9.3'!$A$2:$H$62</definedName>
    <definedName name="_xlnm.Print_Area" localSheetId="54">'2.1.1'!$A$2:$H$62</definedName>
    <definedName name="_xlnm.Print_Area" localSheetId="62">'2.1.10'!$A$2:$H$62</definedName>
    <definedName name="_xlnm.Print_Area" localSheetId="63">'2.1.11'!$A$2:$H$62</definedName>
    <definedName name="_xlnm.Print_Area" localSheetId="64">'2.1.12'!$A$2:$H$62</definedName>
    <definedName name="_xlnm.Print_Area" localSheetId="65">'2.1.13'!$A$2:$H$62</definedName>
    <definedName name="_xlnm.Print_Area" localSheetId="66">'2.1.15'!$A$2:$H$62</definedName>
    <definedName name="_xlnm.Print_Area" localSheetId="67">'2.1.16'!$A$2:$H$62</definedName>
    <definedName name="_xlnm.Print_Area" localSheetId="68">'2.1.17'!$A$2:$H$62</definedName>
    <definedName name="_xlnm.Print_Area" localSheetId="55">'2.1.2'!$A$2:$H$62</definedName>
    <definedName name="_xlnm.Print_Area" localSheetId="56">'2.1.3'!$A$2:$H$62</definedName>
    <definedName name="_xlnm.Print_Area" localSheetId="57">'2.1.4'!$A$2:$H$62</definedName>
    <definedName name="_xlnm.Print_Area" localSheetId="58">'2.1.5'!$A$2:$H$62</definedName>
    <definedName name="_xlnm.Print_Area" localSheetId="59">'2.1.6'!$A$2:$H$62</definedName>
    <definedName name="_xlnm.Print_Area" localSheetId="60">'2.1.7'!$A$2:$H$62</definedName>
    <definedName name="_xlnm.Print_Area" localSheetId="61">'2.1.9'!$A$2:$H$62</definedName>
    <definedName name="_xlnm.Print_Area" localSheetId="69">'2.2.1'!$A$2:$H$62</definedName>
    <definedName name="_xlnm.Print_Area" localSheetId="78">'2.2.11'!$A$2:$H$62</definedName>
    <definedName name="_xlnm.Print_Area" localSheetId="79">'2.2.12'!$A$2:$H$62</definedName>
    <definedName name="_xlnm.Print_Area" localSheetId="80">'2.2.13'!$A$2:$H$62</definedName>
    <definedName name="_xlnm.Print_Area" localSheetId="70">'2.2.2'!$A$2:$H$62</definedName>
    <definedName name="_xlnm.Print_Area" localSheetId="71">'2.2.3'!$A$2:$H$62</definedName>
    <definedName name="_xlnm.Print_Area" localSheetId="72">'2.2.4'!$A$2:$H$62</definedName>
    <definedName name="_xlnm.Print_Area" localSheetId="73">'2.2.5'!$A$2:$H$62</definedName>
    <definedName name="_xlnm.Print_Area" localSheetId="74">'2.2.6'!$A$2:$H$62</definedName>
    <definedName name="_xlnm.Print_Area" localSheetId="75">'2.2.7'!$A$2:$H$62</definedName>
    <definedName name="_xlnm.Print_Area" localSheetId="76">'2.2.8'!$A$2:$H$62</definedName>
    <definedName name="_xlnm.Print_Area" localSheetId="77">'2.2.9'!$A$2:$H$62</definedName>
    <definedName name="_xlnm.Print_Area" localSheetId="81">'2.3.1'!$A$2:$H$62</definedName>
    <definedName name="_xlnm.Print_Area" localSheetId="89">'2.3.10'!$A$2:$H$62</definedName>
    <definedName name="_xlnm.Print_Area" localSheetId="90">'2.3.11'!$A$2:$H$62</definedName>
    <definedName name="_xlnm.Print_Area" localSheetId="91">'2.3.12'!$A$2:$H$62</definedName>
    <definedName name="_xlnm.Print_Area" localSheetId="92">'2.3.13'!$A$2:$H$62</definedName>
    <definedName name="_xlnm.Print_Area" localSheetId="93">'2.3.14'!$A$2:$H$62</definedName>
    <definedName name="_xlnm.Print_Area" localSheetId="94">'2.3.15'!$A$2:$H$62</definedName>
    <definedName name="_xlnm.Print_Area" localSheetId="95">'2.3.16'!$A$2:$H$62</definedName>
    <definedName name="_xlnm.Print_Area" localSheetId="96">'2.3.17'!$A$2:$H$62</definedName>
    <definedName name="_xlnm.Print_Area" localSheetId="82">'2.3.2'!$A$2:$H$62</definedName>
    <definedName name="_xlnm.Print_Area" localSheetId="83">'2.3.3'!$A$2:$H$62</definedName>
    <definedName name="_xlnm.Print_Area" localSheetId="84">'2.3.4'!$A$2:$H$62</definedName>
    <definedName name="_xlnm.Print_Area" localSheetId="85">'2.3.5'!$A$2:$H$62</definedName>
    <definedName name="_xlnm.Print_Area" localSheetId="86">'2.3.6'!$A$2:$H$62</definedName>
    <definedName name="_xlnm.Print_Area" localSheetId="87">'2.3.8'!$A$2:$H$62</definedName>
    <definedName name="_xlnm.Print_Area" localSheetId="88">'2.3.9'!$A$2:$H$62</definedName>
    <definedName name="_xlnm.Print_Area" localSheetId="97">'2.4.1'!$A$2:$H$62</definedName>
    <definedName name="_xlnm.Print_Area" localSheetId="105">'2.4.10'!$A$2:$H$63</definedName>
    <definedName name="_xlnm.Print_Area" localSheetId="106">'2.4.11'!$A$2:$H$62</definedName>
    <definedName name="_xlnm.Print_Area" localSheetId="107">'2.4.12'!$A$2:$H$62</definedName>
    <definedName name="_xlnm.Print_Area" localSheetId="108">'2.4.13'!$A$2:$H$62</definedName>
    <definedName name="_xlnm.Print_Area" localSheetId="109">'2.4.14'!$A$2:$H$63</definedName>
    <definedName name="_xlnm.Print_Area" localSheetId="110">'2.4.15'!$A$2:$H$62</definedName>
    <definedName name="_xlnm.Print_Area" localSheetId="111">'2.4.16'!$A$2:$H$61</definedName>
    <definedName name="_xlnm.Print_Area" localSheetId="112">'2.4.17'!$A$2:$H$62</definedName>
    <definedName name="_xlnm.Print_Area" localSheetId="113">'2.4.18'!$A$2:$H$62</definedName>
    <definedName name="_xlnm.Print_Area" localSheetId="114">'2.4.19'!$A$2:$H$62</definedName>
    <definedName name="_xlnm.Print_Area" localSheetId="98">'2.4.2'!$A$2:$H$62</definedName>
    <definedName name="_xlnm.Print_Area" localSheetId="115">'2.4.20'!$A$2:$H$62</definedName>
    <definedName name="_xlnm.Print_Area" localSheetId="116">'2.4.21'!$A$2:$H$62</definedName>
    <definedName name="_xlnm.Print_Area" localSheetId="117">'2.4.22'!$A$2:$H$62</definedName>
    <definedName name="_xlnm.Print_Area" localSheetId="118">'2.4.23'!$A$2:$H$62</definedName>
    <definedName name="_xlnm.Print_Area" localSheetId="119">'2.4.24'!$A$2:$H$62</definedName>
    <definedName name="_xlnm.Print_Area" localSheetId="99">'2.4.3'!$A$2:$H$62</definedName>
    <definedName name="_xlnm.Print_Area" localSheetId="100">'2.4.4'!$A$2:$H$62</definedName>
    <definedName name="_xlnm.Print_Area" localSheetId="101">'2.4.5'!$A$2:$H$62</definedName>
    <definedName name="_xlnm.Print_Area" localSheetId="102">'2.4.6'!$A$2:$H$62</definedName>
    <definedName name="_xlnm.Print_Area" localSheetId="103">'2.4.8'!$A$2:$H$62</definedName>
    <definedName name="_xlnm.Print_Area" localSheetId="104">'2.4.9'!$A$2:$H$63</definedName>
    <definedName name="_xlnm.Print_Area" localSheetId="120">'2.5.1'!$A$2:$H$62</definedName>
    <definedName name="_xlnm.Print_Area" localSheetId="121">'2.5.2'!$A$2:$H$62</definedName>
    <definedName name="_xlnm.Print_Area" localSheetId="122">'2.5.3'!$A$2:$H$62</definedName>
    <definedName name="_xlnm.Print_Area" localSheetId="123">'2.5.4'!$A$2:$H$62</definedName>
    <definedName name="_xlnm.Print_Area" localSheetId="124">'2.5.5'!$A$2:$H$62</definedName>
    <definedName name="_xlnm.Print_Area" localSheetId="125">'2.5.7'!$A$2:$H$62</definedName>
    <definedName name="_xlnm.Print_Area" localSheetId="126">'2.5.8'!$A$2:$H$62</definedName>
    <definedName name="_xlnm.Print_Area" localSheetId="127">'2.5.9'!$A$2:$H$62</definedName>
    <definedName name="_xlnm.Print_Area" localSheetId="128">'2.6.1'!$A$2:$H$62</definedName>
    <definedName name="_xlnm.Print_Area" localSheetId="129">'2.7.1'!$A$2:$H$58</definedName>
    <definedName name="_xlnm.Print_Area" localSheetId="130">'2.7.2'!$A$2:$H$62</definedName>
    <definedName name="_xlnm.Print_Area" localSheetId="131">'2.8.1'!$A$2:$H$79</definedName>
    <definedName name="_xlnm.Print_Area" localSheetId="3">AIU!$A$1:$G$69</definedName>
    <definedName name="_xlnm.Print_Area" localSheetId="17">'APU-Modelo'!$A$2:$H$66</definedName>
    <definedName name="_xlnm.Print_Area" localSheetId="16">BASICOS!$A$1:$H$1015</definedName>
    <definedName name="_xlnm.Print_Area" localSheetId="13">CRONOGRAMA!$A$1:$AP$96</definedName>
    <definedName name="_xlnm.Print_Area" localSheetId="12">CUADRILLAS!$A$2:$O$44</definedName>
    <definedName name="_xlnm.Print_Area" localSheetId="11">FP!$A$2:$T$58</definedName>
    <definedName name="_xlnm.Print_Area" localSheetId="1">INSUMOS!$A$2:$C$769</definedName>
    <definedName name="_xlnm.Print_Area" localSheetId="9">INTER_SUMIN!$A$2:$I$40</definedName>
    <definedName name="_xlnm.Print_Area" localSheetId="38">'Kit 160'!$A$2:$H$62</definedName>
    <definedName name="_xlnm.Print_Area" localSheetId="2">Mem_CALCULO!$A$7:$AY$102</definedName>
    <definedName name="_xlnm.Print_Area" localSheetId="5">PAGA!$A$2:$F$30</definedName>
    <definedName name="_xlnm.Print_Area" localSheetId="14">PRESUPUESTO!$A$9:$F$104</definedName>
    <definedName name="_xlnm.Print_Area" localSheetId="15">'PTOOC PLIEGOS'!$A$1:$F$97</definedName>
    <definedName name="_xlnm.Print_Area" localSheetId="10">SMMV!$A$1:$G$53</definedName>
    <definedName name="Areas_Aferentes" localSheetId="9">#REF!</definedName>
    <definedName name="Areas_Aferentes">[9]Coordenadas!$A:$M</definedName>
    <definedName name="ASB">[3]AASHTO!$A$8:$F$11</definedName>
    <definedName name="AY">[10]Hoja1!$G$6</definedName>
    <definedName name="AYU">[10]Hoja1!$F$6</definedName>
    <definedName name="B.T1" localSheetId="18">#REF!</definedName>
    <definedName name="B.T1" localSheetId="21">#REF!</definedName>
    <definedName name="B.T1" localSheetId="22">#REF!</definedName>
    <definedName name="B.T1" localSheetId="51">#REF!</definedName>
    <definedName name="B.T1" localSheetId="69">#REF!</definedName>
    <definedName name="B.T1" localSheetId="81">#REF!</definedName>
    <definedName name="B.T1" localSheetId="97">#REF!</definedName>
    <definedName name="B.T1" localSheetId="13">#REF!</definedName>
    <definedName name="B.T1" localSheetId="2">#REF!</definedName>
    <definedName name="B.T1">#REF!</definedName>
    <definedName name="B_T1" localSheetId="18">#REF!</definedName>
    <definedName name="B_T1" localSheetId="21">#REF!</definedName>
    <definedName name="B_T1" localSheetId="22">#REF!</definedName>
    <definedName name="B_T1" localSheetId="51">#REF!</definedName>
    <definedName name="B_T1" localSheetId="69">#REF!</definedName>
    <definedName name="B_T1" localSheetId="81">#REF!</definedName>
    <definedName name="B_T1" localSheetId="97">#REF!</definedName>
    <definedName name="B_T1" localSheetId="13">#REF!</definedName>
    <definedName name="B_T1">#REF!</definedName>
    <definedName name="BASE" localSheetId="18">#REF!</definedName>
    <definedName name="BASE" localSheetId="21">#REF!</definedName>
    <definedName name="BASE" localSheetId="22">#REF!</definedName>
    <definedName name="BASE" localSheetId="51">#REF!</definedName>
    <definedName name="BASE" localSheetId="69">#REF!</definedName>
    <definedName name="BASE" localSheetId="81">#REF!</definedName>
    <definedName name="BASE" localSheetId="97">#REF!</definedName>
    <definedName name="BASE" localSheetId="13">#REF!</definedName>
    <definedName name="BASE">#REF!</definedName>
    <definedName name="Bd" localSheetId="18">#REF!</definedName>
    <definedName name="Bd" localSheetId="21">#REF!</definedName>
    <definedName name="Bd" localSheetId="22">#REF!</definedName>
    <definedName name="Bd" localSheetId="51">#REF!</definedName>
    <definedName name="Bd" localSheetId="69">#REF!</definedName>
    <definedName name="Bd" localSheetId="81">#REF!</definedName>
    <definedName name="Bd" localSheetId="97">#REF!</definedName>
    <definedName name="Bd">#REF!</definedName>
    <definedName name="Bd__2" localSheetId="18">#REF!</definedName>
    <definedName name="Bd__2" localSheetId="21">#REF!</definedName>
    <definedName name="Bd__2" localSheetId="22">#REF!</definedName>
    <definedName name="Bd__2" localSheetId="51">#REF!</definedName>
    <definedName name="Bd__2" localSheetId="69">#REF!</definedName>
    <definedName name="Bd__2" localSheetId="81">#REF!</definedName>
    <definedName name="Bd__2" localSheetId="97">#REF!</definedName>
    <definedName name="Bd__2">#REF!</definedName>
    <definedName name="borrar" localSheetId="9">#REF!</definedName>
    <definedName name="borrar">#REF!</definedName>
    <definedName name="bustos">[10]Hoja1!$G$10</definedName>
    <definedName name="C.CLAV" localSheetId="18">#REF!</definedName>
    <definedName name="C.CLAV" localSheetId="21">#REF!</definedName>
    <definedName name="C.CLAV" localSheetId="22">#REF!</definedName>
    <definedName name="C.CLAV" localSheetId="51">#REF!</definedName>
    <definedName name="C.CLAV" localSheetId="69">#REF!</definedName>
    <definedName name="C.CLAV" localSheetId="81">#REF!</definedName>
    <definedName name="C.CLAV" localSheetId="97">#REF!</definedName>
    <definedName name="C.CLAV" localSheetId="13">#REF!</definedName>
    <definedName name="C.CLAV" localSheetId="2">#REF!</definedName>
    <definedName name="C.CLAV">#REF!</definedName>
    <definedName name="C.FON" localSheetId="18">#REF!</definedName>
    <definedName name="C.FON" localSheetId="21">#REF!</definedName>
    <definedName name="C.FON" localSheetId="22">#REF!</definedName>
    <definedName name="C.FON" localSheetId="51">#REF!</definedName>
    <definedName name="C.FON" localSheetId="69">#REF!</definedName>
    <definedName name="C.FON" localSheetId="81">#REF!</definedName>
    <definedName name="C.FON" localSheetId="97">#REF!</definedName>
    <definedName name="C.FON" localSheetId="13">#REF!</definedName>
    <definedName name="C.FON">#REF!</definedName>
    <definedName name="C.LOM" localSheetId="18">#REF!</definedName>
    <definedName name="C.LOM" localSheetId="21">#REF!</definedName>
    <definedName name="C.LOM" localSheetId="22">#REF!</definedName>
    <definedName name="C.LOM" localSheetId="51">#REF!</definedName>
    <definedName name="C.LOM" localSheetId="69">#REF!</definedName>
    <definedName name="C.LOM" localSheetId="81">#REF!</definedName>
    <definedName name="C.LOM" localSheetId="97">#REF!</definedName>
    <definedName name="C.LOM" localSheetId="13">#REF!</definedName>
    <definedName name="C.LOM">#REF!</definedName>
    <definedName name="C.RAS" localSheetId="18">#REF!</definedName>
    <definedName name="C.RAS" localSheetId="21">#REF!</definedName>
    <definedName name="C.RAS" localSheetId="22">#REF!</definedName>
    <definedName name="C.RAS" localSheetId="51">#REF!</definedName>
    <definedName name="C.RAS" localSheetId="69">#REF!</definedName>
    <definedName name="C.RAS" localSheetId="81">#REF!</definedName>
    <definedName name="C.RAS" localSheetId="97">#REF!</definedName>
    <definedName name="C.RAS">#REF!</definedName>
    <definedName name="C.TERR" localSheetId="18">#REF!</definedName>
    <definedName name="C.TERR" localSheetId="21">#REF!</definedName>
    <definedName name="C.TERR" localSheetId="22">#REF!</definedName>
    <definedName name="C.TERR" localSheetId="51">#REF!</definedName>
    <definedName name="C.TERR" localSheetId="69">#REF!</definedName>
    <definedName name="C.TERR" localSheetId="81">#REF!</definedName>
    <definedName name="C.TERR" localSheetId="97">#REF!</definedName>
    <definedName name="C.TERR">#REF!</definedName>
    <definedName name="C_LOM" localSheetId="18">#REF!</definedName>
    <definedName name="C_LOM" localSheetId="21">#REF!</definedName>
    <definedName name="C_LOM" localSheetId="22">#REF!</definedName>
    <definedName name="C_LOM" localSheetId="51">#REF!</definedName>
    <definedName name="C_LOM" localSheetId="69">#REF!</definedName>
    <definedName name="C_LOM" localSheetId="81">#REF!</definedName>
    <definedName name="C_LOM" localSheetId="97">#REF!</definedName>
    <definedName name="C_LOM">#REF!</definedName>
    <definedName name="CA" localSheetId="51">[1]PRECIOS!$J$67</definedName>
    <definedName name="CA">[2]PRECIOS!$J$67</definedName>
    <definedName name="CAM_CAIDA" localSheetId="18">#REF!</definedName>
    <definedName name="CAM_CAIDA" localSheetId="21">#REF!</definedName>
    <definedName name="CAM_CAIDA" localSheetId="22">#REF!</definedName>
    <definedName name="CAM_CAIDA" localSheetId="51">#REF!</definedName>
    <definedName name="CAM_CAIDA" localSheetId="69">#REF!</definedName>
    <definedName name="CAM_CAIDA" localSheetId="81">#REF!</definedName>
    <definedName name="CAM_CAIDA" localSheetId="97">#REF!</definedName>
    <definedName name="CAM_CAIDA" localSheetId="13">#REF!</definedName>
    <definedName name="CAM_CAIDA" localSheetId="2">#REF!</definedName>
    <definedName name="CAM_CAIDA">#REF!</definedName>
    <definedName name="CILIND">[11]TUBERIA!$AE$10:$AE$14</definedName>
    <definedName name="CL" localSheetId="18">#REF!</definedName>
    <definedName name="CL" localSheetId="21">#REF!</definedName>
    <definedName name="CL" localSheetId="22">#REF!</definedName>
    <definedName name="CL" localSheetId="51">#REF!</definedName>
    <definedName name="CL" localSheetId="69">#REF!</definedName>
    <definedName name="CL" localSheetId="81">#REF!</definedName>
    <definedName name="CL" localSheetId="97">#REF!</definedName>
    <definedName name="CL" localSheetId="13">#REF!</definedName>
    <definedName name="CL" localSheetId="2">#REF!</definedName>
    <definedName name="CL">#REF!</definedName>
    <definedName name="CON.FUN" localSheetId="18">#REF!</definedName>
    <definedName name="CON.FUN" localSheetId="21">#REF!</definedName>
    <definedName name="CON.FUN" localSheetId="22">#REF!</definedName>
    <definedName name="CON.FUN" localSheetId="51">#REF!</definedName>
    <definedName name="CON.FUN" localSheetId="69">#REF!</definedName>
    <definedName name="CON.FUN" localSheetId="81">#REF!</definedName>
    <definedName name="CON.FUN" localSheetId="97">#REF!</definedName>
    <definedName name="CON.FUN" localSheetId="13">#REF!</definedName>
    <definedName name="CON.FUN">#REF!</definedName>
    <definedName name="CON.LIM" localSheetId="18">#REF!</definedName>
    <definedName name="CON.LIM" localSheetId="21">#REF!</definedName>
    <definedName name="CON.LIM" localSheetId="22">#REF!</definedName>
    <definedName name="CON.LIM" localSheetId="51">#REF!</definedName>
    <definedName name="CON.LIM" localSheetId="69">#REF!</definedName>
    <definedName name="CON.LIM" localSheetId="81">#REF!</definedName>
    <definedName name="CON.LIM" localSheetId="97">#REF!</definedName>
    <definedName name="CON.LIM" localSheetId="13">#REF!</definedName>
    <definedName name="CON.LIM">#REF!</definedName>
    <definedName name="CON.POZ" localSheetId="18">#REF!</definedName>
    <definedName name="CON.POZ" localSheetId="21">#REF!</definedName>
    <definedName name="CON.POZ" localSheetId="22">#REF!</definedName>
    <definedName name="CON.POZ" localSheetId="51">#REF!</definedName>
    <definedName name="CON.POZ" localSheetId="69">#REF!</definedName>
    <definedName name="CON.POZ" localSheetId="81">#REF!</definedName>
    <definedName name="CON.POZ" localSheetId="97">#REF!</definedName>
    <definedName name="CON.POZ">#REF!</definedName>
    <definedName name="CONC" localSheetId="18">#REF!</definedName>
    <definedName name="CONC" localSheetId="21">#REF!</definedName>
    <definedName name="CONC" localSheetId="22">#REF!</definedName>
    <definedName name="CONC" localSheetId="51">#REF!</definedName>
    <definedName name="CONC" localSheetId="69">#REF!</definedName>
    <definedName name="CONC" localSheetId="81">#REF!</definedName>
    <definedName name="CONC" localSheetId="97">#REF!</definedName>
    <definedName name="CONC">#REF!</definedName>
    <definedName name="CONCRETO" localSheetId="18">#REF!</definedName>
    <definedName name="CONCRETO" localSheetId="21">#REF!</definedName>
    <definedName name="CONCRETO" localSheetId="22">#REF!</definedName>
    <definedName name="CONCRETO" localSheetId="51">#REF!</definedName>
    <definedName name="CONCRETO" localSheetId="69">#REF!</definedName>
    <definedName name="CONCRETO" localSheetId="81">#REF!</definedName>
    <definedName name="CONCRETO" localSheetId="97">#REF!</definedName>
    <definedName name="CONCRETO">#REF!</definedName>
    <definedName name="CONCRETO_F.C_4" localSheetId="18">#REF!</definedName>
    <definedName name="CONCRETO_F.C_4" localSheetId="21">#REF!</definedName>
    <definedName name="CONCRETO_F.C_4" localSheetId="22">#REF!</definedName>
    <definedName name="CONCRETO_F.C_4" localSheetId="51">#REF!</definedName>
    <definedName name="CONCRETO_F.C_4" localSheetId="69">#REF!</definedName>
    <definedName name="CONCRETO_F.C_4" localSheetId="81">#REF!</definedName>
    <definedName name="CONCRETO_F.C_4" localSheetId="97">#REF!</definedName>
    <definedName name="CONCRETO_F.C_4">#REF!</definedName>
    <definedName name="concreto_FC_2.2" localSheetId="18">#REF!</definedName>
    <definedName name="concreto_FC_2.2" localSheetId="21">#REF!</definedName>
    <definedName name="concreto_FC_2.2" localSheetId="22">#REF!</definedName>
    <definedName name="concreto_FC_2.2" localSheetId="51">#REF!</definedName>
    <definedName name="concreto_FC_2.2" localSheetId="69">#REF!</definedName>
    <definedName name="concreto_FC_2.2" localSheetId="81">#REF!</definedName>
    <definedName name="concreto_FC_2.2" localSheetId="97">#REF!</definedName>
    <definedName name="concreto_FC_2.2">#REF!</definedName>
    <definedName name="COSTODIRECTO" localSheetId="9">#REF!</definedName>
    <definedName name="COSTODIRECTO">#REF!</definedName>
    <definedName name="CUAL" localSheetId="20">[0]!ERR</definedName>
    <definedName name="CUAL" localSheetId="22">[0]!ERR</definedName>
    <definedName name="CUAL" localSheetId="33">[0]!ERR</definedName>
    <definedName name="CUAL" localSheetId="36">[0]!ERR</definedName>
    <definedName name="CUAL" localSheetId="47">[0]!ERR</definedName>
    <definedName name="CUAL" localSheetId="48">[0]!ERR</definedName>
    <definedName name="CUAL" localSheetId="51">[0]!ERR</definedName>
    <definedName name="CUAL" localSheetId="52">[0]!ERR</definedName>
    <definedName name="CUAL" localSheetId="53">[0]!ERR</definedName>
    <definedName name="CUAL" localSheetId="54">[0]!ERR</definedName>
    <definedName name="CUAL" localSheetId="62">[0]!ERR</definedName>
    <definedName name="CUAL" localSheetId="63">[0]!ERR</definedName>
    <definedName name="CUAL" localSheetId="64">[0]!ERR</definedName>
    <definedName name="CUAL" localSheetId="65">[0]!ERR</definedName>
    <definedName name="CUAL" localSheetId="66">[0]!ERR</definedName>
    <definedName name="CUAL" localSheetId="67">[0]!ERR</definedName>
    <definedName name="CUAL" localSheetId="68">[0]!ERR</definedName>
    <definedName name="CUAL" localSheetId="55">[0]!ERR</definedName>
    <definedName name="CUAL" localSheetId="56">[0]!ERR</definedName>
    <definedName name="CUAL" localSheetId="57">[0]!ERR</definedName>
    <definedName name="CUAL" localSheetId="58">[0]!ERR</definedName>
    <definedName name="CUAL" localSheetId="59">[0]!ERR</definedName>
    <definedName name="CUAL" localSheetId="60">[0]!ERR</definedName>
    <definedName name="CUAL" localSheetId="61">[0]!ERR</definedName>
    <definedName name="CUAL" localSheetId="69">[0]!ERR</definedName>
    <definedName name="CUAL" localSheetId="78">[0]!ERR</definedName>
    <definedName name="CUAL" localSheetId="79">[0]!ERR</definedName>
    <definedName name="CUAL" localSheetId="80">[0]!ERR</definedName>
    <definedName name="CUAL" localSheetId="70">[0]!ERR</definedName>
    <definedName name="CUAL" localSheetId="71">[0]!ERR</definedName>
    <definedName name="CUAL" localSheetId="72">[0]!ERR</definedName>
    <definedName name="CUAL" localSheetId="73">[0]!ERR</definedName>
    <definedName name="CUAL" localSheetId="74">[0]!ERR</definedName>
    <definedName name="CUAL" localSheetId="75">[0]!ERR</definedName>
    <definedName name="CUAL" localSheetId="76">[0]!ERR</definedName>
    <definedName name="CUAL" localSheetId="77">[0]!ERR</definedName>
    <definedName name="CUAL" localSheetId="81">[0]!ERR</definedName>
    <definedName name="CUAL" localSheetId="89">[0]!ERR</definedName>
    <definedName name="CUAL" localSheetId="90">[0]!ERR</definedName>
    <definedName name="CUAL" localSheetId="91">[0]!ERR</definedName>
    <definedName name="CUAL" localSheetId="92">[0]!ERR</definedName>
    <definedName name="CUAL" localSheetId="93">[0]!ERR</definedName>
    <definedName name="CUAL" localSheetId="94">[0]!ERR</definedName>
    <definedName name="CUAL" localSheetId="95">[0]!ERR</definedName>
    <definedName name="CUAL" localSheetId="96">[0]!ERR</definedName>
    <definedName name="CUAL" localSheetId="82">[0]!ERR</definedName>
    <definedName name="CUAL" localSheetId="83">[0]!ERR</definedName>
    <definedName name="CUAL" localSheetId="84">[0]!ERR</definedName>
    <definedName name="CUAL" localSheetId="85">[0]!ERR</definedName>
    <definedName name="CUAL" localSheetId="86">[0]!ERR</definedName>
    <definedName name="CUAL" localSheetId="87">[0]!ERR</definedName>
    <definedName name="CUAL" localSheetId="88">[0]!ERR</definedName>
    <definedName name="CUAL" localSheetId="97">[0]!ERR</definedName>
    <definedName name="CUAL" localSheetId="105">[0]!ERR</definedName>
    <definedName name="CUAL" localSheetId="106">[0]!ERR</definedName>
    <definedName name="CUAL" localSheetId="107">[0]!ERR</definedName>
    <definedName name="CUAL" localSheetId="108">[0]!ERR</definedName>
    <definedName name="CUAL" localSheetId="109">[0]!ERR</definedName>
    <definedName name="CUAL" localSheetId="110">[0]!ERR</definedName>
    <definedName name="CUAL" localSheetId="111">[0]!ERR</definedName>
    <definedName name="CUAL" localSheetId="112">[0]!ERR</definedName>
    <definedName name="CUAL" localSheetId="113">[0]!ERR</definedName>
    <definedName name="CUAL" localSheetId="114">[0]!ERR</definedName>
    <definedName name="CUAL" localSheetId="98">[0]!ERR</definedName>
    <definedName name="CUAL" localSheetId="115">[0]!ERR</definedName>
    <definedName name="CUAL" localSheetId="116">[0]!ERR</definedName>
    <definedName name="CUAL" localSheetId="117">[0]!ERR</definedName>
    <definedName name="CUAL" localSheetId="118">[0]!ERR</definedName>
    <definedName name="CUAL" localSheetId="119">[0]!ERR</definedName>
    <definedName name="CUAL" localSheetId="99">[0]!ERR</definedName>
    <definedName name="CUAL" localSheetId="100">[0]!ERR</definedName>
    <definedName name="CUAL" localSheetId="101">[0]!ERR</definedName>
    <definedName name="CUAL" localSheetId="102">[0]!ERR</definedName>
    <definedName name="CUAL" localSheetId="103">[0]!ERR</definedName>
    <definedName name="CUAL" localSheetId="104">[0]!ERR</definedName>
    <definedName name="CUAL" localSheetId="120">[0]!ERR</definedName>
    <definedName name="CUAL" localSheetId="121">[0]!ERR</definedName>
    <definedName name="CUAL" localSheetId="122">[0]!ERR</definedName>
    <definedName name="CUAL" localSheetId="123">[0]!ERR</definedName>
    <definedName name="CUAL" localSheetId="124">[0]!ERR</definedName>
    <definedName name="CUAL" localSheetId="125">[0]!ERR</definedName>
    <definedName name="CUAL" localSheetId="126">[0]!ERR</definedName>
    <definedName name="CUAL" localSheetId="127">[0]!ERR</definedName>
    <definedName name="CUAL" localSheetId="128">[0]!ERR</definedName>
    <definedName name="CUAL" localSheetId="129">[0]!ERR</definedName>
    <definedName name="CUAL" localSheetId="130">[0]!ERR</definedName>
    <definedName name="CUAL" localSheetId="131">[0]!ERR</definedName>
    <definedName name="CUAL" localSheetId="38">[0]!ERR</definedName>
    <definedName name="CUAL" localSheetId="2">[0]!ERR</definedName>
    <definedName name="CUAL">[0]!ERR</definedName>
    <definedName name="CUAL_10">#N/A</definedName>
    <definedName name="CUAL_3">#N/A</definedName>
    <definedName name="CUAL_4">#N/A</definedName>
    <definedName name="CUAL_5">#N/A</definedName>
    <definedName name="CUAL_6">#N/A</definedName>
    <definedName name="CUAL_7">#N/A</definedName>
    <definedName name="CUAL_8">#N/A</definedName>
    <definedName name="CUAL_9">#N/A</definedName>
    <definedName name="CUERDA" localSheetId="18">#REF!</definedName>
    <definedName name="CUERDA" localSheetId="21">#REF!</definedName>
    <definedName name="CUERDA" localSheetId="22">#REF!</definedName>
    <definedName name="CUERDA" localSheetId="51">#REF!</definedName>
    <definedName name="CUERDA" localSheetId="69">#REF!</definedName>
    <definedName name="CUERDA" localSheetId="81">#REF!</definedName>
    <definedName name="CUERDA" localSheetId="97">#REF!</definedName>
    <definedName name="CUERDA" localSheetId="2">#REF!</definedName>
    <definedName name="CUERDA">#REF!</definedName>
    <definedName name="D_EXT" localSheetId="18">#REF!</definedName>
    <definedName name="D_EXT" localSheetId="21">#REF!</definedName>
    <definedName name="D_EXT" localSheetId="22">#REF!</definedName>
    <definedName name="D_EXT" localSheetId="51">#REF!</definedName>
    <definedName name="D_EXT" localSheetId="69">#REF!</definedName>
    <definedName name="D_EXT" localSheetId="81">#REF!</definedName>
    <definedName name="D_EXT" localSheetId="97">#REF!</definedName>
    <definedName name="D_EXT">#REF!</definedName>
    <definedName name="D_INT" localSheetId="18">#REF!</definedName>
    <definedName name="D_INT" localSheetId="21">#REF!</definedName>
    <definedName name="D_INT" localSheetId="22">#REF!</definedName>
    <definedName name="D_INT" localSheetId="51">#REF!</definedName>
    <definedName name="D_INT" localSheetId="69">#REF!</definedName>
    <definedName name="D_INT" localSheetId="81">#REF!</definedName>
    <definedName name="D_INT" localSheetId="97">#REF!</definedName>
    <definedName name="D_INT">#REF!</definedName>
    <definedName name="D6.PVC">'[6]factores A.N.'!$N$8:$N$33</definedName>
    <definedName name="D61S" localSheetId="18">#REF!</definedName>
    <definedName name="D61S" localSheetId="21">#REF!</definedName>
    <definedName name="D61S" localSheetId="22">#REF!</definedName>
    <definedName name="D61S" localSheetId="51">#REF!</definedName>
    <definedName name="D61S" localSheetId="69">#REF!</definedName>
    <definedName name="D61S" localSheetId="81">#REF!</definedName>
    <definedName name="D61S" localSheetId="97">#REF!</definedName>
    <definedName name="D61S" localSheetId="13">#REF!</definedName>
    <definedName name="D61S" localSheetId="2">#REF!</definedName>
    <definedName name="D61S">#REF!</definedName>
    <definedName name="D81S" localSheetId="18">#REF!</definedName>
    <definedName name="D81S" localSheetId="21">#REF!</definedName>
    <definedName name="D81S" localSheetId="22">#REF!</definedName>
    <definedName name="D81S" localSheetId="51">#REF!</definedName>
    <definedName name="D81S" localSheetId="69">#REF!</definedName>
    <definedName name="D81S" localSheetId="81">#REF!</definedName>
    <definedName name="D81S" localSheetId="97">#REF!</definedName>
    <definedName name="D81S" localSheetId="13">#REF!</definedName>
    <definedName name="D81S" localSheetId="2">#REF!</definedName>
    <definedName name="D81S">#REF!</definedName>
    <definedName name="Datos" localSheetId="9">#REF!</definedName>
    <definedName name="Datos" localSheetId="2">#REF!</definedName>
    <definedName name="Datos">#REF!</definedName>
    <definedName name="dd" localSheetId="20">[0]!ERR</definedName>
    <definedName name="dd" localSheetId="22">[0]!ERR</definedName>
    <definedName name="dd" localSheetId="33">[0]!ERR</definedName>
    <definedName name="dd" localSheetId="36">[0]!ERR</definedName>
    <definedName name="dd" localSheetId="47">[0]!ERR</definedName>
    <definedName name="dd" localSheetId="48">[0]!ERR</definedName>
    <definedName name="dd" localSheetId="51">[0]!ERR</definedName>
    <definedName name="dd" localSheetId="52">[0]!ERR</definedName>
    <definedName name="dd" localSheetId="53">[0]!ERR</definedName>
    <definedName name="dd" localSheetId="54">[0]!ERR</definedName>
    <definedName name="dd" localSheetId="62">[0]!ERR</definedName>
    <definedName name="dd" localSheetId="63">[0]!ERR</definedName>
    <definedName name="dd" localSheetId="64">[0]!ERR</definedName>
    <definedName name="dd" localSheetId="65">[0]!ERR</definedName>
    <definedName name="dd" localSheetId="66">[0]!ERR</definedName>
    <definedName name="dd" localSheetId="67">[0]!ERR</definedName>
    <definedName name="dd" localSheetId="68">[0]!ERR</definedName>
    <definedName name="dd" localSheetId="55">[0]!ERR</definedName>
    <definedName name="dd" localSheetId="56">[0]!ERR</definedName>
    <definedName name="dd" localSheetId="57">[0]!ERR</definedName>
    <definedName name="dd" localSheetId="58">[0]!ERR</definedName>
    <definedName name="dd" localSheetId="59">[0]!ERR</definedName>
    <definedName name="dd" localSheetId="60">[0]!ERR</definedName>
    <definedName name="dd" localSheetId="61">[0]!ERR</definedName>
    <definedName name="dd" localSheetId="69">[0]!ERR</definedName>
    <definedName name="dd" localSheetId="78">[0]!ERR</definedName>
    <definedName name="dd" localSheetId="79">[0]!ERR</definedName>
    <definedName name="dd" localSheetId="80">[0]!ERR</definedName>
    <definedName name="dd" localSheetId="70">[0]!ERR</definedName>
    <definedName name="dd" localSheetId="71">[0]!ERR</definedName>
    <definedName name="dd" localSheetId="72">[0]!ERR</definedName>
    <definedName name="dd" localSheetId="73">[0]!ERR</definedName>
    <definedName name="dd" localSheetId="74">[0]!ERR</definedName>
    <definedName name="dd" localSheetId="75">[0]!ERR</definedName>
    <definedName name="dd" localSheetId="76">[0]!ERR</definedName>
    <definedName name="dd" localSheetId="77">[0]!ERR</definedName>
    <definedName name="dd" localSheetId="81">[0]!ERR</definedName>
    <definedName name="dd" localSheetId="89">[0]!ERR</definedName>
    <definedName name="dd" localSheetId="90">[0]!ERR</definedName>
    <definedName name="dd" localSheetId="91">[0]!ERR</definedName>
    <definedName name="dd" localSheetId="92">[0]!ERR</definedName>
    <definedName name="dd" localSheetId="93">[0]!ERR</definedName>
    <definedName name="dd" localSheetId="94">[0]!ERR</definedName>
    <definedName name="dd" localSheetId="95">[0]!ERR</definedName>
    <definedName name="dd" localSheetId="96">[0]!ERR</definedName>
    <definedName name="dd" localSheetId="82">[0]!ERR</definedName>
    <definedName name="dd" localSheetId="83">[0]!ERR</definedName>
    <definedName name="dd" localSheetId="84">[0]!ERR</definedName>
    <definedName name="dd" localSheetId="85">[0]!ERR</definedName>
    <definedName name="dd" localSheetId="86">[0]!ERR</definedName>
    <definedName name="dd" localSheetId="87">[0]!ERR</definedName>
    <definedName name="dd" localSheetId="88">[0]!ERR</definedName>
    <definedName name="dd" localSheetId="97">[0]!ERR</definedName>
    <definedName name="dd" localSheetId="105">[0]!ERR</definedName>
    <definedName name="dd" localSheetId="106">[0]!ERR</definedName>
    <definedName name="dd" localSheetId="107">[0]!ERR</definedName>
    <definedName name="dd" localSheetId="108">[0]!ERR</definedName>
    <definedName name="dd" localSheetId="109">[0]!ERR</definedName>
    <definedName name="dd" localSheetId="110">[0]!ERR</definedName>
    <definedName name="dd" localSheetId="111">[0]!ERR</definedName>
    <definedName name="dd" localSheetId="112">[0]!ERR</definedName>
    <definedName name="dd" localSheetId="113">[0]!ERR</definedName>
    <definedName name="dd" localSheetId="114">[0]!ERR</definedName>
    <definedName name="dd" localSheetId="98">[0]!ERR</definedName>
    <definedName name="dd" localSheetId="115">[0]!ERR</definedName>
    <definedName name="dd" localSheetId="116">[0]!ERR</definedName>
    <definedName name="dd" localSheetId="117">[0]!ERR</definedName>
    <definedName name="dd" localSheetId="118">[0]!ERR</definedName>
    <definedName name="dd" localSheetId="119">[0]!ERR</definedName>
    <definedName name="dd" localSheetId="99">[0]!ERR</definedName>
    <definedName name="dd" localSheetId="100">[0]!ERR</definedName>
    <definedName name="dd" localSheetId="101">[0]!ERR</definedName>
    <definedName name="dd" localSheetId="102">[0]!ERR</definedName>
    <definedName name="dd" localSheetId="103">[0]!ERR</definedName>
    <definedName name="dd" localSheetId="104">[0]!ERR</definedName>
    <definedName name="dd" localSheetId="120">[0]!ERR</definedName>
    <definedName name="dd" localSheetId="121">[0]!ERR</definedName>
    <definedName name="dd" localSheetId="122">[0]!ERR</definedName>
    <definedName name="dd" localSheetId="123">[0]!ERR</definedName>
    <definedName name="dd" localSheetId="124">[0]!ERR</definedName>
    <definedName name="dd" localSheetId="125">[0]!ERR</definedName>
    <definedName name="dd" localSheetId="126">[0]!ERR</definedName>
    <definedName name="dd" localSheetId="127">[0]!ERR</definedName>
    <definedName name="dd" localSheetId="128">[0]!ERR</definedName>
    <definedName name="dd" localSheetId="129">[0]!ERR</definedName>
    <definedName name="dd" localSheetId="130">[0]!ERR</definedName>
    <definedName name="dd" localSheetId="131">[0]!ERR</definedName>
    <definedName name="dd" localSheetId="38">[0]!ERR</definedName>
    <definedName name="dd" localSheetId="2">[0]!ERR</definedName>
    <definedName name="dd">[0]!ERR</definedName>
    <definedName name="dd_10">#N/A</definedName>
    <definedName name="dd_3">#N/A</definedName>
    <definedName name="dd_4">#N/A</definedName>
    <definedName name="dd_5">#N/A</definedName>
    <definedName name="dd_6">#N/A</definedName>
    <definedName name="dd_7">#N/A</definedName>
    <definedName name="dd_8">#N/A</definedName>
    <definedName name="dd_9">#N/A</definedName>
    <definedName name="De_6" localSheetId="18">#REF!</definedName>
    <definedName name="De_6" localSheetId="21">#REF!</definedName>
    <definedName name="De_6" localSheetId="22">#REF!</definedName>
    <definedName name="De_6" localSheetId="51">#REF!</definedName>
    <definedName name="De_6" localSheetId="69">#REF!</definedName>
    <definedName name="De_6" localSheetId="81">#REF!</definedName>
    <definedName name="De_6" localSheetId="97">#REF!</definedName>
    <definedName name="De_6" localSheetId="13">#REF!</definedName>
    <definedName name="De_6" localSheetId="2">#REF!</definedName>
    <definedName name="De_6">#REF!</definedName>
    <definedName name="De_8" localSheetId="18">#REF!</definedName>
    <definedName name="De_8" localSheetId="21">#REF!</definedName>
    <definedName name="De_8" localSheetId="22">#REF!</definedName>
    <definedName name="De_8" localSheetId="51">#REF!</definedName>
    <definedName name="De_8" localSheetId="69">#REF!</definedName>
    <definedName name="De_8" localSheetId="81">#REF!</definedName>
    <definedName name="De_8" localSheetId="97">#REF!</definedName>
    <definedName name="De_8">#REF!</definedName>
    <definedName name="dem.pav">'[6]factores A.N.'!$E$15:$E$306</definedName>
    <definedName name="Descargas" localSheetId="9">#REF!</definedName>
    <definedName name="Descargas">[12]Descargas!$A$1:$F$40</definedName>
    <definedName name="diego">[10]Hoja1!$G$5</definedName>
    <definedName name="E" localSheetId="18">#REF!</definedName>
    <definedName name="E" localSheetId="21">#REF!</definedName>
    <definedName name="E" localSheetId="22">#REF!</definedName>
    <definedName name="E" localSheetId="51">#REF!</definedName>
    <definedName name="E" localSheetId="69">#REF!</definedName>
    <definedName name="E" localSheetId="81">#REF!</definedName>
    <definedName name="E" localSheetId="97">#REF!</definedName>
    <definedName name="E" localSheetId="13">#REF!</definedName>
    <definedName name="E" localSheetId="2">#REF!</definedName>
    <definedName name="E">#REF!</definedName>
    <definedName name="ENTIB" localSheetId="18">#REF!</definedName>
    <definedName name="ENTIB" localSheetId="21">#REF!</definedName>
    <definedName name="ENTIB" localSheetId="22">#REF!</definedName>
    <definedName name="ENTIB" localSheetId="51">#REF!</definedName>
    <definedName name="ENTIB" localSheetId="69">#REF!</definedName>
    <definedName name="ENTIB" localSheetId="81">#REF!</definedName>
    <definedName name="ENTIB" localSheetId="97">#REF!</definedName>
    <definedName name="ENTIB" localSheetId="13">#REF!</definedName>
    <definedName name="ENTIB">#REF!</definedName>
    <definedName name="EQUI" localSheetId="18">[13]INSUMOS!$A$2:$E$33</definedName>
    <definedName name="EQUI" localSheetId="21">[14]INSUMOS!$A$2:$E$32</definedName>
    <definedName name="EQUI" localSheetId="22">[14]INSUMOS!$A$2:$E$32</definedName>
    <definedName name="EQUI" localSheetId="51">[15]INSUMOS!$A$2:$E$32</definedName>
    <definedName name="EQUI" localSheetId="69">[13]INSUMOS!$A$2:$E$33</definedName>
    <definedName name="EQUI" localSheetId="81">[13]INSUMOS!$A$2:$E$33</definedName>
    <definedName name="EQUI" localSheetId="97">[13]INSUMOS!$A$2:$E$33</definedName>
    <definedName name="EQUI" localSheetId="13">[14]INSUMOS!$A$2:$E$32</definedName>
    <definedName name="EQUI" localSheetId="2">[16]INSUMOS!$A$2:$E$32</definedName>
    <definedName name="EQUI">INSUMOS!$A$2:$E$32</definedName>
    <definedName name="ES" localSheetId="20">[0]!ERR</definedName>
    <definedName name="ES" localSheetId="22">[0]!ERR</definedName>
    <definedName name="ES" localSheetId="33">[0]!ERR</definedName>
    <definedName name="ES" localSheetId="36">[0]!ERR</definedName>
    <definedName name="ES" localSheetId="47">[0]!ERR</definedName>
    <definedName name="ES" localSheetId="48">[0]!ERR</definedName>
    <definedName name="ES" localSheetId="51">[0]!ERR</definedName>
    <definedName name="ES" localSheetId="52">[0]!ERR</definedName>
    <definedName name="ES" localSheetId="53">[0]!ERR</definedName>
    <definedName name="ES" localSheetId="54">[0]!ERR</definedName>
    <definedName name="ES" localSheetId="62">[0]!ERR</definedName>
    <definedName name="ES" localSheetId="63">[0]!ERR</definedName>
    <definedName name="ES" localSheetId="64">[0]!ERR</definedName>
    <definedName name="ES" localSheetId="65">[0]!ERR</definedName>
    <definedName name="ES" localSheetId="66">[0]!ERR</definedName>
    <definedName name="ES" localSheetId="67">[0]!ERR</definedName>
    <definedName name="ES" localSheetId="68">[0]!ERR</definedName>
    <definedName name="ES" localSheetId="55">[0]!ERR</definedName>
    <definedName name="ES" localSheetId="56">[0]!ERR</definedName>
    <definedName name="ES" localSheetId="57">[0]!ERR</definedName>
    <definedName name="ES" localSheetId="58">[0]!ERR</definedName>
    <definedName name="ES" localSheetId="59">[0]!ERR</definedName>
    <definedName name="ES" localSheetId="60">[0]!ERR</definedName>
    <definedName name="ES" localSheetId="61">[0]!ERR</definedName>
    <definedName name="ES" localSheetId="69">[0]!ERR</definedName>
    <definedName name="ES" localSheetId="78">[0]!ERR</definedName>
    <definedName name="ES" localSheetId="79">[0]!ERR</definedName>
    <definedName name="ES" localSheetId="80">[0]!ERR</definedName>
    <definedName name="ES" localSheetId="70">[0]!ERR</definedName>
    <definedName name="ES" localSheetId="71">[0]!ERR</definedName>
    <definedName name="ES" localSheetId="72">[0]!ERR</definedName>
    <definedName name="ES" localSheetId="73">[0]!ERR</definedName>
    <definedName name="ES" localSheetId="74">[0]!ERR</definedName>
    <definedName name="ES" localSheetId="75">[0]!ERR</definedName>
    <definedName name="ES" localSheetId="76">[0]!ERR</definedName>
    <definedName name="ES" localSheetId="77">[0]!ERR</definedName>
    <definedName name="ES" localSheetId="81">[0]!ERR</definedName>
    <definedName name="ES" localSheetId="89">[0]!ERR</definedName>
    <definedName name="ES" localSheetId="90">[0]!ERR</definedName>
    <definedName name="ES" localSheetId="91">[0]!ERR</definedName>
    <definedName name="ES" localSheetId="92">[0]!ERR</definedName>
    <definedName name="ES" localSheetId="93">[0]!ERR</definedName>
    <definedName name="ES" localSheetId="94">[0]!ERR</definedName>
    <definedName name="ES" localSheetId="95">[0]!ERR</definedName>
    <definedName name="ES" localSheetId="96">[0]!ERR</definedName>
    <definedName name="ES" localSheetId="82">[0]!ERR</definedName>
    <definedName name="ES" localSheetId="83">[0]!ERR</definedName>
    <definedName name="ES" localSheetId="84">[0]!ERR</definedName>
    <definedName name="ES" localSheetId="85">[0]!ERR</definedName>
    <definedName name="ES" localSheetId="86">[0]!ERR</definedName>
    <definedName name="ES" localSheetId="87">[0]!ERR</definedName>
    <definedName name="ES" localSheetId="88">[0]!ERR</definedName>
    <definedName name="ES" localSheetId="97">[0]!ERR</definedName>
    <definedName name="ES" localSheetId="105">[0]!ERR</definedName>
    <definedName name="ES" localSheetId="106">[0]!ERR</definedName>
    <definedName name="ES" localSheetId="107">[0]!ERR</definedName>
    <definedName name="ES" localSheetId="108">[0]!ERR</definedName>
    <definedName name="ES" localSheetId="109">[0]!ERR</definedName>
    <definedName name="ES" localSheetId="110">[0]!ERR</definedName>
    <definedName name="ES" localSheetId="111">[0]!ERR</definedName>
    <definedName name="ES" localSheetId="112">[0]!ERR</definedName>
    <definedName name="ES" localSheetId="113">[0]!ERR</definedName>
    <definedName name="ES" localSheetId="114">[0]!ERR</definedName>
    <definedName name="ES" localSheetId="98">[0]!ERR</definedName>
    <definedName name="ES" localSheetId="115">[0]!ERR</definedName>
    <definedName name="ES" localSheetId="116">[0]!ERR</definedName>
    <definedName name="ES" localSheetId="117">[0]!ERR</definedName>
    <definedName name="ES" localSheetId="118">[0]!ERR</definedName>
    <definedName name="ES" localSheetId="119">[0]!ERR</definedName>
    <definedName name="ES" localSheetId="99">[0]!ERR</definedName>
    <definedName name="ES" localSheetId="100">[0]!ERR</definedName>
    <definedName name="ES" localSheetId="101">[0]!ERR</definedName>
    <definedName name="ES" localSheetId="102">[0]!ERR</definedName>
    <definedName name="ES" localSheetId="103">[0]!ERR</definedName>
    <definedName name="ES" localSheetId="104">[0]!ERR</definedName>
    <definedName name="ES" localSheetId="120">[0]!ERR</definedName>
    <definedName name="ES" localSheetId="121">[0]!ERR</definedName>
    <definedName name="ES" localSheetId="122">[0]!ERR</definedName>
    <definedName name="ES" localSheetId="123">[0]!ERR</definedName>
    <definedName name="ES" localSheetId="124">[0]!ERR</definedName>
    <definedName name="ES" localSheetId="125">[0]!ERR</definedName>
    <definedName name="ES" localSheetId="126">[0]!ERR</definedName>
    <definedName name="ES" localSheetId="127">[0]!ERR</definedName>
    <definedName name="ES" localSheetId="128">[0]!ERR</definedName>
    <definedName name="ES" localSheetId="129">[0]!ERR</definedName>
    <definedName name="ES" localSheetId="130">[0]!ERR</definedName>
    <definedName name="ES" localSheetId="131">[0]!ERR</definedName>
    <definedName name="ES" localSheetId="38">[0]!ERR</definedName>
    <definedName name="ES" localSheetId="2">[0]!ERR</definedName>
    <definedName name="ES">[0]!ERR</definedName>
    <definedName name="ES_10" localSheetId="20">ERR</definedName>
    <definedName name="ES_10" localSheetId="22">ERR</definedName>
    <definedName name="ES_10" localSheetId="33">ERR</definedName>
    <definedName name="ES_10" localSheetId="36">ERR</definedName>
    <definedName name="ES_10" localSheetId="47">ERR</definedName>
    <definedName name="ES_10" localSheetId="48">ERR</definedName>
    <definedName name="ES_10" localSheetId="51">ERR</definedName>
    <definedName name="ES_10" localSheetId="52">ERR</definedName>
    <definedName name="ES_10" localSheetId="53">ERR</definedName>
    <definedName name="ES_10" localSheetId="54">ERR</definedName>
    <definedName name="ES_10" localSheetId="62">ERR</definedName>
    <definedName name="ES_10" localSheetId="63">ERR</definedName>
    <definedName name="ES_10" localSheetId="64">ERR</definedName>
    <definedName name="ES_10" localSheetId="65">ERR</definedName>
    <definedName name="ES_10" localSheetId="66">ERR</definedName>
    <definedName name="ES_10" localSheetId="67">ERR</definedName>
    <definedName name="ES_10" localSheetId="68">ERR</definedName>
    <definedName name="ES_10" localSheetId="55">ERR</definedName>
    <definedName name="ES_10" localSheetId="56">ERR</definedName>
    <definedName name="ES_10" localSheetId="57">ERR</definedName>
    <definedName name="ES_10" localSheetId="58">ERR</definedName>
    <definedName name="ES_10" localSheetId="59">ERR</definedName>
    <definedName name="ES_10" localSheetId="60">ERR</definedName>
    <definedName name="ES_10" localSheetId="61">ERR</definedName>
    <definedName name="ES_10" localSheetId="69">ERR</definedName>
    <definedName name="ES_10" localSheetId="78">ERR</definedName>
    <definedName name="ES_10" localSheetId="79">ERR</definedName>
    <definedName name="ES_10" localSheetId="80">ERR</definedName>
    <definedName name="ES_10" localSheetId="70">ERR</definedName>
    <definedName name="ES_10" localSheetId="71">ERR</definedName>
    <definedName name="ES_10" localSheetId="72">ERR</definedName>
    <definedName name="ES_10" localSheetId="73">ERR</definedName>
    <definedName name="ES_10" localSheetId="74">ERR</definedName>
    <definedName name="ES_10" localSheetId="75">ERR</definedName>
    <definedName name="ES_10" localSheetId="76">ERR</definedName>
    <definedName name="ES_10" localSheetId="77">ERR</definedName>
    <definedName name="ES_10" localSheetId="81">ERR</definedName>
    <definedName name="ES_10" localSheetId="89">ERR</definedName>
    <definedName name="ES_10" localSheetId="90">ERR</definedName>
    <definedName name="ES_10" localSheetId="91">ERR</definedName>
    <definedName name="ES_10" localSheetId="92">ERR</definedName>
    <definedName name="ES_10" localSheetId="93">ERR</definedName>
    <definedName name="ES_10" localSheetId="94">ERR</definedName>
    <definedName name="ES_10" localSheetId="95">ERR</definedName>
    <definedName name="ES_10" localSheetId="96">ERR</definedName>
    <definedName name="ES_10" localSheetId="82">ERR</definedName>
    <definedName name="ES_10" localSheetId="83">ERR</definedName>
    <definedName name="ES_10" localSheetId="84">ERR</definedName>
    <definedName name="ES_10" localSheetId="85">ERR</definedName>
    <definedName name="ES_10" localSheetId="86">ERR</definedName>
    <definedName name="ES_10" localSheetId="87">ERR</definedName>
    <definedName name="ES_10" localSheetId="88">ERR</definedName>
    <definedName name="ES_10" localSheetId="97">ERR</definedName>
    <definedName name="ES_10" localSheetId="105">ERR</definedName>
    <definedName name="ES_10" localSheetId="106">ERR</definedName>
    <definedName name="ES_10" localSheetId="107">ERR</definedName>
    <definedName name="ES_10" localSheetId="108">ERR</definedName>
    <definedName name="ES_10" localSheetId="109">ERR</definedName>
    <definedName name="ES_10" localSheetId="110">ERR</definedName>
    <definedName name="ES_10" localSheetId="111">ERR</definedName>
    <definedName name="ES_10" localSheetId="112">ERR</definedName>
    <definedName name="ES_10" localSheetId="113">ERR</definedName>
    <definedName name="ES_10" localSheetId="114">ERR</definedName>
    <definedName name="ES_10" localSheetId="98">ERR</definedName>
    <definedName name="ES_10" localSheetId="115">ERR</definedName>
    <definedName name="ES_10" localSheetId="116">ERR</definedName>
    <definedName name="ES_10" localSheetId="117">ERR</definedName>
    <definedName name="ES_10" localSheetId="118">ERR</definedName>
    <definedName name="ES_10" localSheetId="119">ERR</definedName>
    <definedName name="ES_10" localSheetId="99">ERR</definedName>
    <definedName name="ES_10" localSheetId="100">ERR</definedName>
    <definedName name="ES_10" localSheetId="101">ERR</definedName>
    <definedName name="ES_10" localSheetId="102">ERR</definedName>
    <definedName name="ES_10" localSheetId="103">ERR</definedName>
    <definedName name="ES_10" localSheetId="104">ERR</definedName>
    <definedName name="ES_10" localSheetId="120">ERR</definedName>
    <definedName name="ES_10" localSheetId="121">ERR</definedName>
    <definedName name="ES_10" localSheetId="122">ERR</definedName>
    <definedName name="ES_10" localSheetId="123">ERR</definedName>
    <definedName name="ES_10" localSheetId="124">ERR</definedName>
    <definedName name="ES_10" localSheetId="125">ERR</definedName>
    <definedName name="ES_10" localSheetId="126">ERR</definedName>
    <definedName name="ES_10" localSheetId="127">ERR</definedName>
    <definedName name="ES_10" localSheetId="128">ERR</definedName>
    <definedName name="ES_10" localSheetId="129">ERR</definedName>
    <definedName name="ES_10" localSheetId="130">ERR</definedName>
    <definedName name="ES_10" localSheetId="131">ERR</definedName>
    <definedName name="ES_10" localSheetId="9">ERR</definedName>
    <definedName name="ES_10" localSheetId="38">ERR</definedName>
    <definedName name="ES_10" localSheetId="2">ERR</definedName>
    <definedName name="ES_10">ERR</definedName>
    <definedName name="ES_3" localSheetId="20">ERR</definedName>
    <definedName name="ES_3" localSheetId="22">ERR</definedName>
    <definedName name="ES_3" localSheetId="33">ERR</definedName>
    <definedName name="ES_3" localSheetId="36">ERR</definedName>
    <definedName name="ES_3" localSheetId="47">ERR</definedName>
    <definedName name="ES_3" localSheetId="48">ERR</definedName>
    <definedName name="ES_3" localSheetId="51">ERR</definedName>
    <definedName name="ES_3" localSheetId="52">ERR</definedName>
    <definedName name="ES_3" localSheetId="53">ERR</definedName>
    <definedName name="ES_3" localSheetId="54">ERR</definedName>
    <definedName name="ES_3" localSheetId="62">ERR</definedName>
    <definedName name="ES_3" localSheetId="63">ERR</definedName>
    <definedName name="ES_3" localSheetId="64">ERR</definedName>
    <definedName name="ES_3" localSheetId="65">ERR</definedName>
    <definedName name="ES_3" localSheetId="66">ERR</definedName>
    <definedName name="ES_3" localSheetId="67">ERR</definedName>
    <definedName name="ES_3" localSheetId="68">ERR</definedName>
    <definedName name="ES_3" localSheetId="55">ERR</definedName>
    <definedName name="ES_3" localSheetId="56">ERR</definedName>
    <definedName name="ES_3" localSheetId="57">ERR</definedName>
    <definedName name="ES_3" localSheetId="58">ERR</definedName>
    <definedName name="ES_3" localSheetId="59">ERR</definedName>
    <definedName name="ES_3" localSheetId="60">ERR</definedName>
    <definedName name="ES_3" localSheetId="61">ERR</definedName>
    <definedName name="ES_3" localSheetId="69">ERR</definedName>
    <definedName name="ES_3" localSheetId="78">ERR</definedName>
    <definedName name="ES_3" localSheetId="79">ERR</definedName>
    <definedName name="ES_3" localSheetId="80">ERR</definedName>
    <definedName name="ES_3" localSheetId="70">ERR</definedName>
    <definedName name="ES_3" localSheetId="71">ERR</definedName>
    <definedName name="ES_3" localSheetId="72">ERR</definedName>
    <definedName name="ES_3" localSheetId="73">ERR</definedName>
    <definedName name="ES_3" localSheetId="74">ERR</definedName>
    <definedName name="ES_3" localSheetId="75">ERR</definedName>
    <definedName name="ES_3" localSheetId="76">ERR</definedName>
    <definedName name="ES_3" localSheetId="77">ERR</definedName>
    <definedName name="ES_3" localSheetId="81">ERR</definedName>
    <definedName name="ES_3" localSheetId="89">ERR</definedName>
    <definedName name="ES_3" localSheetId="90">ERR</definedName>
    <definedName name="ES_3" localSheetId="91">ERR</definedName>
    <definedName name="ES_3" localSheetId="92">ERR</definedName>
    <definedName name="ES_3" localSheetId="93">ERR</definedName>
    <definedName name="ES_3" localSheetId="94">ERR</definedName>
    <definedName name="ES_3" localSheetId="95">ERR</definedName>
    <definedName name="ES_3" localSheetId="96">ERR</definedName>
    <definedName name="ES_3" localSheetId="82">ERR</definedName>
    <definedName name="ES_3" localSheetId="83">ERR</definedName>
    <definedName name="ES_3" localSheetId="84">ERR</definedName>
    <definedName name="ES_3" localSheetId="85">ERR</definedName>
    <definedName name="ES_3" localSheetId="86">ERR</definedName>
    <definedName name="ES_3" localSheetId="87">ERR</definedName>
    <definedName name="ES_3" localSheetId="88">ERR</definedName>
    <definedName name="ES_3" localSheetId="97">ERR</definedName>
    <definedName name="ES_3" localSheetId="105">ERR</definedName>
    <definedName name="ES_3" localSheetId="106">ERR</definedName>
    <definedName name="ES_3" localSheetId="107">ERR</definedName>
    <definedName name="ES_3" localSheetId="108">ERR</definedName>
    <definedName name="ES_3" localSheetId="109">ERR</definedName>
    <definedName name="ES_3" localSheetId="110">ERR</definedName>
    <definedName name="ES_3" localSheetId="111">ERR</definedName>
    <definedName name="ES_3" localSheetId="112">ERR</definedName>
    <definedName name="ES_3" localSheetId="113">ERR</definedName>
    <definedName name="ES_3" localSheetId="114">ERR</definedName>
    <definedName name="ES_3" localSheetId="98">ERR</definedName>
    <definedName name="ES_3" localSheetId="115">ERR</definedName>
    <definedName name="ES_3" localSheetId="116">ERR</definedName>
    <definedName name="ES_3" localSheetId="117">ERR</definedName>
    <definedName name="ES_3" localSheetId="118">ERR</definedName>
    <definedName name="ES_3" localSheetId="119">ERR</definedName>
    <definedName name="ES_3" localSheetId="99">ERR</definedName>
    <definedName name="ES_3" localSheetId="100">ERR</definedName>
    <definedName name="ES_3" localSheetId="101">ERR</definedName>
    <definedName name="ES_3" localSheetId="102">ERR</definedName>
    <definedName name="ES_3" localSheetId="103">ERR</definedName>
    <definedName name="ES_3" localSheetId="104">ERR</definedName>
    <definedName name="ES_3" localSheetId="120">ERR</definedName>
    <definedName name="ES_3" localSheetId="121">ERR</definedName>
    <definedName name="ES_3" localSheetId="122">ERR</definedName>
    <definedName name="ES_3" localSheetId="123">ERR</definedName>
    <definedName name="ES_3" localSheetId="124">ERR</definedName>
    <definedName name="ES_3" localSheetId="125">ERR</definedName>
    <definedName name="ES_3" localSheetId="126">ERR</definedName>
    <definedName name="ES_3" localSheetId="127">ERR</definedName>
    <definedName name="ES_3" localSheetId="128">ERR</definedName>
    <definedName name="ES_3" localSheetId="129">ERR</definedName>
    <definedName name="ES_3" localSheetId="130">ERR</definedName>
    <definedName name="ES_3" localSheetId="131">ERR</definedName>
    <definedName name="ES_3" localSheetId="9">ERR</definedName>
    <definedName name="ES_3" localSheetId="38">ERR</definedName>
    <definedName name="ES_3" localSheetId="2">ERR</definedName>
    <definedName name="ES_3">ERR</definedName>
    <definedName name="ES_4" localSheetId="20">ERR</definedName>
    <definedName name="ES_4" localSheetId="22">ERR</definedName>
    <definedName name="ES_4" localSheetId="33">ERR</definedName>
    <definedName name="ES_4" localSheetId="36">ERR</definedName>
    <definedName name="ES_4" localSheetId="47">ERR</definedName>
    <definedName name="ES_4" localSheetId="48">ERR</definedName>
    <definedName name="ES_4" localSheetId="51">ERR</definedName>
    <definedName name="ES_4" localSheetId="52">ERR</definedName>
    <definedName name="ES_4" localSheetId="53">ERR</definedName>
    <definedName name="ES_4" localSheetId="54">ERR</definedName>
    <definedName name="ES_4" localSheetId="62">ERR</definedName>
    <definedName name="ES_4" localSheetId="63">ERR</definedName>
    <definedName name="ES_4" localSheetId="64">ERR</definedName>
    <definedName name="ES_4" localSheetId="65">ERR</definedName>
    <definedName name="ES_4" localSheetId="66">ERR</definedName>
    <definedName name="ES_4" localSheetId="67">ERR</definedName>
    <definedName name="ES_4" localSheetId="68">ERR</definedName>
    <definedName name="ES_4" localSheetId="55">ERR</definedName>
    <definedName name="ES_4" localSheetId="56">ERR</definedName>
    <definedName name="ES_4" localSheetId="57">ERR</definedName>
    <definedName name="ES_4" localSheetId="58">ERR</definedName>
    <definedName name="ES_4" localSheetId="59">ERR</definedName>
    <definedName name="ES_4" localSheetId="60">ERR</definedName>
    <definedName name="ES_4" localSheetId="61">ERR</definedName>
    <definedName name="ES_4" localSheetId="69">ERR</definedName>
    <definedName name="ES_4" localSheetId="78">ERR</definedName>
    <definedName name="ES_4" localSheetId="79">ERR</definedName>
    <definedName name="ES_4" localSheetId="80">ERR</definedName>
    <definedName name="ES_4" localSheetId="70">ERR</definedName>
    <definedName name="ES_4" localSheetId="71">ERR</definedName>
    <definedName name="ES_4" localSheetId="72">ERR</definedName>
    <definedName name="ES_4" localSheetId="73">ERR</definedName>
    <definedName name="ES_4" localSheetId="74">ERR</definedName>
    <definedName name="ES_4" localSheetId="75">ERR</definedName>
    <definedName name="ES_4" localSheetId="76">ERR</definedName>
    <definedName name="ES_4" localSheetId="77">ERR</definedName>
    <definedName name="ES_4" localSheetId="81">ERR</definedName>
    <definedName name="ES_4" localSheetId="89">ERR</definedName>
    <definedName name="ES_4" localSheetId="90">ERR</definedName>
    <definedName name="ES_4" localSheetId="91">ERR</definedName>
    <definedName name="ES_4" localSheetId="92">ERR</definedName>
    <definedName name="ES_4" localSheetId="93">ERR</definedName>
    <definedName name="ES_4" localSheetId="94">ERR</definedName>
    <definedName name="ES_4" localSheetId="95">ERR</definedName>
    <definedName name="ES_4" localSheetId="96">ERR</definedName>
    <definedName name="ES_4" localSheetId="82">ERR</definedName>
    <definedName name="ES_4" localSheetId="83">ERR</definedName>
    <definedName name="ES_4" localSheetId="84">ERR</definedName>
    <definedName name="ES_4" localSheetId="85">ERR</definedName>
    <definedName name="ES_4" localSheetId="86">ERR</definedName>
    <definedName name="ES_4" localSheetId="87">ERR</definedName>
    <definedName name="ES_4" localSheetId="88">ERR</definedName>
    <definedName name="ES_4" localSheetId="97">ERR</definedName>
    <definedName name="ES_4" localSheetId="105">ERR</definedName>
    <definedName name="ES_4" localSheetId="106">ERR</definedName>
    <definedName name="ES_4" localSheetId="107">ERR</definedName>
    <definedName name="ES_4" localSheetId="108">ERR</definedName>
    <definedName name="ES_4" localSheetId="109">ERR</definedName>
    <definedName name="ES_4" localSheetId="110">ERR</definedName>
    <definedName name="ES_4" localSheetId="111">ERR</definedName>
    <definedName name="ES_4" localSheetId="112">ERR</definedName>
    <definedName name="ES_4" localSheetId="113">ERR</definedName>
    <definedName name="ES_4" localSheetId="114">ERR</definedName>
    <definedName name="ES_4" localSheetId="98">ERR</definedName>
    <definedName name="ES_4" localSheetId="115">ERR</definedName>
    <definedName name="ES_4" localSheetId="116">ERR</definedName>
    <definedName name="ES_4" localSheetId="117">ERR</definedName>
    <definedName name="ES_4" localSheetId="118">ERR</definedName>
    <definedName name="ES_4" localSheetId="119">ERR</definedName>
    <definedName name="ES_4" localSheetId="99">ERR</definedName>
    <definedName name="ES_4" localSheetId="100">ERR</definedName>
    <definedName name="ES_4" localSheetId="101">ERR</definedName>
    <definedName name="ES_4" localSheetId="102">ERR</definedName>
    <definedName name="ES_4" localSheetId="103">ERR</definedName>
    <definedName name="ES_4" localSheetId="104">ERR</definedName>
    <definedName name="ES_4" localSheetId="120">ERR</definedName>
    <definedName name="ES_4" localSheetId="121">ERR</definedName>
    <definedName name="ES_4" localSheetId="122">ERR</definedName>
    <definedName name="ES_4" localSheetId="123">ERR</definedName>
    <definedName name="ES_4" localSheetId="124">ERR</definedName>
    <definedName name="ES_4" localSheetId="125">ERR</definedName>
    <definedName name="ES_4" localSheetId="126">ERR</definedName>
    <definedName name="ES_4" localSheetId="127">ERR</definedName>
    <definedName name="ES_4" localSheetId="128">ERR</definedName>
    <definedName name="ES_4" localSheetId="129">ERR</definedName>
    <definedName name="ES_4" localSheetId="130">ERR</definedName>
    <definedName name="ES_4" localSheetId="131">ERR</definedName>
    <definedName name="ES_4" localSheetId="9">ERR</definedName>
    <definedName name="ES_4" localSheetId="38">ERR</definedName>
    <definedName name="ES_4" localSheetId="2">ERR</definedName>
    <definedName name="ES_4">ERR</definedName>
    <definedName name="ES_5" localSheetId="20">ERR</definedName>
    <definedName name="ES_5" localSheetId="22">ERR</definedName>
    <definedName name="ES_5" localSheetId="33">ERR</definedName>
    <definedName name="ES_5" localSheetId="36">ERR</definedName>
    <definedName name="ES_5" localSheetId="47">ERR</definedName>
    <definedName name="ES_5" localSheetId="48">ERR</definedName>
    <definedName name="ES_5" localSheetId="51">ERR</definedName>
    <definedName name="ES_5" localSheetId="52">ERR</definedName>
    <definedName name="ES_5" localSheetId="53">ERR</definedName>
    <definedName name="ES_5" localSheetId="54">ERR</definedName>
    <definedName name="ES_5" localSheetId="62">ERR</definedName>
    <definedName name="ES_5" localSheetId="63">ERR</definedName>
    <definedName name="ES_5" localSheetId="64">ERR</definedName>
    <definedName name="ES_5" localSheetId="65">ERR</definedName>
    <definedName name="ES_5" localSheetId="66">ERR</definedName>
    <definedName name="ES_5" localSheetId="67">ERR</definedName>
    <definedName name="ES_5" localSheetId="68">ERR</definedName>
    <definedName name="ES_5" localSheetId="55">ERR</definedName>
    <definedName name="ES_5" localSheetId="56">ERR</definedName>
    <definedName name="ES_5" localSheetId="57">ERR</definedName>
    <definedName name="ES_5" localSheetId="58">ERR</definedName>
    <definedName name="ES_5" localSheetId="59">ERR</definedName>
    <definedName name="ES_5" localSheetId="60">ERR</definedName>
    <definedName name="ES_5" localSheetId="61">ERR</definedName>
    <definedName name="ES_5" localSheetId="69">ERR</definedName>
    <definedName name="ES_5" localSheetId="78">ERR</definedName>
    <definedName name="ES_5" localSheetId="79">ERR</definedName>
    <definedName name="ES_5" localSheetId="80">ERR</definedName>
    <definedName name="ES_5" localSheetId="70">ERR</definedName>
    <definedName name="ES_5" localSheetId="71">ERR</definedName>
    <definedName name="ES_5" localSheetId="72">ERR</definedName>
    <definedName name="ES_5" localSheetId="73">ERR</definedName>
    <definedName name="ES_5" localSheetId="74">ERR</definedName>
    <definedName name="ES_5" localSheetId="75">ERR</definedName>
    <definedName name="ES_5" localSheetId="76">ERR</definedName>
    <definedName name="ES_5" localSheetId="77">ERR</definedName>
    <definedName name="ES_5" localSheetId="81">ERR</definedName>
    <definedName name="ES_5" localSheetId="89">ERR</definedName>
    <definedName name="ES_5" localSheetId="90">ERR</definedName>
    <definedName name="ES_5" localSheetId="91">ERR</definedName>
    <definedName name="ES_5" localSheetId="92">ERR</definedName>
    <definedName name="ES_5" localSheetId="93">ERR</definedName>
    <definedName name="ES_5" localSheetId="94">ERR</definedName>
    <definedName name="ES_5" localSheetId="95">ERR</definedName>
    <definedName name="ES_5" localSheetId="96">ERR</definedName>
    <definedName name="ES_5" localSheetId="82">ERR</definedName>
    <definedName name="ES_5" localSheetId="83">ERR</definedName>
    <definedName name="ES_5" localSheetId="84">ERR</definedName>
    <definedName name="ES_5" localSheetId="85">ERR</definedName>
    <definedName name="ES_5" localSheetId="86">ERR</definedName>
    <definedName name="ES_5" localSheetId="87">ERR</definedName>
    <definedName name="ES_5" localSheetId="88">ERR</definedName>
    <definedName name="ES_5" localSheetId="97">ERR</definedName>
    <definedName name="ES_5" localSheetId="105">ERR</definedName>
    <definedName name="ES_5" localSheetId="106">ERR</definedName>
    <definedName name="ES_5" localSheetId="107">ERR</definedName>
    <definedName name="ES_5" localSheetId="108">ERR</definedName>
    <definedName name="ES_5" localSheetId="109">ERR</definedName>
    <definedName name="ES_5" localSheetId="110">ERR</definedName>
    <definedName name="ES_5" localSheetId="111">ERR</definedName>
    <definedName name="ES_5" localSheetId="112">ERR</definedName>
    <definedName name="ES_5" localSheetId="113">ERR</definedName>
    <definedName name="ES_5" localSheetId="114">ERR</definedName>
    <definedName name="ES_5" localSheetId="98">ERR</definedName>
    <definedName name="ES_5" localSheetId="115">ERR</definedName>
    <definedName name="ES_5" localSheetId="116">ERR</definedName>
    <definedName name="ES_5" localSheetId="117">ERR</definedName>
    <definedName name="ES_5" localSheetId="118">ERR</definedName>
    <definedName name="ES_5" localSheetId="119">ERR</definedName>
    <definedName name="ES_5" localSheetId="99">ERR</definedName>
    <definedName name="ES_5" localSheetId="100">ERR</definedName>
    <definedName name="ES_5" localSheetId="101">ERR</definedName>
    <definedName name="ES_5" localSheetId="102">ERR</definedName>
    <definedName name="ES_5" localSheetId="103">ERR</definedName>
    <definedName name="ES_5" localSheetId="104">ERR</definedName>
    <definedName name="ES_5" localSheetId="120">ERR</definedName>
    <definedName name="ES_5" localSheetId="121">ERR</definedName>
    <definedName name="ES_5" localSheetId="122">ERR</definedName>
    <definedName name="ES_5" localSheetId="123">ERR</definedName>
    <definedName name="ES_5" localSheetId="124">ERR</definedName>
    <definedName name="ES_5" localSheetId="125">ERR</definedName>
    <definedName name="ES_5" localSheetId="126">ERR</definedName>
    <definedName name="ES_5" localSheetId="127">ERR</definedName>
    <definedName name="ES_5" localSheetId="128">ERR</definedName>
    <definedName name="ES_5" localSheetId="129">ERR</definedName>
    <definedName name="ES_5" localSheetId="130">ERR</definedName>
    <definedName name="ES_5" localSheetId="131">ERR</definedName>
    <definedName name="ES_5" localSheetId="9">ERR</definedName>
    <definedName name="ES_5" localSheetId="38">ERR</definedName>
    <definedName name="ES_5" localSheetId="2">ERR</definedName>
    <definedName name="ES_5">ERR</definedName>
    <definedName name="ES_6" localSheetId="20">ERR</definedName>
    <definedName name="ES_6" localSheetId="22">ERR</definedName>
    <definedName name="ES_6" localSheetId="33">ERR</definedName>
    <definedName name="ES_6" localSheetId="36">ERR</definedName>
    <definedName name="ES_6" localSheetId="47">ERR</definedName>
    <definedName name="ES_6" localSheetId="48">ERR</definedName>
    <definedName name="ES_6" localSheetId="51">ERR</definedName>
    <definedName name="ES_6" localSheetId="52">ERR</definedName>
    <definedName name="ES_6" localSheetId="53">ERR</definedName>
    <definedName name="ES_6" localSheetId="54">ERR</definedName>
    <definedName name="ES_6" localSheetId="62">ERR</definedName>
    <definedName name="ES_6" localSheetId="63">ERR</definedName>
    <definedName name="ES_6" localSheetId="64">ERR</definedName>
    <definedName name="ES_6" localSheetId="65">ERR</definedName>
    <definedName name="ES_6" localSheetId="66">ERR</definedName>
    <definedName name="ES_6" localSheetId="67">ERR</definedName>
    <definedName name="ES_6" localSheetId="68">ERR</definedName>
    <definedName name="ES_6" localSheetId="55">ERR</definedName>
    <definedName name="ES_6" localSheetId="56">ERR</definedName>
    <definedName name="ES_6" localSheetId="57">ERR</definedName>
    <definedName name="ES_6" localSheetId="58">ERR</definedName>
    <definedName name="ES_6" localSheetId="59">ERR</definedName>
    <definedName name="ES_6" localSheetId="60">ERR</definedName>
    <definedName name="ES_6" localSheetId="61">ERR</definedName>
    <definedName name="ES_6" localSheetId="69">ERR</definedName>
    <definedName name="ES_6" localSheetId="78">ERR</definedName>
    <definedName name="ES_6" localSheetId="79">ERR</definedName>
    <definedName name="ES_6" localSheetId="80">ERR</definedName>
    <definedName name="ES_6" localSheetId="70">ERR</definedName>
    <definedName name="ES_6" localSheetId="71">ERR</definedName>
    <definedName name="ES_6" localSheetId="72">ERR</definedName>
    <definedName name="ES_6" localSheetId="73">ERR</definedName>
    <definedName name="ES_6" localSheetId="74">ERR</definedName>
    <definedName name="ES_6" localSheetId="75">ERR</definedName>
    <definedName name="ES_6" localSheetId="76">ERR</definedName>
    <definedName name="ES_6" localSheetId="77">ERR</definedName>
    <definedName name="ES_6" localSheetId="81">ERR</definedName>
    <definedName name="ES_6" localSheetId="89">ERR</definedName>
    <definedName name="ES_6" localSheetId="90">ERR</definedName>
    <definedName name="ES_6" localSheetId="91">ERR</definedName>
    <definedName name="ES_6" localSheetId="92">ERR</definedName>
    <definedName name="ES_6" localSheetId="93">ERR</definedName>
    <definedName name="ES_6" localSheetId="94">ERR</definedName>
    <definedName name="ES_6" localSheetId="95">ERR</definedName>
    <definedName name="ES_6" localSheetId="96">ERR</definedName>
    <definedName name="ES_6" localSheetId="82">ERR</definedName>
    <definedName name="ES_6" localSheetId="83">ERR</definedName>
    <definedName name="ES_6" localSheetId="84">ERR</definedName>
    <definedName name="ES_6" localSheetId="85">ERR</definedName>
    <definedName name="ES_6" localSheetId="86">ERR</definedName>
    <definedName name="ES_6" localSheetId="87">ERR</definedName>
    <definedName name="ES_6" localSheetId="88">ERR</definedName>
    <definedName name="ES_6" localSheetId="97">ERR</definedName>
    <definedName name="ES_6" localSheetId="105">ERR</definedName>
    <definedName name="ES_6" localSheetId="106">ERR</definedName>
    <definedName name="ES_6" localSheetId="107">ERR</definedName>
    <definedName name="ES_6" localSheetId="108">ERR</definedName>
    <definedName name="ES_6" localSheetId="109">ERR</definedName>
    <definedName name="ES_6" localSheetId="110">ERR</definedName>
    <definedName name="ES_6" localSheetId="111">ERR</definedName>
    <definedName name="ES_6" localSheetId="112">ERR</definedName>
    <definedName name="ES_6" localSheetId="113">ERR</definedName>
    <definedName name="ES_6" localSheetId="114">ERR</definedName>
    <definedName name="ES_6" localSheetId="98">ERR</definedName>
    <definedName name="ES_6" localSheetId="115">ERR</definedName>
    <definedName name="ES_6" localSheetId="116">ERR</definedName>
    <definedName name="ES_6" localSheetId="117">ERR</definedName>
    <definedName name="ES_6" localSheetId="118">ERR</definedName>
    <definedName name="ES_6" localSheetId="119">ERR</definedName>
    <definedName name="ES_6" localSheetId="99">ERR</definedName>
    <definedName name="ES_6" localSheetId="100">ERR</definedName>
    <definedName name="ES_6" localSheetId="101">ERR</definedName>
    <definedName name="ES_6" localSheetId="102">ERR</definedName>
    <definedName name="ES_6" localSheetId="103">ERR</definedName>
    <definedName name="ES_6" localSheetId="104">ERR</definedName>
    <definedName name="ES_6" localSheetId="120">ERR</definedName>
    <definedName name="ES_6" localSheetId="121">ERR</definedName>
    <definedName name="ES_6" localSheetId="122">ERR</definedName>
    <definedName name="ES_6" localSheetId="123">ERR</definedName>
    <definedName name="ES_6" localSheetId="124">ERR</definedName>
    <definedName name="ES_6" localSheetId="125">ERR</definedName>
    <definedName name="ES_6" localSheetId="126">ERR</definedName>
    <definedName name="ES_6" localSheetId="127">ERR</definedName>
    <definedName name="ES_6" localSheetId="128">ERR</definedName>
    <definedName name="ES_6" localSheetId="129">ERR</definedName>
    <definedName name="ES_6" localSheetId="130">ERR</definedName>
    <definedName name="ES_6" localSheetId="131">ERR</definedName>
    <definedName name="ES_6" localSheetId="9">ERR</definedName>
    <definedName name="ES_6" localSheetId="38">ERR</definedName>
    <definedName name="ES_6" localSheetId="2">ERR</definedName>
    <definedName name="ES_6">ERR</definedName>
    <definedName name="ES_7" localSheetId="20">ERR</definedName>
    <definedName name="ES_7" localSheetId="22">ERR</definedName>
    <definedName name="ES_7" localSheetId="33">ERR</definedName>
    <definedName name="ES_7" localSheetId="36">ERR</definedName>
    <definedName name="ES_7" localSheetId="47">ERR</definedName>
    <definedName name="ES_7" localSheetId="48">ERR</definedName>
    <definedName name="ES_7" localSheetId="51">ERR</definedName>
    <definedName name="ES_7" localSheetId="52">ERR</definedName>
    <definedName name="ES_7" localSheetId="53">ERR</definedName>
    <definedName name="ES_7" localSheetId="54">ERR</definedName>
    <definedName name="ES_7" localSheetId="62">ERR</definedName>
    <definedName name="ES_7" localSheetId="63">ERR</definedName>
    <definedName name="ES_7" localSheetId="64">ERR</definedName>
    <definedName name="ES_7" localSheetId="65">ERR</definedName>
    <definedName name="ES_7" localSheetId="66">ERR</definedName>
    <definedName name="ES_7" localSheetId="67">ERR</definedName>
    <definedName name="ES_7" localSheetId="68">ERR</definedName>
    <definedName name="ES_7" localSheetId="55">ERR</definedName>
    <definedName name="ES_7" localSheetId="56">ERR</definedName>
    <definedName name="ES_7" localSheetId="57">ERR</definedName>
    <definedName name="ES_7" localSheetId="58">ERR</definedName>
    <definedName name="ES_7" localSheetId="59">ERR</definedName>
    <definedName name="ES_7" localSheetId="60">ERR</definedName>
    <definedName name="ES_7" localSheetId="61">ERR</definedName>
    <definedName name="ES_7" localSheetId="69">ERR</definedName>
    <definedName name="ES_7" localSheetId="78">ERR</definedName>
    <definedName name="ES_7" localSheetId="79">ERR</definedName>
    <definedName name="ES_7" localSheetId="80">ERR</definedName>
    <definedName name="ES_7" localSheetId="70">ERR</definedName>
    <definedName name="ES_7" localSheetId="71">ERR</definedName>
    <definedName name="ES_7" localSheetId="72">ERR</definedName>
    <definedName name="ES_7" localSheetId="73">ERR</definedName>
    <definedName name="ES_7" localSheetId="74">ERR</definedName>
    <definedName name="ES_7" localSheetId="75">ERR</definedName>
    <definedName name="ES_7" localSheetId="76">ERR</definedName>
    <definedName name="ES_7" localSheetId="77">ERR</definedName>
    <definedName name="ES_7" localSheetId="81">ERR</definedName>
    <definedName name="ES_7" localSheetId="89">ERR</definedName>
    <definedName name="ES_7" localSheetId="90">ERR</definedName>
    <definedName name="ES_7" localSheetId="91">ERR</definedName>
    <definedName name="ES_7" localSheetId="92">ERR</definedName>
    <definedName name="ES_7" localSheetId="93">ERR</definedName>
    <definedName name="ES_7" localSheetId="94">ERR</definedName>
    <definedName name="ES_7" localSheetId="95">ERR</definedName>
    <definedName name="ES_7" localSheetId="96">ERR</definedName>
    <definedName name="ES_7" localSheetId="82">ERR</definedName>
    <definedName name="ES_7" localSheetId="83">ERR</definedName>
    <definedName name="ES_7" localSheetId="84">ERR</definedName>
    <definedName name="ES_7" localSheetId="85">ERR</definedName>
    <definedName name="ES_7" localSheetId="86">ERR</definedName>
    <definedName name="ES_7" localSheetId="87">ERR</definedName>
    <definedName name="ES_7" localSheetId="88">ERR</definedName>
    <definedName name="ES_7" localSheetId="97">ERR</definedName>
    <definedName name="ES_7" localSheetId="105">ERR</definedName>
    <definedName name="ES_7" localSheetId="106">ERR</definedName>
    <definedName name="ES_7" localSheetId="107">ERR</definedName>
    <definedName name="ES_7" localSheetId="108">ERR</definedName>
    <definedName name="ES_7" localSheetId="109">ERR</definedName>
    <definedName name="ES_7" localSheetId="110">ERR</definedName>
    <definedName name="ES_7" localSheetId="111">ERR</definedName>
    <definedName name="ES_7" localSheetId="112">ERR</definedName>
    <definedName name="ES_7" localSheetId="113">ERR</definedName>
    <definedName name="ES_7" localSheetId="114">ERR</definedName>
    <definedName name="ES_7" localSheetId="98">ERR</definedName>
    <definedName name="ES_7" localSheetId="115">ERR</definedName>
    <definedName name="ES_7" localSheetId="116">ERR</definedName>
    <definedName name="ES_7" localSheetId="117">ERR</definedName>
    <definedName name="ES_7" localSheetId="118">ERR</definedName>
    <definedName name="ES_7" localSheetId="119">ERR</definedName>
    <definedName name="ES_7" localSheetId="99">ERR</definedName>
    <definedName name="ES_7" localSheetId="100">ERR</definedName>
    <definedName name="ES_7" localSheetId="101">ERR</definedName>
    <definedName name="ES_7" localSheetId="102">ERR</definedName>
    <definedName name="ES_7" localSheetId="103">ERR</definedName>
    <definedName name="ES_7" localSheetId="104">ERR</definedName>
    <definedName name="ES_7" localSheetId="120">ERR</definedName>
    <definedName name="ES_7" localSheetId="121">ERR</definedName>
    <definedName name="ES_7" localSheetId="122">ERR</definedName>
    <definedName name="ES_7" localSheetId="123">ERR</definedName>
    <definedName name="ES_7" localSheetId="124">ERR</definedName>
    <definedName name="ES_7" localSheetId="125">ERR</definedName>
    <definedName name="ES_7" localSheetId="126">ERR</definedName>
    <definedName name="ES_7" localSheetId="127">ERR</definedName>
    <definedName name="ES_7" localSheetId="128">ERR</definedName>
    <definedName name="ES_7" localSheetId="129">ERR</definedName>
    <definedName name="ES_7" localSheetId="130">ERR</definedName>
    <definedName name="ES_7" localSheetId="131">ERR</definedName>
    <definedName name="ES_7" localSheetId="9">ERR</definedName>
    <definedName name="ES_7" localSheetId="38">ERR</definedName>
    <definedName name="ES_7" localSheetId="2">ERR</definedName>
    <definedName name="ES_7">ERR</definedName>
    <definedName name="ES_8" localSheetId="20">ERR</definedName>
    <definedName name="ES_8" localSheetId="22">ERR</definedName>
    <definedName name="ES_8" localSheetId="33">ERR</definedName>
    <definedName name="ES_8" localSheetId="36">ERR</definedName>
    <definedName name="ES_8" localSheetId="47">ERR</definedName>
    <definedName name="ES_8" localSheetId="48">ERR</definedName>
    <definedName name="ES_8" localSheetId="51">ERR</definedName>
    <definedName name="ES_8" localSheetId="52">ERR</definedName>
    <definedName name="ES_8" localSheetId="53">ERR</definedName>
    <definedName name="ES_8" localSheetId="54">ERR</definedName>
    <definedName name="ES_8" localSheetId="62">ERR</definedName>
    <definedName name="ES_8" localSheetId="63">ERR</definedName>
    <definedName name="ES_8" localSheetId="64">ERR</definedName>
    <definedName name="ES_8" localSheetId="65">ERR</definedName>
    <definedName name="ES_8" localSheetId="66">ERR</definedName>
    <definedName name="ES_8" localSheetId="67">ERR</definedName>
    <definedName name="ES_8" localSheetId="68">ERR</definedName>
    <definedName name="ES_8" localSheetId="55">ERR</definedName>
    <definedName name="ES_8" localSheetId="56">ERR</definedName>
    <definedName name="ES_8" localSheetId="57">ERR</definedName>
    <definedName name="ES_8" localSheetId="58">ERR</definedName>
    <definedName name="ES_8" localSheetId="59">ERR</definedName>
    <definedName name="ES_8" localSheetId="60">ERR</definedName>
    <definedName name="ES_8" localSheetId="61">ERR</definedName>
    <definedName name="ES_8" localSheetId="69">ERR</definedName>
    <definedName name="ES_8" localSheetId="78">ERR</definedName>
    <definedName name="ES_8" localSheetId="79">ERR</definedName>
    <definedName name="ES_8" localSheetId="80">ERR</definedName>
    <definedName name="ES_8" localSheetId="70">ERR</definedName>
    <definedName name="ES_8" localSheetId="71">ERR</definedName>
    <definedName name="ES_8" localSheetId="72">ERR</definedName>
    <definedName name="ES_8" localSheetId="73">ERR</definedName>
    <definedName name="ES_8" localSheetId="74">ERR</definedName>
    <definedName name="ES_8" localSheetId="75">ERR</definedName>
    <definedName name="ES_8" localSheetId="76">ERR</definedName>
    <definedName name="ES_8" localSheetId="77">ERR</definedName>
    <definedName name="ES_8" localSheetId="81">ERR</definedName>
    <definedName name="ES_8" localSheetId="89">ERR</definedName>
    <definedName name="ES_8" localSheetId="90">ERR</definedName>
    <definedName name="ES_8" localSheetId="91">ERR</definedName>
    <definedName name="ES_8" localSheetId="92">ERR</definedName>
    <definedName name="ES_8" localSheetId="93">ERR</definedName>
    <definedName name="ES_8" localSheetId="94">ERR</definedName>
    <definedName name="ES_8" localSheetId="95">ERR</definedName>
    <definedName name="ES_8" localSheetId="96">ERR</definedName>
    <definedName name="ES_8" localSheetId="82">ERR</definedName>
    <definedName name="ES_8" localSheetId="83">ERR</definedName>
    <definedName name="ES_8" localSheetId="84">ERR</definedName>
    <definedName name="ES_8" localSheetId="85">ERR</definedName>
    <definedName name="ES_8" localSheetId="86">ERR</definedName>
    <definedName name="ES_8" localSheetId="87">ERR</definedName>
    <definedName name="ES_8" localSheetId="88">ERR</definedName>
    <definedName name="ES_8" localSheetId="97">ERR</definedName>
    <definedName name="ES_8" localSheetId="105">ERR</definedName>
    <definedName name="ES_8" localSheetId="106">ERR</definedName>
    <definedName name="ES_8" localSheetId="107">ERR</definedName>
    <definedName name="ES_8" localSheetId="108">ERR</definedName>
    <definedName name="ES_8" localSheetId="109">ERR</definedName>
    <definedName name="ES_8" localSheetId="110">ERR</definedName>
    <definedName name="ES_8" localSheetId="111">ERR</definedName>
    <definedName name="ES_8" localSheetId="112">ERR</definedName>
    <definedName name="ES_8" localSheetId="113">ERR</definedName>
    <definedName name="ES_8" localSheetId="114">ERR</definedName>
    <definedName name="ES_8" localSheetId="98">ERR</definedName>
    <definedName name="ES_8" localSheetId="115">ERR</definedName>
    <definedName name="ES_8" localSheetId="116">ERR</definedName>
    <definedName name="ES_8" localSheetId="117">ERR</definedName>
    <definedName name="ES_8" localSheetId="118">ERR</definedName>
    <definedName name="ES_8" localSheetId="119">ERR</definedName>
    <definedName name="ES_8" localSheetId="99">ERR</definedName>
    <definedName name="ES_8" localSheetId="100">ERR</definedName>
    <definedName name="ES_8" localSheetId="101">ERR</definedName>
    <definedName name="ES_8" localSheetId="102">ERR</definedName>
    <definedName name="ES_8" localSheetId="103">ERR</definedName>
    <definedName name="ES_8" localSheetId="104">ERR</definedName>
    <definedName name="ES_8" localSheetId="120">ERR</definedName>
    <definedName name="ES_8" localSheetId="121">ERR</definedName>
    <definedName name="ES_8" localSheetId="122">ERR</definedName>
    <definedName name="ES_8" localSheetId="123">ERR</definedName>
    <definedName name="ES_8" localSheetId="124">ERR</definedName>
    <definedName name="ES_8" localSheetId="125">ERR</definedName>
    <definedName name="ES_8" localSheetId="126">ERR</definedName>
    <definedName name="ES_8" localSheetId="127">ERR</definedName>
    <definedName name="ES_8" localSheetId="128">ERR</definedName>
    <definedName name="ES_8" localSheetId="129">ERR</definedName>
    <definedName name="ES_8" localSheetId="130">ERR</definedName>
    <definedName name="ES_8" localSheetId="131">ERR</definedName>
    <definedName name="ES_8" localSheetId="9">ERR</definedName>
    <definedName name="ES_8" localSheetId="38">ERR</definedName>
    <definedName name="ES_8" localSheetId="2">ERR</definedName>
    <definedName name="ES_8">ERR</definedName>
    <definedName name="ES_9">#NAME?</definedName>
    <definedName name="ESP_PAV" localSheetId="18">#REF!</definedName>
    <definedName name="ESP_PAV" localSheetId="21">#REF!</definedName>
    <definedName name="ESP_PAV" localSheetId="22">#REF!</definedName>
    <definedName name="ESP_PAV" localSheetId="51">#REF!</definedName>
    <definedName name="ESP_PAV" localSheetId="69">#REF!</definedName>
    <definedName name="ESP_PAV" localSheetId="81">#REF!</definedName>
    <definedName name="ESP_PAV" localSheetId="97">#REF!</definedName>
    <definedName name="ESP_PAV" localSheetId="13">#REF!</definedName>
    <definedName name="ESP_PAV" localSheetId="2">#REF!</definedName>
    <definedName name="ESP_PAV">#REF!</definedName>
    <definedName name="ESPESOR" localSheetId="18">#REF!</definedName>
    <definedName name="ESPESOR" localSheetId="21">#REF!</definedName>
    <definedName name="ESPESOR" localSheetId="22">#REF!</definedName>
    <definedName name="ESPESOR" localSheetId="51">#REF!</definedName>
    <definedName name="ESPESOR" localSheetId="69">#REF!</definedName>
    <definedName name="ESPESOR" localSheetId="81">#REF!</definedName>
    <definedName name="ESPESOR" localSheetId="97">#REF!</definedName>
    <definedName name="ESPESOR" localSheetId="13">#REF!</definedName>
    <definedName name="ESPESOR">#REF!</definedName>
    <definedName name="ESTADO" localSheetId="9">#REF!</definedName>
    <definedName name="ESTADO">[12]Resultados!$B$1:$M$1517</definedName>
    <definedName name="ETAPA1" localSheetId="18">#REF!</definedName>
    <definedName name="ETAPA1" localSheetId="21">#REF!</definedName>
    <definedName name="ETAPA1" localSheetId="22">#REF!</definedName>
    <definedName name="ETAPA1" localSheetId="51">#REF!</definedName>
    <definedName name="ETAPA1" localSheetId="69">#REF!</definedName>
    <definedName name="ETAPA1" localSheetId="81">#REF!</definedName>
    <definedName name="ETAPA1" localSheetId="97">#REF!</definedName>
    <definedName name="ETAPA1" localSheetId="13">#REF!</definedName>
    <definedName name="ETAPA1" localSheetId="2">#REF!</definedName>
    <definedName name="ETAPA1">#REF!</definedName>
    <definedName name="ETAPA2" localSheetId="18">#REF!</definedName>
    <definedName name="ETAPA2" localSheetId="21">#REF!</definedName>
    <definedName name="ETAPA2" localSheetId="22">#REF!</definedName>
    <definedName name="ETAPA2" localSheetId="51">#REF!</definedName>
    <definedName name="ETAPA2" localSheetId="69">#REF!</definedName>
    <definedName name="ETAPA2" localSheetId="81">#REF!</definedName>
    <definedName name="ETAPA2" localSheetId="97">#REF!</definedName>
    <definedName name="ETAPA2">#REF!</definedName>
    <definedName name="ETAPA3" localSheetId="18">#REF!</definedName>
    <definedName name="ETAPA3" localSheetId="21">#REF!</definedName>
    <definedName name="ETAPA3" localSheetId="22">#REF!</definedName>
    <definedName name="ETAPA3" localSheetId="51">#REF!</definedName>
    <definedName name="ETAPA3" localSheetId="69">#REF!</definedName>
    <definedName name="ETAPA3" localSheetId="81">#REF!</definedName>
    <definedName name="ETAPA3" localSheetId="97">#REF!</definedName>
    <definedName name="ETAPA3">#REF!</definedName>
    <definedName name="EXC.POZ" localSheetId="18">#REF!</definedName>
    <definedName name="EXC.POZ" localSheetId="21">#REF!</definedName>
    <definedName name="EXC.POZ" localSheetId="22">#REF!</definedName>
    <definedName name="EXC.POZ" localSheetId="51">#REF!</definedName>
    <definedName name="EXC.POZ" localSheetId="69">#REF!</definedName>
    <definedName name="EXC.POZ" localSheetId="81">#REF!</definedName>
    <definedName name="EXC.POZ" localSheetId="97">#REF!</definedName>
    <definedName name="EXC.POZ">#REF!</definedName>
    <definedName name="EXC.ZAN" localSheetId="18">#REF!</definedName>
    <definedName name="EXC.ZAN" localSheetId="21">#REF!</definedName>
    <definedName name="EXC.ZAN" localSheetId="22">#REF!</definedName>
    <definedName name="EXC.ZAN" localSheetId="51">#REF!</definedName>
    <definedName name="EXC.ZAN" localSheetId="69">#REF!</definedName>
    <definedName name="EXC.ZAN" localSheetId="81">#REF!</definedName>
    <definedName name="EXC.ZAN" localSheetId="97">#REF!</definedName>
    <definedName name="EXC.ZAN">#REF!</definedName>
    <definedName name="ff" localSheetId="20">[0]!ERR</definedName>
    <definedName name="ff" localSheetId="22">[0]!ERR</definedName>
    <definedName name="ff" localSheetId="33">[0]!ERR</definedName>
    <definedName name="ff" localSheetId="36">[0]!ERR</definedName>
    <definedName name="ff" localSheetId="47">[0]!ERR</definedName>
    <definedName name="ff" localSheetId="48">[0]!ERR</definedName>
    <definedName name="ff" localSheetId="51">[0]!ERR</definedName>
    <definedName name="ff" localSheetId="52">[0]!ERR</definedName>
    <definedName name="ff" localSheetId="53">[0]!ERR</definedName>
    <definedName name="ff" localSheetId="54">[0]!ERR</definedName>
    <definedName name="ff" localSheetId="62">[0]!ERR</definedName>
    <definedName name="ff" localSheetId="63">[0]!ERR</definedName>
    <definedName name="ff" localSheetId="64">[0]!ERR</definedName>
    <definedName name="ff" localSheetId="65">[0]!ERR</definedName>
    <definedName name="ff" localSheetId="66">[0]!ERR</definedName>
    <definedName name="ff" localSheetId="67">[0]!ERR</definedName>
    <definedName name="ff" localSheetId="68">[0]!ERR</definedName>
    <definedName name="ff" localSheetId="55">[0]!ERR</definedName>
    <definedName name="ff" localSheetId="56">[0]!ERR</definedName>
    <definedName name="ff" localSheetId="57">[0]!ERR</definedName>
    <definedName name="ff" localSheetId="58">[0]!ERR</definedName>
    <definedName name="ff" localSheetId="59">[0]!ERR</definedName>
    <definedName name="ff" localSheetId="60">[0]!ERR</definedName>
    <definedName name="ff" localSheetId="61">[0]!ERR</definedName>
    <definedName name="ff" localSheetId="69">[0]!ERR</definedName>
    <definedName name="ff" localSheetId="78">[0]!ERR</definedName>
    <definedName name="ff" localSheetId="79">[0]!ERR</definedName>
    <definedName name="ff" localSheetId="80">[0]!ERR</definedName>
    <definedName name="ff" localSheetId="70">[0]!ERR</definedName>
    <definedName name="ff" localSheetId="71">[0]!ERR</definedName>
    <definedName name="ff" localSheetId="72">[0]!ERR</definedName>
    <definedName name="ff" localSheetId="73">[0]!ERR</definedName>
    <definedName name="ff" localSheetId="74">[0]!ERR</definedName>
    <definedName name="ff" localSheetId="75">[0]!ERR</definedName>
    <definedName name="ff" localSheetId="76">[0]!ERR</definedName>
    <definedName name="ff" localSheetId="77">[0]!ERR</definedName>
    <definedName name="ff" localSheetId="81">[0]!ERR</definedName>
    <definedName name="ff" localSheetId="89">[0]!ERR</definedName>
    <definedName name="ff" localSheetId="90">[0]!ERR</definedName>
    <definedName name="ff" localSheetId="91">[0]!ERR</definedName>
    <definedName name="ff" localSheetId="92">[0]!ERR</definedName>
    <definedName name="ff" localSheetId="93">[0]!ERR</definedName>
    <definedName name="ff" localSheetId="94">[0]!ERR</definedName>
    <definedName name="ff" localSheetId="95">[0]!ERR</definedName>
    <definedName name="ff" localSheetId="96">[0]!ERR</definedName>
    <definedName name="ff" localSheetId="82">[0]!ERR</definedName>
    <definedName name="ff" localSheetId="83">[0]!ERR</definedName>
    <definedName name="ff" localSheetId="84">[0]!ERR</definedName>
    <definedName name="ff" localSheetId="85">[0]!ERR</definedName>
    <definedName name="ff" localSheetId="86">[0]!ERR</definedName>
    <definedName name="ff" localSheetId="87">[0]!ERR</definedName>
    <definedName name="ff" localSheetId="88">[0]!ERR</definedName>
    <definedName name="ff" localSheetId="97">[0]!ERR</definedName>
    <definedName name="ff" localSheetId="105">[0]!ERR</definedName>
    <definedName name="ff" localSheetId="106">[0]!ERR</definedName>
    <definedName name="ff" localSheetId="107">[0]!ERR</definedName>
    <definedName name="ff" localSheetId="108">[0]!ERR</definedName>
    <definedName name="ff" localSheetId="109">[0]!ERR</definedName>
    <definedName name="ff" localSheetId="110">[0]!ERR</definedName>
    <definedName name="ff" localSheetId="111">[0]!ERR</definedName>
    <definedName name="ff" localSheetId="112">[0]!ERR</definedName>
    <definedName name="ff" localSheetId="113">[0]!ERR</definedName>
    <definedName name="ff" localSheetId="114">[0]!ERR</definedName>
    <definedName name="ff" localSheetId="98">[0]!ERR</definedName>
    <definedName name="ff" localSheetId="115">[0]!ERR</definedName>
    <definedName name="ff" localSheetId="116">[0]!ERR</definedName>
    <definedName name="ff" localSheetId="117">[0]!ERR</definedName>
    <definedName name="ff" localSheetId="118">[0]!ERR</definedName>
    <definedName name="ff" localSheetId="119">[0]!ERR</definedName>
    <definedName name="ff" localSheetId="99">[0]!ERR</definedName>
    <definedName name="ff" localSheetId="100">[0]!ERR</definedName>
    <definedName name="ff" localSheetId="101">[0]!ERR</definedName>
    <definedName name="ff" localSheetId="102">[0]!ERR</definedName>
    <definedName name="ff" localSheetId="103">[0]!ERR</definedName>
    <definedName name="ff" localSheetId="104">[0]!ERR</definedName>
    <definedName name="ff" localSheetId="120">[0]!ERR</definedName>
    <definedName name="ff" localSheetId="121">[0]!ERR</definedName>
    <definedName name="ff" localSheetId="122">[0]!ERR</definedName>
    <definedName name="ff" localSheetId="123">[0]!ERR</definedName>
    <definedName name="ff" localSheetId="124">[0]!ERR</definedName>
    <definedName name="ff" localSheetId="125">[0]!ERR</definedName>
    <definedName name="ff" localSheetId="126">[0]!ERR</definedName>
    <definedName name="ff" localSheetId="127">[0]!ERR</definedName>
    <definedName name="ff" localSheetId="128">[0]!ERR</definedName>
    <definedName name="ff" localSheetId="129">[0]!ERR</definedName>
    <definedName name="ff" localSheetId="130">[0]!ERR</definedName>
    <definedName name="ff" localSheetId="131">[0]!ERR</definedName>
    <definedName name="ff" localSheetId="38">[0]!ERR</definedName>
    <definedName name="ff" localSheetId="2">[0]!ERR</definedName>
    <definedName name="ff">[0]!ERR</definedName>
    <definedName name="ff_10" localSheetId="20">ERR</definedName>
    <definedName name="ff_10" localSheetId="22">ERR</definedName>
    <definedName name="ff_10" localSheetId="33">ERR</definedName>
    <definedName name="ff_10" localSheetId="36">ERR</definedName>
    <definedName name="ff_10" localSheetId="47">ERR</definedName>
    <definedName name="ff_10" localSheetId="48">ERR</definedName>
    <definedName name="ff_10" localSheetId="51">ERR</definedName>
    <definedName name="ff_10" localSheetId="52">ERR</definedName>
    <definedName name="ff_10" localSheetId="53">ERR</definedName>
    <definedName name="ff_10" localSheetId="54">ERR</definedName>
    <definedName name="ff_10" localSheetId="62">ERR</definedName>
    <definedName name="ff_10" localSheetId="63">ERR</definedName>
    <definedName name="ff_10" localSheetId="64">ERR</definedName>
    <definedName name="ff_10" localSheetId="65">ERR</definedName>
    <definedName name="ff_10" localSheetId="66">ERR</definedName>
    <definedName name="ff_10" localSheetId="67">ERR</definedName>
    <definedName name="ff_10" localSheetId="68">ERR</definedName>
    <definedName name="ff_10" localSheetId="55">ERR</definedName>
    <definedName name="ff_10" localSheetId="56">ERR</definedName>
    <definedName name="ff_10" localSheetId="57">ERR</definedName>
    <definedName name="ff_10" localSheetId="58">ERR</definedName>
    <definedName name="ff_10" localSheetId="59">ERR</definedName>
    <definedName name="ff_10" localSheetId="60">ERR</definedName>
    <definedName name="ff_10" localSheetId="61">ERR</definedName>
    <definedName name="ff_10" localSheetId="69">ERR</definedName>
    <definedName name="ff_10" localSheetId="78">ERR</definedName>
    <definedName name="ff_10" localSheetId="79">ERR</definedName>
    <definedName name="ff_10" localSheetId="80">ERR</definedName>
    <definedName name="ff_10" localSheetId="70">ERR</definedName>
    <definedName name="ff_10" localSheetId="71">ERR</definedName>
    <definedName name="ff_10" localSheetId="72">ERR</definedName>
    <definedName name="ff_10" localSheetId="73">ERR</definedName>
    <definedName name="ff_10" localSheetId="74">ERR</definedName>
    <definedName name="ff_10" localSheetId="75">ERR</definedName>
    <definedName name="ff_10" localSheetId="76">ERR</definedName>
    <definedName name="ff_10" localSheetId="77">ERR</definedName>
    <definedName name="ff_10" localSheetId="81">ERR</definedName>
    <definedName name="ff_10" localSheetId="89">ERR</definedName>
    <definedName name="ff_10" localSheetId="90">ERR</definedName>
    <definedName name="ff_10" localSheetId="91">ERR</definedName>
    <definedName name="ff_10" localSheetId="92">ERR</definedName>
    <definedName name="ff_10" localSheetId="93">ERR</definedName>
    <definedName name="ff_10" localSheetId="94">ERR</definedName>
    <definedName name="ff_10" localSheetId="95">ERR</definedName>
    <definedName name="ff_10" localSheetId="96">ERR</definedName>
    <definedName name="ff_10" localSheetId="82">ERR</definedName>
    <definedName name="ff_10" localSheetId="83">ERR</definedName>
    <definedName name="ff_10" localSheetId="84">ERR</definedName>
    <definedName name="ff_10" localSheetId="85">ERR</definedName>
    <definedName name="ff_10" localSheetId="86">ERR</definedName>
    <definedName name="ff_10" localSheetId="87">ERR</definedName>
    <definedName name="ff_10" localSheetId="88">ERR</definedName>
    <definedName name="ff_10" localSheetId="97">ERR</definedName>
    <definedName name="ff_10" localSheetId="105">ERR</definedName>
    <definedName name="ff_10" localSheetId="106">ERR</definedName>
    <definedName name="ff_10" localSheetId="107">ERR</definedName>
    <definedName name="ff_10" localSheetId="108">ERR</definedName>
    <definedName name="ff_10" localSheetId="109">ERR</definedName>
    <definedName name="ff_10" localSheetId="110">ERR</definedName>
    <definedName name="ff_10" localSheetId="111">ERR</definedName>
    <definedName name="ff_10" localSheetId="112">ERR</definedName>
    <definedName name="ff_10" localSheetId="113">ERR</definedName>
    <definedName name="ff_10" localSheetId="114">ERR</definedName>
    <definedName name="ff_10" localSheetId="98">ERR</definedName>
    <definedName name="ff_10" localSheetId="115">ERR</definedName>
    <definedName name="ff_10" localSheetId="116">ERR</definedName>
    <definedName name="ff_10" localSheetId="117">ERR</definedName>
    <definedName name="ff_10" localSheetId="118">ERR</definedName>
    <definedName name="ff_10" localSheetId="119">ERR</definedName>
    <definedName name="ff_10" localSheetId="99">ERR</definedName>
    <definedName name="ff_10" localSheetId="100">ERR</definedName>
    <definedName name="ff_10" localSheetId="101">ERR</definedName>
    <definedName name="ff_10" localSheetId="102">ERR</definedName>
    <definedName name="ff_10" localSheetId="103">ERR</definedName>
    <definedName name="ff_10" localSheetId="104">ERR</definedName>
    <definedName name="ff_10" localSheetId="120">ERR</definedName>
    <definedName name="ff_10" localSheetId="121">ERR</definedName>
    <definedName name="ff_10" localSheetId="122">ERR</definedName>
    <definedName name="ff_10" localSheetId="123">ERR</definedName>
    <definedName name="ff_10" localSheetId="124">ERR</definedName>
    <definedName name="ff_10" localSheetId="125">ERR</definedName>
    <definedName name="ff_10" localSheetId="126">ERR</definedName>
    <definedName name="ff_10" localSheetId="127">ERR</definedName>
    <definedName name="ff_10" localSheetId="128">ERR</definedName>
    <definedName name="ff_10" localSheetId="129">ERR</definedName>
    <definedName name="ff_10" localSheetId="130">ERR</definedName>
    <definedName name="ff_10" localSheetId="131">ERR</definedName>
    <definedName name="ff_10" localSheetId="9">ERR</definedName>
    <definedName name="ff_10" localSheetId="38">ERR</definedName>
    <definedName name="ff_10" localSheetId="2">ERR</definedName>
    <definedName name="ff_10">ERR</definedName>
    <definedName name="ff_3" localSheetId="20">ERR</definedName>
    <definedName name="ff_3" localSheetId="22">ERR</definedName>
    <definedName name="ff_3" localSheetId="33">ERR</definedName>
    <definedName name="ff_3" localSheetId="36">ERR</definedName>
    <definedName name="ff_3" localSheetId="47">ERR</definedName>
    <definedName name="ff_3" localSheetId="48">ERR</definedName>
    <definedName name="ff_3" localSheetId="51">ERR</definedName>
    <definedName name="ff_3" localSheetId="52">ERR</definedName>
    <definedName name="ff_3" localSheetId="53">ERR</definedName>
    <definedName name="ff_3" localSheetId="54">ERR</definedName>
    <definedName name="ff_3" localSheetId="62">ERR</definedName>
    <definedName name="ff_3" localSheetId="63">ERR</definedName>
    <definedName name="ff_3" localSheetId="64">ERR</definedName>
    <definedName name="ff_3" localSheetId="65">ERR</definedName>
    <definedName name="ff_3" localSheetId="66">ERR</definedName>
    <definedName name="ff_3" localSheetId="67">ERR</definedName>
    <definedName name="ff_3" localSheetId="68">ERR</definedName>
    <definedName name="ff_3" localSheetId="55">ERR</definedName>
    <definedName name="ff_3" localSheetId="56">ERR</definedName>
    <definedName name="ff_3" localSheetId="57">ERR</definedName>
    <definedName name="ff_3" localSheetId="58">ERR</definedName>
    <definedName name="ff_3" localSheetId="59">ERR</definedName>
    <definedName name="ff_3" localSheetId="60">ERR</definedName>
    <definedName name="ff_3" localSheetId="61">ERR</definedName>
    <definedName name="ff_3" localSheetId="69">ERR</definedName>
    <definedName name="ff_3" localSheetId="78">ERR</definedName>
    <definedName name="ff_3" localSheetId="79">ERR</definedName>
    <definedName name="ff_3" localSheetId="80">ERR</definedName>
    <definedName name="ff_3" localSheetId="70">ERR</definedName>
    <definedName name="ff_3" localSheetId="71">ERR</definedName>
    <definedName name="ff_3" localSheetId="72">ERR</definedName>
    <definedName name="ff_3" localSheetId="73">ERR</definedName>
    <definedName name="ff_3" localSheetId="74">ERR</definedName>
    <definedName name="ff_3" localSheetId="75">ERR</definedName>
    <definedName name="ff_3" localSheetId="76">ERR</definedName>
    <definedName name="ff_3" localSheetId="77">ERR</definedName>
    <definedName name="ff_3" localSheetId="81">ERR</definedName>
    <definedName name="ff_3" localSheetId="89">ERR</definedName>
    <definedName name="ff_3" localSheetId="90">ERR</definedName>
    <definedName name="ff_3" localSheetId="91">ERR</definedName>
    <definedName name="ff_3" localSheetId="92">ERR</definedName>
    <definedName name="ff_3" localSheetId="93">ERR</definedName>
    <definedName name="ff_3" localSheetId="94">ERR</definedName>
    <definedName name="ff_3" localSheetId="95">ERR</definedName>
    <definedName name="ff_3" localSheetId="96">ERR</definedName>
    <definedName name="ff_3" localSheetId="82">ERR</definedName>
    <definedName name="ff_3" localSheetId="83">ERR</definedName>
    <definedName name="ff_3" localSheetId="84">ERR</definedName>
    <definedName name="ff_3" localSheetId="85">ERR</definedName>
    <definedName name="ff_3" localSheetId="86">ERR</definedName>
    <definedName name="ff_3" localSheetId="87">ERR</definedName>
    <definedName name="ff_3" localSheetId="88">ERR</definedName>
    <definedName name="ff_3" localSheetId="97">ERR</definedName>
    <definedName name="ff_3" localSheetId="105">ERR</definedName>
    <definedName name="ff_3" localSheetId="106">ERR</definedName>
    <definedName name="ff_3" localSheetId="107">ERR</definedName>
    <definedName name="ff_3" localSheetId="108">ERR</definedName>
    <definedName name="ff_3" localSheetId="109">ERR</definedName>
    <definedName name="ff_3" localSheetId="110">ERR</definedName>
    <definedName name="ff_3" localSheetId="111">ERR</definedName>
    <definedName name="ff_3" localSheetId="112">ERR</definedName>
    <definedName name="ff_3" localSheetId="113">ERR</definedName>
    <definedName name="ff_3" localSheetId="114">ERR</definedName>
    <definedName name="ff_3" localSheetId="98">ERR</definedName>
    <definedName name="ff_3" localSheetId="115">ERR</definedName>
    <definedName name="ff_3" localSheetId="116">ERR</definedName>
    <definedName name="ff_3" localSheetId="117">ERR</definedName>
    <definedName name="ff_3" localSheetId="118">ERR</definedName>
    <definedName name="ff_3" localSheetId="119">ERR</definedName>
    <definedName name="ff_3" localSheetId="99">ERR</definedName>
    <definedName name="ff_3" localSheetId="100">ERR</definedName>
    <definedName name="ff_3" localSheetId="101">ERR</definedName>
    <definedName name="ff_3" localSheetId="102">ERR</definedName>
    <definedName name="ff_3" localSheetId="103">ERR</definedName>
    <definedName name="ff_3" localSheetId="104">ERR</definedName>
    <definedName name="ff_3" localSheetId="120">ERR</definedName>
    <definedName name="ff_3" localSheetId="121">ERR</definedName>
    <definedName name="ff_3" localSheetId="122">ERR</definedName>
    <definedName name="ff_3" localSheetId="123">ERR</definedName>
    <definedName name="ff_3" localSheetId="124">ERR</definedName>
    <definedName name="ff_3" localSheetId="125">ERR</definedName>
    <definedName name="ff_3" localSheetId="126">ERR</definedName>
    <definedName name="ff_3" localSheetId="127">ERR</definedName>
    <definedName name="ff_3" localSheetId="128">ERR</definedName>
    <definedName name="ff_3" localSheetId="129">ERR</definedName>
    <definedName name="ff_3" localSheetId="130">ERR</definedName>
    <definedName name="ff_3" localSheetId="131">ERR</definedName>
    <definedName name="ff_3" localSheetId="9">ERR</definedName>
    <definedName name="ff_3" localSheetId="38">ERR</definedName>
    <definedName name="ff_3" localSheetId="2">ERR</definedName>
    <definedName name="ff_3">ERR</definedName>
    <definedName name="ff_4" localSheetId="20">ERR</definedName>
    <definedName name="ff_4" localSheetId="22">ERR</definedName>
    <definedName name="ff_4" localSheetId="33">ERR</definedName>
    <definedName name="ff_4" localSheetId="36">ERR</definedName>
    <definedName name="ff_4" localSheetId="47">ERR</definedName>
    <definedName name="ff_4" localSheetId="48">ERR</definedName>
    <definedName name="ff_4" localSheetId="51">ERR</definedName>
    <definedName name="ff_4" localSheetId="52">ERR</definedName>
    <definedName name="ff_4" localSheetId="53">ERR</definedName>
    <definedName name="ff_4" localSheetId="54">ERR</definedName>
    <definedName name="ff_4" localSheetId="62">ERR</definedName>
    <definedName name="ff_4" localSheetId="63">ERR</definedName>
    <definedName name="ff_4" localSheetId="64">ERR</definedName>
    <definedName name="ff_4" localSheetId="65">ERR</definedName>
    <definedName name="ff_4" localSheetId="66">ERR</definedName>
    <definedName name="ff_4" localSheetId="67">ERR</definedName>
    <definedName name="ff_4" localSheetId="68">ERR</definedName>
    <definedName name="ff_4" localSheetId="55">ERR</definedName>
    <definedName name="ff_4" localSheetId="56">ERR</definedName>
    <definedName name="ff_4" localSheetId="57">ERR</definedName>
    <definedName name="ff_4" localSheetId="58">ERR</definedName>
    <definedName name="ff_4" localSheetId="59">ERR</definedName>
    <definedName name="ff_4" localSheetId="60">ERR</definedName>
    <definedName name="ff_4" localSheetId="61">ERR</definedName>
    <definedName name="ff_4" localSheetId="69">ERR</definedName>
    <definedName name="ff_4" localSheetId="78">ERR</definedName>
    <definedName name="ff_4" localSheetId="79">ERR</definedName>
    <definedName name="ff_4" localSheetId="80">ERR</definedName>
    <definedName name="ff_4" localSheetId="70">ERR</definedName>
    <definedName name="ff_4" localSheetId="71">ERR</definedName>
    <definedName name="ff_4" localSheetId="72">ERR</definedName>
    <definedName name="ff_4" localSheetId="73">ERR</definedName>
    <definedName name="ff_4" localSheetId="74">ERR</definedName>
    <definedName name="ff_4" localSheetId="75">ERR</definedName>
    <definedName name="ff_4" localSheetId="76">ERR</definedName>
    <definedName name="ff_4" localSheetId="77">ERR</definedName>
    <definedName name="ff_4" localSheetId="81">ERR</definedName>
    <definedName name="ff_4" localSheetId="89">ERR</definedName>
    <definedName name="ff_4" localSheetId="90">ERR</definedName>
    <definedName name="ff_4" localSheetId="91">ERR</definedName>
    <definedName name="ff_4" localSheetId="92">ERR</definedName>
    <definedName name="ff_4" localSheetId="93">ERR</definedName>
    <definedName name="ff_4" localSheetId="94">ERR</definedName>
    <definedName name="ff_4" localSheetId="95">ERR</definedName>
    <definedName name="ff_4" localSheetId="96">ERR</definedName>
    <definedName name="ff_4" localSheetId="82">ERR</definedName>
    <definedName name="ff_4" localSheetId="83">ERR</definedName>
    <definedName name="ff_4" localSheetId="84">ERR</definedName>
    <definedName name="ff_4" localSheetId="85">ERR</definedName>
    <definedName name="ff_4" localSheetId="86">ERR</definedName>
    <definedName name="ff_4" localSheetId="87">ERR</definedName>
    <definedName name="ff_4" localSheetId="88">ERR</definedName>
    <definedName name="ff_4" localSheetId="97">ERR</definedName>
    <definedName name="ff_4" localSheetId="105">ERR</definedName>
    <definedName name="ff_4" localSheetId="106">ERR</definedName>
    <definedName name="ff_4" localSheetId="107">ERR</definedName>
    <definedName name="ff_4" localSheetId="108">ERR</definedName>
    <definedName name="ff_4" localSheetId="109">ERR</definedName>
    <definedName name="ff_4" localSheetId="110">ERR</definedName>
    <definedName name="ff_4" localSheetId="111">ERR</definedName>
    <definedName name="ff_4" localSheetId="112">ERR</definedName>
    <definedName name="ff_4" localSheetId="113">ERR</definedName>
    <definedName name="ff_4" localSheetId="114">ERR</definedName>
    <definedName name="ff_4" localSheetId="98">ERR</definedName>
    <definedName name="ff_4" localSheetId="115">ERR</definedName>
    <definedName name="ff_4" localSheetId="116">ERR</definedName>
    <definedName name="ff_4" localSheetId="117">ERR</definedName>
    <definedName name="ff_4" localSheetId="118">ERR</definedName>
    <definedName name="ff_4" localSheetId="119">ERR</definedName>
    <definedName name="ff_4" localSheetId="99">ERR</definedName>
    <definedName name="ff_4" localSheetId="100">ERR</definedName>
    <definedName name="ff_4" localSheetId="101">ERR</definedName>
    <definedName name="ff_4" localSheetId="102">ERR</definedName>
    <definedName name="ff_4" localSheetId="103">ERR</definedName>
    <definedName name="ff_4" localSheetId="104">ERR</definedName>
    <definedName name="ff_4" localSheetId="120">ERR</definedName>
    <definedName name="ff_4" localSheetId="121">ERR</definedName>
    <definedName name="ff_4" localSheetId="122">ERR</definedName>
    <definedName name="ff_4" localSheetId="123">ERR</definedName>
    <definedName name="ff_4" localSheetId="124">ERR</definedName>
    <definedName name="ff_4" localSheetId="125">ERR</definedName>
    <definedName name="ff_4" localSheetId="126">ERR</definedName>
    <definedName name="ff_4" localSheetId="127">ERR</definedName>
    <definedName name="ff_4" localSheetId="128">ERR</definedName>
    <definedName name="ff_4" localSheetId="129">ERR</definedName>
    <definedName name="ff_4" localSheetId="130">ERR</definedName>
    <definedName name="ff_4" localSheetId="131">ERR</definedName>
    <definedName name="ff_4" localSheetId="9">ERR</definedName>
    <definedName name="ff_4" localSheetId="38">ERR</definedName>
    <definedName name="ff_4" localSheetId="2">ERR</definedName>
    <definedName name="ff_4">ERR</definedName>
    <definedName name="ff_5" localSheetId="20">ERR</definedName>
    <definedName name="ff_5" localSheetId="22">ERR</definedName>
    <definedName name="ff_5" localSheetId="33">ERR</definedName>
    <definedName name="ff_5" localSheetId="36">ERR</definedName>
    <definedName name="ff_5" localSheetId="47">ERR</definedName>
    <definedName name="ff_5" localSheetId="48">ERR</definedName>
    <definedName name="ff_5" localSheetId="51">ERR</definedName>
    <definedName name="ff_5" localSheetId="52">ERR</definedName>
    <definedName name="ff_5" localSheetId="53">ERR</definedName>
    <definedName name="ff_5" localSheetId="54">ERR</definedName>
    <definedName name="ff_5" localSheetId="62">ERR</definedName>
    <definedName name="ff_5" localSheetId="63">ERR</definedName>
    <definedName name="ff_5" localSheetId="64">ERR</definedName>
    <definedName name="ff_5" localSheetId="65">ERR</definedName>
    <definedName name="ff_5" localSheetId="66">ERR</definedName>
    <definedName name="ff_5" localSheetId="67">ERR</definedName>
    <definedName name="ff_5" localSheetId="68">ERR</definedName>
    <definedName name="ff_5" localSheetId="55">ERR</definedName>
    <definedName name="ff_5" localSheetId="56">ERR</definedName>
    <definedName name="ff_5" localSheetId="57">ERR</definedName>
    <definedName name="ff_5" localSheetId="58">ERR</definedName>
    <definedName name="ff_5" localSheetId="59">ERR</definedName>
    <definedName name="ff_5" localSheetId="60">ERR</definedName>
    <definedName name="ff_5" localSheetId="61">ERR</definedName>
    <definedName name="ff_5" localSheetId="69">ERR</definedName>
    <definedName name="ff_5" localSheetId="78">ERR</definedName>
    <definedName name="ff_5" localSheetId="79">ERR</definedName>
    <definedName name="ff_5" localSheetId="80">ERR</definedName>
    <definedName name="ff_5" localSheetId="70">ERR</definedName>
    <definedName name="ff_5" localSheetId="71">ERR</definedName>
    <definedName name="ff_5" localSheetId="72">ERR</definedName>
    <definedName name="ff_5" localSheetId="73">ERR</definedName>
    <definedName name="ff_5" localSheetId="74">ERR</definedName>
    <definedName name="ff_5" localSheetId="75">ERR</definedName>
    <definedName name="ff_5" localSheetId="76">ERR</definedName>
    <definedName name="ff_5" localSheetId="77">ERR</definedName>
    <definedName name="ff_5" localSheetId="81">ERR</definedName>
    <definedName name="ff_5" localSheetId="89">ERR</definedName>
    <definedName name="ff_5" localSheetId="90">ERR</definedName>
    <definedName name="ff_5" localSheetId="91">ERR</definedName>
    <definedName name="ff_5" localSheetId="92">ERR</definedName>
    <definedName name="ff_5" localSheetId="93">ERR</definedName>
    <definedName name="ff_5" localSheetId="94">ERR</definedName>
    <definedName name="ff_5" localSheetId="95">ERR</definedName>
    <definedName name="ff_5" localSheetId="96">ERR</definedName>
    <definedName name="ff_5" localSheetId="82">ERR</definedName>
    <definedName name="ff_5" localSheetId="83">ERR</definedName>
    <definedName name="ff_5" localSheetId="84">ERR</definedName>
    <definedName name="ff_5" localSheetId="85">ERR</definedName>
    <definedName name="ff_5" localSheetId="86">ERR</definedName>
    <definedName name="ff_5" localSheetId="87">ERR</definedName>
    <definedName name="ff_5" localSheetId="88">ERR</definedName>
    <definedName name="ff_5" localSheetId="97">ERR</definedName>
    <definedName name="ff_5" localSheetId="105">ERR</definedName>
    <definedName name="ff_5" localSheetId="106">ERR</definedName>
    <definedName name="ff_5" localSheetId="107">ERR</definedName>
    <definedName name="ff_5" localSheetId="108">ERR</definedName>
    <definedName name="ff_5" localSheetId="109">ERR</definedName>
    <definedName name="ff_5" localSheetId="110">ERR</definedName>
    <definedName name="ff_5" localSheetId="111">ERR</definedName>
    <definedName name="ff_5" localSheetId="112">ERR</definedName>
    <definedName name="ff_5" localSheetId="113">ERR</definedName>
    <definedName name="ff_5" localSheetId="114">ERR</definedName>
    <definedName name="ff_5" localSheetId="98">ERR</definedName>
    <definedName name="ff_5" localSheetId="115">ERR</definedName>
    <definedName name="ff_5" localSheetId="116">ERR</definedName>
    <definedName name="ff_5" localSheetId="117">ERR</definedName>
    <definedName name="ff_5" localSheetId="118">ERR</definedName>
    <definedName name="ff_5" localSheetId="119">ERR</definedName>
    <definedName name="ff_5" localSheetId="99">ERR</definedName>
    <definedName name="ff_5" localSheetId="100">ERR</definedName>
    <definedName name="ff_5" localSheetId="101">ERR</definedName>
    <definedName name="ff_5" localSheetId="102">ERR</definedName>
    <definedName name="ff_5" localSheetId="103">ERR</definedName>
    <definedName name="ff_5" localSheetId="104">ERR</definedName>
    <definedName name="ff_5" localSheetId="120">ERR</definedName>
    <definedName name="ff_5" localSheetId="121">ERR</definedName>
    <definedName name="ff_5" localSheetId="122">ERR</definedName>
    <definedName name="ff_5" localSheetId="123">ERR</definedName>
    <definedName name="ff_5" localSheetId="124">ERR</definedName>
    <definedName name="ff_5" localSheetId="125">ERR</definedName>
    <definedName name="ff_5" localSheetId="126">ERR</definedName>
    <definedName name="ff_5" localSheetId="127">ERR</definedName>
    <definedName name="ff_5" localSheetId="128">ERR</definedName>
    <definedName name="ff_5" localSheetId="129">ERR</definedName>
    <definedName name="ff_5" localSheetId="130">ERR</definedName>
    <definedName name="ff_5" localSheetId="131">ERR</definedName>
    <definedName name="ff_5" localSheetId="9">ERR</definedName>
    <definedName name="ff_5" localSheetId="38">ERR</definedName>
    <definedName name="ff_5" localSheetId="2">ERR</definedName>
    <definedName name="ff_5">ERR</definedName>
    <definedName name="ff_6" localSheetId="20">ERR</definedName>
    <definedName name="ff_6" localSheetId="22">ERR</definedName>
    <definedName name="ff_6" localSheetId="33">ERR</definedName>
    <definedName name="ff_6" localSheetId="36">ERR</definedName>
    <definedName name="ff_6" localSheetId="47">ERR</definedName>
    <definedName name="ff_6" localSheetId="48">ERR</definedName>
    <definedName name="ff_6" localSheetId="51">ERR</definedName>
    <definedName name="ff_6" localSheetId="52">ERR</definedName>
    <definedName name="ff_6" localSheetId="53">ERR</definedName>
    <definedName name="ff_6" localSheetId="54">ERR</definedName>
    <definedName name="ff_6" localSheetId="62">ERR</definedName>
    <definedName name="ff_6" localSheetId="63">ERR</definedName>
    <definedName name="ff_6" localSheetId="64">ERR</definedName>
    <definedName name="ff_6" localSheetId="65">ERR</definedName>
    <definedName name="ff_6" localSheetId="66">ERR</definedName>
    <definedName name="ff_6" localSheetId="67">ERR</definedName>
    <definedName name="ff_6" localSheetId="68">ERR</definedName>
    <definedName name="ff_6" localSheetId="55">ERR</definedName>
    <definedName name="ff_6" localSheetId="56">ERR</definedName>
    <definedName name="ff_6" localSheetId="57">ERR</definedName>
    <definedName name="ff_6" localSheetId="58">ERR</definedName>
    <definedName name="ff_6" localSheetId="59">ERR</definedName>
    <definedName name="ff_6" localSheetId="60">ERR</definedName>
    <definedName name="ff_6" localSheetId="61">ERR</definedName>
    <definedName name="ff_6" localSheetId="69">ERR</definedName>
    <definedName name="ff_6" localSheetId="78">ERR</definedName>
    <definedName name="ff_6" localSheetId="79">ERR</definedName>
    <definedName name="ff_6" localSheetId="80">ERR</definedName>
    <definedName name="ff_6" localSheetId="70">ERR</definedName>
    <definedName name="ff_6" localSheetId="71">ERR</definedName>
    <definedName name="ff_6" localSheetId="72">ERR</definedName>
    <definedName name="ff_6" localSheetId="73">ERR</definedName>
    <definedName name="ff_6" localSheetId="74">ERR</definedName>
    <definedName name="ff_6" localSheetId="75">ERR</definedName>
    <definedName name="ff_6" localSheetId="76">ERR</definedName>
    <definedName name="ff_6" localSheetId="77">ERR</definedName>
    <definedName name="ff_6" localSheetId="81">ERR</definedName>
    <definedName name="ff_6" localSheetId="89">ERR</definedName>
    <definedName name="ff_6" localSheetId="90">ERR</definedName>
    <definedName name="ff_6" localSheetId="91">ERR</definedName>
    <definedName name="ff_6" localSheetId="92">ERR</definedName>
    <definedName name="ff_6" localSheetId="93">ERR</definedName>
    <definedName name="ff_6" localSheetId="94">ERR</definedName>
    <definedName name="ff_6" localSheetId="95">ERR</definedName>
    <definedName name="ff_6" localSheetId="96">ERR</definedName>
    <definedName name="ff_6" localSheetId="82">ERR</definedName>
    <definedName name="ff_6" localSheetId="83">ERR</definedName>
    <definedName name="ff_6" localSheetId="84">ERR</definedName>
    <definedName name="ff_6" localSheetId="85">ERR</definedName>
    <definedName name="ff_6" localSheetId="86">ERR</definedName>
    <definedName name="ff_6" localSheetId="87">ERR</definedName>
    <definedName name="ff_6" localSheetId="88">ERR</definedName>
    <definedName name="ff_6" localSheetId="97">ERR</definedName>
    <definedName name="ff_6" localSheetId="105">ERR</definedName>
    <definedName name="ff_6" localSheetId="106">ERR</definedName>
    <definedName name="ff_6" localSheetId="107">ERR</definedName>
    <definedName name="ff_6" localSheetId="108">ERR</definedName>
    <definedName name="ff_6" localSheetId="109">ERR</definedName>
    <definedName name="ff_6" localSheetId="110">ERR</definedName>
    <definedName name="ff_6" localSheetId="111">ERR</definedName>
    <definedName name="ff_6" localSheetId="112">ERR</definedName>
    <definedName name="ff_6" localSheetId="113">ERR</definedName>
    <definedName name="ff_6" localSheetId="114">ERR</definedName>
    <definedName name="ff_6" localSheetId="98">ERR</definedName>
    <definedName name="ff_6" localSheetId="115">ERR</definedName>
    <definedName name="ff_6" localSheetId="116">ERR</definedName>
    <definedName name="ff_6" localSheetId="117">ERR</definedName>
    <definedName name="ff_6" localSheetId="118">ERR</definedName>
    <definedName name="ff_6" localSheetId="119">ERR</definedName>
    <definedName name="ff_6" localSheetId="99">ERR</definedName>
    <definedName name="ff_6" localSheetId="100">ERR</definedName>
    <definedName name="ff_6" localSheetId="101">ERR</definedName>
    <definedName name="ff_6" localSheetId="102">ERR</definedName>
    <definedName name="ff_6" localSheetId="103">ERR</definedName>
    <definedName name="ff_6" localSheetId="104">ERR</definedName>
    <definedName name="ff_6" localSheetId="120">ERR</definedName>
    <definedName name="ff_6" localSheetId="121">ERR</definedName>
    <definedName name="ff_6" localSheetId="122">ERR</definedName>
    <definedName name="ff_6" localSheetId="123">ERR</definedName>
    <definedName name="ff_6" localSheetId="124">ERR</definedName>
    <definedName name="ff_6" localSheetId="125">ERR</definedName>
    <definedName name="ff_6" localSheetId="126">ERR</definedName>
    <definedName name="ff_6" localSheetId="127">ERR</definedName>
    <definedName name="ff_6" localSheetId="128">ERR</definedName>
    <definedName name="ff_6" localSheetId="129">ERR</definedName>
    <definedName name="ff_6" localSheetId="130">ERR</definedName>
    <definedName name="ff_6" localSheetId="131">ERR</definedName>
    <definedName name="ff_6" localSheetId="9">ERR</definedName>
    <definedName name="ff_6" localSheetId="38">ERR</definedName>
    <definedName name="ff_6" localSheetId="2">ERR</definedName>
    <definedName name="ff_6">ERR</definedName>
    <definedName name="ff_7" localSheetId="20">ERR</definedName>
    <definedName name="ff_7" localSheetId="22">ERR</definedName>
    <definedName name="ff_7" localSheetId="33">ERR</definedName>
    <definedName name="ff_7" localSheetId="36">ERR</definedName>
    <definedName name="ff_7" localSheetId="47">ERR</definedName>
    <definedName name="ff_7" localSheetId="48">ERR</definedName>
    <definedName name="ff_7" localSheetId="51">ERR</definedName>
    <definedName name="ff_7" localSheetId="52">ERR</definedName>
    <definedName name="ff_7" localSheetId="53">ERR</definedName>
    <definedName name="ff_7" localSheetId="54">ERR</definedName>
    <definedName name="ff_7" localSheetId="62">ERR</definedName>
    <definedName name="ff_7" localSheetId="63">ERR</definedName>
    <definedName name="ff_7" localSheetId="64">ERR</definedName>
    <definedName name="ff_7" localSheetId="65">ERR</definedName>
    <definedName name="ff_7" localSheetId="66">ERR</definedName>
    <definedName name="ff_7" localSheetId="67">ERR</definedName>
    <definedName name="ff_7" localSheetId="68">ERR</definedName>
    <definedName name="ff_7" localSheetId="55">ERR</definedName>
    <definedName name="ff_7" localSheetId="56">ERR</definedName>
    <definedName name="ff_7" localSheetId="57">ERR</definedName>
    <definedName name="ff_7" localSheetId="58">ERR</definedName>
    <definedName name="ff_7" localSheetId="59">ERR</definedName>
    <definedName name="ff_7" localSheetId="60">ERR</definedName>
    <definedName name="ff_7" localSheetId="61">ERR</definedName>
    <definedName name="ff_7" localSheetId="69">ERR</definedName>
    <definedName name="ff_7" localSheetId="78">ERR</definedName>
    <definedName name="ff_7" localSheetId="79">ERR</definedName>
    <definedName name="ff_7" localSheetId="80">ERR</definedName>
    <definedName name="ff_7" localSheetId="70">ERR</definedName>
    <definedName name="ff_7" localSheetId="71">ERR</definedName>
    <definedName name="ff_7" localSheetId="72">ERR</definedName>
    <definedName name="ff_7" localSheetId="73">ERR</definedName>
    <definedName name="ff_7" localSheetId="74">ERR</definedName>
    <definedName name="ff_7" localSheetId="75">ERR</definedName>
    <definedName name="ff_7" localSheetId="76">ERR</definedName>
    <definedName name="ff_7" localSheetId="77">ERR</definedName>
    <definedName name="ff_7" localSheetId="81">ERR</definedName>
    <definedName name="ff_7" localSheetId="89">ERR</definedName>
    <definedName name="ff_7" localSheetId="90">ERR</definedName>
    <definedName name="ff_7" localSheetId="91">ERR</definedName>
    <definedName name="ff_7" localSheetId="92">ERR</definedName>
    <definedName name="ff_7" localSheetId="93">ERR</definedName>
    <definedName name="ff_7" localSheetId="94">ERR</definedName>
    <definedName name="ff_7" localSheetId="95">ERR</definedName>
    <definedName name="ff_7" localSheetId="96">ERR</definedName>
    <definedName name="ff_7" localSheetId="82">ERR</definedName>
    <definedName name="ff_7" localSheetId="83">ERR</definedName>
    <definedName name="ff_7" localSheetId="84">ERR</definedName>
    <definedName name="ff_7" localSheetId="85">ERR</definedName>
    <definedName name="ff_7" localSheetId="86">ERR</definedName>
    <definedName name="ff_7" localSheetId="87">ERR</definedName>
    <definedName name="ff_7" localSheetId="88">ERR</definedName>
    <definedName name="ff_7" localSheetId="97">ERR</definedName>
    <definedName name="ff_7" localSheetId="105">ERR</definedName>
    <definedName name="ff_7" localSheetId="106">ERR</definedName>
    <definedName name="ff_7" localSheetId="107">ERR</definedName>
    <definedName name="ff_7" localSheetId="108">ERR</definedName>
    <definedName name="ff_7" localSheetId="109">ERR</definedName>
    <definedName name="ff_7" localSheetId="110">ERR</definedName>
    <definedName name="ff_7" localSheetId="111">ERR</definedName>
    <definedName name="ff_7" localSheetId="112">ERR</definedName>
    <definedName name="ff_7" localSheetId="113">ERR</definedName>
    <definedName name="ff_7" localSheetId="114">ERR</definedName>
    <definedName name="ff_7" localSheetId="98">ERR</definedName>
    <definedName name="ff_7" localSheetId="115">ERR</definedName>
    <definedName name="ff_7" localSheetId="116">ERR</definedName>
    <definedName name="ff_7" localSheetId="117">ERR</definedName>
    <definedName name="ff_7" localSheetId="118">ERR</definedName>
    <definedName name="ff_7" localSheetId="119">ERR</definedName>
    <definedName name="ff_7" localSheetId="99">ERR</definedName>
    <definedName name="ff_7" localSheetId="100">ERR</definedName>
    <definedName name="ff_7" localSheetId="101">ERR</definedName>
    <definedName name="ff_7" localSheetId="102">ERR</definedName>
    <definedName name="ff_7" localSheetId="103">ERR</definedName>
    <definedName name="ff_7" localSheetId="104">ERR</definedName>
    <definedName name="ff_7" localSheetId="120">ERR</definedName>
    <definedName name="ff_7" localSheetId="121">ERR</definedName>
    <definedName name="ff_7" localSheetId="122">ERR</definedName>
    <definedName name="ff_7" localSheetId="123">ERR</definedName>
    <definedName name="ff_7" localSheetId="124">ERR</definedName>
    <definedName name="ff_7" localSheetId="125">ERR</definedName>
    <definedName name="ff_7" localSheetId="126">ERR</definedName>
    <definedName name="ff_7" localSheetId="127">ERR</definedName>
    <definedName name="ff_7" localSheetId="128">ERR</definedName>
    <definedName name="ff_7" localSheetId="129">ERR</definedName>
    <definedName name="ff_7" localSheetId="130">ERR</definedName>
    <definedName name="ff_7" localSheetId="131">ERR</definedName>
    <definedName name="ff_7" localSheetId="9">ERR</definedName>
    <definedName name="ff_7" localSheetId="38">ERR</definedName>
    <definedName name="ff_7" localSheetId="2">ERR</definedName>
    <definedName name="ff_7">ERR</definedName>
    <definedName name="ff_8" localSheetId="20">ERR</definedName>
    <definedName name="ff_8" localSheetId="22">ERR</definedName>
    <definedName name="ff_8" localSheetId="33">ERR</definedName>
    <definedName name="ff_8" localSheetId="36">ERR</definedName>
    <definedName name="ff_8" localSheetId="47">ERR</definedName>
    <definedName name="ff_8" localSheetId="48">ERR</definedName>
    <definedName name="ff_8" localSheetId="51">ERR</definedName>
    <definedName name="ff_8" localSheetId="52">ERR</definedName>
    <definedName name="ff_8" localSheetId="53">ERR</definedName>
    <definedName name="ff_8" localSheetId="54">ERR</definedName>
    <definedName name="ff_8" localSheetId="62">ERR</definedName>
    <definedName name="ff_8" localSheetId="63">ERR</definedName>
    <definedName name="ff_8" localSheetId="64">ERR</definedName>
    <definedName name="ff_8" localSheetId="65">ERR</definedName>
    <definedName name="ff_8" localSheetId="66">ERR</definedName>
    <definedName name="ff_8" localSheetId="67">ERR</definedName>
    <definedName name="ff_8" localSheetId="68">ERR</definedName>
    <definedName name="ff_8" localSheetId="55">ERR</definedName>
    <definedName name="ff_8" localSheetId="56">ERR</definedName>
    <definedName name="ff_8" localSheetId="57">ERR</definedName>
    <definedName name="ff_8" localSheetId="58">ERR</definedName>
    <definedName name="ff_8" localSheetId="59">ERR</definedName>
    <definedName name="ff_8" localSheetId="60">ERR</definedName>
    <definedName name="ff_8" localSheetId="61">ERR</definedName>
    <definedName name="ff_8" localSheetId="69">ERR</definedName>
    <definedName name="ff_8" localSheetId="78">ERR</definedName>
    <definedName name="ff_8" localSheetId="79">ERR</definedName>
    <definedName name="ff_8" localSheetId="80">ERR</definedName>
    <definedName name="ff_8" localSheetId="70">ERR</definedName>
    <definedName name="ff_8" localSheetId="71">ERR</definedName>
    <definedName name="ff_8" localSheetId="72">ERR</definedName>
    <definedName name="ff_8" localSheetId="73">ERR</definedName>
    <definedName name="ff_8" localSheetId="74">ERR</definedName>
    <definedName name="ff_8" localSheetId="75">ERR</definedName>
    <definedName name="ff_8" localSheetId="76">ERR</definedName>
    <definedName name="ff_8" localSheetId="77">ERR</definedName>
    <definedName name="ff_8" localSheetId="81">ERR</definedName>
    <definedName name="ff_8" localSheetId="89">ERR</definedName>
    <definedName name="ff_8" localSheetId="90">ERR</definedName>
    <definedName name="ff_8" localSheetId="91">ERR</definedName>
    <definedName name="ff_8" localSheetId="92">ERR</definedName>
    <definedName name="ff_8" localSheetId="93">ERR</definedName>
    <definedName name="ff_8" localSheetId="94">ERR</definedName>
    <definedName name="ff_8" localSheetId="95">ERR</definedName>
    <definedName name="ff_8" localSheetId="96">ERR</definedName>
    <definedName name="ff_8" localSheetId="82">ERR</definedName>
    <definedName name="ff_8" localSheetId="83">ERR</definedName>
    <definedName name="ff_8" localSheetId="84">ERR</definedName>
    <definedName name="ff_8" localSheetId="85">ERR</definedName>
    <definedName name="ff_8" localSheetId="86">ERR</definedName>
    <definedName name="ff_8" localSheetId="87">ERR</definedName>
    <definedName name="ff_8" localSheetId="88">ERR</definedName>
    <definedName name="ff_8" localSheetId="97">ERR</definedName>
    <definedName name="ff_8" localSheetId="105">ERR</definedName>
    <definedName name="ff_8" localSheetId="106">ERR</definedName>
    <definedName name="ff_8" localSheetId="107">ERR</definedName>
    <definedName name="ff_8" localSheetId="108">ERR</definedName>
    <definedName name="ff_8" localSheetId="109">ERR</definedName>
    <definedName name="ff_8" localSheetId="110">ERR</definedName>
    <definedName name="ff_8" localSheetId="111">ERR</definedName>
    <definedName name="ff_8" localSheetId="112">ERR</definedName>
    <definedName name="ff_8" localSheetId="113">ERR</definedName>
    <definedName name="ff_8" localSheetId="114">ERR</definedName>
    <definedName name="ff_8" localSheetId="98">ERR</definedName>
    <definedName name="ff_8" localSheetId="115">ERR</definedName>
    <definedName name="ff_8" localSheetId="116">ERR</definedName>
    <definedName name="ff_8" localSheetId="117">ERR</definedName>
    <definedName name="ff_8" localSheetId="118">ERR</definedName>
    <definedName name="ff_8" localSheetId="119">ERR</definedName>
    <definedName name="ff_8" localSheetId="99">ERR</definedName>
    <definedName name="ff_8" localSheetId="100">ERR</definedName>
    <definedName name="ff_8" localSheetId="101">ERR</definedName>
    <definedName name="ff_8" localSheetId="102">ERR</definedName>
    <definedName name="ff_8" localSheetId="103">ERR</definedName>
    <definedName name="ff_8" localSheetId="104">ERR</definedName>
    <definedName name="ff_8" localSheetId="120">ERR</definedName>
    <definedName name="ff_8" localSheetId="121">ERR</definedName>
    <definedName name="ff_8" localSheetId="122">ERR</definedName>
    <definedName name="ff_8" localSheetId="123">ERR</definedName>
    <definedName name="ff_8" localSheetId="124">ERR</definedName>
    <definedName name="ff_8" localSheetId="125">ERR</definedName>
    <definedName name="ff_8" localSheetId="126">ERR</definedName>
    <definedName name="ff_8" localSheetId="127">ERR</definedName>
    <definedName name="ff_8" localSheetId="128">ERR</definedName>
    <definedName name="ff_8" localSheetId="129">ERR</definedName>
    <definedName name="ff_8" localSheetId="130">ERR</definedName>
    <definedName name="ff_8" localSheetId="131">ERR</definedName>
    <definedName name="ff_8" localSheetId="9">ERR</definedName>
    <definedName name="ff_8" localSheetId="38">ERR</definedName>
    <definedName name="ff_8" localSheetId="2">ERR</definedName>
    <definedName name="ff_8">ERR</definedName>
    <definedName name="ff_9" localSheetId="20">ERR</definedName>
    <definedName name="ff_9" localSheetId="22">ERR</definedName>
    <definedName name="ff_9" localSheetId="33">ERR</definedName>
    <definedName name="ff_9" localSheetId="36">ERR</definedName>
    <definedName name="ff_9" localSheetId="47">ERR</definedName>
    <definedName name="ff_9" localSheetId="48">ERR</definedName>
    <definedName name="ff_9" localSheetId="51">ERR</definedName>
    <definedName name="ff_9" localSheetId="52">ERR</definedName>
    <definedName name="ff_9" localSheetId="53">ERR</definedName>
    <definedName name="ff_9" localSheetId="54">ERR</definedName>
    <definedName name="ff_9" localSheetId="62">ERR</definedName>
    <definedName name="ff_9" localSheetId="63">ERR</definedName>
    <definedName name="ff_9" localSheetId="64">ERR</definedName>
    <definedName name="ff_9" localSheetId="65">ERR</definedName>
    <definedName name="ff_9" localSheetId="66">ERR</definedName>
    <definedName name="ff_9" localSheetId="67">ERR</definedName>
    <definedName name="ff_9" localSheetId="68">ERR</definedName>
    <definedName name="ff_9" localSheetId="55">ERR</definedName>
    <definedName name="ff_9" localSheetId="56">ERR</definedName>
    <definedName name="ff_9" localSheetId="57">ERR</definedName>
    <definedName name="ff_9" localSheetId="58">ERR</definedName>
    <definedName name="ff_9" localSheetId="59">ERR</definedName>
    <definedName name="ff_9" localSheetId="60">ERR</definedName>
    <definedName name="ff_9" localSheetId="61">ERR</definedName>
    <definedName name="ff_9" localSheetId="69">ERR</definedName>
    <definedName name="ff_9" localSheetId="78">ERR</definedName>
    <definedName name="ff_9" localSheetId="79">ERR</definedName>
    <definedName name="ff_9" localSheetId="80">ERR</definedName>
    <definedName name="ff_9" localSheetId="70">ERR</definedName>
    <definedName name="ff_9" localSheetId="71">ERR</definedName>
    <definedName name="ff_9" localSheetId="72">ERR</definedName>
    <definedName name="ff_9" localSheetId="73">ERR</definedName>
    <definedName name="ff_9" localSheetId="74">ERR</definedName>
    <definedName name="ff_9" localSheetId="75">ERR</definedName>
    <definedName name="ff_9" localSheetId="76">ERR</definedName>
    <definedName name="ff_9" localSheetId="77">ERR</definedName>
    <definedName name="ff_9" localSheetId="81">ERR</definedName>
    <definedName name="ff_9" localSheetId="89">ERR</definedName>
    <definedName name="ff_9" localSheetId="90">ERR</definedName>
    <definedName name="ff_9" localSheetId="91">ERR</definedName>
    <definedName name="ff_9" localSheetId="92">ERR</definedName>
    <definedName name="ff_9" localSheetId="93">ERR</definedName>
    <definedName name="ff_9" localSheetId="94">ERR</definedName>
    <definedName name="ff_9" localSheetId="95">ERR</definedName>
    <definedName name="ff_9" localSheetId="96">ERR</definedName>
    <definedName name="ff_9" localSheetId="82">ERR</definedName>
    <definedName name="ff_9" localSheetId="83">ERR</definedName>
    <definedName name="ff_9" localSheetId="84">ERR</definedName>
    <definedName name="ff_9" localSheetId="85">ERR</definedName>
    <definedName name="ff_9" localSheetId="86">ERR</definedName>
    <definedName name="ff_9" localSheetId="87">ERR</definedName>
    <definedName name="ff_9" localSheetId="88">ERR</definedName>
    <definedName name="ff_9" localSheetId="97">ERR</definedName>
    <definedName name="ff_9" localSheetId="105">ERR</definedName>
    <definedName name="ff_9" localSheetId="106">ERR</definedName>
    <definedName name="ff_9" localSheetId="107">ERR</definedName>
    <definedName name="ff_9" localSheetId="108">ERR</definedName>
    <definedName name="ff_9" localSheetId="109">ERR</definedName>
    <definedName name="ff_9" localSheetId="110">ERR</definedName>
    <definedName name="ff_9" localSheetId="111">ERR</definedName>
    <definedName name="ff_9" localSheetId="112">ERR</definedName>
    <definedName name="ff_9" localSheetId="113">ERR</definedName>
    <definedName name="ff_9" localSheetId="114">ERR</definedName>
    <definedName name="ff_9" localSheetId="98">ERR</definedName>
    <definedName name="ff_9" localSheetId="115">ERR</definedName>
    <definedName name="ff_9" localSheetId="116">ERR</definedName>
    <definedName name="ff_9" localSheetId="117">ERR</definedName>
    <definedName name="ff_9" localSheetId="118">ERR</definedName>
    <definedName name="ff_9" localSheetId="119">ERR</definedName>
    <definedName name="ff_9" localSheetId="99">ERR</definedName>
    <definedName name="ff_9" localSheetId="100">ERR</definedName>
    <definedName name="ff_9" localSheetId="101">ERR</definedName>
    <definedName name="ff_9" localSheetId="102">ERR</definedName>
    <definedName name="ff_9" localSheetId="103">ERR</definedName>
    <definedName name="ff_9" localSheetId="104">ERR</definedName>
    <definedName name="ff_9" localSheetId="120">ERR</definedName>
    <definedName name="ff_9" localSheetId="121">ERR</definedName>
    <definedName name="ff_9" localSheetId="122">ERR</definedName>
    <definedName name="ff_9" localSheetId="123">ERR</definedName>
    <definedName name="ff_9" localSheetId="124">ERR</definedName>
    <definedName name="ff_9" localSheetId="125">ERR</definedName>
    <definedName name="ff_9" localSheetId="126">ERR</definedName>
    <definedName name="ff_9" localSheetId="127">ERR</definedName>
    <definedName name="ff_9" localSheetId="128">ERR</definedName>
    <definedName name="ff_9" localSheetId="129">ERR</definedName>
    <definedName name="ff_9" localSheetId="130">ERR</definedName>
    <definedName name="ff_9" localSheetId="131">ERR</definedName>
    <definedName name="ff_9" localSheetId="9">ERR</definedName>
    <definedName name="ff_9" localSheetId="38">ERR</definedName>
    <definedName name="ff_9" localSheetId="2">ERR</definedName>
    <definedName name="ff_9">ERR</definedName>
    <definedName name="FINANCIACION" localSheetId="20">[0]!ERR</definedName>
    <definedName name="FINANCIACION" localSheetId="22">[0]!ERR</definedName>
    <definedName name="FINANCIACION" localSheetId="33">[0]!ERR</definedName>
    <definedName name="FINANCIACION" localSheetId="36">[0]!ERR</definedName>
    <definedName name="FINANCIACION" localSheetId="47">[0]!ERR</definedName>
    <definedName name="FINANCIACION" localSheetId="48">[0]!ERR</definedName>
    <definedName name="FINANCIACION" localSheetId="51">[0]!ERR</definedName>
    <definedName name="FINANCIACION" localSheetId="52">[0]!ERR</definedName>
    <definedName name="FINANCIACION" localSheetId="53">[0]!ERR</definedName>
    <definedName name="FINANCIACION" localSheetId="54">[0]!ERR</definedName>
    <definedName name="FINANCIACION" localSheetId="62">[0]!ERR</definedName>
    <definedName name="FINANCIACION" localSheetId="63">[0]!ERR</definedName>
    <definedName name="FINANCIACION" localSheetId="64">[0]!ERR</definedName>
    <definedName name="FINANCIACION" localSheetId="65">[0]!ERR</definedName>
    <definedName name="FINANCIACION" localSheetId="66">[0]!ERR</definedName>
    <definedName name="FINANCIACION" localSheetId="67">[0]!ERR</definedName>
    <definedName name="FINANCIACION" localSheetId="68">[0]!ERR</definedName>
    <definedName name="FINANCIACION" localSheetId="55">[0]!ERR</definedName>
    <definedName name="FINANCIACION" localSheetId="56">[0]!ERR</definedName>
    <definedName name="FINANCIACION" localSheetId="57">[0]!ERR</definedName>
    <definedName name="FINANCIACION" localSheetId="58">[0]!ERR</definedName>
    <definedName name="FINANCIACION" localSheetId="59">[0]!ERR</definedName>
    <definedName name="FINANCIACION" localSheetId="60">[0]!ERR</definedName>
    <definedName name="FINANCIACION" localSheetId="61">[0]!ERR</definedName>
    <definedName name="FINANCIACION" localSheetId="69">[0]!ERR</definedName>
    <definedName name="FINANCIACION" localSheetId="78">[0]!ERR</definedName>
    <definedName name="FINANCIACION" localSheetId="79">[0]!ERR</definedName>
    <definedName name="FINANCIACION" localSheetId="80">[0]!ERR</definedName>
    <definedName name="FINANCIACION" localSheetId="70">[0]!ERR</definedName>
    <definedName name="FINANCIACION" localSheetId="71">[0]!ERR</definedName>
    <definedName name="FINANCIACION" localSheetId="72">[0]!ERR</definedName>
    <definedName name="FINANCIACION" localSheetId="73">[0]!ERR</definedName>
    <definedName name="FINANCIACION" localSheetId="74">[0]!ERR</definedName>
    <definedName name="FINANCIACION" localSheetId="75">[0]!ERR</definedName>
    <definedName name="FINANCIACION" localSheetId="76">[0]!ERR</definedName>
    <definedName name="FINANCIACION" localSheetId="77">[0]!ERR</definedName>
    <definedName name="FINANCIACION" localSheetId="81">[0]!ERR</definedName>
    <definedName name="FINANCIACION" localSheetId="89">[0]!ERR</definedName>
    <definedName name="FINANCIACION" localSheetId="90">[0]!ERR</definedName>
    <definedName name="FINANCIACION" localSheetId="91">[0]!ERR</definedName>
    <definedName name="FINANCIACION" localSheetId="92">[0]!ERR</definedName>
    <definedName name="FINANCIACION" localSheetId="93">[0]!ERR</definedName>
    <definedName name="FINANCIACION" localSheetId="94">[0]!ERR</definedName>
    <definedName name="FINANCIACION" localSheetId="95">[0]!ERR</definedName>
    <definedName name="FINANCIACION" localSheetId="96">[0]!ERR</definedName>
    <definedName name="FINANCIACION" localSheetId="82">[0]!ERR</definedName>
    <definedName name="FINANCIACION" localSheetId="83">[0]!ERR</definedName>
    <definedName name="FINANCIACION" localSheetId="84">[0]!ERR</definedName>
    <definedName name="FINANCIACION" localSheetId="85">[0]!ERR</definedName>
    <definedName name="FINANCIACION" localSheetId="86">[0]!ERR</definedName>
    <definedName name="FINANCIACION" localSheetId="87">[0]!ERR</definedName>
    <definedName name="FINANCIACION" localSheetId="88">[0]!ERR</definedName>
    <definedName name="FINANCIACION" localSheetId="97">[0]!ERR</definedName>
    <definedName name="FINANCIACION" localSheetId="105">[0]!ERR</definedName>
    <definedName name="FINANCIACION" localSheetId="106">[0]!ERR</definedName>
    <definedName name="FINANCIACION" localSheetId="107">[0]!ERR</definedName>
    <definedName name="FINANCIACION" localSheetId="108">[0]!ERR</definedName>
    <definedName name="FINANCIACION" localSheetId="109">[0]!ERR</definedName>
    <definedName name="FINANCIACION" localSheetId="110">[0]!ERR</definedName>
    <definedName name="FINANCIACION" localSheetId="111">[0]!ERR</definedName>
    <definedName name="FINANCIACION" localSheetId="112">[0]!ERR</definedName>
    <definedName name="FINANCIACION" localSheetId="113">[0]!ERR</definedName>
    <definedName name="FINANCIACION" localSheetId="114">[0]!ERR</definedName>
    <definedName name="FINANCIACION" localSheetId="98">[0]!ERR</definedName>
    <definedName name="FINANCIACION" localSheetId="115">[0]!ERR</definedName>
    <definedName name="FINANCIACION" localSheetId="116">[0]!ERR</definedName>
    <definedName name="FINANCIACION" localSheetId="117">[0]!ERR</definedName>
    <definedName name="FINANCIACION" localSheetId="118">[0]!ERR</definedName>
    <definedName name="FINANCIACION" localSheetId="119">[0]!ERR</definedName>
    <definedName name="FINANCIACION" localSheetId="99">[0]!ERR</definedName>
    <definedName name="FINANCIACION" localSheetId="100">[0]!ERR</definedName>
    <definedName name="FINANCIACION" localSheetId="101">[0]!ERR</definedName>
    <definedName name="FINANCIACION" localSheetId="102">[0]!ERR</definedName>
    <definedName name="FINANCIACION" localSheetId="103">[0]!ERR</definedName>
    <definedName name="FINANCIACION" localSheetId="104">[0]!ERR</definedName>
    <definedName name="FINANCIACION" localSheetId="120">[0]!ERR</definedName>
    <definedName name="FINANCIACION" localSheetId="121">[0]!ERR</definedName>
    <definedName name="FINANCIACION" localSheetId="122">[0]!ERR</definedName>
    <definedName name="FINANCIACION" localSheetId="123">[0]!ERR</definedName>
    <definedName name="FINANCIACION" localSheetId="124">[0]!ERR</definedName>
    <definedName name="FINANCIACION" localSheetId="125">[0]!ERR</definedName>
    <definedName name="FINANCIACION" localSheetId="126">[0]!ERR</definedName>
    <definedName name="FINANCIACION" localSheetId="127">[0]!ERR</definedName>
    <definedName name="FINANCIACION" localSheetId="128">[0]!ERR</definedName>
    <definedName name="FINANCIACION" localSheetId="129">[0]!ERR</definedName>
    <definedName name="FINANCIACION" localSheetId="130">[0]!ERR</definedName>
    <definedName name="FINANCIACION" localSheetId="131">[0]!ERR</definedName>
    <definedName name="FINANCIACION" localSheetId="38">[0]!ERR</definedName>
    <definedName name="FINANCIACION" localSheetId="2">[0]!ERR</definedName>
    <definedName name="FINANCIACION">[0]!ERR</definedName>
    <definedName name="FINANCIACION_10" localSheetId="20">ERR</definedName>
    <definedName name="FINANCIACION_10" localSheetId="22">ERR</definedName>
    <definedName name="FINANCIACION_10" localSheetId="33">ERR</definedName>
    <definedName name="FINANCIACION_10" localSheetId="36">ERR</definedName>
    <definedName name="FINANCIACION_10" localSheetId="47">ERR</definedName>
    <definedName name="FINANCIACION_10" localSheetId="48">ERR</definedName>
    <definedName name="FINANCIACION_10" localSheetId="51">ERR</definedName>
    <definedName name="FINANCIACION_10" localSheetId="52">ERR</definedName>
    <definedName name="FINANCIACION_10" localSheetId="53">ERR</definedName>
    <definedName name="FINANCIACION_10" localSheetId="54">ERR</definedName>
    <definedName name="FINANCIACION_10" localSheetId="62">ERR</definedName>
    <definedName name="FINANCIACION_10" localSheetId="63">ERR</definedName>
    <definedName name="FINANCIACION_10" localSheetId="64">ERR</definedName>
    <definedName name="FINANCIACION_10" localSheetId="65">ERR</definedName>
    <definedName name="FINANCIACION_10" localSheetId="66">ERR</definedName>
    <definedName name="FINANCIACION_10" localSheetId="67">ERR</definedName>
    <definedName name="FINANCIACION_10" localSheetId="68">ERR</definedName>
    <definedName name="FINANCIACION_10" localSheetId="55">ERR</definedName>
    <definedName name="FINANCIACION_10" localSheetId="56">ERR</definedName>
    <definedName name="FINANCIACION_10" localSheetId="57">ERR</definedName>
    <definedName name="FINANCIACION_10" localSheetId="58">ERR</definedName>
    <definedName name="FINANCIACION_10" localSheetId="59">ERR</definedName>
    <definedName name="FINANCIACION_10" localSheetId="60">ERR</definedName>
    <definedName name="FINANCIACION_10" localSheetId="61">ERR</definedName>
    <definedName name="FINANCIACION_10" localSheetId="69">ERR</definedName>
    <definedName name="FINANCIACION_10" localSheetId="78">ERR</definedName>
    <definedName name="FINANCIACION_10" localSheetId="79">ERR</definedName>
    <definedName name="FINANCIACION_10" localSheetId="80">ERR</definedName>
    <definedName name="FINANCIACION_10" localSheetId="70">ERR</definedName>
    <definedName name="FINANCIACION_10" localSheetId="71">ERR</definedName>
    <definedName name="FINANCIACION_10" localSheetId="72">ERR</definedName>
    <definedName name="FINANCIACION_10" localSheetId="73">ERR</definedName>
    <definedName name="FINANCIACION_10" localSheetId="74">ERR</definedName>
    <definedName name="FINANCIACION_10" localSheetId="75">ERR</definedName>
    <definedName name="FINANCIACION_10" localSheetId="76">ERR</definedName>
    <definedName name="FINANCIACION_10" localSheetId="77">ERR</definedName>
    <definedName name="FINANCIACION_10" localSheetId="81">ERR</definedName>
    <definedName name="FINANCIACION_10" localSheetId="89">ERR</definedName>
    <definedName name="FINANCIACION_10" localSheetId="90">ERR</definedName>
    <definedName name="FINANCIACION_10" localSheetId="91">ERR</definedName>
    <definedName name="FINANCIACION_10" localSheetId="92">ERR</definedName>
    <definedName name="FINANCIACION_10" localSheetId="93">ERR</definedName>
    <definedName name="FINANCIACION_10" localSheetId="94">ERR</definedName>
    <definedName name="FINANCIACION_10" localSheetId="95">ERR</definedName>
    <definedName name="FINANCIACION_10" localSheetId="96">ERR</definedName>
    <definedName name="FINANCIACION_10" localSheetId="82">ERR</definedName>
    <definedName name="FINANCIACION_10" localSheetId="83">ERR</definedName>
    <definedName name="FINANCIACION_10" localSheetId="84">ERR</definedName>
    <definedName name="FINANCIACION_10" localSheetId="85">ERR</definedName>
    <definedName name="FINANCIACION_10" localSheetId="86">ERR</definedName>
    <definedName name="FINANCIACION_10" localSheetId="87">ERR</definedName>
    <definedName name="FINANCIACION_10" localSheetId="88">ERR</definedName>
    <definedName name="FINANCIACION_10" localSheetId="97">ERR</definedName>
    <definedName name="FINANCIACION_10" localSheetId="105">ERR</definedName>
    <definedName name="FINANCIACION_10" localSheetId="106">ERR</definedName>
    <definedName name="FINANCIACION_10" localSheetId="107">ERR</definedName>
    <definedName name="FINANCIACION_10" localSheetId="108">ERR</definedName>
    <definedName name="FINANCIACION_10" localSheetId="109">ERR</definedName>
    <definedName name="FINANCIACION_10" localSheetId="110">ERR</definedName>
    <definedName name="FINANCIACION_10" localSheetId="111">ERR</definedName>
    <definedName name="FINANCIACION_10" localSheetId="112">ERR</definedName>
    <definedName name="FINANCIACION_10" localSheetId="113">ERR</definedName>
    <definedName name="FINANCIACION_10" localSheetId="114">ERR</definedName>
    <definedName name="FINANCIACION_10" localSheetId="98">ERR</definedName>
    <definedName name="FINANCIACION_10" localSheetId="115">ERR</definedName>
    <definedName name="FINANCIACION_10" localSheetId="116">ERR</definedName>
    <definedName name="FINANCIACION_10" localSheetId="117">ERR</definedName>
    <definedName name="FINANCIACION_10" localSheetId="118">ERR</definedName>
    <definedName name="FINANCIACION_10" localSheetId="119">ERR</definedName>
    <definedName name="FINANCIACION_10" localSheetId="99">ERR</definedName>
    <definedName name="FINANCIACION_10" localSheetId="100">ERR</definedName>
    <definedName name="FINANCIACION_10" localSheetId="101">ERR</definedName>
    <definedName name="FINANCIACION_10" localSheetId="102">ERR</definedName>
    <definedName name="FINANCIACION_10" localSheetId="103">ERR</definedName>
    <definedName name="FINANCIACION_10" localSheetId="104">ERR</definedName>
    <definedName name="FINANCIACION_10" localSheetId="120">ERR</definedName>
    <definedName name="FINANCIACION_10" localSheetId="121">ERR</definedName>
    <definedName name="FINANCIACION_10" localSheetId="122">ERR</definedName>
    <definedName name="FINANCIACION_10" localSheetId="123">ERR</definedName>
    <definedName name="FINANCIACION_10" localSheetId="124">ERR</definedName>
    <definedName name="FINANCIACION_10" localSheetId="125">ERR</definedName>
    <definedName name="FINANCIACION_10" localSheetId="126">ERR</definedName>
    <definedName name="FINANCIACION_10" localSheetId="127">ERR</definedName>
    <definedName name="FINANCIACION_10" localSheetId="128">ERR</definedName>
    <definedName name="FINANCIACION_10" localSheetId="129">ERR</definedName>
    <definedName name="FINANCIACION_10" localSheetId="130">ERR</definedName>
    <definedName name="FINANCIACION_10" localSheetId="131">ERR</definedName>
    <definedName name="FINANCIACION_10" localSheetId="9">ERR</definedName>
    <definedName name="FINANCIACION_10" localSheetId="38">ERR</definedName>
    <definedName name="FINANCIACION_10" localSheetId="2">ERR</definedName>
    <definedName name="FINANCIACION_10">ERR</definedName>
    <definedName name="FINANCIACION_3" localSheetId="20">ERR</definedName>
    <definedName name="FINANCIACION_3" localSheetId="22">ERR</definedName>
    <definedName name="FINANCIACION_3" localSheetId="33">ERR</definedName>
    <definedName name="FINANCIACION_3" localSheetId="36">ERR</definedName>
    <definedName name="FINANCIACION_3" localSheetId="47">ERR</definedName>
    <definedName name="FINANCIACION_3" localSheetId="48">ERR</definedName>
    <definedName name="FINANCIACION_3" localSheetId="51">ERR</definedName>
    <definedName name="FINANCIACION_3" localSheetId="52">ERR</definedName>
    <definedName name="FINANCIACION_3" localSheetId="53">ERR</definedName>
    <definedName name="FINANCIACION_3" localSheetId="54">ERR</definedName>
    <definedName name="FINANCIACION_3" localSheetId="62">ERR</definedName>
    <definedName name="FINANCIACION_3" localSheetId="63">ERR</definedName>
    <definedName name="FINANCIACION_3" localSheetId="64">ERR</definedName>
    <definedName name="FINANCIACION_3" localSheetId="65">ERR</definedName>
    <definedName name="FINANCIACION_3" localSheetId="66">ERR</definedName>
    <definedName name="FINANCIACION_3" localSheetId="67">ERR</definedName>
    <definedName name="FINANCIACION_3" localSheetId="68">ERR</definedName>
    <definedName name="FINANCIACION_3" localSheetId="55">ERR</definedName>
    <definedName name="FINANCIACION_3" localSheetId="56">ERR</definedName>
    <definedName name="FINANCIACION_3" localSheetId="57">ERR</definedName>
    <definedName name="FINANCIACION_3" localSheetId="58">ERR</definedName>
    <definedName name="FINANCIACION_3" localSheetId="59">ERR</definedName>
    <definedName name="FINANCIACION_3" localSheetId="60">ERR</definedName>
    <definedName name="FINANCIACION_3" localSheetId="61">ERR</definedName>
    <definedName name="FINANCIACION_3" localSheetId="69">ERR</definedName>
    <definedName name="FINANCIACION_3" localSheetId="78">ERR</definedName>
    <definedName name="FINANCIACION_3" localSheetId="79">ERR</definedName>
    <definedName name="FINANCIACION_3" localSheetId="80">ERR</definedName>
    <definedName name="FINANCIACION_3" localSheetId="70">ERR</definedName>
    <definedName name="FINANCIACION_3" localSheetId="71">ERR</definedName>
    <definedName name="FINANCIACION_3" localSheetId="72">ERR</definedName>
    <definedName name="FINANCIACION_3" localSheetId="73">ERR</definedName>
    <definedName name="FINANCIACION_3" localSheetId="74">ERR</definedName>
    <definedName name="FINANCIACION_3" localSheetId="75">ERR</definedName>
    <definedName name="FINANCIACION_3" localSheetId="76">ERR</definedName>
    <definedName name="FINANCIACION_3" localSheetId="77">ERR</definedName>
    <definedName name="FINANCIACION_3" localSheetId="81">ERR</definedName>
    <definedName name="FINANCIACION_3" localSheetId="89">ERR</definedName>
    <definedName name="FINANCIACION_3" localSheetId="90">ERR</definedName>
    <definedName name="FINANCIACION_3" localSheetId="91">ERR</definedName>
    <definedName name="FINANCIACION_3" localSheetId="92">ERR</definedName>
    <definedName name="FINANCIACION_3" localSheetId="93">ERR</definedName>
    <definedName name="FINANCIACION_3" localSheetId="94">ERR</definedName>
    <definedName name="FINANCIACION_3" localSheetId="95">ERR</definedName>
    <definedName name="FINANCIACION_3" localSheetId="96">ERR</definedName>
    <definedName name="FINANCIACION_3" localSheetId="82">ERR</definedName>
    <definedName name="FINANCIACION_3" localSheetId="83">ERR</definedName>
    <definedName name="FINANCIACION_3" localSheetId="84">ERR</definedName>
    <definedName name="FINANCIACION_3" localSheetId="85">ERR</definedName>
    <definedName name="FINANCIACION_3" localSheetId="86">ERR</definedName>
    <definedName name="FINANCIACION_3" localSheetId="87">ERR</definedName>
    <definedName name="FINANCIACION_3" localSheetId="88">ERR</definedName>
    <definedName name="FINANCIACION_3" localSheetId="97">ERR</definedName>
    <definedName name="FINANCIACION_3" localSheetId="105">ERR</definedName>
    <definedName name="FINANCIACION_3" localSheetId="106">ERR</definedName>
    <definedName name="FINANCIACION_3" localSheetId="107">ERR</definedName>
    <definedName name="FINANCIACION_3" localSheetId="108">ERR</definedName>
    <definedName name="FINANCIACION_3" localSheetId="109">ERR</definedName>
    <definedName name="FINANCIACION_3" localSheetId="110">ERR</definedName>
    <definedName name="FINANCIACION_3" localSheetId="111">ERR</definedName>
    <definedName name="FINANCIACION_3" localSheetId="112">ERR</definedName>
    <definedName name="FINANCIACION_3" localSheetId="113">ERR</definedName>
    <definedName name="FINANCIACION_3" localSheetId="114">ERR</definedName>
    <definedName name="FINANCIACION_3" localSheetId="98">ERR</definedName>
    <definedName name="FINANCIACION_3" localSheetId="115">ERR</definedName>
    <definedName name="FINANCIACION_3" localSheetId="116">ERR</definedName>
    <definedName name="FINANCIACION_3" localSheetId="117">ERR</definedName>
    <definedName name="FINANCIACION_3" localSheetId="118">ERR</definedName>
    <definedName name="FINANCIACION_3" localSheetId="119">ERR</definedName>
    <definedName name="FINANCIACION_3" localSheetId="99">ERR</definedName>
    <definedName name="FINANCIACION_3" localSheetId="100">ERR</definedName>
    <definedName name="FINANCIACION_3" localSheetId="101">ERR</definedName>
    <definedName name="FINANCIACION_3" localSheetId="102">ERR</definedName>
    <definedName name="FINANCIACION_3" localSheetId="103">ERR</definedName>
    <definedName name="FINANCIACION_3" localSheetId="104">ERR</definedName>
    <definedName name="FINANCIACION_3" localSheetId="120">ERR</definedName>
    <definedName name="FINANCIACION_3" localSheetId="121">ERR</definedName>
    <definedName name="FINANCIACION_3" localSheetId="122">ERR</definedName>
    <definedName name="FINANCIACION_3" localSheetId="123">ERR</definedName>
    <definedName name="FINANCIACION_3" localSheetId="124">ERR</definedName>
    <definedName name="FINANCIACION_3" localSheetId="125">ERR</definedName>
    <definedName name="FINANCIACION_3" localSheetId="126">ERR</definedName>
    <definedName name="FINANCIACION_3" localSheetId="127">ERR</definedName>
    <definedName name="FINANCIACION_3" localSheetId="128">ERR</definedName>
    <definedName name="FINANCIACION_3" localSheetId="129">ERR</definedName>
    <definedName name="FINANCIACION_3" localSheetId="130">ERR</definedName>
    <definedName name="FINANCIACION_3" localSheetId="131">ERR</definedName>
    <definedName name="FINANCIACION_3" localSheetId="9">ERR</definedName>
    <definedName name="FINANCIACION_3" localSheetId="38">ERR</definedName>
    <definedName name="FINANCIACION_3" localSheetId="2">ERR</definedName>
    <definedName name="FINANCIACION_3">ERR</definedName>
    <definedName name="FINANCIACION_4" localSheetId="20">ERR</definedName>
    <definedName name="FINANCIACION_4" localSheetId="22">ERR</definedName>
    <definedName name="FINANCIACION_4" localSheetId="33">ERR</definedName>
    <definedName name="FINANCIACION_4" localSheetId="36">ERR</definedName>
    <definedName name="FINANCIACION_4" localSheetId="47">ERR</definedName>
    <definedName name="FINANCIACION_4" localSheetId="48">ERR</definedName>
    <definedName name="FINANCIACION_4" localSheetId="51">ERR</definedName>
    <definedName name="FINANCIACION_4" localSheetId="52">ERR</definedName>
    <definedName name="FINANCIACION_4" localSheetId="53">ERR</definedName>
    <definedName name="FINANCIACION_4" localSheetId="54">ERR</definedName>
    <definedName name="FINANCIACION_4" localSheetId="62">ERR</definedName>
    <definedName name="FINANCIACION_4" localSheetId="63">ERR</definedName>
    <definedName name="FINANCIACION_4" localSheetId="64">ERR</definedName>
    <definedName name="FINANCIACION_4" localSheetId="65">ERR</definedName>
    <definedName name="FINANCIACION_4" localSheetId="66">ERR</definedName>
    <definedName name="FINANCIACION_4" localSheetId="67">ERR</definedName>
    <definedName name="FINANCIACION_4" localSheetId="68">ERR</definedName>
    <definedName name="FINANCIACION_4" localSheetId="55">ERR</definedName>
    <definedName name="FINANCIACION_4" localSheetId="56">ERR</definedName>
    <definedName name="FINANCIACION_4" localSheetId="57">ERR</definedName>
    <definedName name="FINANCIACION_4" localSheetId="58">ERR</definedName>
    <definedName name="FINANCIACION_4" localSheetId="59">ERR</definedName>
    <definedName name="FINANCIACION_4" localSheetId="60">ERR</definedName>
    <definedName name="FINANCIACION_4" localSheetId="61">ERR</definedName>
    <definedName name="FINANCIACION_4" localSheetId="69">ERR</definedName>
    <definedName name="FINANCIACION_4" localSheetId="78">ERR</definedName>
    <definedName name="FINANCIACION_4" localSheetId="79">ERR</definedName>
    <definedName name="FINANCIACION_4" localSheetId="80">ERR</definedName>
    <definedName name="FINANCIACION_4" localSheetId="70">ERR</definedName>
    <definedName name="FINANCIACION_4" localSheetId="71">ERR</definedName>
    <definedName name="FINANCIACION_4" localSheetId="72">ERR</definedName>
    <definedName name="FINANCIACION_4" localSheetId="73">ERR</definedName>
    <definedName name="FINANCIACION_4" localSheetId="74">ERR</definedName>
    <definedName name="FINANCIACION_4" localSheetId="75">ERR</definedName>
    <definedName name="FINANCIACION_4" localSheetId="76">ERR</definedName>
    <definedName name="FINANCIACION_4" localSheetId="77">ERR</definedName>
    <definedName name="FINANCIACION_4" localSheetId="81">ERR</definedName>
    <definedName name="FINANCIACION_4" localSheetId="89">ERR</definedName>
    <definedName name="FINANCIACION_4" localSheetId="90">ERR</definedName>
    <definedName name="FINANCIACION_4" localSheetId="91">ERR</definedName>
    <definedName name="FINANCIACION_4" localSheetId="92">ERR</definedName>
    <definedName name="FINANCIACION_4" localSheetId="93">ERR</definedName>
    <definedName name="FINANCIACION_4" localSheetId="94">ERR</definedName>
    <definedName name="FINANCIACION_4" localSheetId="95">ERR</definedName>
    <definedName name="FINANCIACION_4" localSheetId="96">ERR</definedName>
    <definedName name="FINANCIACION_4" localSheetId="82">ERR</definedName>
    <definedName name="FINANCIACION_4" localSheetId="83">ERR</definedName>
    <definedName name="FINANCIACION_4" localSheetId="84">ERR</definedName>
    <definedName name="FINANCIACION_4" localSheetId="85">ERR</definedName>
    <definedName name="FINANCIACION_4" localSheetId="86">ERR</definedName>
    <definedName name="FINANCIACION_4" localSheetId="87">ERR</definedName>
    <definedName name="FINANCIACION_4" localSheetId="88">ERR</definedName>
    <definedName name="FINANCIACION_4" localSheetId="97">ERR</definedName>
    <definedName name="FINANCIACION_4" localSheetId="105">ERR</definedName>
    <definedName name="FINANCIACION_4" localSheetId="106">ERR</definedName>
    <definedName name="FINANCIACION_4" localSheetId="107">ERR</definedName>
    <definedName name="FINANCIACION_4" localSheetId="108">ERR</definedName>
    <definedName name="FINANCIACION_4" localSheetId="109">ERR</definedName>
    <definedName name="FINANCIACION_4" localSheetId="110">ERR</definedName>
    <definedName name="FINANCIACION_4" localSheetId="111">ERR</definedName>
    <definedName name="FINANCIACION_4" localSheetId="112">ERR</definedName>
    <definedName name="FINANCIACION_4" localSheetId="113">ERR</definedName>
    <definedName name="FINANCIACION_4" localSheetId="114">ERR</definedName>
    <definedName name="FINANCIACION_4" localSheetId="98">ERR</definedName>
    <definedName name="FINANCIACION_4" localSheetId="115">ERR</definedName>
    <definedName name="FINANCIACION_4" localSheetId="116">ERR</definedName>
    <definedName name="FINANCIACION_4" localSheetId="117">ERR</definedName>
    <definedName name="FINANCIACION_4" localSheetId="118">ERR</definedName>
    <definedName name="FINANCIACION_4" localSheetId="119">ERR</definedName>
    <definedName name="FINANCIACION_4" localSheetId="99">ERR</definedName>
    <definedName name="FINANCIACION_4" localSheetId="100">ERR</definedName>
    <definedName name="FINANCIACION_4" localSheetId="101">ERR</definedName>
    <definedName name="FINANCIACION_4" localSheetId="102">ERR</definedName>
    <definedName name="FINANCIACION_4" localSheetId="103">ERR</definedName>
    <definedName name="FINANCIACION_4" localSheetId="104">ERR</definedName>
    <definedName name="FINANCIACION_4" localSheetId="120">ERR</definedName>
    <definedName name="FINANCIACION_4" localSheetId="121">ERR</definedName>
    <definedName name="FINANCIACION_4" localSheetId="122">ERR</definedName>
    <definedName name="FINANCIACION_4" localSheetId="123">ERR</definedName>
    <definedName name="FINANCIACION_4" localSheetId="124">ERR</definedName>
    <definedName name="FINANCIACION_4" localSheetId="125">ERR</definedName>
    <definedName name="FINANCIACION_4" localSheetId="126">ERR</definedName>
    <definedName name="FINANCIACION_4" localSheetId="127">ERR</definedName>
    <definedName name="FINANCIACION_4" localSheetId="128">ERR</definedName>
    <definedName name="FINANCIACION_4" localSheetId="129">ERR</definedName>
    <definedName name="FINANCIACION_4" localSheetId="130">ERR</definedName>
    <definedName name="FINANCIACION_4" localSheetId="131">ERR</definedName>
    <definedName name="FINANCIACION_4" localSheetId="9">ERR</definedName>
    <definedName name="FINANCIACION_4" localSheetId="38">ERR</definedName>
    <definedName name="FINANCIACION_4" localSheetId="2">ERR</definedName>
    <definedName name="FINANCIACION_4">ERR</definedName>
    <definedName name="FINANCIACION_5" localSheetId="20">ERR</definedName>
    <definedName name="FINANCIACION_5" localSheetId="22">ERR</definedName>
    <definedName name="FINANCIACION_5" localSheetId="33">ERR</definedName>
    <definedName name="FINANCIACION_5" localSheetId="36">ERR</definedName>
    <definedName name="FINANCIACION_5" localSheetId="47">ERR</definedName>
    <definedName name="FINANCIACION_5" localSheetId="48">ERR</definedName>
    <definedName name="FINANCIACION_5" localSheetId="51">ERR</definedName>
    <definedName name="FINANCIACION_5" localSheetId="52">ERR</definedName>
    <definedName name="FINANCIACION_5" localSheetId="53">ERR</definedName>
    <definedName name="FINANCIACION_5" localSheetId="54">ERR</definedName>
    <definedName name="FINANCIACION_5" localSheetId="62">ERR</definedName>
    <definedName name="FINANCIACION_5" localSheetId="63">ERR</definedName>
    <definedName name="FINANCIACION_5" localSheetId="64">ERR</definedName>
    <definedName name="FINANCIACION_5" localSheetId="65">ERR</definedName>
    <definedName name="FINANCIACION_5" localSheetId="66">ERR</definedName>
    <definedName name="FINANCIACION_5" localSheetId="67">ERR</definedName>
    <definedName name="FINANCIACION_5" localSheetId="68">ERR</definedName>
    <definedName name="FINANCIACION_5" localSheetId="55">ERR</definedName>
    <definedName name="FINANCIACION_5" localSheetId="56">ERR</definedName>
    <definedName name="FINANCIACION_5" localSheetId="57">ERR</definedName>
    <definedName name="FINANCIACION_5" localSheetId="58">ERR</definedName>
    <definedName name="FINANCIACION_5" localSheetId="59">ERR</definedName>
    <definedName name="FINANCIACION_5" localSheetId="60">ERR</definedName>
    <definedName name="FINANCIACION_5" localSheetId="61">ERR</definedName>
    <definedName name="FINANCIACION_5" localSheetId="69">ERR</definedName>
    <definedName name="FINANCIACION_5" localSheetId="78">ERR</definedName>
    <definedName name="FINANCIACION_5" localSheetId="79">ERR</definedName>
    <definedName name="FINANCIACION_5" localSheetId="80">ERR</definedName>
    <definedName name="FINANCIACION_5" localSheetId="70">ERR</definedName>
    <definedName name="FINANCIACION_5" localSheetId="71">ERR</definedName>
    <definedName name="FINANCIACION_5" localSheetId="72">ERR</definedName>
    <definedName name="FINANCIACION_5" localSheetId="73">ERR</definedName>
    <definedName name="FINANCIACION_5" localSheetId="74">ERR</definedName>
    <definedName name="FINANCIACION_5" localSheetId="75">ERR</definedName>
    <definedName name="FINANCIACION_5" localSheetId="76">ERR</definedName>
    <definedName name="FINANCIACION_5" localSheetId="77">ERR</definedName>
    <definedName name="FINANCIACION_5" localSheetId="81">ERR</definedName>
    <definedName name="FINANCIACION_5" localSheetId="89">ERR</definedName>
    <definedName name="FINANCIACION_5" localSheetId="90">ERR</definedName>
    <definedName name="FINANCIACION_5" localSheetId="91">ERR</definedName>
    <definedName name="FINANCIACION_5" localSheetId="92">ERR</definedName>
    <definedName name="FINANCIACION_5" localSheetId="93">ERR</definedName>
    <definedName name="FINANCIACION_5" localSheetId="94">ERR</definedName>
    <definedName name="FINANCIACION_5" localSheetId="95">ERR</definedName>
    <definedName name="FINANCIACION_5" localSheetId="96">ERR</definedName>
    <definedName name="FINANCIACION_5" localSheetId="82">ERR</definedName>
    <definedName name="FINANCIACION_5" localSheetId="83">ERR</definedName>
    <definedName name="FINANCIACION_5" localSheetId="84">ERR</definedName>
    <definedName name="FINANCIACION_5" localSheetId="85">ERR</definedName>
    <definedName name="FINANCIACION_5" localSheetId="86">ERR</definedName>
    <definedName name="FINANCIACION_5" localSheetId="87">ERR</definedName>
    <definedName name="FINANCIACION_5" localSheetId="88">ERR</definedName>
    <definedName name="FINANCIACION_5" localSheetId="97">ERR</definedName>
    <definedName name="FINANCIACION_5" localSheetId="105">ERR</definedName>
    <definedName name="FINANCIACION_5" localSheetId="106">ERR</definedName>
    <definedName name="FINANCIACION_5" localSheetId="107">ERR</definedName>
    <definedName name="FINANCIACION_5" localSheetId="108">ERR</definedName>
    <definedName name="FINANCIACION_5" localSheetId="109">ERR</definedName>
    <definedName name="FINANCIACION_5" localSheetId="110">ERR</definedName>
    <definedName name="FINANCIACION_5" localSheetId="111">ERR</definedName>
    <definedName name="FINANCIACION_5" localSheetId="112">ERR</definedName>
    <definedName name="FINANCIACION_5" localSheetId="113">ERR</definedName>
    <definedName name="FINANCIACION_5" localSheetId="114">ERR</definedName>
    <definedName name="FINANCIACION_5" localSheetId="98">ERR</definedName>
    <definedName name="FINANCIACION_5" localSheetId="115">ERR</definedName>
    <definedName name="FINANCIACION_5" localSheetId="116">ERR</definedName>
    <definedName name="FINANCIACION_5" localSheetId="117">ERR</definedName>
    <definedName name="FINANCIACION_5" localSheetId="118">ERR</definedName>
    <definedName name="FINANCIACION_5" localSheetId="119">ERR</definedName>
    <definedName name="FINANCIACION_5" localSheetId="99">ERR</definedName>
    <definedName name="FINANCIACION_5" localSheetId="100">ERR</definedName>
    <definedName name="FINANCIACION_5" localSheetId="101">ERR</definedName>
    <definedName name="FINANCIACION_5" localSheetId="102">ERR</definedName>
    <definedName name="FINANCIACION_5" localSheetId="103">ERR</definedName>
    <definedName name="FINANCIACION_5" localSheetId="104">ERR</definedName>
    <definedName name="FINANCIACION_5" localSheetId="120">ERR</definedName>
    <definedName name="FINANCIACION_5" localSheetId="121">ERR</definedName>
    <definedName name="FINANCIACION_5" localSheetId="122">ERR</definedName>
    <definedName name="FINANCIACION_5" localSheetId="123">ERR</definedName>
    <definedName name="FINANCIACION_5" localSheetId="124">ERR</definedName>
    <definedName name="FINANCIACION_5" localSheetId="125">ERR</definedName>
    <definedName name="FINANCIACION_5" localSheetId="126">ERR</definedName>
    <definedName name="FINANCIACION_5" localSheetId="127">ERR</definedName>
    <definedName name="FINANCIACION_5" localSheetId="128">ERR</definedName>
    <definedName name="FINANCIACION_5" localSheetId="129">ERR</definedName>
    <definedName name="FINANCIACION_5" localSheetId="130">ERR</definedName>
    <definedName name="FINANCIACION_5" localSheetId="131">ERR</definedName>
    <definedName name="FINANCIACION_5" localSheetId="9">ERR</definedName>
    <definedName name="FINANCIACION_5" localSheetId="38">ERR</definedName>
    <definedName name="FINANCIACION_5" localSheetId="2">ERR</definedName>
    <definedName name="FINANCIACION_5">ERR</definedName>
    <definedName name="FINANCIACION_6" localSheetId="20">ERR</definedName>
    <definedName name="FINANCIACION_6" localSheetId="22">ERR</definedName>
    <definedName name="FINANCIACION_6" localSheetId="33">ERR</definedName>
    <definedName name="FINANCIACION_6" localSheetId="36">ERR</definedName>
    <definedName name="FINANCIACION_6" localSheetId="47">ERR</definedName>
    <definedName name="FINANCIACION_6" localSheetId="48">ERR</definedName>
    <definedName name="FINANCIACION_6" localSheetId="51">ERR</definedName>
    <definedName name="FINANCIACION_6" localSheetId="52">ERR</definedName>
    <definedName name="FINANCIACION_6" localSheetId="53">ERR</definedName>
    <definedName name="FINANCIACION_6" localSheetId="54">ERR</definedName>
    <definedName name="FINANCIACION_6" localSheetId="62">ERR</definedName>
    <definedName name="FINANCIACION_6" localSheetId="63">ERR</definedName>
    <definedName name="FINANCIACION_6" localSheetId="64">ERR</definedName>
    <definedName name="FINANCIACION_6" localSheetId="65">ERR</definedName>
    <definedName name="FINANCIACION_6" localSheetId="66">ERR</definedName>
    <definedName name="FINANCIACION_6" localSheetId="67">ERR</definedName>
    <definedName name="FINANCIACION_6" localSheetId="68">ERR</definedName>
    <definedName name="FINANCIACION_6" localSheetId="55">ERR</definedName>
    <definedName name="FINANCIACION_6" localSheetId="56">ERR</definedName>
    <definedName name="FINANCIACION_6" localSheetId="57">ERR</definedName>
    <definedName name="FINANCIACION_6" localSheetId="58">ERR</definedName>
    <definedName name="FINANCIACION_6" localSheetId="59">ERR</definedName>
    <definedName name="FINANCIACION_6" localSheetId="60">ERR</definedName>
    <definedName name="FINANCIACION_6" localSheetId="61">ERR</definedName>
    <definedName name="FINANCIACION_6" localSheetId="69">ERR</definedName>
    <definedName name="FINANCIACION_6" localSheetId="78">ERR</definedName>
    <definedName name="FINANCIACION_6" localSheetId="79">ERR</definedName>
    <definedName name="FINANCIACION_6" localSheetId="80">ERR</definedName>
    <definedName name="FINANCIACION_6" localSheetId="70">ERR</definedName>
    <definedName name="FINANCIACION_6" localSheetId="71">ERR</definedName>
    <definedName name="FINANCIACION_6" localSheetId="72">ERR</definedName>
    <definedName name="FINANCIACION_6" localSheetId="73">ERR</definedName>
    <definedName name="FINANCIACION_6" localSheetId="74">ERR</definedName>
    <definedName name="FINANCIACION_6" localSheetId="75">ERR</definedName>
    <definedName name="FINANCIACION_6" localSheetId="76">ERR</definedName>
    <definedName name="FINANCIACION_6" localSheetId="77">ERR</definedName>
    <definedName name="FINANCIACION_6" localSheetId="81">ERR</definedName>
    <definedName name="FINANCIACION_6" localSheetId="89">ERR</definedName>
    <definedName name="FINANCIACION_6" localSheetId="90">ERR</definedName>
    <definedName name="FINANCIACION_6" localSheetId="91">ERR</definedName>
    <definedName name="FINANCIACION_6" localSheetId="92">ERR</definedName>
    <definedName name="FINANCIACION_6" localSheetId="93">ERR</definedName>
    <definedName name="FINANCIACION_6" localSheetId="94">ERR</definedName>
    <definedName name="FINANCIACION_6" localSheetId="95">ERR</definedName>
    <definedName name="FINANCIACION_6" localSheetId="96">ERR</definedName>
    <definedName name="FINANCIACION_6" localSheetId="82">ERR</definedName>
    <definedName name="FINANCIACION_6" localSheetId="83">ERR</definedName>
    <definedName name="FINANCIACION_6" localSheetId="84">ERR</definedName>
    <definedName name="FINANCIACION_6" localSheetId="85">ERR</definedName>
    <definedName name="FINANCIACION_6" localSheetId="86">ERR</definedName>
    <definedName name="FINANCIACION_6" localSheetId="87">ERR</definedName>
    <definedName name="FINANCIACION_6" localSheetId="88">ERR</definedName>
    <definedName name="FINANCIACION_6" localSheetId="97">ERR</definedName>
    <definedName name="FINANCIACION_6" localSheetId="105">ERR</definedName>
    <definedName name="FINANCIACION_6" localSheetId="106">ERR</definedName>
    <definedName name="FINANCIACION_6" localSheetId="107">ERR</definedName>
    <definedName name="FINANCIACION_6" localSheetId="108">ERR</definedName>
    <definedName name="FINANCIACION_6" localSheetId="109">ERR</definedName>
    <definedName name="FINANCIACION_6" localSheetId="110">ERR</definedName>
    <definedName name="FINANCIACION_6" localSheetId="111">ERR</definedName>
    <definedName name="FINANCIACION_6" localSheetId="112">ERR</definedName>
    <definedName name="FINANCIACION_6" localSheetId="113">ERR</definedName>
    <definedName name="FINANCIACION_6" localSheetId="114">ERR</definedName>
    <definedName name="FINANCIACION_6" localSheetId="98">ERR</definedName>
    <definedName name="FINANCIACION_6" localSheetId="115">ERR</definedName>
    <definedName name="FINANCIACION_6" localSheetId="116">ERR</definedName>
    <definedName name="FINANCIACION_6" localSheetId="117">ERR</definedName>
    <definedName name="FINANCIACION_6" localSheetId="118">ERR</definedName>
    <definedName name="FINANCIACION_6" localSheetId="119">ERR</definedName>
    <definedName name="FINANCIACION_6" localSheetId="99">ERR</definedName>
    <definedName name="FINANCIACION_6" localSheetId="100">ERR</definedName>
    <definedName name="FINANCIACION_6" localSheetId="101">ERR</definedName>
    <definedName name="FINANCIACION_6" localSheetId="102">ERR</definedName>
    <definedName name="FINANCIACION_6" localSheetId="103">ERR</definedName>
    <definedName name="FINANCIACION_6" localSheetId="104">ERR</definedName>
    <definedName name="FINANCIACION_6" localSheetId="120">ERR</definedName>
    <definedName name="FINANCIACION_6" localSheetId="121">ERR</definedName>
    <definedName name="FINANCIACION_6" localSheetId="122">ERR</definedName>
    <definedName name="FINANCIACION_6" localSheetId="123">ERR</definedName>
    <definedName name="FINANCIACION_6" localSheetId="124">ERR</definedName>
    <definedName name="FINANCIACION_6" localSheetId="125">ERR</definedName>
    <definedName name="FINANCIACION_6" localSheetId="126">ERR</definedName>
    <definedName name="FINANCIACION_6" localSheetId="127">ERR</definedName>
    <definedName name="FINANCIACION_6" localSheetId="128">ERR</definedName>
    <definedName name="FINANCIACION_6" localSheetId="129">ERR</definedName>
    <definedName name="FINANCIACION_6" localSheetId="130">ERR</definedName>
    <definedName name="FINANCIACION_6" localSheetId="131">ERR</definedName>
    <definedName name="FINANCIACION_6" localSheetId="9">ERR</definedName>
    <definedName name="FINANCIACION_6" localSheetId="38">ERR</definedName>
    <definedName name="FINANCIACION_6" localSheetId="2">ERR</definedName>
    <definedName name="FINANCIACION_6">ERR</definedName>
    <definedName name="FINANCIACION_7" localSheetId="20">ERR</definedName>
    <definedName name="FINANCIACION_7" localSheetId="22">ERR</definedName>
    <definedName name="FINANCIACION_7" localSheetId="33">ERR</definedName>
    <definedName name="FINANCIACION_7" localSheetId="36">ERR</definedName>
    <definedName name="FINANCIACION_7" localSheetId="47">ERR</definedName>
    <definedName name="FINANCIACION_7" localSheetId="48">ERR</definedName>
    <definedName name="FINANCIACION_7" localSheetId="51">ERR</definedName>
    <definedName name="FINANCIACION_7" localSheetId="52">ERR</definedName>
    <definedName name="FINANCIACION_7" localSheetId="53">ERR</definedName>
    <definedName name="FINANCIACION_7" localSheetId="54">ERR</definedName>
    <definedName name="FINANCIACION_7" localSheetId="62">ERR</definedName>
    <definedName name="FINANCIACION_7" localSheetId="63">ERR</definedName>
    <definedName name="FINANCIACION_7" localSheetId="64">ERR</definedName>
    <definedName name="FINANCIACION_7" localSheetId="65">ERR</definedName>
    <definedName name="FINANCIACION_7" localSheetId="66">ERR</definedName>
    <definedName name="FINANCIACION_7" localSheetId="67">ERR</definedName>
    <definedName name="FINANCIACION_7" localSheetId="68">ERR</definedName>
    <definedName name="FINANCIACION_7" localSheetId="55">ERR</definedName>
    <definedName name="FINANCIACION_7" localSheetId="56">ERR</definedName>
    <definedName name="FINANCIACION_7" localSheetId="57">ERR</definedName>
    <definedName name="FINANCIACION_7" localSheetId="58">ERR</definedName>
    <definedName name="FINANCIACION_7" localSheetId="59">ERR</definedName>
    <definedName name="FINANCIACION_7" localSheetId="60">ERR</definedName>
    <definedName name="FINANCIACION_7" localSheetId="61">ERR</definedName>
    <definedName name="FINANCIACION_7" localSheetId="69">ERR</definedName>
    <definedName name="FINANCIACION_7" localSheetId="78">ERR</definedName>
    <definedName name="FINANCIACION_7" localSheetId="79">ERR</definedName>
    <definedName name="FINANCIACION_7" localSheetId="80">ERR</definedName>
    <definedName name="FINANCIACION_7" localSheetId="70">ERR</definedName>
    <definedName name="FINANCIACION_7" localSheetId="71">ERR</definedName>
    <definedName name="FINANCIACION_7" localSheetId="72">ERR</definedName>
    <definedName name="FINANCIACION_7" localSheetId="73">ERR</definedName>
    <definedName name="FINANCIACION_7" localSheetId="74">ERR</definedName>
    <definedName name="FINANCIACION_7" localSheetId="75">ERR</definedName>
    <definedName name="FINANCIACION_7" localSheetId="76">ERR</definedName>
    <definedName name="FINANCIACION_7" localSheetId="77">ERR</definedName>
    <definedName name="FINANCIACION_7" localSheetId="81">ERR</definedName>
    <definedName name="FINANCIACION_7" localSheetId="89">ERR</definedName>
    <definedName name="FINANCIACION_7" localSheetId="90">ERR</definedName>
    <definedName name="FINANCIACION_7" localSheetId="91">ERR</definedName>
    <definedName name="FINANCIACION_7" localSheetId="92">ERR</definedName>
    <definedName name="FINANCIACION_7" localSheetId="93">ERR</definedName>
    <definedName name="FINANCIACION_7" localSheetId="94">ERR</definedName>
    <definedName name="FINANCIACION_7" localSheetId="95">ERR</definedName>
    <definedName name="FINANCIACION_7" localSheetId="96">ERR</definedName>
    <definedName name="FINANCIACION_7" localSheetId="82">ERR</definedName>
    <definedName name="FINANCIACION_7" localSheetId="83">ERR</definedName>
    <definedName name="FINANCIACION_7" localSheetId="84">ERR</definedName>
    <definedName name="FINANCIACION_7" localSheetId="85">ERR</definedName>
    <definedName name="FINANCIACION_7" localSheetId="86">ERR</definedName>
    <definedName name="FINANCIACION_7" localSheetId="87">ERR</definedName>
    <definedName name="FINANCIACION_7" localSheetId="88">ERR</definedName>
    <definedName name="FINANCIACION_7" localSheetId="97">ERR</definedName>
    <definedName name="FINANCIACION_7" localSheetId="105">ERR</definedName>
    <definedName name="FINANCIACION_7" localSheetId="106">ERR</definedName>
    <definedName name="FINANCIACION_7" localSheetId="107">ERR</definedName>
    <definedName name="FINANCIACION_7" localSheetId="108">ERR</definedName>
    <definedName name="FINANCIACION_7" localSheetId="109">ERR</definedName>
    <definedName name="FINANCIACION_7" localSheetId="110">ERR</definedName>
    <definedName name="FINANCIACION_7" localSheetId="111">ERR</definedName>
    <definedName name="FINANCIACION_7" localSheetId="112">ERR</definedName>
    <definedName name="FINANCIACION_7" localSheetId="113">ERR</definedName>
    <definedName name="FINANCIACION_7" localSheetId="114">ERR</definedName>
    <definedName name="FINANCIACION_7" localSheetId="98">ERR</definedName>
    <definedName name="FINANCIACION_7" localSheetId="115">ERR</definedName>
    <definedName name="FINANCIACION_7" localSheetId="116">ERR</definedName>
    <definedName name="FINANCIACION_7" localSheetId="117">ERR</definedName>
    <definedName name="FINANCIACION_7" localSheetId="118">ERR</definedName>
    <definedName name="FINANCIACION_7" localSheetId="119">ERR</definedName>
    <definedName name="FINANCIACION_7" localSheetId="99">ERR</definedName>
    <definedName name="FINANCIACION_7" localSheetId="100">ERR</definedName>
    <definedName name="FINANCIACION_7" localSheetId="101">ERR</definedName>
    <definedName name="FINANCIACION_7" localSheetId="102">ERR</definedName>
    <definedName name="FINANCIACION_7" localSheetId="103">ERR</definedName>
    <definedName name="FINANCIACION_7" localSheetId="104">ERR</definedName>
    <definedName name="FINANCIACION_7" localSheetId="120">ERR</definedName>
    <definedName name="FINANCIACION_7" localSheetId="121">ERR</definedName>
    <definedName name="FINANCIACION_7" localSheetId="122">ERR</definedName>
    <definedName name="FINANCIACION_7" localSheetId="123">ERR</definedName>
    <definedName name="FINANCIACION_7" localSheetId="124">ERR</definedName>
    <definedName name="FINANCIACION_7" localSheetId="125">ERR</definedName>
    <definedName name="FINANCIACION_7" localSheetId="126">ERR</definedName>
    <definedName name="FINANCIACION_7" localSheetId="127">ERR</definedName>
    <definedName name="FINANCIACION_7" localSheetId="128">ERR</definedName>
    <definedName name="FINANCIACION_7" localSheetId="129">ERR</definedName>
    <definedName name="FINANCIACION_7" localSheetId="130">ERR</definedName>
    <definedName name="FINANCIACION_7" localSheetId="131">ERR</definedName>
    <definedName name="FINANCIACION_7" localSheetId="9">ERR</definedName>
    <definedName name="FINANCIACION_7" localSheetId="38">ERR</definedName>
    <definedName name="FINANCIACION_7" localSheetId="2">ERR</definedName>
    <definedName name="FINANCIACION_7">ERR</definedName>
    <definedName name="FINANCIACION_8" localSheetId="20">ERR</definedName>
    <definedName name="FINANCIACION_8" localSheetId="22">ERR</definedName>
    <definedName name="FINANCIACION_8" localSheetId="33">ERR</definedName>
    <definedName name="FINANCIACION_8" localSheetId="36">ERR</definedName>
    <definedName name="FINANCIACION_8" localSheetId="47">ERR</definedName>
    <definedName name="FINANCIACION_8" localSheetId="48">ERR</definedName>
    <definedName name="FINANCIACION_8" localSheetId="51">ERR</definedName>
    <definedName name="FINANCIACION_8" localSheetId="52">ERR</definedName>
    <definedName name="FINANCIACION_8" localSheetId="53">ERR</definedName>
    <definedName name="FINANCIACION_8" localSheetId="54">ERR</definedName>
    <definedName name="FINANCIACION_8" localSheetId="62">ERR</definedName>
    <definedName name="FINANCIACION_8" localSheetId="63">ERR</definedName>
    <definedName name="FINANCIACION_8" localSheetId="64">ERR</definedName>
    <definedName name="FINANCIACION_8" localSheetId="65">ERR</definedName>
    <definedName name="FINANCIACION_8" localSheetId="66">ERR</definedName>
    <definedName name="FINANCIACION_8" localSheetId="67">ERR</definedName>
    <definedName name="FINANCIACION_8" localSheetId="68">ERR</definedName>
    <definedName name="FINANCIACION_8" localSheetId="55">ERR</definedName>
    <definedName name="FINANCIACION_8" localSheetId="56">ERR</definedName>
    <definedName name="FINANCIACION_8" localSheetId="57">ERR</definedName>
    <definedName name="FINANCIACION_8" localSheetId="58">ERR</definedName>
    <definedName name="FINANCIACION_8" localSheetId="59">ERR</definedName>
    <definedName name="FINANCIACION_8" localSheetId="60">ERR</definedName>
    <definedName name="FINANCIACION_8" localSheetId="61">ERR</definedName>
    <definedName name="FINANCIACION_8" localSheetId="69">ERR</definedName>
    <definedName name="FINANCIACION_8" localSheetId="78">ERR</definedName>
    <definedName name="FINANCIACION_8" localSheetId="79">ERR</definedName>
    <definedName name="FINANCIACION_8" localSheetId="80">ERR</definedName>
    <definedName name="FINANCIACION_8" localSheetId="70">ERR</definedName>
    <definedName name="FINANCIACION_8" localSheetId="71">ERR</definedName>
    <definedName name="FINANCIACION_8" localSheetId="72">ERR</definedName>
    <definedName name="FINANCIACION_8" localSheetId="73">ERR</definedName>
    <definedName name="FINANCIACION_8" localSheetId="74">ERR</definedName>
    <definedName name="FINANCIACION_8" localSheetId="75">ERR</definedName>
    <definedName name="FINANCIACION_8" localSheetId="76">ERR</definedName>
    <definedName name="FINANCIACION_8" localSheetId="77">ERR</definedName>
    <definedName name="FINANCIACION_8" localSheetId="81">ERR</definedName>
    <definedName name="FINANCIACION_8" localSheetId="89">ERR</definedName>
    <definedName name="FINANCIACION_8" localSheetId="90">ERR</definedName>
    <definedName name="FINANCIACION_8" localSheetId="91">ERR</definedName>
    <definedName name="FINANCIACION_8" localSheetId="92">ERR</definedName>
    <definedName name="FINANCIACION_8" localSheetId="93">ERR</definedName>
    <definedName name="FINANCIACION_8" localSheetId="94">ERR</definedName>
    <definedName name="FINANCIACION_8" localSheetId="95">ERR</definedName>
    <definedName name="FINANCIACION_8" localSheetId="96">ERR</definedName>
    <definedName name="FINANCIACION_8" localSheetId="82">ERR</definedName>
    <definedName name="FINANCIACION_8" localSheetId="83">ERR</definedName>
    <definedName name="FINANCIACION_8" localSheetId="84">ERR</definedName>
    <definedName name="FINANCIACION_8" localSheetId="85">ERR</definedName>
    <definedName name="FINANCIACION_8" localSheetId="86">ERR</definedName>
    <definedName name="FINANCIACION_8" localSheetId="87">ERR</definedName>
    <definedName name="FINANCIACION_8" localSheetId="88">ERR</definedName>
    <definedName name="FINANCIACION_8" localSheetId="97">ERR</definedName>
    <definedName name="FINANCIACION_8" localSheetId="105">ERR</definedName>
    <definedName name="FINANCIACION_8" localSheetId="106">ERR</definedName>
    <definedName name="FINANCIACION_8" localSheetId="107">ERR</definedName>
    <definedName name="FINANCIACION_8" localSheetId="108">ERR</definedName>
    <definedName name="FINANCIACION_8" localSheetId="109">ERR</definedName>
    <definedName name="FINANCIACION_8" localSheetId="110">ERR</definedName>
    <definedName name="FINANCIACION_8" localSheetId="111">ERR</definedName>
    <definedName name="FINANCIACION_8" localSheetId="112">ERR</definedName>
    <definedName name="FINANCIACION_8" localSheetId="113">ERR</definedName>
    <definedName name="FINANCIACION_8" localSheetId="114">ERR</definedName>
    <definedName name="FINANCIACION_8" localSheetId="98">ERR</definedName>
    <definedName name="FINANCIACION_8" localSheetId="115">ERR</definedName>
    <definedName name="FINANCIACION_8" localSheetId="116">ERR</definedName>
    <definedName name="FINANCIACION_8" localSheetId="117">ERR</definedName>
    <definedName name="FINANCIACION_8" localSheetId="118">ERR</definedName>
    <definedName name="FINANCIACION_8" localSheetId="119">ERR</definedName>
    <definedName name="FINANCIACION_8" localSheetId="99">ERR</definedName>
    <definedName name="FINANCIACION_8" localSheetId="100">ERR</definedName>
    <definedName name="FINANCIACION_8" localSheetId="101">ERR</definedName>
    <definedName name="FINANCIACION_8" localSheetId="102">ERR</definedName>
    <definedName name="FINANCIACION_8" localSheetId="103">ERR</definedName>
    <definedName name="FINANCIACION_8" localSheetId="104">ERR</definedName>
    <definedName name="FINANCIACION_8" localSheetId="120">ERR</definedName>
    <definedName name="FINANCIACION_8" localSheetId="121">ERR</definedName>
    <definedName name="FINANCIACION_8" localSheetId="122">ERR</definedName>
    <definedName name="FINANCIACION_8" localSheetId="123">ERR</definedName>
    <definedName name="FINANCIACION_8" localSheetId="124">ERR</definedName>
    <definedName name="FINANCIACION_8" localSheetId="125">ERR</definedName>
    <definedName name="FINANCIACION_8" localSheetId="126">ERR</definedName>
    <definedName name="FINANCIACION_8" localSheetId="127">ERR</definedName>
    <definedName name="FINANCIACION_8" localSheetId="128">ERR</definedName>
    <definedName name="FINANCIACION_8" localSheetId="129">ERR</definedName>
    <definedName name="FINANCIACION_8" localSheetId="130">ERR</definedName>
    <definedName name="FINANCIACION_8" localSheetId="131">ERR</definedName>
    <definedName name="FINANCIACION_8" localSheetId="9">ERR</definedName>
    <definedName name="FINANCIACION_8" localSheetId="38">ERR</definedName>
    <definedName name="FINANCIACION_8" localSheetId="2">ERR</definedName>
    <definedName name="FINANCIACION_8">ERR</definedName>
    <definedName name="FINANCIACION_9" localSheetId="20">ERR</definedName>
    <definedName name="FINANCIACION_9" localSheetId="22">ERR</definedName>
    <definedName name="FINANCIACION_9" localSheetId="33">ERR</definedName>
    <definedName name="FINANCIACION_9" localSheetId="36">ERR</definedName>
    <definedName name="FINANCIACION_9" localSheetId="47">ERR</definedName>
    <definedName name="FINANCIACION_9" localSheetId="48">ERR</definedName>
    <definedName name="FINANCIACION_9" localSheetId="51">ERR</definedName>
    <definedName name="FINANCIACION_9" localSheetId="52">ERR</definedName>
    <definedName name="FINANCIACION_9" localSheetId="53">ERR</definedName>
    <definedName name="FINANCIACION_9" localSheetId="54">ERR</definedName>
    <definedName name="FINANCIACION_9" localSheetId="62">ERR</definedName>
    <definedName name="FINANCIACION_9" localSheetId="63">ERR</definedName>
    <definedName name="FINANCIACION_9" localSheetId="64">ERR</definedName>
    <definedName name="FINANCIACION_9" localSheetId="65">ERR</definedName>
    <definedName name="FINANCIACION_9" localSheetId="66">ERR</definedName>
    <definedName name="FINANCIACION_9" localSheetId="67">ERR</definedName>
    <definedName name="FINANCIACION_9" localSheetId="68">ERR</definedName>
    <definedName name="FINANCIACION_9" localSheetId="55">ERR</definedName>
    <definedName name="FINANCIACION_9" localSheetId="56">ERR</definedName>
    <definedName name="FINANCIACION_9" localSheetId="57">ERR</definedName>
    <definedName name="FINANCIACION_9" localSheetId="58">ERR</definedName>
    <definedName name="FINANCIACION_9" localSheetId="59">ERR</definedName>
    <definedName name="FINANCIACION_9" localSheetId="60">ERR</definedName>
    <definedName name="FINANCIACION_9" localSheetId="61">ERR</definedName>
    <definedName name="FINANCIACION_9" localSheetId="69">ERR</definedName>
    <definedName name="FINANCIACION_9" localSheetId="78">ERR</definedName>
    <definedName name="FINANCIACION_9" localSheetId="79">ERR</definedName>
    <definedName name="FINANCIACION_9" localSheetId="80">ERR</definedName>
    <definedName name="FINANCIACION_9" localSheetId="70">ERR</definedName>
    <definedName name="FINANCIACION_9" localSheetId="71">ERR</definedName>
    <definedName name="FINANCIACION_9" localSheetId="72">ERR</definedName>
    <definedName name="FINANCIACION_9" localSheetId="73">ERR</definedName>
    <definedName name="FINANCIACION_9" localSheetId="74">ERR</definedName>
    <definedName name="FINANCIACION_9" localSheetId="75">ERR</definedName>
    <definedName name="FINANCIACION_9" localSheetId="76">ERR</definedName>
    <definedName name="FINANCIACION_9" localSheetId="77">ERR</definedName>
    <definedName name="FINANCIACION_9" localSheetId="81">ERR</definedName>
    <definedName name="FINANCIACION_9" localSheetId="89">ERR</definedName>
    <definedName name="FINANCIACION_9" localSheetId="90">ERR</definedName>
    <definedName name="FINANCIACION_9" localSheetId="91">ERR</definedName>
    <definedName name="FINANCIACION_9" localSheetId="92">ERR</definedName>
    <definedName name="FINANCIACION_9" localSheetId="93">ERR</definedName>
    <definedName name="FINANCIACION_9" localSheetId="94">ERR</definedName>
    <definedName name="FINANCIACION_9" localSheetId="95">ERR</definedName>
    <definedName name="FINANCIACION_9" localSheetId="96">ERR</definedName>
    <definedName name="FINANCIACION_9" localSheetId="82">ERR</definedName>
    <definedName name="FINANCIACION_9" localSheetId="83">ERR</definedName>
    <definedName name="FINANCIACION_9" localSheetId="84">ERR</definedName>
    <definedName name="FINANCIACION_9" localSheetId="85">ERR</definedName>
    <definedName name="FINANCIACION_9" localSheetId="86">ERR</definedName>
    <definedName name="FINANCIACION_9" localSheetId="87">ERR</definedName>
    <definedName name="FINANCIACION_9" localSheetId="88">ERR</definedName>
    <definedName name="FINANCIACION_9" localSheetId="97">ERR</definedName>
    <definedName name="FINANCIACION_9" localSheetId="105">ERR</definedName>
    <definedName name="FINANCIACION_9" localSheetId="106">ERR</definedName>
    <definedName name="FINANCIACION_9" localSheetId="107">ERR</definedName>
    <definedName name="FINANCIACION_9" localSheetId="108">ERR</definedName>
    <definedName name="FINANCIACION_9" localSheetId="109">ERR</definedName>
    <definedName name="FINANCIACION_9" localSheetId="110">ERR</definedName>
    <definedName name="FINANCIACION_9" localSheetId="111">ERR</definedName>
    <definedName name="FINANCIACION_9" localSheetId="112">ERR</definedName>
    <definedName name="FINANCIACION_9" localSheetId="113">ERR</definedName>
    <definedName name="FINANCIACION_9" localSheetId="114">ERR</definedName>
    <definedName name="FINANCIACION_9" localSheetId="98">ERR</definedName>
    <definedName name="FINANCIACION_9" localSheetId="115">ERR</definedName>
    <definedName name="FINANCIACION_9" localSheetId="116">ERR</definedName>
    <definedName name="FINANCIACION_9" localSheetId="117">ERR</definedName>
    <definedName name="FINANCIACION_9" localSheetId="118">ERR</definedName>
    <definedName name="FINANCIACION_9" localSheetId="119">ERR</definedName>
    <definedName name="FINANCIACION_9" localSheetId="99">ERR</definedName>
    <definedName name="FINANCIACION_9" localSheetId="100">ERR</definedName>
    <definedName name="FINANCIACION_9" localSheetId="101">ERR</definedName>
    <definedName name="FINANCIACION_9" localSheetId="102">ERR</definedName>
    <definedName name="FINANCIACION_9" localSheetId="103">ERR</definedName>
    <definedName name="FINANCIACION_9" localSheetId="104">ERR</definedName>
    <definedName name="FINANCIACION_9" localSheetId="120">ERR</definedName>
    <definedName name="FINANCIACION_9" localSheetId="121">ERR</definedName>
    <definedName name="FINANCIACION_9" localSheetId="122">ERR</definedName>
    <definedName name="FINANCIACION_9" localSheetId="123">ERR</definedName>
    <definedName name="FINANCIACION_9" localSheetId="124">ERR</definedName>
    <definedName name="FINANCIACION_9" localSheetId="125">ERR</definedName>
    <definedName name="FINANCIACION_9" localSheetId="126">ERR</definedName>
    <definedName name="FINANCIACION_9" localSheetId="127">ERR</definedName>
    <definedName name="FINANCIACION_9" localSheetId="128">ERR</definedName>
    <definedName name="FINANCIACION_9" localSheetId="129">ERR</definedName>
    <definedName name="FINANCIACION_9" localSheetId="130">ERR</definedName>
    <definedName name="FINANCIACION_9" localSheetId="131">ERR</definedName>
    <definedName name="FINANCIACION_9" localSheetId="9">ERR</definedName>
    <definedName name="FINANCIACION_9" localSheetId="38">ERR</definedName>
    <definedName name="FINANCIACION_9" localSheetId="2">ERR</definedName>
    <definedName name="FINANCIACION_9">ERR</definedName>
    <definedName name="FS01_10" localSheetId="20">ERR</definedName>
    <definedName name="FS01_10" localSheetId="22">ERR</definedName>
    <definedName name="FS01_10" localSheetId="33">ERR</definedName>
    <definedName name="FS01_10" localSheetId="36">ERR</definedName>
    <definedName name="FS01_10" localSheetId="47">ERR</definedName>
    <definedName name="FS01_10" localSheetId="48">ERR</definedName>
    <definedName name="FS01_10" localSheetId="51">ERR</definedName>
    <definedName name="FS01_10" localSheetId="52">ERR</definedName>
    <definedName name="FS01_10" localSheetId="53">ERR</definedName>
    <definedName name="FS01_10" localSheetId="54">ERR</definedName>
    <definedName name="FS01_10" localSheetId="62">ERR</definedName>
    <definedName name="FS01_10" localSheetId="63">ERR</definedName>
    <definedName name="FS01_10" localSheetId="64">ERR</definedName>
    <definedName name="FS01_10" localSheetId="65">ERR</definedName>
    <definedName name="FS01_10" localSheetId="66">ERR</definedName>
    <definedName name="FS01_10" localSheetId="67">ERR</definedName>
    <definedName name="FS01_10" localSheetId="68">ERR</definedName>
    <definedName name="FS01_10" localSheetId="55">ERR</definedName>
    <definedName name="FS01_10" localSheetId="56">ERR</definedName>
    <definedName name="FS01_10" localSheetId="57">ERR</definedName>
    <definedName name="FS01_10" localSheetId="58">ERR</definedName>
    <definedName name="FS01_10" localSheetId="59">ERR</definedName>
    <definedName name="FS01_10" localSheetId="60">ERR</definedName>
    <definedName name="FS01_10" localSheetId="61">ERR</definedName>
    <definedName name="FS01_10" localSheetId="69">ERR</definedName>
    <definedName name="FS01_10" localSheetId="78">ERR</definedName>
    <definedName name="FS01_10" localSheetId="79">ERR</definedName>
    <definedName name="FS01_10" localSheetId="80">ERR</definedName>
    <definedName name="FS01_10" localSheetId="70">ERR</definedName>
    <definedName name="FS01_10" localSheetId="71">ERR</definedName>
    <definedName name="FS01_10" localSheetId="72">ERR</definedName>
    <definedName name="FS01_10" localSheetId="73">ERR</definedName>
    <definedName name="FS01_10" localSheetId="74">ERR</definedName>
    <definedName name="FS01_10" localSheetId="75">ERR</definedName>
    <definedName name="FS01_10" localSheetId="76">ERR</definedName>
    <definedName name="FS01_10" localSheetId="77">ERR</definedName>
    <definedName name="FS01_10" localSheetId="81">ERR</definedName>
    <definedName name="FS01_10" localSheetId="89">ERR</definedName>
    <definedName name="FS01_10" localSheetId="90">ERR</definedName>
    <definedName name="FS01_10" localSheetId="91">ERR</definedName>
    <definedName name="FS01_10" localSheetId="92">ERR</definedName>
    <definedName name="FS01_10" localSheetId="93">ERR</definedName>
    <definedName name="FS01_10" localSheetId="94">ERR</definedName>
    <definedName name="FS01_10" localSheetId="95">ERR</definedName>
    <definedName name="FS01_10" localSheetId="96">ERR</definedName>
    <definedName name="FS01_10" localSheetId="82">ERR</definedName>
    <definedName name="FS01_10" localSheetId="83">ERR</definedName>
    <definedName name="FS01_10" localSheetId="84">ERR</definedName>
    <definedName name="FS01_10" localSheetId="85">ERR</definedName>
    <definedName name="FS01_10" localSheetId="86">ERR</definedName>
    <definedName name="FS01_10" localSheetId="87">ERR</definedName>
    <definedName name="FS01_10" localSheetId="88">ERR</definedName>
    <definedName name="FS01_10" localSheetId="97">ERR</definedName>
    <definedName name="FS01_10" localSheetId="105">ERR</definedName>
    <definedName name="FS01_10" localSheetId="106">ERR</definedName>
    <definedName name="FS01_10" localSheetId="107">ERR</definedName>
    <definedName name="FS01_10" localSheetId="108">ERR</definedName>
    <definedName name="FS01_10" localSheetId="109">ERR</definedName>
    <definedName name="FS01_10" localSheetId="110">ERR</definedName>
    <definedName name="FS01_10" localSheetId="111">ERR</definedName>
    <definedName name="FS01_10" localSheetId="112">ERR</definedName>
    <definedName name="FS01_10" localSheetId="113">ERR</definedName>
    <definedName name="FS01_10" localSheetId="114">ERR</definedName>
    <definedName name="FS01_10" localSheetId="98">ERR</definedName>
    <definedName name="FS01_10" localSheetId="115">ERR</definedName>
    <definedName name="FS01_10" localSheetId="116">ERR</definedName>
    <definedName name="FS01_10" localSheetId="117">ERR</definedName>
    <definedName name="FS01_10" localSheetId="118">ERR</definedName>
    <definedName name="FS01_10" localSheetId="119">ERR</definedName>
    <definedName name="FS01_10" localSheetId="99">ERR</definedName>
    <definedName name="FS01_10" localSheetId="100">ERR</definedName>
    <definedName name="FS01_10" localSheetId="101">ERR</definedName>
    <definedName name="FS01_10" localSheetId="102">ERR</definedName>
    <definedName name="FS01_10" localSheetId="103">ERR</definedName>
    <definedName name="FS01_10" localSheetId="104">ERR</definedName>
    <definedName name="FS01_10" localSheetId="120">ERR</definedName>
    <definedName name="FS01_10" localSheetId="121">ERR</definedName>
    <definedName name="FS01_10" localSheetId="122">ERR</definedName>
    <definedName name="FS01_10" localSheetId="123">ERR</definedName>
    <definedName name="FS01_10" localSheetId="124">ERR</definedName>
    <definedName name="FS01_10" localSheetId="125">ERR</definedName>
    <definedName name="FS01_10" localSheetId="126">ERR</definedName>
    <definedName name="FS01_10" localSheetId="127">ERR</definedName>
    <definedName name="FS01_10" localSheetId="128">ERR</definedName>
    <definedName name="FS01_10" localSheetId="129">ERR</definedName>
    <definedName name="FS01_10" localSheetId="130">ERR</definedName>
    <definedName name="FS01_10" localSheetId="131">ERR</definedName>
    <definedName name="FS01_10" localSheetId="9">ERR</definedName>
    <definedName name="FS01_10" localSheetId="38">ERR</definedName>
    <definedName name="FS01_10" localSheetId="2">ERR</definedName>
    <definedName name="FS01_10">ERR</definedName>
    <definedName name="FS01_3" localSheetId="20">ERR</definedName>
    <definedName name="FS01_3" localSheetId="22">ERR</definedName>
    <definedName name="FS01_3" localSheetId="33">ERR</definedName>
    <definedName name="FS01_3" localSheetId="36">ERR</definedName>
    <definedName name="FS01_3" localSheetId="47">ERR</definedName>
    <definedName name="FS01_3" localSheetId="48">ERR</definedName>
    <definedName name="FS01_3" localSheetId="51">ERR</definedName>
    <definedName name="FS01_3" localSheetId="52">ERR</definedName>
    <definedName name="FS01_3" localSheetId="53">ERR</definedName>
    <definedName name="FS01_3" localSheetId="54">ERR</definedName>
    <definedName name="FS01_3" localSheetId="62">ERR</definedName>
    <definedName name="FS01_3" localSheetId="63">ERR</definedName>
    <definedName name="FS01_3" localSheetId="64">ERR</definedName>
    <definedName name="FS01_3" localSheetId="65">ERR</definedName>
    <definedName name="FS01_3" localSheetId="66">ERR</definedName>
    <definedName name="FS01_3" localSheetId="67">ERR</definedName>
    <definedName name="FS01_3" localSheetId="68">ERR</definedName>
    <definedName name="FS01_3" localSheetId="55">ERR</definedName>
    <definedName name="FS01_3" localSheetId="56">ERR</definedName>
    <definedName name="FS01_3" localSheetId="57">ERR</definedName>
    <definedName name="FS01_3" localSheetId="58">ERR</definedName>
    <definedName name="FS01_3" localSheetId="59">ERR</definedName>
    <definedName name="FS01_3" localSheetId="60">ERR</definedName>
    <definedName name="FS01_3" localSheetId="61">ERR</definedName>
    <definedName name="FS01_3" localSheetId="69">ERR</definedName>
    <definedName name="FS01_3" localSheetId="78">ERR</definedName>
    <definedName name="FS01_3" localSheetId="79">ERR</definedName>
    <definedName name="FS01_3" localSheetId="80">ERR</definedName>
    <definedName name="FS01_3" localSheetId="70">ERR</definedName>
    <definedName name="FS01_3" localSheetId="71">ERR</definedName>
    <definedName name="FS01_3" localSheetId="72">ERR</definedName>
    <definedName name="FS01_3" localSheetId="73">ERR</definedName>
    <definedName name="FS01_3" localSheetId="74">ERR</definedName>
    <definedName name="FS01_3" localSheetId="75">ERR</definedName>
    <definedName name="FS01_3" localSheetId="76">ERR</definedName>
    <definedName name="FS01_3" localSheetId="77">ERR</definedName>
    <definedName name="FS01_3" localSheetId="81">ERR</definedName>
    <definedName name="FS01_3" localSheetId="89">ERR</definedName>
    <definedName name="FS01_3" localSheetId="90">ERR</definedName>
    <definedName name="FS01_3" localSheetId="91">ERR</definedName>
    <definedName name="FS01_3" localSheetId="92">ERR</definedName>
    <definedName name="FS01_3" localSheetId="93">ERR</definedName>
    <definedName name="FS01_3" localSheetId="94">ERR</definedName>
    <definedName name="FS01_3" localSheetId="95">ERR</definedName>
    <definedName name="FS01_3" localSheetId="96">ERR</definedName>
    <definedName name="FS01_3" localSheetId="82">ERR</definedName>
    <definedName name="FS01_3" localSheetId="83">ERR</definedName>
    <definedName name="FS01_3" localSheetId="84">ERR</definedName>
    <definedName name="FS01_3" localSheetId="85">ERR</definedName>
    <definedName name="FS01_3" localSheetId="86">ERR</definedName>
    <definedName name="FS01_3" localSheetId="87">ERR</definedName>
    <definedName name="FS01_3" localSheetId="88">ERR</definedName>
    <definedName name="FS01_3" localSheetId="97">ERR</definedName>
    <definedName name="FS01_3" localSheetId="105">ERR</definedName>
    <definedName name="FS01_3" localSheetId="106">ERR</definedName>
    <definedName name="FS01_3" localSheetId="107">ERR</definedName>
    <definedName name="FS01_3" localSheetId="108">ERR</definedName>
    <definedName name="FS01_3" localSheetId="109">ERR</definedName>
    <definedName name="FS01_3" localSheetId="110">ERR</definedName>
    <definedName name="FS01_3" localSheetId="111">ERR</definedName>
    <definedName name="FS01_3" localSheetId="112">ERR</definedName>
    <definedName name="FS01_3" localSheetId="113">ERR</definedName>
    <definedName name="FS01_3" localSheetId="114">ERR</definedName>
    <definedName name="FS01_3" localSheetId="98">ERR</definedName>
    <definedName name="FS01_3" localSheetId="115">ERR</definedName>
    <definedName name="FS01_3" localSheetId="116">ERR</definedName>
    <definedName name="FS01_3" localSheetId="117">ERR</definedName>
    <definedName name="FS01_3" localSheetId="118">ERR</definedName>
    <definedName name="FS01_3" localSheetId="119">ERR</definedName>
    <definedName name="FS01_3" localSheetId="99">ERR</definedName>
    <definedName name="FS01_3" localSheetId="100">ERR</definedName>
    <definedName name="FS01_3" localSheetId="101">ERR</definedName>
    <definedName name="FS01_3" localSheetId="102">ERR</definedName>
    <definedName name="FS01_3" localSheetId="103">ERR</definedName>
    <definedName name="FS01_3" localSheetId="104">ERR</definedName>
    <definedName name="FS01_3" localSheetId="120">ERR</definedName>
    <definedName name="FS01_3" localSheetId="121">ERR</definedName>
    <definedName name="FS01_3" localSheetId="122">ERR</definedName>
    <definedName name="FS01_3" localSheetId="123">ERR</definedName>
    <definedName name="FS01_3" localSheetId="124">ERR</definedName>
    <definedName name="FS01_3" localSheetId="125">ERR</definedName>
    <definedName name="FS01_3" localSheetId="126">ERR</definedName>
    <definedName name="FS01_3" localSheetId="127">ERR</definedName>
    <definedName name="FS01_3" localSheetId="128">ERR</definedName>
    <definedName name="FS01_3" localSheetId="129">ERR</definedName>
    <definedName name="FS01_3" localSheetId="130">ERR</definedName>
    <definedName name="FS01_3" localSheetId="131">ERR</definedName>
    <definedName name="FS01_3" localSheetId="9">ERR</definedName>
    <definedName name="FS01_3" localSheetId="38">ERR</definedName>
    <definedName name="FS01_3" localSheetId="2">ERR</definedName>
    <definedName name="FS01_3">ERR</definedName>
    <definedName name="FS01_4" localSheetId="20">ERR</definedName>
    <definedName name="FS01_4" localSheetId="22">ERR</definedName>
    <definedName name="FS01_4" localSheetId="33">ERR</definedName>
    <definedName name="FS01_4" localSheetId="36">ERR</definedName>
    <definedName name="FS01_4" localSheetId="47">ERR</definedName>
    <definedName name="FS01_4" localSheetId="48">ERR</definedName>
    <definedName name="FS01_4" localSheetId="51">ERR</definedName>
    <definedName name="FS01_4" localSheetId="52">ERR</definedName>
    <definedName name="FS01_4" localSheetId="53">ERR</definedName>
    <definedName name="FS01_4" localSheetId="54">ERR</definedName>
    <definedName name="FS01_4" localSheetId="62">ERR</definedName>
    <definedName name="FS01_4" localSheetId="63">ERR</definedName>
    <definedName name="FS01_4" localSheetId="64">ERR</definedName>
    <definedName name="FS01_4" localSheetId="65">ERR</definedName>
    <definedName name="FS01_4" localSheetId="66">ERR</definedName>
    <definedName name="FS01_4" localSheetId="67">ERR</definedName>
    <definedName name="FS01_4" localSheetId="68">ERR</definedName>
    <definedName name="FS01_4" localSheetId="55">ERR</definedName>
    <definedName name="FS01_4" localSheetId="56">ERR</definedName>
    <definedName name="FS01_4" localSheetId="57">ERR</definedName>
    <definedName name="FS01_4" localSheetId="58">ERR</definedName>
    <definedName name="FS01_4" localSheetId="59">ERR</definedName>
    <definedName name="FS01_4" localSheetId="60">ERR</definedName>
    <definedName name="FS01_4" localSheetId="61">ERR</definedName>
    <definedName name="FS01_4" localSheetId="69">ERR</definedName>
    <definedName name="FS01_4" localSheetId="78">ERR</definedName>
    <definedName name="FS01_4" localSheetId="79">ERR</definedName>
    <definedName name="FS01_4" localSheetId="80">ERR</definedName>
    <definedName name="FS01_4" localSheetId="70">ERR</definedName>
    <definedName name="FS01_4" localSheetId="71">ERR</definedName>
    <definedName name="FS01_4" localSheetId="72">ERR</definedName>
    <definedName name="FS01_4" localSheetId="73">ERR</definedName>
    <definedName name="FS01_4" localSheetId="74">ERR</definedName>
    <definedName name="FS01_4" localSheetId="75">ERR</definedName>
    <definedName name="FS01_4" localSheetId="76">ERR</definedName>
    <definedName name="FS01_4" localSheetId="77">ERR</definedName>
    <definedName name="FS01_4" localSheetId="81">ERR</definedName>
    <definedName name="FS01_4" localSheetId="89">ERR</definedName>
    <definedName name="FS01_4" localSheetId="90">ERR</definedName>
    <definedName name="FS01_4" localSheetId="91">ERR</definedName>
    <definedName name="FS01_4" localSheetId="92">ERR</definedName>
    <definedName name="FS01_4" localSheetId="93">ERR</definedName>
    <definedName name="FS01_4" localSheetId="94">ERR</definedName>
    <definedName name="FS01_4" localSheetId="95">ERR</definedName>
    <definedName name="FS01_4" localSheetId="96">ERR</definedName>
    <definedName name="FS01_4" localSheetId="82">ERR</definedName>
    <definedName name="FS01_4" localSheetId="83">ERR</definedName>
    <definedName name="FS01_4" localSheetId="84">ERR</definedName>
    <definedName name="FS01_4" localSheetId="85">ERR</definedName>
    <definedName name="FS01_4" localSheetId="86">ERR</definedName>
    <definedName name="FS01_4" localSheetId="87">ERR</definedName>
    <definedName name="FS01_4" localSheetId="88">ERR</definedName>
    <definedName name="FS01_4" localSheetId="97">ERR</definedName>
    <definedName name="FS01_4" localSheetId="105">ERR</definedName>
    <definedName name="FS01_4" localSheetId="106">ERR</definedName>
    <definedName name="FS01_4" localSheetId="107">ERR</definedName>
    <definedName name="FS01_4" localSheetId="108">ERR</definedName>
    <definedName name="FS01_4" localSheetId="109">ERR</definedName>
    <definedName name="FS01_4" localSheetId="110">ERR</definedName>
    <definedName name="FS01_4" localSheetId="111">ERR</definedName>
    <definedName name="FS01_4" localSheetId="112">ERR</definedName>
    <definedName name="FS01_4" localSheetId="113">ERR</definedName>
    <definedName name="FS01_4" localSheetId="114">ERR</definedName>
    <definedName name="FS01_4" localSheetId="98">ERR</definedName>
    <definedName name="FS01_4" localSheetId="115">ERR</definedName>
    <definedName name="FS01_4" localSheetId="116">ERR</definedName>
    <definedName name="FS01_4" localSheetId="117">ERR</definedName>
    <definedName name="FS01_4" localSheetId="118">ERR</definedName>
    <definedName name="FS01_4" localSheetId="119">ERR</definedName>
    <definedName name="FS01_4" localSheetId="99">ERR</definedName>
    <definedName name="FS01_4" localSheetId="100">ERR</definedName>
    <definedName name="FS01_4" localSheetId="101">ERR</definedName>
    <definedName name="FS01_4" localSheetId="102">ERR</definedName>
    <definedName name="FS01_4" localSheetId="103">ERR</definedName>
    <definedName name="FS01_4" localSheetId="104">ERR</definedName>
    <definedName name="FS01_4" localSheetId="120">ERR</definedName>
    <definedName name="FS01_4" localSheetId="121">ERR</definedName>
    <definedName name="FS01_4" localSheetId="122">ERR</definedName>
    <definedName name="FS01_4" localSheetId="123">ERR</definedName>
    <definedName name="FS01_4" localSheetId="124">ERR</definedName>
    <definedName name="FS01_4" localSheetId="125">ERR</definedName>
    <definedName name="FS01_4" localSheetId="126">ERR</definedName>
    <definedName name="FS01_4" localSheetId="127">ERR</definedName>
    <definedName name="FS01_4" localSheetId="128">ERR</definedName>
    <definedName name="FS01_4" localSheetId="129">ERR</definedName>
    <definedName name="FS01_4" localSheetId="130">ERR</definedName>
    <definedName name="FS01_4" localSheetId="131">ERR</definedName>
    <definedName name="FS01_4" localSheetId="9">ERR</definedName>
    <definedName name="FS01_4" localSheetId="38">ERR</definedName>
    <definedName name="FS01_4" localSheetId="2">ERR</definedName>
    <definedName name="FS01_4">ERR</definedName>
    <definedName name="FS01_5" localSheetId="20">ERR</definedName>
    <definedName name="FS01_5" localSheetId="22">ERR</definedName>
    <definedName name="FS01_5" localSheetId="33">ERR</definedName>
    <definedName name="FS01_5" localSheetId="36">ERR</definedName>
    <definedName name="FS01_5" localSheetId="47">ERR</definedName>
    <definedName name="FS01_5" localSheetId="48">ERR</definedName>
    <definedName name="FS01_5" localSheetId="51">ERR</definedName>
    <definedName name="FS01_5" localSheetId="52">ERR</definedName>
    <definedName name="FS01_5" localSheetId="53">ERR</definedName>
    <definedName name="FS01_5" localSheetId="54">ERR</definedName>
    <definedName name="FS01_5" localSheetId="62">ERR</definedName>
    <definedName name="FS01_5" localSheetId="63">ERR</definedName>
    <definedName name="FS01_5" localSheetId="64">ERR</definedName>
    <definedName name="FS01_5" localSheetId="65">ERR</definedName>
    <definedName name="FS01_5" localSheetId="66">ERR</definedName>
    <definedName name="FS01_5" localSheetId="67">ERR</definedName>
    <definedName name="FS01_5" localSheetId="68">ERR</definedName>
    <definedName name="FS01_5" localSheetId="55">ERR</definedName>
    <definedName name="FS01_5" localSheetId="56">ERR</definedName>
    <definedName name="FS01_5" localSheetId="57">ERR</definedName>
    <definedName name="FS01_5" localSheetId="58">ERR</definedName>
    <definedName name="FS01_5" localSheetId="59">ERR</definedName>
    <definedName name="FS01_5" localSheetId="60">ERR</definedName>
    <definedName name="FS01_5" localSheetId="61">ERR</definedName>
    <definedName name="FS01_5" localSheetId="69">ERR</definedName>
    <definedName name="FS01_5" localSheetId="78">ERR</definedName>
    <definedName name="FS01_5" localSheetId="79">ERR</definedName>
    <definedName name="FS01_5" localSheetId="80">ERR</definedName>
    <definedName name="FS01_5" localSheetId="70">ERR</definedName>
    <definedName name="FS01_5" localSheetId="71">ERR</definedName>
    <definedName name="FS01_5" localSheetId="72">ERR</definedName>
    <definedName name="FS01_5" localSheetId="73">ERR</definedName>
    <definedName name="FS01_5" localSheetId="74">ERR</definedName>
    <definedName name="FS01_5" localSheetId="75">ERR</definedName>
    <definedName name="FS01_5" localSheetId="76">ERR</definedName>
    <definedName name="FS01_5" localSheetId="77">ERR</definedName>
    <definedName name="FS01_5" localSheetId="81">ERR</definedName>
    <definedName name="FS01_5" localSheetId="89">ERR</definedName>
    <definedName name="FS01_5" localSheetId="90">ERR</definedName>
    <definedName name="FS01_5" localSheetId="91">ERR</definedName>
    <definedName name="FS01_5" localSheetId="92">ERR</definedName>
    <definedName name="FS01_5" localSheetId="93">ERR</definedName>
    <definedName name="FS01_5" localSheetId="94">ERR</definedName>
    <definedName name="FS01_5" localSheetId="95">ERR</definedName>
    <definedName name="FS01_5" localSheetId="96">ERR</definedName>
    <definedName name="FS01_5" localSheetId="82">ERR</definedName>
    <definedName name="FS01_5" localSheetId="83">ERR</definedName>
    <definedName name="FS01_5" localSheetId="84">ERR</definedName>
    <definedName name="FS01_5" localSheetId="85">ERR</definedName>
    <definedName name="FS01_5" localSheetId="86">ERR</definedName>
    <definedName name="FS01_5" localSheetId="87">ERR</definedName>
    <definedName name="FS01_5" localSheetId="88">ERR</definedName>
    <definedName name="FS01_5" localSheetId="97">ERR</definedName>
    <definedName name="FS01_5" localSheetId="105">ERR</definedName>
    <definedName name="FS01_5" localSheetId="106">ERR</definedName>
    <definedName name="FS01_5" localSheetId="107">ERR</definedName>
    <definedName name="FS01_5" localSheetId="108">ERR</definedName>
    <definedName name="FS01_5" localSheetId="109">ERR</definedName>
    <definedName name="FS01_5" localSheetId="110">ERR</definedName>
    <definedName name="FS01_5" localSheetId="111">ERR</definedName>
    <definedName name="FS01_5" localSheetId="112">ERR</definedName>
    <definedName name="FS01_5" localSheetId="113">ERR</definedName>
    <definedName name="FS01_5" localSheetId="114">ERR</definedName>
    <definedName name="FS01_5" localSheetId="98">ERR</definedName>
    <definedName name="FS01_5" localSheetId="115">ERR</definedName>
    <definedName name="FS01_5" localSheetId="116">ERR</definedName>
    <definedName name="FS01_5" localSheetId="117">ERR</definedName>
    <definedName name="FS01_5" localSheetId="118">ERR</definedName>
    <definedName name="FS01_5" localSheetId="119">ERR</definedName>
    <definedName name="FS01_5" localSheetId="99">ERR</definedName>
    <definedName name="FS01_5" localSheetId="100">ERR</definedName>
    <definedName name="FS01_5" localSheetId="101">ERR</definedName>
    <definedName name="FS01_5" localSheetId="102">ERR</definedName>
    <definedName name="FS01_5" localSheetId="103">ERR</definedName>
    <definedName name="FS01_5" localSheetId="104">ERR</definedName>
    <definedName name="FS01_5" localSheetId="120">ERR</definedName>
    <definedName name="FS01_5" localSheetId="121">ERR</definedName>
    <definedName name="FS01_5" localSheetId="122">ERR</definedName>
    <definedName name="FS01_5" localSheetId="123">ERR</definedName>
    <definedName name="FS01_5" localSheetId="124">ERR</definedName>
    <definedName name="FS01_5" localSheetId="125">ERR</definedName>
    <definedName name="FS01_5" localSheetId="126">ERR</definedName>
    <definedName name="FS01_5" localSheetId="127">ERR</definedName>
    <definedName name="FS01_5" localSheetId="128">ERR</definedName>
    <definedName name="FS01_5" localSheetId="129">ERR</definedName>
    <definedName name="FS01_5" localSheetId="130">ERR</definedName>
    <definedName name="FS01_5" localSheetId="131">ERR</definedName>
    <definedName name="FS01_5" localSheetId="9">ERR</definedName>
    <definedName name="FS01_5" localSheetId="38">ERR</definedName>
    <definedName name="FS01_5" localSheetId="2">ERR</definedName>
    <definedName name="FS01_5">ERR</definedName>
    <definedName name="FS01_6" localSheetId="20">ERR</definedName>
    <definedName name="FS01_6" localSheetId="22">ERR</definedName>
    <definedName name="FS01_6" localSheetId="33">ERR</definedName>
    <definedName name="FS01_6" localSheetId="36">ERR</definedName>
    <definedName name="FS01_6" localSheetId="47">ERR</definedName>
    <definedName name="FS01_6" localSheetId="48">ERR</definedName>
    <definedName name="FS01_6" localSheetId="51">ERR</definedName>
    <definedName name="FS01_6" localSheetId="52">ERR</definedName>
    <definedName name="FS01_6" localSheetId="53">ERR</definedName>
    <definedName name="FS01_6" localSheetId="54">ERR</definedName>
    <definedName name="FS01_6" localSheetId="62">ERR</definedName>
    <definedName name="FS01_6" localSheetId="63">ERR</definedName>
    <definedName name="FS01_6" localSheetId="64">ERR</definedName>
    <definedName name="FS01_6" localSheetId="65">ERR</definedName>
    <definedName name="FS01_6" localSheetId="66">ERR</definedName>
    <definedName name="FS01_6" localSheetId="67">ERR</definedName>
    <definedName name="FS01_6" localSheetId="68">ERR</definedName>
    <definedName name="FS01_6" localSheetId="55">ERR</definedName>
    <definedName name="FS01_6" localSheetId="56">ERR</definedName>
    <definedName name="FS01_6" localSheetId="57">ERR</definedName>
    <definedName name="FS01_6" localSheetId="58">ERR</definedName>
    <definedName name="FS01_6" localSheetId="59">ERR</definedName>
    <definedName name="FS01_6" localSheetId="60">ERR</definedName>
    <definedName name="FS01_6" localSheetId="61">ERR</definedName>
    <definedName name="FS01_6" localSheetId="69">ERR</definedName>
    <definedName name="FS01_6" localSheetId="78">ERR</definedName>
    <definedName name="FS01_6" localSheetId="79">ERR</definedName>
    <definedName name="FS01_6" localSheetId="80">ERR</definedName>
    <definedName name="FS01_6" localSheetId="70">ERR</definedName>
    <definedName name="FS01_6" localSheetId="71">ERR</definedName>
    <definedName name="FS01_6" localSheetId="72">ERR</definedName>
    <definedName name="FS01_6" localSheetId="73">ERR</definedName>
    <definedName name="FS01_6" localSheetId="74">ERR</definedName>
    <definedName name="FS01_6" localSheetId="75">ERR</definedName>
    <definedName name="FS01_6" localSheetId="76">ERR</definedName>
    <definedName name="FS01_6" localSheetId="77">ERR</definedName>
    <definedName name="FS01_6" localSheetId="81">ERR</definedName>
    <definedName name="FS01_6" localSheetId="89">ERR</definedName>
    <definedName name="FS01_6" localSheetId="90">ERR</definedName>
    <definedName name="FS01_6" localSheetId="91">ERR</definedName>
    <definedName name="FS01_6" localSheetId="92">ERR</definedName>
    <definedName name="FS01_6" localSheetId="93">ERR</definedName>
    <definedName name="FS01_6" localSheetId="94">ERR</definedName>
    <definedName name="FS01_6" localSheetId="95">ERR</definedName>
    <definedName name="FS01_6" localSheetId="96">ERR</definedName>
    <definedName name="FS01_6" localSheetId="82">ERR</definedName>
    <definedName name="FS01_6" localSheetId="83">ERR</definedName>
    <definedName name="FS01_6" localSheetId="84">ERR</definedName>
    <definedName name="FS01_6" localSheetId="85">ERR</definedName>
    <definedName name="FS01_6" localSheetId="86">ERR</definedName>
    <definedName name="FS01_6" localSheetId="87">ERR</definedName>
    <definedName name="FS01_6" localSheetId="88">ERR</definedName>
    <definedName name="FS01_6" localSheetId="97">ERR</definedName>
    <definedName name="FS01_6" localSheetId="105">ERR</definedName>
    <definedName name="FS01_6" localSheetId="106">ERR</definedName>
    <definedName name="FS01_6" localSheetId="107">ERR</definedName>
    <definedName name="FS01_6" localSheetId="108">ERR</definedName>
    <definedName name="FS01_6" localSheetId="109">ERR</definedName>
    <definedName name="FS01_6" localSheetId="110">ERR</definedName>
    <definedName name="FS01_6" localSheetId="111">ERR</definedName>
    <definedName name="FS01_6" localSheetId="112">ERR</definedName>
    <definedName name="FS01_6" localSheetId="113">ERR</definedName>
    <definedName name="FS01_6" localSheetId="114">ERR</definedName>
    <definedName name="FS01_6" localSheetId="98">ERR</definedName>
    <definedName name="FS01_6" localSheetId="115">ERR</definedName>
    <definedName name="FS01_6" localSheetId="116">ERR</definedName>
    <definedName name="FS01_6" localSheetId="117">ERR</definedName>
    <definedName name="FS01_6" localSheetId="118">ERR</definedName>
    <definedName name="FS01_6" localSheetId="119">ERR</definedName>
    <definedName name="FS01_6" localSheetId="99">ERR</definedName>
    <definedName name="FS01_6" localSheetId="100">ERR</definedName>
    <definedName name="FS01_6" localSheetId="101">ERR</definedName>
    <definedName name="FS01_6" localSheetId="102">ERR</definedName>
    <definedName name="FS01_6" localSheetId="103">ERR</definedName>
    <definedName name="FS01_6" localSheetId="104">ERR</definedName>
    <definedName name="FS01_6" localSheetId="120">ERR</definedName>
    <definedName name="FS01_6" localSheetId="121">ERR</definedName>
    <definedName name="FS01_6" localSheetId="122">ERR</definedName>
    <definedName name="FS01_6" localSheetId="123">ERR</definedName>
    <definedName name="FS01_6" localSheetId="124">ERR</definedName>
    <definedName name="FS01_6" localSheetId="125">ERR</definedName>
    <definedName name="FS01_6" localSheetId="126">ERR</definedName>
    <definedName name="FS01_6" localSheetId="127">ERR</definedName>
    <definedName name="FS01_6" localSheetId="128">ERR</definedName>
    <definedName name="FS01_6" localSheetId="129">ERR</definedName>
    <definedName name="FS01_6" localSheetId="130">ERR</definedName>
    <definedName name="FS01_6" localSheetId="131">ERR</definedName>
    <definedName name="FS01_6" localSheetId="9">ERR</definedName>
    <definedName name="FS01_6" localSheetId="38">ERR</definedName>
    <definedName name="FS01_6" localSheetId="2">ERR</definedName>
    <definedName name="FS01_6">ERR</definedName>
    <definedName name="FS01_7" localSheetId="20">ERR</definedName>
    <definedName name="FS01_7" localSheetId="22">ERR</definedName>
    <definedName name="FS01_7" localSheetId="33">ERR</definedName>
    <definedName name="FS01_7" localSheetId="36">ERR</definedName>
    <definedName name="FS01_7" localSheetId="47">ERR</definedName>
    <definedName name="FS01_7" localSheetId="48">ERR</definedName>
    <definedName name="FS01_7" localSheetId="51">ERR</definedName>
    <definedName name="FS01_7" localSheetId="52">ERR</definedName>
    <definedName name="FS01_7" localSheetId="53">ERR</definedName>
    <definedName name="FS01_7" localSheetId="54">ERR</definedName>
    <definedName name="FS01_7" localSheetId="62">ERR</definedName>
    <definedName name="FS01_7" localSheetId="63">ERR</definedName>
    <definedName name="FS01_7" localSheetId="64">ERR</definedName>
    <definedName name="FS01_7" localSheetId="65">ERR</definedName>
    <definedName name="FS01_7" localSheetId="66">ERR</definedName>
    <definedName name="FS01_7" localSheetId="67">ERR</definedName>
    <definedName name="FS01_7" localSheetId="68">ERR</definedName>
    <definedName name="FS01_7" localSheetId="55">ERR</definedName>
    <definedName name="FS01_7" localSheetId="56">ERR</definedName>
    <definedName name="FS01_7" localSheetId="57">ERR</definedName>
    <definedName name="FS01_7" localSheetId="58">ERR</definedName>
    <definedName name="FS01_7" localSheetId="59">ERR</definedName>
    <definedName name="FS01_7" localSheetId="60">ERR</definedName>
    <definedName name="FS01_7" localSheetId="61">ERR</definedName>
    <definedName name="FS01_7" localSheetId="69">ERR</definedName>
    <definedName name="FS01_7" localSheetId="78">ERR</definedName>
    <definedName name="FS01_7" localSheetId="79">ERR</definedName>
    <definedName name="FS01_7" localSheetId="80">ERR</definedName>
    <definedName name="FS01_7" localSheetId="70">ERR</definedName>
    <definedName name="FS01_7" localSheetId="71">ERR</definedName>
    <definedName name="FS01_7" localSheetId="72">ERR</definedName>
    <definedName name="FS01_7" localSheetId="73">ERR</definedName>
    <definedName name="FS01_7" localSheetId="74">ERR</definedName>
    <definedName name="FS01_7" localSheetId="75">ERR</definedName>
    <definedName name="FS01_7" localSheetId="76">ERR</definedName>
    <definedName name="FS01_7" localSheetId="77">ERR</definedName>
    <definedName name="FS01_7" localSheetId="81">ERR</definedName>
    <definedName name="FS01_7" localSheetId="89">ERR</definedName>
    <definedName name="FS01_7" localSheetId="90">ERR</definedName>
    <definedName name="FS01_7" localSheetId="91">ERR</definedName>
    <definedName name="FS01_7" localSheetId="92">ERR</definedName>
    <definedName name="FS01_7" localSheetId="93">ERR</definedName>
    <definedName name="FS01_7" localSheetId="94">ERR</definedName>
    <definedName name="FS01_7" localSheetId="95">ERR</definedName>
    <definedName name="FS01_7" localSheetId="96">ERR</definedName>
    <definedName name="FS01_7" localSheetId="82">ERR</definedName>
    <definedName name="FS01_7" localSheetId="83">ERR</definedName>
    <definedName name="FS01_7" localSheetId="84">ERR</definedName>
    <definedName name="FS01_7" localSheetId="85">ERR</definedName>
    <definedName name="FS01_7" localSheetId="86">ERR</definedName>
    <definedName name="FS01_7" localSheetId="87">ERR</definedName>
    <definedName name="FS01_7" localSheetId="88">ERR</definedName>
    <definedName name="FS01_7" localSheetId="97">ERR</definedName>
    <definedName name="FS01_7" localSheetId="105">ERR</definedName>
    <definedName name="FS01_7" localSheetId="106">ERR</definedName>
    <definedName name="FS01_7" localSheetId="107">ERR</definedName>
    <definedName name="FS01_7" localSheetId="108">ERR</definedName>
    <definedName name="FS01_7" localSheetId="109">ERR</definedName>
    <definedName name="FS01_7" localSheetId="110">ERR</definedName>
    <definedName name="FS01_7" localSheetId="111">ERR</definedName>
    <definedName name="FS01_7" localSheetId="112">ERR</definedName>
    <definedName name="FS01_7" localSheetId="113">ERR</definedName>
    <definedName name="FS01_7" localSheetId="114">ERR</definedName>
    <definedName name="FS01_7" localSheetId="98">ERR</definedName>
    <definedName name="FS01_7" localSheetId="115">ERR</definedName>
    <definedName name="FS01_7" localSheetId="116">ERR</definedName>
    <definedName name="FS01_7" localSheetId="117">ERR</definedName>
    <definedName name="FS01_7" localSheetId="118">ERR</definedName>
    <definedName name="FS01_7" localSheetId="119">ERR</definedName>
    <definedName name="FS01_7" localSheetId="99">ERR</definedName>
    <definedName name="FS01_7" localSheetId="100">ERR</definedName>
    <definedName name="FS01_7" localSheetId="101">ERR</definedName>
    <definedName name="FS01_7" localSheetId="102">ERR</definedName>
    <definedName name="FS01_7" localSheetId="103">ERR</definedName>
    <definedName name="FS01_7" localSheetId="104">ERR</definedName>
    <definedName name="FS01_7" localSheetId="120">ERR</definedName>
    <definedName name="FS01_7" localSheetId="121">ERR</definedName>
    <definedName name="FS01_7" localSheetId="122">ERR</definedName>
    <definedName name="FS01_7" localSheetId="123">ERR</definedName>
    <definedName name="FS01_7" localSheetId="124">ERR</definedName>
    <definedName name="FS01_7" localSheetId="125">ERR</definedName>
    <definedName name="FS01_7" localSheetId="126">ERR</definedName>
    <definedName name="FS01_7" localSheetId="127">ERR</definedName>
    <definedName name="FS01_7" localSheetId="128">ERR</definedName>
    <definedName name="FS01_7" localSheetId="129">ERR</definedName>
    <definedName name="FS01_7" localSheetId="130">ERR</definedName>
    <definedName name="FS01_7" localSheetId="131">ERR</definedName>
    <definedName name="FS01_7" localSheetId="9">ERR</definedName>
    <definedName name="FS01_7" localSheetId="38">ERR</definedName>
    <definedName name="FS01_7" localSheetId="2">ERR</definedName>
    <definedName name="FS01_7">ERR</definedName>
    <definedName name="FS01_8" localSheetId="20">ERR</definedName>
    <definedName name="FS01_8" localSheetId="22">ERR</definedName>
    <definedName name="FS01_8" localSheetId="33">ERR</definedName>
    <definedName name="FS01_8" localSheetId="36">ERR</definedName>
    <definedName name="FS01_8" localSheetId="47">ERR</definedName>
    <definedName name="FS01_8" localSheetId="48">ERR</definedName>
    <definedName name="FS01_8" localSheetId="51">ERR</definedName>
    <definedName name="FS01_8" localSheetId="52">ERR</definedName>
    <definedName name="FS01_8" localSheetId="53">ERR</definedName>
    <definedName name="FS01_8" localSheetId="54">ERR</definedName>
    <definedName name="FS01_8" localSheetId="62">ERR</definedName>
    <definedName name="FS01_8" localSheetId="63">ERR</definedName>
    <definedName name="FS01_8" localSheetId="64">ERR</definedName>
    <definedName name="FS01_8" localSheetId="65">ERR</definedName>
    <definedName name="FS01_8" localSheetId="66">ERR</definedName>
    <definedName name="FS01_8" localSheetId="67">ERR</definedName>
    <definedName name="FS01_8" localSheetId="68">ERR</definedName>
    <definedName name="FS01_8" localSheetId="55">ERR</definedName>
    <definedName name="FS01_8" localSheetId="56">ERR</definedName>
    <definedName name="FS01_8" localSheetId="57">ERR</definedName>
    <definedName name="FS01_8" localSheetId="58">ERR</definedName>
    <definedName name="FS01_8" localSheetId="59">ERR</definedName>
    <definedName name="FS01_8" localSheetId="60">ERR</definedName>
    <definedName name="FS01_8" localSheetId="61">ERR</definedName>
    <definedName name="FS01_8" localSheetId="69">ERR</definedName>
    <definedName name="FS01_8" localSheetId="78">ERR</definedName>
    <definedName name="FS01_8" localSheetId="79">ERR</definedName>
    <definedName name="FS01_8" localSheetId="80">ERR</definedName>
    <definedName name="FS01_8" localSheetId="70">ERR</definedName>
    <definedName name="FS01_8" localSheetId="71">ERR</definedName>
    <definedName name="FS01_8" localSheetId="72">ERR</definedName>
    <definedName name="FS01_8" localSheetId="73">ERR</definedName>
    <definedName name="FS01_8" localSheetId="74">ERR</definedName>
    <definedName name="FS01_8" localSheetId="75">ERR</definedName>
    <definedName name="FS01_8" localSheetId="76">ERR</definedName>
    <definedName name="FS01_8" localSheetId="77">ERR</definedName>
    <definedName name="FS01_8" localSheetId="81">ERR</definedName>
    <definedName name="FS01_8" localSheetId="89">ERR</definedName>
    <definedName name="FS01_8" localSheetId="90">ERR</definedName>
    <definedName name="FS01_8" localSheetId="91">ERR</definedName>
    <definedName name="FS01_8" localSheetId="92">ERR</definedName>
    <definedName name="FS01_8" localSheetId="93">ERR</definedName>
    <definedName name="FS01_8" localSheetId="94">ERR</definedName>
    <definedName name="FS01_8" localSheetId="95">ERR</definedName>
    <definedName name="FS01_8" localSheetId="96">ERR</definedName>
    <definedName name="FS01_8" localSheetId="82">ERR</definedName>
    <definedName name="FS01_8" localSheetId="83">ERR</definedName>
    <definedName name="FS01_8" localSheetId="84">ERR</definedName>
    <definedName name="FS01_8" localSheetId="85">ERR</definedName>
    <definedName name="FS01_8" localSheetId="86">ERR</definedName>
    <definedName name="FS01_8" localSheetId="87">ERR</definedName>
    <definedName name="FS01_8" localSheetId="88">ERR</definedName>
    <definedName name="FS01_8" localSheetId="97">ERR</definedName>
    <definedName name="FS01_8" localSheetId="105">ERR</definedName>
    <definedName name="FS01_8" localSheetId="106">ERR</definedName>
    <definedName name="FS01_8" localSheetId="107">ERR</definedName>
    <definedName name="FS01_8" localSheetId="108">ERR</definedName>
    <definedName name="FS01_8" localSheetId="109">ERR</definedName>
    <definedName name="FS01_8" localSheetId="110">ERR</definedName>
    <definedName name="FS01_8" localSheetId="111">ERR</definedName>
    <definedName name="FS01_8" localSheetId="112">ERR</definedName>
    <definedName name="FS01_8" localSheetId="113">ERR</definedName>
    <definedName name="FS01_8" localSheetId="114">ERR</definedName>
    <definedName name="FS01_8" localSheetId="98">ERR</definedName>
    <definedName name="FS01_8" localSheetId="115">ERR</definedName>
    <definedName name="FS01_8" localSheetId="116">ERR</definedName>
    <definedName name="FS01_8" localSheetId="117">ERR</definedName>
    <definedName name="FS01_8" localSheetId="118">ERR</definedName>
    <definedName name="FS01_8" localSheetId="119">ERR</definedName>
    <definedName name="FS01_8" localSheetId="99">ERR</definedName>
    <definedName name="FS01_8" localSheetId="100">ERR</definedName>
    <definedName name="FS01_8" localSheetId="101">ERR</definedName>
    <definedName name="FS01_8" localSheetId="102">ERR</definedName>
    <definedName name="FS01_8" localSheetId="103">ERR</definedName>
    <definedName name="FS01_8" localSheetId="104">ERR</definedName>
    <definedName name="FS01_8" localSheetId="120">ERR</definedName>
    <definedName name="FS01_8" localSheetId="121">ERR</definedName>
    <definedName name="FS01_8" localSheetId="122">ERR</definedName>
    <definedName name="FS01_8" localSheetId="123">ERR</definedName>
    <definedName name="FS01_8" localSheetId="124">ERR</definedName>
    <definedName name="FS01_8" localSheetId="125">ERR</definedName>
    <definedName name="FS01_8" localSheetId="126">ERR</definedName>
    <definedName name="FS01_8" localSheetId="127">ERR</definedName>
    <definedName name="FS01_8" localSheetId="128">ERR</definedName>
    <definedName name="FS01_8" localSheetId="129">ERR</definedName>
    <definedName name="FS01_8" localSheetId="130">ERR</definedName>
    <definedName name="FS01_8" localSheetId="131">ERR</definedName>
    <definedName name="FS01_8" localSheetId="9">ERR</definedName>
    <definedName name="FS01_8" localSheetId="38">ERR</definedName>
    <definedName name="FS01_8" localSheetId="2">ERR</definedName>
    <definedName name="FS01_8">ERR</definedName>
    <definedName name="FS01_9" localSheetId="20">ERR</definedName>
    <definedName name="FS01_9" localSheetId="22">ERR</definedName>
    <definedName name="FS01_9" localSheetId="33">ERR</definedName>
    <definedName name="FS01_9" localSheetId="36">ERR</definedName>
    <definedName name="FS01_9" localSheetId="47">ERR</definedName>
    <definedName name="FS01_9" localSheetId="48">ERR</definedName>
    <definedName name="FS01_9" localSheetId="51">ERR</definedName>
    <definedName name="FS01_9" localSheetId="52">ERR</definedName>
    <definedName name="FS01_9" localSheetId="53">ERR</definedName>
    <definedName name="FS01_9" localSheetId="54">ERR</definedName>
    <definedName name="FS01_9" localSheetId="62">ERR</definedName>
    <definedName name="FS01_9" localSheetId="63">ERR</definedName>
    <definedName name="FS01_9" localSheetId="64">ERR</definedName>
    <definedName name="FS01_9" localSheetId="65">ERR</definedName>
    <definedName name="FS01_9" localSheetId="66">ERR</definedName>
    <definedName name="FS01_9" localSheetId="67">ERR</definedName>
    <definedName name="FS01_9" localSheetId="68">ERR</definedName>
    <definedName name="FS01_9" localSheetId="55">ERR</definedName>
    <definedName name="FS01_9" localSheetId="56">ERR</definedName>
    <definedName name="FS01_9" localSheetId="57">ERR</definedName>
    <definedName name="FS01_9" localSheetId="58">ERR</definedName>
    <definedName name="FS01_9" localSheetId="59">ERR</definedName>
    <definedName name="FS01_9" localSheetId="60">ERR</definedName>
    <definedName name="FS01_9" localSheetId="61">ERR</definedName>
    <definedName name="FS01_9" localSheetId="69">ERR</definedName>
    <definedName name="FS01_9" localSheetId="78">ERR</definedName>
    <definedName name="FS01_9" localSheetId="79">ERR</definedName>
    <definedName name="FS01_9" localSheetId="80">ERR</definedName>
    <definedName name="FS01_9" localSheetId="70">ERR</definedName>
    <definedName name="FS01_9" localSheetId="71">ERR</definedName>
    <definedName name="FS01_9" localSheetId="72">ERR</definedName>
    <definedName name="FS01_9" localSheetId="73">ERR</definedName>
    <definedName name="FS01_9" localSheetId="74">ERR</definedName>
    <definedName name="FS01_9" localSheetId="75">ERR</definedName>
    <definedName name="FS01_9" localSheetId="76">ERR</definedName>
    <definedName name="FS01_9" localSheetId="77">ERR</definedName>
    <definedName name="FS01_9" localSheetId="81">ERR</definedName>
    <definedName name="FS01_9" localSheetId="89">ERR</definedName>
    <definedName name="FS01_9" localSheetId="90">ERR</definedName>
    <definedName name="FS01_9" localSheetId="91">ERR</definedName>
    <definedName name="FS01_9" localSheetId="92">ERR</definedName>
    <definedName name="FS01_9" localSheetId="93">ERR</definedName>
    <definedName name="FS01_9" localSheetId="94">ERR</definedName>
    <definedName name="FS01_9" localSheetId="95">ERR</definedName>
    <definedName name="FS01_9" localSheetId="96">ERR</definedName>
    <definedName name="FS01_9" localSheetId="82">ERR</definedName>
    <definedName name="FS01_9" localSheetId="83">ERR</definedName>
    <definedName name="FS01_9" localSheetId="84">ERR</definedName>
    <definedName name="FS01_9" localSheetId="85">ERR</definedName>
    <definedName name="FS01_9" localSheetId="86">ERR</definedName>
    <definedName name="FS01_9" localSheetId="87">ERR</definedName>
    <definedName name="FS01_9" localSheetId="88">ERR</definedName>
    <definedName name="FS01_9" localSheetId="97">ERR</definedName>
    <definedName name="FS01_9" localSheetId="105">ERR</definedName>
    <definedName name="FS01_9" localSheetId="106">ERR</definedName>
    <definedName name="FS01_9" localSheetId="107">ERR</definedName>
    <definedName name="FS01_9" localSheetId="108">ERR</definedName>
    <definedName name="FS01_9" localSheetId="109">ERR</definedName>
    <definedName name="FS01_9" localSheetId="110">ERR</definedName>
    <definedName name="FS01_9" localSheetId="111">ERR</definedName>
    <definedName name="FS01_9" localSheetId="112">ERR</definedName>
    <definedName name="FS01_9" localSheetId="113">ERR</definedName>
    <definedName name="FS01_9" localSheetId="114">ERR</definedName>
    <definedName name="FS01_9" localSheetId="98">ERR</definedName>
    <definedName name="FS01_9" localSheetId="115">ERR</definedName>
    <definedName name="FS01_9" localSheetId="116">ERR</definedName>
    <definedName name="FS01_9" localSheetId="117">ERR</definedName>
    <definedName name="FS01_9" localSheetId="118">ERR</definedName>
    <definedName name="FS01_9" localSheetId="119">ERR</definedName>
    <definedName name="FS01_9" localSheetId="99">ERR</definedName>
    <definedName name="FS01_9" localSheetId="100">ERR</definedName>
    <definedName name="FS01_9" localSheetId="101">ERR</definedName>
    <definedName name="FS01_9" localSheetId="102">ERR</definedName>
    <definedName name="FS01_9" localSheetId="103">ERR</definedName>
    <definedName name="FS01_9" localSheetId="104">ERR</definedName>
    <definedName name="FS01_9" localSheetId="120">ERR</definedName>
    <definedName name="FS01_9" localSheetId="121">ERR</definedName>
    <definedName name="FS01_9" localSheetId="122">ERR</definedName>
    <definedName name="FS01_9" localSheetId="123">ERR</definedName>
    <definedName name="FS01_9" localSheetId="124">ERR</definedName>
    <definedName name="FS01_9" localSheetId="125">ERR</definedName>
    <definedName name="FS01_9" localSheetId="126">ERR</definedName>
    <definedName name="FS01_9" localSheetId="127">ERR</definedName>
    <definedName name="FS01_9" localSheetId="128">ERR</definedName>
    <definedName name="FS01_9" localSheetId="129">ERR</definedName>
    <definedName name="FS01_9" localSheetId="130">ERR</definedName>
    <definedName name="FS01_9" localSheetId="131">ERR</definedName>
    <definedName name="FS01_9" localSheetId="9">ERR</definedName>
    <definedName name="FS01_9" localSheetId="38">ERR</definedName>
    <definedName name="FS01_9" localSheetId="2">ERR</definedName>
    <definedName name="FS01_9">ERR</definedName>
    <definedName name="GGG" localSheetId="20">[0]!ERR</definedName>
    <definedName name="GGG" localSheetId="22">[0]!ERR</definedName>
    <definedName name="GGG" localSheetId="33">[0]!ERR</definedName>
    <definedName name="GGG" localSheetId="36">[0]!ERR</definedName>
    <definedName name="GGG" localSheetId="47">[0]!ERR</definedName>
    <definedName name="GGG" localSheetId="48">[0]!ERR</definedName>
    <definedName name="GGG" localSheetId="51">[0]!ERR</definedName>
    <definedName name="GGG" localSheetId="52">[0]!ERR</definedName>
    <definedName name="GGG" localSheetId="53">[0]!ERR</definedName>
    <definedName name="GGG" localSheetId="54">[0]!ERR</definedName>
    <definedName name="GGG" localSheetId="62">[0]!ERR</definedName>
    <definedName name="GGG" localSheetId="63">[0]!ERR</definedName>
    <definedName name="GGG" localSheetId="64">[0]!ERR</definedName>
    <definedName name="GGG" localSheetId="65">[0]!ERR</definedName>
    <definedName name="GGG" localSheetId="66">[0]!ERR</definedName>
    <definedName name="GGG" localSheetId="67">[0]!ERR</definedName>
    <definedName name="GGG" localSheetId="68">[0]!ERR</definedName>
    <definedName name="GGG" localSheetId="55">[0]!ERR</definedName>
    <definedName name="GGG" localSheetId="56">[0]!ERR</definedName>
    <definedName name="GGG" localSheetId="57">[0]!ERR</definedName>
    <definedName name="GGG" localSheetId="58">[0]!ERR</definedName>
    <definedName name="GGG" localSheetId="59">[0]!ERR</definedName>
    <definedName name="GGG" localSheetId="60">[0]!ERR</definedName>
    <definedName name="GGG" localSheetId="61">[0]!ERR</definedName>
    <definedName name="GGG" localSheetId="69">[0]!ERR</definedName>
    <definedName name="GGG" localSheetId="78">[0]!ERR</definedName>
    <definedName name="GGG" localSheetId="79">[0]!ERR</definedName>
    <definedName name="GGG" localSheetId="80">[0]!ERR</definedName>
    <definedName name="GGG" localSheetId="70">[0]!ERR</definedName>
    <definedName name="GGG" localSheetId="71">[0]!ERR</definedName>
    <definedName name="GGG" localSheetId="72">[0]!ERR</definedName>
    <definedName name="GGG" localSheetId="73">[0]!ERR</definedName>
    <definedName name="GGG" localSheetId="74">[0]!ERR</definedName>
    <definedName name="GGG" localSheetId="75">[0]!ERR</definedName>
    <definedName name="GGG" localSheetId="76">[0]!ERR</definedName>
    <definedName name="GGG" localSheetId="77">[0]!ERR</definedName>
    <definedName name="GGG" localSheetId="81">[0]!ERR</definedName>
    <definedName name="GGG" localSheetId="89">[0]!ERR</definedName>
    <definedName name="GGG" localSheetId="90">[0]!ERR</definedName>
    <definedName name="GGG" localSheetId="91">[0]!ERR</definedName>
    <definedName name="GGG" localSheetId="92">[0]!ERR</definedName>
    <definedName name="GGG" localSheetId="93">[0]!ERR</definedName>
    <definedName name="GGG" localSheetId="94">[0]!ERR</definedName>
    <definedName name="GGG" localSheetId="95">[0]!ERR</definedName>
    <definedName name="GGG" localSheetId="96">[0]!ERR</definedName>
    <definedName name="GGG" localSheetId="82">[0]!ERR</definedName>
    <definedName name="GGG" localSheetId="83">[0]!ERR</definedName>
    <definedName name="GGG" localSheetId="84">[0]!ERR</definedName>
    <definedName name="GGG" localSheetId="85">[0]!ERR</definedName>
    <definedName name="GGG" localSheetId="86">[0]!ERR</definedName>
    <definedName name="GGG" localSheetId="87">[0]!ERR</definedName>
    <definedName name="GGG" localSheetId="88">[0]!ERR</definedName>
    <definedName name="GGG" localSheetId="97">[0]!ERR</definedName>
    <definedName name="GGG" localSheetId="105">[0]!ERR</definedName>
    <definedName name="GGG" localSheetId="106">[0]!ERR</definedName>
    <definedName name="GGG" localSheetId="107">[0]!ERR</definedName>
    <definedName name="GGG" localSheetId="108">[0]!ERR</definedName>
    <definedName name="GGG" localSheetId="109">[0]!ERR</definedName>
    <definedName name="GGG" localSheetId="110">[0]!ERR</definedName>
    <definedName name="GGG" localSheetId="111">[0]!ERR</definedName>
    <definedName name="GGG" localSheetId="112">[0]!ERR</definedName>
    <definedName name="GGG" localSheetId="113">[0]!ERR</definedName>
    <definedName name="GGG" localSheetId="114">[0]!ERR</definedName>
    <definedName name="GGG" localSheetId="98">[0]!ERR</definedName>
    <definedName name="GGG" localSheetId="115">[0]!ERR</definedName>
    <definedName name="GGG" localSheetId="116">[0]!ERR</definedName>
    <definedName name="GGG" localSheetId="117">[0]!ERR</definedName>
    <definedName name="GGG" localSheetId="118">[0]!ERR</definedName>
    <definedName name="GGG" localSheetId="119">[0]!ERR</definedName>
    <definedName name="GGG" localSheetId="99">[0]!ERR</definedName>
    <definedName name="GGG" localSheetId="100">[0]!ERR</definedName>
    <definedName name="GGG" localSheetId="101">[0]!ERR</definedName>
    <definedName name="GGG" localSheetId="102">[0]!ERR</definedName>
    <definedName name="GGG" localSheetId="103">[0]!ERR</definedName>
    <definedName name="GGG" localSheetId="104">[0]!ERR</definedName>
    <definedName name="GGG" localSheetId="120">[0]!ERR</definedName>
    <definedName name="GGG" localSheetId="121">[0]!ERR</definedName>
    <definedName name="GGG" localSheetId="122">[0]!ERR</definedName>
    <definedName name="GGG" localSheetId="123">[0]!ERR</definedName>
    <definedName name="GGG" localSheetId="124">[0]!ERR</definedName>
    <definedName name="GGG" localSheetId="125">[0]!ERR</definedName>
    <definedName name="GGG" localSheetId="126">[0]!ERR</definedName>
    <definedName name="GGG" localSheetId="127">[0]!ERR</definedName>
    <definedName name="GGG" localSheetId="128">[0]!ERR</definedName>
    <definedName name="GGG" localSheetId="129">[0]!ERR</definedName>
    <definedName name="GGG" localSheetId="130">[0]!ERR</definedName>
    <definedName name="GGG" localSheetId="131">[0]!ERR</definedName>
    <definedName name="GGG" localSheetId="38">[0]!ERR</definedName>
    <definedName name="GGG" localSheetId="2">[0]!ERR</definedName>
    <definedName name="GGG">[0]!ERR</definedName>
    <definedName name="GGG_10" localSheetId="20">ERR</definedName>
    <definedName name="GGG_10" localSheetId="22">ERR</definedName>
    <definedName name="GGG_10" localSheetId="33">ERR</definedName>
    <definedName name="GGG_10" localSheetId="36">ERR</definedName>
    <definedName name="GGG_10" localSheetId="47">ERR</definedName>
    <definedName name="GGG_10" localSheetId="48">ERR</definedName>
    <definedName name="GGG_10" localSheetId="51">ERR</definedName>
    <definedName name="GGG_10" localSheetId="52">ERR</definedName>
    <definedName name="GGG_10" localSheetId="53">ERR</definedName>
    <definedName name="GGG_10" localSheetId="54">ERR</definedName>
    <definedName name="GGG_10" localSheetId="62">ERR</definedName>
    <definedName name="GGG_10" localSheetId="63">ERR</definedName>
    <definedName name="GGG_10" localSheetId="64">ERR</definedName>
    <definedName name="GGG_10" localSheetId="65">ERR</definedName>
    <definedName name="GGG_10" localSheetId="66">ERR</definedName>
    <definedName name="GGG_10" localSheetId="67">ERR</definedName>
    <definedName name="GGG_10" localSheetId="68">ERR</definedName>
    <definedName name="GGG_10" localSheetId="55">ERR</definedName>
    <definedName name="GGG_10" localSheetId="56">ERR</definedName>
    <definedName name="GGG_10" localSheetId="57">ERR</definedName>
    <definedName name="GGG_10" localSheetId="58">ERR</definedName>
    <definedName name="GGG_10" localSheetId="59">ERR</definedName>
    <definedName name="GGG_10" localSheetId="60">ERR</definedName>
    <definedName name="GGG_10" localSheetId="61">ERR</definedName>
    <definedName name="GGG_10" localSheetId="69">ERR</definedName>
    <definedName name="GGG_10" localSheetId="78">ERR</definedName>
    <definedName name="GGG_10" localSheetId="79">ERR</definedName>
    <definedName name="GGG_10" localSheetId="80">ERR</definedName>
    <definedName name="GGG_10" localSheetId="70">ERR</definedName>
    <definedName name="GGG_10" localSheetId="71">ERR</definedName>
    <definedName name="GGG_10" localSheetId="72">ERR</definedName>
    <definedName name="GGG_10" localSheetId="73">ERR</definedName>
    <definedName name="GGG_10" localSheetId="74">ERR</definedName>
    <definedName name="GGG_10" localSheetId="75">ERR</definedName>
    <definedName name="GGG_10" localSheetId="76">ERR</definedName>
    <definedName name="GGG_10" localSheetId="77">ERR</definedName>
    <definedName name="GGG_10" localSheetId="81">ERR</definedName>
    <definedName name="GGG_10" localSheetId="89">ERR</definedName>
    <definedName name="GGG_10" localSheetId="90">ERR</definedName>
    <definedName name="GGG_10" localSheetId="91">ERR</definedName>
    <definedName name="GGG_10" localSheetId="92">ERR</definedName>
    <definedName name="GGG_10" localSheetId="93">ERR</definedName>
    <definedName name="GGG_10" localSheetId="94">ERR</definedName>
    <definedName name="GGG_10" localSheetId="95">ERR</definedName>
    <definedName name="GGG_10" localSheetId="96">ERR</definedName>
    <definedName name="GGG_10" localSheetId="82">ERR</definedName>
    <definedName name="GGG_10" localSheetId="83">ERR</definedName>
    <definedName name="GGG_10" localSheetId="84">ERR</definedName>
    <definedName name="GGG_10" localSheetId="85">ERR</definedName>
    <definedName name="GGG_10" localSheetId="86">ERR</definedName>
    <definedName name="GGG_10" localSheetId="87">ERR</definedName>
    <definedName name="GGG_10" localSheetId="88">ERR</definedName>
    <definedName name="GGG_10" localSheetId="97">ERR</definedName>
    <definedName name="GGG_10" localSheetId="105">ERR</definedName>
    <definedName name="GGG_10" localSheetId="106">ERR</definedName>
    <definedName name="GGG_10" localSheetId="107">ERR</definedName>
    <definedName name="GGG_10" localSheetId="108">ERR</definedName>
    <definedName name="GGG_10" localSheetId="109">ERR</definedName>
    <definedName name="GGG_10" localSheetId="110">ERR</definedName>
    <definedName name="GGG_10" localSheetId="111">ERR</definedName>
    <definedName name="GGG_10" localSheetId="112">ERR</definedName>
    <definedName name="GGG_10" localSheetId="113">ERR</definedName>
    <definedName name="GGG_10" localSheetId="114">ERR</definedName>
    <definedName name="GGG_10" localSheetId="98">ERR</definedName>
    <definedName name="GGG_10" localSheetId="115">ERR</definedName>
    <definedName name="GGG_10" localSheetId="116">ERR</definedName>
    <definedName name="GGG_10" localSheetId="117">ERR</definedName>
    <definedName name="GGG_10" localSheetId="118">ERR</definedName>
    <definedName name="GGG_10" localSheetId="119">ERR</definedName>
    <definedName name="GGG_10" localSheetId="99">ERR</definedName>
    <definedName name="GGG_10" localSheetId="100">ERR</definedName>
    <definedName name="GGG_10" localSheetId="101">ERR</definedName>
    <definedName name="GGG_10" localSheetId="102">ERR</definedName>
    <definedName name="GGG_10" localSheetId="103">ERR</definedName>
    <definedName name="GGG_10" localSheetId="104">ERR</definedName>
    <definedName name="GGG_10" localSheetId="120">ERR</definedName>
    <definedName name="GGG_10" localSheetId="121">ERR</definedName>
    <definedName name="GGG_10" localSheetId="122">ERR</definedName>
    <definedName name="GGG_10" localSheetId="123">ERR</definedName>
    <definedName name="GGG_10" localSheetId="124">ERR</definedName>
    <definedName name="GGG_10" localSheetId="125">ERR</definedName>
    <definedName name="GGG_10" localSheetId="126">ERR</definedName>
    <definedName name="GGG_10" localSheetId="127">ERR</definedName>
    <definedName name="GGG_10" localSheetId="128">ERR</definedName>
    <definedName name="GGG_10" localSheetId="129">ERR</definedName>
    <definedName name="GGG_10" localSheetId="130">ERR</definedName>
    <definedName name="GGG_10" localSheetId="131">ERR</definedName>
    <definedName name="GGG_10" localSheetId="9">ERR</definedName>
    <definedName name="GGG_10" localSheetId="38">ERR</definedName>
    <definedName name="GGG_10" localSheetId="2">ERR</definedName>
    <definedName name="GGG_10">ERR</definedName>
    <definedName name="GGG_3" localSheetId="20">ERR</definedName>
    <definedName name="GGG_3" localSheetId="22">ERR</definedName>
    <definedName name="GGG_3" localSheetId="33">ERR</definedName>
    <definedName name="GGG_3" localSheetId="36">ERR</definedName>
    <definedName name="GGG_3" localSheetId="47">ERR</definedName>
    <definedName name="GGG_3" localSheetId="48">ERR</definedName>
    <definedName name="GGG_3" localSheetId="51">ERR</definedName>
    <definedName name="GGG_3" localSheetId="52">ERR</definedName>
    <definedName name="GGG_3" localSheetId="53">ERR</definedName>
    <definedName name="GGG_3" localSheetId="54">ERR</definedName>
    <definedName name="GGG_3" localSheetId="62">ERR</definedName>
    <definedName name="GGG_3" localSheetId="63">ERR</definedName>
    <definedName name="GGG_3" localSheetId="64">ERR</definedName>
    <definedName name="GGG_3" localSheetId="65">ERR</definedName>
    <definedName name="GGG_3" localSheetId="66">ERR</definedName>
    <definedName name="GGG_3" localSheetId="67">ERR</definedName>
    <definedName name="GGG_3" localSheetId="68">ERR</definedName>
    <definedName name="GGG_3" localSheetId="55">ERR</definedName>
    <definedName name="GGG_3" localSheetId="56">ERR</definedName>
    <definedName name="GGG_3" localSheetId="57">ERR</definedName>
    <definedName name="GGG_3" localSheetId="58">ERR</definedName>
    <definedName name="GGG_3" localSheetId="59">ERR</definedName>
    <definedName name="GGG_3" localSheetId="60">ERR</definedName>
    <definedName name="GGG_3" localSheetId="61">ERR</definedName>
    <definedName name="GGG_3" localSheetId="69">ERR</definedName>
    <definedName name="GGG_3" localSheetId="78">ERR</definedName>
    <definedName name="GGG_3" localSheetId="79">ERR</definedName>
    <definedName name="GGG_3" localSheetId="80">ERR</definedName>
    <definedName name="GGG_3" localSheetId="70">ERR</definedName>
    <definedName name="GGG_3" localSheetId="71">ERR</definedName>
    <definedName name="GGG_3" localSheetId="72">ERR</definedName>
    <definedName name="GGG_3" localSheetId="73">ERR</definedName>
    <definedName name="GGG_3" localSheetId="74">ERR</definedName>
    <definedName name="GGG_3" localSheetId="75">ERR</definedName>
    <definedName name="GGG_3" localSheetId="76">ERR</definedName>
    <definedName name="GGG_3" localSheetId="77">ERR</definedName>
    <definedName name="GGG_3" localSheetId="81">ERR</definedName>
    <definedName name="GGG_3" localSheetId="89">ERR</definedName>
    <definedName name="GGG_3" localSheetId="90">ERR</definedName>
    <definedName name="GGG_3" localSheetId="91">ERR</definedName>
    <definedName name="GGG_3" localSheetId="92">ERR</definedName>
    <definedName name="GGG_3" localSheetId="93">ERR</definedName>
    <definedName name="GGG_3" localSheetId="94">ERR</definedName>
    <definedName name="GGG_3" localSheetId="95">ERR</definedName>
    <definedName name="GGG_3" localSheetId="96">ERR</definedName>
    <definedName name="GGG_3" localSheetId="82">ERR</definedName>
    <definedName name="GGG_3" localSheetId="83">ERR</definedName>
    <definedName name="GGG_3" localSheetId="84">ERR</definedName>
    <definedName name="GGG_3" localSheetId="85">ERR</definedName>
    <definedName name="GGG_3" localSheetId="86">ERR</definedName>
    <definedName name="GGG_3" localSheetId="87">ERR</definedName>
    <definedName name="GGG_3" localSheetId="88">ERR</definedName>
    <definedName name="GGG_3" localSheetId="97">ERR</definedName>
    <definedName name="GGG_3" localSheetId="105">ERR</definedName>
    <definedName name="GGG_3" localSheetId="106">ERR</definedName>
    <definedName name="GGG_3" localSheetId="107">ERR</definedName>
    <definedName name="GGG_3" localSheetId="108">ERR</definedName>
    <definedName name="GGG_3" localSheetId="109">ERR</definedName>
    <definedName name="GGG_3" localSheetId="110">ERR</definedName>
    <definedName name="GGG_3" localSheetId="111">ERR</definedName>
    <definedName name="GGG_3" localSheetId="112">ERR</definedName>
    <definedName name="GGG_3" localSheetId="113">ERR</definedName>
    <definedName name="GGG_3" localSheetId="114">ERR</definedName>
    <definedName name="GGG_3" localSheetId="98">ERR</definedName>
    <definedName name="GGG_3" localSheetId="115">ERR</definedName>
    <definedName name="GGG_3" localSheetId="116">ERR</definedName>
    <definedName name="GGG_3" localSheetId="117">ERR</definedName>
    <definedName name="GGG_3" localSheetId="118">ERR</definedName>
    <definedName name="GGG_3" localSheetId="119">ERR</definedName>
    <definedName name="GGG_3" localSheetId="99">ERR</definedName>
    <definedName name="GGG_3" localSheetId="100">ERR</definedName>
    <definedName name="GGG_3" localSheetId="101">ERR</definedName>
    <definedName name="GGG_3" localSheetId="102">ERR</definedName>
    <definedName name="GGG_3" localSheetId="103">ERR</definedName>
    <definedName name="GGG_3" localSheetId="104">ERR</definedName>
    <definedName name="GGG_3" localSheetId="120">ERR</definedName>
    <definedName name="GGG_3" localSheetId="121">ERR</definedName>
    <definedName name="GGG_3" localSheetId="122">ERR</definedName>
    <definedName name="GGG_3" localSheetId="123">ERR</definedName>
    <definedName name="GGG_3" localSheetId="124">ERR</definedName>
    <definedName name="GGG_3" localSheetId="125">ERR</definedName>
    <definedName name="GGG_3" localSheetId="126">ERR</definedName>
    <definedName name="GGG_3" localSheetId="127">ERR</definedName>
    <definedName name="GGG_3" localSheetId="128">ERR</definedName>
    <definedName name="GGG_3" localSheetId="129">ERR</definedName>
    <definedName name="GGG_3" localSheetId="130">ERR</definedName>
    <definedName name="GGG_3" localSheetId="131">ERR</definedName>
    <definedName name="GGG_3" localSheetId="9">ERR</definedName>
    <definedName name="GGG_3" localSheetId="38">ERR</definedName>
    <definedName name="GGG_3" localSheetId="2">ERR</definedName>
    <definedName name="GGG_3">ERR</definedName>
    <definedName name="GGG_4" localSheetId="20">ERR</definedName>
    <definedName name="GGG_4" localSheetId="22">ERR</definedName>
    <definedName name="GGG_4" localSheetId="33">ERR</definedName>
    <definedName name="GGG_4" localSheetId="36">ERR</definedName>
    <definedName name="GGG_4" localSheetId="47">ERR</definedName>
    <definedName name="GGG_4" localSheetId="48">ERR</definedName>
    <definedName name="GGG_4" localSheetId="51">ERR</definedName>
    <definedName name="GGG_4" localSheetId="52">ERR</definedName>
    <definedName name="GGG_4" localSheetId="53">ERR</definedName>
    <definedName name="GGG_4" localSheetId="54">ERR</definedName>
    <definedName name="GGG_4" localSheetId="62">ERR</definedName>
    <definedName name="GGG_4" localSheetId="63">ERR</definedName>
    <definedName name="GGG_4" localSheetId="64">ERR</definedName>
    <definedName name="GGG_4" localSheetId="65">ERR</definedName>
    <definedName name="GGG_4" localSheetId="66">ERR</definedName>
    <definedName name="GGG_4" localSheetId="67">ERR</definedName>
    <definedName name="GGG_4" localSheetId="68">ERR</definedName>
    <definedName name="GGG_4" localSheetId="55">ERR</definedName>
    <definedName name="GGG_4" localSheetId="56">ERR</definedName>
    <definedName name="GGG_4" localSheetId="57">ERR</definedName>
    <definedName name="GGG_4" localSheetId="58">ERR</definedName>
    <definedName name="GGG_4" localSheetId="59">ERR</definedName>
    <definedName name="GGG_4" localSheetId="60">ERR</definedName>
    <definedName name="GGG_4" localSheetId="61">ERR</definedName>
    <definedName name="GGG_4" localSheetId="69">ERR</definedName>
    <definedName name="GGG_4" localSheetId="78">ERR</definedName>
    <definedName name="GGG_4" localSheetId="79">ERR</definedName>
    <definedName name="GGG_4" localSheetId="80">ERR</definedName>
    <definedName name="GGG_4" localSheetId="70">ERR</definedName>
    <definedName name="GGG_4" localSheetId="71">ERR</definedName>
    <definedName name="GGG_4" localSheetId="72">ERR</definedName>
    <definedName name="GGG_4" localSheetId="73">ERR</definedName>
    <definedName name="GGG_4" localSheetId="74">ERR</definedName>
    <definedName name="GGG_4" localSheetId="75">ERR</definedName>
    <definedName name="GGG_4" localSheetId="76">ERR</definedName>
    <definedName name="GGG_4" localSheetId="77">ERR</definedName>
    <definedName name="GGG_4" localSheetId="81">ERR</definedName>
    <definedName name="GGG_4" localSheetId="89">ERR</definedName>
    <definedName name="GGG_4" localSheetId="90">ERR</definedName>
    <definedName name="GGG_4" localSheetId="91">ERR</definedName>
    <definedName name="GGG_4" localSheetId="92">ERR</definedName>
    <definedName name="GGG_4" localSheetId="93">ERR</definedName>
    <definedName name="GGG_4" localSheetId="94">ERR</definedName>
    <definedName name="GGG_4" localSheetId="95">ERR</definedName>
    <definedName name="GGG_4" localSheetId="96">ERR</definedName>
    <definedName name="GGG_4" localSheetId="82">ERR</definedName>
    <definedName name="GGG_4" localSheetId="83">ERR</definedName>
    <definedName name="GGG_4" localSheetId="84">ERR</definedName>
    <definedName name="GGG_4" localSheetId="85">ERR</definedName>
    <definedName name="GGG_4" localSheetId="86">ERR</definedName>
    <definedName name="GGG_4" localSheetId="87">ERR</definedName>
    <definedName name="GGG_4" localSheetId="88">ERR</definedName>
    <definedName name="GGG_4" localSheetId="97">ERR</definedName>
    <definedName name="GGG_4" localSheetId="105">ERR</definedName>
    <definedName name="GGG_4" localSheetId="106">ERR</definedName>
    <definedName name="GGG_4" localSheetId="107">ERR</definedName>
    <definedName name="GGG_4" localSheetId="108">ERR</definedName>
    <definedName name="GGG_4" localSheetId="109">ERR</definedName>
    <definedName name="GGG_4" localSheetId="110">ERR</definedName>
    <definedName name="GGG_4" localSheetId="111">ERR</definedName>
    <definedName name="GGG_4" localSheetId="112">ERR</definedName>
    <definedName name="GGG_4" localSheetId="113">ERR</definedName>
    <definedName name="GGG_4" localSheetId="114">ERR</definedName>
    <definedName name="GGG_4" localSheetId="98">ERR</definedName>
    <definedName name="GGG_4" localSheetId="115">ERR</definedName>
    <definedName name="GGG_4" localSheetId="116">ERR</definedName>
    <definedName name="GGG_4" localSheetId="117">ERR</definedName>
    <definedName name="GGG_4" localSheetId="118">ERR</definedName>
    <definedName name="GGG_4" localSheetId="119">ERR</definedName>
    <definedName name="GGG_4" localSheetId="99">ERR</definedName>
    <definedName name="GGG_4" localSheetId="100">ERR</definedName>
    <definedName name="GGG_4" localSheetId="101">ERR</definedName>
    <definedName name="GGG_4" localSheetId="102">ERR</definedName>
    <definedName name="GGG_4" localSheetId="103">ERR</definedName>
    <definedName name="GGG_4" localSheetId="104">ERR</definedName>
    <definedName name="GGG_4" localSheetId="120">ERR</definedName>
    <definedName name="GGG_4" localSheetId="121">ERR</definedName>
    <definedName name="GGG_4" localSheetId="122">ERR</definedName>
    <definedName name="GGG_4" localSheetId="123">ERR</definedName>
    <definedName name="GGG_4" localSheetId="124">ERR</definedName>
    <definedName name="GGG_4" localSheetId="125">ERR</definedName>
    <definedName name="GGG_4" localSheetId="126">ERR</definedName>
    <definedName name="GGG_4" localSheetId="127">ERR</definedName>
    <definedName name="GGG_4" localSheetId="128">ERR</definedName>
    <definedName name="GGG_4" localSheetId="129">ERR</definedName>
    <definedName name="GGG_4" localSheetId="130">ERR</definedName>
    <definedName name="GGG_4" localSheetId="131">ERR</definedName>
    <definedName name="GGG_4" localSheetId="9">ERR</definedName>
    <definedName name="GGG_4" localSheetId="38">ERR</definedName>
    <definedName name="GGG_4" localSheetId="2">ERR</definedName>
    <definedName name="GGG_4">ERR</definedName>
    <definedName name="GGG_5" localSheetId="20">ERR</definedName>
    <definedName name="GGG_5" localSheetId="22">ERR</definedName>
    <definedName name="GGG_5" localSheetId="33">ERR</definedName>
    <definedName name="GGG_5" localSheetId="36">ERR</definedName>
    <definedName name="GGG_5" localSheetId="47">ERR</definedName>
    <definedName name="GGG_5" localSheetId="48">ERR</definedName>
    <definedName name="GGG_5" localSheetId="51">ERR</definedName>
    <definedName name="GGG_5" localSheetId="52">ERR</definedName>
    <definedName name="GGG_5" localSheetId="53">ERR</definedName>
    <definedName name="GGG_5" localSheetId="54">ERR</definedName>
    <definedName name="GGG_5" localSheetId="62">ERR</definedName>
    <definedName name="GGG_5" localSheetId="63">ERR</definedName>
    <definedName name="GGG_5" localSheetId="64">ERR</definedName>
    <definedName name="GGG_5" localSheetId="65">ERR</definedName>
    <definedName name="GGG_5" localSheetId="66">ERR</definedName>
    <definedName name="GGG_5" localSheetId="67">ERR</definedName>
    <definedName name="GGG_5" localSheetId="68">ERR</definedName>
    <definedName name="GGG_5" localSheetId="55">ERR</definedName>
    <definedName name="GGG_5" localSheetId="56">ERR</definedName>
    <definedName name="GGG_5" localSheetId="57">ERR</definedName>
    <definedName name="GGG_5" localSheetId="58">ERR</definedName>
    <definedName name="GGG_5" localSheetId="59">ERR</definedName>
    <definedName name="GGG_5" localSheetId="60">ERR</definedName>
    <definedName name="GGG_5" localSheetId="61">ERR</definedName>
    <definedName name="GGG_5" localSheetId="69">ERR</definedName>
    <definedName name="GGG_5" localSheetId="78">ERR</definedName>
    <definedName name="GGG_5" localSheetId="79">ERR</definedName>
    <definedName name="GGG_5" localSheetId="80">ERR</definedName>
    <definedName name="GGG_5" localSheetId="70">ERR</definedName>
    <definedName name="GGG_5" localSheetId="71">ERR</definedName>
    <definedName name="GGG_5" localSheetId="72">ERR</definedName>
    <definedName name="GGG_5" localSheetId="73">ERR</definedName>
    <definedName name="GGG_5" localSheetId="74">ERR</definedName>
    <definedName name="GGG_5" localSheetId="75">ERR</definedName>
    <definedName name="GGG_5" localSheetId="76">ERR</definedName>
    <definedName name="GGG_5" localSheetId="77">ERR</definedName>
    <definedName name="GGG_5" localSheetId="81">ERR</definedName>
    <definedName name="GGG_5" localSheetId="89">ERR</definedName>
    <definedName name="GGG_5" localSheetId="90">ERR</definedName>
    <definedName name="GGG_5" localSheetId="91">ERR</definedName>
    <definedName name="GGG_5" localSheetId="92">ERR</definedName>
    <definedName name="GGG_5" localSheetId="93">ERR</definedName>
    <definedName name="GGG_5" localSheetId="94">ERR</definedName>
    <definedName name="GGG_5" localSheetId="95">ERR</definedName>
    <definedName name="GGG_5" localSheetId="96">ERR</definedName>
    <definedName name="GGG_5" localSheetId="82">ERR</definedName>
    <definedName name="GGG_5" localSheetId="83">ERR</definedName>
    <definedName name="GGG_5" localSheetId="84">ERR</definedName>
    <definedName name="GGG_5" localSheetId="85">ERR</definedName>
    <definedName name="GGG_5" localSheetId="86">ERR</definedName>
    <definedName name="GGG_5" localSheetId="87">ERR</definedName>
    <definedName name="GGG_5" localSheetId="88">ERR</definedName>
    <definedName name="GGG_5" localSheetId="97">ERR</definedName>
    <definedName name="GGG_5" localSheetId="105">ERR</definedName>
    <definedName name="GGG_5" localSheetId="106">ERR</definedName>
    <definedName name="GGG_5" localSheetId="107">ERR</definedName>
    <definedName name="GGG_5" localSheetId="108">ERR</definedName>
    <definedName name="GGG_5" localSheetId="109">ERR</definedName>
    <definedName name="GGG_5" localSheetId="110">ERR</definedName>
    <definedName name="GGG_5" localSheetId="111">ERR</definedName>
    <definedName name="GGG_5" localSheetId="112">ERR</definedName>
    <definedName name="GGG_5" localSheetId="113">ERR</definedName>
    <definedName name="GGG_5" localSheetId="114">ERR</definedName>
    <definedName name="GGG_5" localSheetId="98">ERR</definedName>
    <definedName name="GGG_5" localSheetId="115">ERR</definedName>
    <definedName name="GGG_5" localSheetId="116">ERR</definedName>
    <definedName name="GGG_5" localSheetId="117">ERR</definedName>
    <definedName name="GGG_5" localSheetId="118">ERR</definedName>
    <definedName name="GGG_5" localSheetId="119">ERR</definedName>
    <definedName name="GGG_5" localSheetId="99">ERR</definedName>
    <definedName name="GGG_5" localSheetId="100">ERR</definedName>
    <definedName name="GGG_5" localSheetId="101">ERR</definedName>
    <definedName name="GGG_5" localSheetId="102">ERR</definedName>
    <definedName name="GGG_5" localSheetId="103">ERR</definedName>
    <definedName name="GGG_5" localSheetId="104">ERR</definedName>
    <definedName name="GGG_5" localSheetId="120">ERR</definedName>
    <definedName name="GGG_5" localSheetId="121">ERR</definedName>
    <definedName name="GGG_5" localSheetId="122">ERR</definedName>
    <definedName name="GGG_5" localSheetId="123">ERR</definedName>
    <definedName name="GGG_5" localSheetId="124">ERR</definedName>
    <definedName name="GGG_5" localSheetId="125">ERR</definedName>
    <definedName name="GGG_5" localSheetId="126">ERR</definedName>
    <definedName name="GGG_5" localSheetId="127">ERR</definedName>
    <definedName name="GGG_5" localSheetId="128">ERR</definedName>
    <definedName name="GGG_5" localSheetId="129">ERR</definedName>
    <definedName name="GGG_5" localSheetId="130">ERR</definedName>
    <definedName name="GGG_5" localSheetId="131">ERR</definedName>
    <definedName name="GGG_5" localSheetId="9">ERR</definedName>
    <definedName name="GGG_5" localSheetId="38">ERR</definedName>
    <definedName name="GGG_5" localSheetId="2">ERR</definedName>
    <definedName name="GGG_5">ERR</definedName>
    <definedName name="GGG_6" localSheetId="20">ERR</definedName>
    <definedName name="GGG_6" localSheetId="22">ERR</definedName>
    <definedName name="GGG_6" localSheetId="33">ERR</definedName>
    <definedName name="GGG_6" localSheetId="36">ERR</definedName>
    <definedName name="GGG_6" localSheetId="47">ERR</definedName>
    <definedName name="GGG_6" localSheetId="48">ERR</definedName>
    <definedName name="GGG_6" localSheetId="51">ERR</definedName>
    <definedName name="GGG_6" localSheetId="52">ERR</definedName>
    <definedName name="GGG_6" localSheetId="53">ERR</definedName>
    <definedName name="GGG_6" localSheetId="54">ERR</definedName>
    <definedName name="GGG_6" localSheetId="62">ERR</definedName>
    <definedName name="GGG_6" localSheetId="63">ERR</definedName>
    <definedName name="GGG_6" localSheetId="64">ERR</definedName>
    <definedName name="GGG_6" localSheetId="65">ERR</definedName>
    <definedName name="GGG_6" localSheetId="66">ERR</definedName>
    <definedName name="GGG_6" localSheetId="67">ERR</definedName>
    <definedName name="GGG_6" localSheetId="68">ERR</definedName>
    <definedName name="GGG_6" localSheetId="55">ERR</definedName>
    <definedName name="GGG_6" localSheetId="56">ERR</definedName>
    <definedName name="GGG_6" localSheetId="57">ERR</definedName>
    <definedName name="GGG_6" localSheetId="58">ERR</definedName>
    <definedName name="GGG_6" localSheetId="59">ERR</definedName>
    <definedName name="GGG_6" localSheetId="60">ERR</definedName>
    <definedName name="GGG_6" localSheetId="61">ERR</definedName>
    <definedName name="GGG_6" localSheetId="69">ERR</definedName>
    <definedName name="GGG_6" localSheetId="78">ERR</definedName>
    <definedName name="GGG_6" localSheetId="79">ERR</definedName>
    <definedName name="GGG_6" localSheetId="80">ERR</definedName>
    <definedName name="GGG_6" localSheetId="70">ERR</definedName>
    <definedName name="GGG_6" localSheetId="71">ERR</definedName>
    <definedName name="GGG_6" localSheetId="72">ERR</definedName>
    <definedName name="GGG_6" localSheetId="73">ERR</definedName>
    <definedName name="GGG_6" localSheetId="74">ERR</definedName>
    <definedName name="GGG_6" localSheetId="75">ERR</definedName>
    <definedName name="GGG_6" localSheetId="76">ERR</definedName>
    <definedName name="GGG_6" localSheetId="77">ERR</definedName>
    <definedName name="GGG_6" localSheetId="81">ERR</definedName>
    <definedName name="GGG_6" localSheetId="89">ERR</definedName>
    <definedName name="GGG_6" localSheetId="90">ERR</definedName>
    <definedName name="GGG_6" localSheetId="91">ERR</definedName>
    <definedName name="GGG_6" localSheetId="92">ERR</definedName>
    <definedName name="GGG_6" localSheetId="93">ERR</definedName>
    <definedName name="GGG_6" localSheetId="94">ERR</definedName>
    <definedName name="GGG_6" localSheetId="95">ERR</definedName>
    <definedName name="GGG_6" localSheetId="96">ERR</definedName>
    <definedName name="GGG_6" localSheetId="82">ERR</definedName>
    <definedName name="GGG_6" localSheetId="83">ERR</definedName>
    <definedName name="GGG_6" localSheetId="84">ERR</definedName>
    <definedName name="GGG_6" localSheetId="85">ERR</definedName>
    <definedName name="GGG_6" localSheetId="86">ERR</definedName>
    <definedName name="GGG_6" localSheetId="87">ERR</definedName>
    <definedName name="GGG_6" localSheetId="88">ERR</definedName>
    <definedName name="GGG_6" localSheetId="97">ERR</definedName>
    <definedName name="GGG_6" localSheetId="105">ERR</definedName>
    <definedName name="GGG_6" localSheetId="106">ERR</definedName>
    <definedName name="GGG_6" localSheetId="107">ERR</definedName>
    <definedName name="GGG_6" localSheetId="108">ERR</definedName>
    <definedName name="GGG_6" localSheetId="109">ERR</definedName>
    <definedName name="GGG_6" localSheetId="110">ERR</definedName>
    <definedName name="GGG_6" localSheetId="111">ERR</definedName>
    <definedName name="GGG_6" localSheetId="112">ERR</definedName>
    <definedName name="GGG_6" localSheetId="113">ERR</definedName>
    <definedName name="GGG_6" localSheetId="114">ERR</definedName>
    <definedName name="GGG_6" localSheetId="98">ERR</definedName>
    <definedName name="GGG_6" localSheetId="115">ERR</definedName>
    <definedName name="GGG_6" localSheetId="116">ERR</definedName>
    <definedName name="GGG_6" localSheetId="117">ERR</definedName>
    <definedName name="GGG_6" localSheetId="118">ERR</definedName>
    <definedName name="GGG_6" localSheetId="119">ERR</definedName>
    <definedName name="GGG_6" localSheetId="99">ERR</definedName>
    <definedName name="GGG_6" localSheetId="100">ERR</definedName>
    <definedName name="GGG_6" localSheetId="101">ERR</definedName>
    <definedName name="GGG_6" localSheetId="102">ERR</definedName>
    <definedName name="GGG_6" localSheetId="103">ERR</definedName>
    <definedName name="GGG_6" localSheetId="104">ERR</definedName>
    <definedName name="GGG_6" localSheetId="120">ERR</definedName>
    <definedName name="GGG_6" localSheetId="121">ERR</definedName>
    <definedName name="GGG_6" localSheetId="122">ERR</definedName>
    <definedName name="GGG_6" localSheetId="123">ERR</definedName>
    <definedName name="GGG_6" localSheetId="124">ERR</definedName>
    <definedName name="GGG_6" localSheetId="125">ERR</definedName>
    <definedName name="GGG_6" localSheetId="126">ERR</definedName>
    <definedName name="GGG_6" localSheetId="127">ERR</definedName>
    <definedName name="GGG_6" localSheetId="128">ERR</definedName>
    <definedName name="GGG_6" localSheetId="129">ERR</definedName>
    <definedName name="GGG_6" localSheetId="130">ERR</definedName>
    <definedName name="GGG_6" localSheetId="131">ERR</definedName>
    <definedName name="GGG_6" localSheetId="9">ERR</definedName>
    <definedName name="GGG_6" localSheetId="38">ERR</definedName>
    <definedName name="GGG_6" localSheetId="2">ERR</definedName>
    <definedName name="GGG_6">ERR</definedName>
    <definedName name="GGG_7" localSheetId="20">ERR</definedName>
    <definedName name="GGG_7" localSheetId="22">ERR</definedName>
    <definedName name="GGG_7" localSheetId="33">ERR</definedName>
    <definedName name="GGG_7" localSheetId="36">ERR</definedName>
    <definedName name="GGG_7" localSheetId="47">ERR</definedName>
    <definedName name="GGG_7" localSheetId="48">ERR</definedName>
    <definedName name="GGG_7" localSheetId="51">ERR</definedName>
    <definedName name="GGG_7" localSheetId="52">ERR</definedName>
    <definedName name="GGG_7" localSheetId="53">ERR</definedName>
    <definedName name="GGG_7" localSheetId="54">ERR</definedName>
    <definedName name="GGG_7" localSheetId="62">ERR</definedName>
    <definedName name="GGG_7" localSheetId="63">ERR</definedName>
    <definedName name="GGG_7" localSheetId="64">ERR</definedName>
    <definedName name="GGG_7" localSheetId="65">ERR</definedName>
    <definedName name="GGG_7" localSheetId="66">ERR</definedName>
    <definedName name="GGG_7" localSheetId="67">ERR</definedName>
    <definedName name="GGG_7" localSheetId="68">ERR</definedName>
    <definedName name="GGG_7" localSheetId="55">ERR</definedName>
    <definedName name="GGG_7" localSheetId="56">ERR</definedName>
    <definedName name="GGG_7" localSheetId="57">ERR</definedName>
    <definedName name="GGG_7" localSheetId="58">ERR</definedName>
    <definedName name="GGG_7" localSheetId="59">ERR</definedName>
    <definedName name="GGG_7" localSheetId="60">ERR</definedName>
    <definedName name="GGG_7" localSheetId="61">ERR</definedName>
    <definedName name="GGG_7" localSheetId="69">ERR</definedName>
    <definedName name="GGG_7" localSheetId="78">ERR</definedName>
    <definedName name="GGG_7" localSheetId="79">ERR</definedName>
    <definedName name="GGG_7" localSheetId="80">ERR</definedName>
    <definedName name="GGG_7" localSheetId="70">ERR</definedName>
    <definedName name="GGG_7" localSheetId="71">ERR</definedName>
    <definedName name="GGG_7" localSheetId="72">ERR</definedName>
    <definedName name="GGG_7" localSheetId="73">ERR</definedName>
    <definedName name="GGG_7" localSheetId="74">ERR</definedName>
    <definedName name="GGG_7" localSheetId="75">ERR</definedName>
    <definedName name="GGG_7" localSheetId="76">ERR</definedName>
    <definedName name="GGG_7" localSheetId="77">ERR</definedName>
    <definedName name="GGG_7" localSheetId="81">ERR</definedName>
    <definedName name="GGG_7" localSheetId="89">ERR</definedName>
    <definedName name="GGG_7" localSheetId="90">ERR</definedName>
    <definedName name="GGG_7" localSheetId="91">ERR</definedName>
    <definedName name="GGG_7" localSheetId="92">ERR</definedName>
    <definedName name="GGG_7" localSheetId="93">ERR</definedName>
    <definedName name="GGG_7" localSheetId="94">ERR</definedName>
    <definedName name="GGG_7" localSheetId="95">ERR</definedName>
    <definedName name="GGG_7" localSheetId="96">ERR</definedName>
    <definedName name="GGG_7" localSheetId="82">ERR</definedName>
    <definedName name="GGG_7" localSheetId="83">ERR</definedName>
    <definedName name="GGG_7" localSheetId="84">ERR</definedName>
    <definedName name="GGG_7" localSheetId="85">ERR</definedName>
    <definedName name="GGG_7" localSheetId="86">ERR</definedName>
    <definedName name="GGG_7" localSheetId="87">ERR</definedName>
    <definedName name="GGG_7" localSheetId="88">ERR</definedName>
    <definedName name="GGG_7" localSheetId="97">ERR</definedName>
    <definedName name="GGG_7" localSheetId="105">ERR</definedName>
    <definedName name="GGG_7" localSheetId="106">ERR</definedName>
    <definedName name="GGG_7" localSheetId="107">ERR</definedName>
    <definedName name="GGG_7" localSheetId="108">ERR</definedName>
    <definedName name="GGG_7" localSheetId="109">ERR</definedName>
    <definedName name="GGG_7" localSheetId="110">ERR</definedName>
    <definedName name="GGG_7" localSheetId="111">ERR</definedName>
    <definedName name="GGG_7" localSheetId="112">ERR</definedName>
    <definedName name="GGG_7" localSheetId="113">ERR</definedName>
    <definedName name="GGG_7" localSheetId="114">ERR</definedName>
    <definedName name="GGG_7" localSheetId="98">ERR</definedName>
    <definedName name="GGG_7" localSheetId="115">ERR</definedName>
    <definedName name="GGG_7" localSheetId="116">ERR</definedName>
    <definedName name="GGG_7" localSheetId="117">ERR</definedName>
    <definedName name="GGG_7" localSheetId="118">ERR</definedName>
    <definedName name="GGG_7" localSheetId="119">ERR</definedName>
    <definedName name="GGG_7" localSheetId="99">ERR</definedName>
    <definedName name="GGG_7" localSheetId="100">ERR</definedName>
    <definedName name="GGG_7" localSheetId="101">ERR</definedName>
    <definedName name="GGG_7" localSheetId="102">ERR</definedName>
    <definedName name="GGG_7" localSheetId="103">ERR</definedName>
    <definedName name="GGG_7" localSheetId="104">ERR</definedName>
    <definedName name="GGG_7" localSheetId="120">ERR</definedName>
    <definedName name="GGG_7" localSheetId="121">ERR</definedName>
    <definedName name="GGG_7" localSheetId="122">ERR</definedName>
    <definedName name="GGG_7" localSheetId="123">ERR</definedName>
    <definedName name="GGG_7" localSheetId="124">ERR</definedName>
    <definedName name="GGG_7" localSheetId="125">ERR</definedName>
    <definedName name="GGG_7" localSheetId="126">ERR</definedName>
    <definedName name="GGG_7" localSheetId="127">ERR</definedName>
    <definedName name="GGG_7" localSheetId="128">ERR</definedName>
    <definedName name="GGG_7" localSheetId="129">ERR</definedName>
    <definedName name="GGG_7" localSheetId="130">ERR</definedName>
    <definedName name="GGG_7" localSheetId="131">ERR</definedName>
    <definedName name="GGG_7" localSheetId="9">ERR</definedName>
    <definedName name="GGG_7" localSheetId="38">ERR</definedName>
    <definedName name="GGG_7" localSheetId="2">ERR</definedName>
    <definedName name="GGG_7">ERR</definedName>
    <definedName name="GGG_8" localSheetId="20">ERR</definedName>
    <definedName name="GGG_8" localSheetId="22">ERR</definedName>
    <definedName name="GGG_8" localSheetId="33">ERR</definedName>
    <definedName name="GGG_8" localSheetId="36">ERR</definedName>
    <definedName name="GGG_8" localSheetId="47">ERR</definedName>
    <definedName name="GGG_8" localSheetId="48">ERR</definedName>
    <definedName name="GGG_8" localSheetId="51">ERR</definedName>
    <definedName name="GGG_8" localSheetId="52">ERR</definedName>
    <definedName name="GGG_8" localSheetId="53">ERR</definedName>
    <definedName name="GGG_8" localSheetId="54">ERR</definedName>
    <definedName name="GGG_8" localSheetId="62">ERR</definedName>
    <definedName name="GGG_8" localSheetId="63">ERR</definedName>
    <definedName name="GGG_8" localSheetId="64">ERR</definedName>
    <definedName name="GGG_8" localSheetId="65">ERR</definedName>
    <definedName name="GGG_8" localSheetId="66">ERR</definedName>
    <definedName name="GGG_8" localSheetId="67">ERR</definedName>
    <definedName name="GGG_8" localSheetId="68">ERR</definedName>
    <definedName name="GGG_8" localSheetId="55">ERR</definedName>
    <definedName name="GGG_8" localSheetId="56">ERR</definedName>
    <definedName name="GGG_8" localSheetId="57">ERR</definedName>
    <definedName name="GGG_8" localSheetId="58">ERR</definedName>
    <definedName name="GGG_8" localSheetId="59">ERR</definedName>
    <definedName name="GGG_8" localSheetId="60">ERR</definedName>
    <definedName name="GGG_8" localSheetId="61">ERR</definedName>
    <definedName name="GGG_8" localSheetId="69">ERR</definedName>
    <definedName name="GGG_8" localSheetId="78">ERR</definedName>
    <definedName name="GGG_8" localSheetId="79">ERR</definedName>
    <definedName name="GGG_8" localSheetId="80">ERR</definedName>
    <definedName name="GGG_8" localSheetId="70">ERR</definedName>
    <definedName name="GGG_8" localSheetId="71">ERR</definedName>
    <definedName name="GGG_8" localSheetId="72">ERR</definedName>
    <definedName name="GGG_8" localSheetId="73">ERR</definedName>
    <definedName name="GGG_8" localSheetId="74">ERR</definedName>
    <definedName name="GGG_8" localSheetId="75">ERR</definedName>
    <definedName name="GGG_8" localSheetId="76">ERR</definedName>
    <definedName name="GGG_8" localSheetId="77">ERR</definedName>
    <definedName name="GGG_8" localSheetId="81">ERR</definedName>
    <definedName name="GGG_8" localSheetId="89">ERR</definedName>
    <definedName name="GGG_8" localSheetId="90">ERR</definedName>
    <definedName name="GGG_8" localSheetId="91">ERR</definedName>
    <definedName name="GGG_8" localSheetId="92">ERR</definedName>
    <definedName name="GGG_8" localSheetId="93">ERR</definedName>
    <definedName name="GGG_8" localSheetId="94">ERR</definedName>
    <definedName name="GGG_8" localSheetId="95">ERR</definedName>
    <definedName name="GGG_8" localSheetId="96">ERR</definedName>
    <definedName name="GGG_8" localSheetId="82">ERR</definedName>
    <definedName name="GGG_8" localSheetId="83">ERR</definedName>
    <definedName name="GGG_8" localSheetId="84">ERR</definedName>
    <definedName name="GGG_8" localSheetId="85">ERR</definedName>
    <definedName name="GGG_8" localSheetId="86">ERR</definedName>
    <definedName name="GGG_8" localSheetId="87">ERR</definedName>
    <definedName name="GGG_8" localSheetId="88">ERR</definedName>
    <definedName name="GGG_8" localSheetId="97">ERR</definedName>
    <definedName name="GGG_8" localSheetId="105">ERR</definedName>
    <definedName name="GGG_8" localSheetId="106">ERR</definedName>
    <definedName name="GGG_8" localSheetId="107">ERR</definedName>
    <definedName name="GGG_8" localSheetId="108">ERR</definedName>
    <definedName name="GGG_8" localSheetId="109">ERR</definedName>
    <definedName name="GGG_8" localSheetId="110">ERR</definedName>
    <definedName name="GGG_8" localSheetId="111">ERR</definedName>
    <definedName name="GGG_8" localSheetId="112">ERR</definedName>
    <definedName name="GGG_8" localSheetId="113">ERR</definedName>
    <definedName name="GGG_8" localSheetId="114">ERR</definedName>
    <definedName name="GGG_8" localSheetId="98">ERR</definedName>
    <definedName name="GGG_8" localSheetId="115">ERR</definedName>
    <definedName name="GGG_8" localSheetId="116">ERR</definedName>
    <definedName name="GGG_8" localSheetId="117">ERR</definedName>
    <definedName name="GGG_8" localSheetId="118">ERR</definedName>
    <definedName name="GGG_8" localSheetId="119">ERR</definedName>
    <definedName name="GGG_8" localSheetId="99">ERR</definedName>
    <definedName name="GGG_8" localSheetId="100">ERR</definedName>
    <definedName name="GGG_8" localSheetId="101">ERR</definedName>
    <definedName name="GGG_8" localSheetId="102">ERR</definedName>
    <definedName name="GGG_8" localSheetId="103">ERR</definedName>
    <definedName name="GGG_8" localSheetId="104">ERR</definedName>
    <definedName name="GGG_8" localSheetId="120">ERR</definedName>
    <definedName name="GGG_8" localSheetId="121">ERR</definedName>
    <definedName name="GGG_8" localSheetId="122">ERR</definedName>
    <definedName name="GGG_8" localSheetId="123">ERR</definedName>
    <definedName name="GGG_8" localSheetId="124">ERR</definedName>
    <definedName name="GGG_8" localSheetId="125">ERR</definedName>
    <definedName name="GGG_8" localSheetId="126">ERR</definedName>
    <definedName name="GGG_8" localSheetId="127">ERR</definedName>
    <definedName name="GGG_8" localSheetId="128">ERR</definedName>
    <definedName name="GGG_8" localSheetId="129">ERR</definedName>
    <definedName name="GGG_8" localSheetId="130">ERR</definedName>
    <definedName name="GGG_8" localSheetId="131">ERR</definedName>
    <definedName name="GGG_8" localSheetId="9">ERR</definedName>
    <definedName name="GGG_8" localSheetId="38">ERR</definedName>
    <definedName name="GGG_8" localSheetId="2">ERR</definedName>
    <definedName name="GGG_8">ERR</definedName>
    <definedName name="GGG_9" localSheetId="20">ERR</definedName>
    <definedName name="GGG_9" localSheetId="22">ERR</definedName>
    <definedName name="GGG_9" localSheetId="33">ERR</definedName>
    <definedName name="GGG_9" localSheetId="36">ERR</definedName>
    <definedName name="GGG_9" localSheetId="47">ERR</definedName>
    <definedName name="GGG_9" localSheetId="48">ERR</definedName>
    <definedName name="GGG_9" localSheetId="51">ERR</definedName>
    <definedName name="GGG_9" localSheetId="52">ERR</definedName>
    <definedName name="GGG_9" localSheetId="53">ERR</definedName>
    <definedName name="GGG_9" localSheetId="54">ERR</definedName>
    <definedName name="GGG_9" localSheetId="62">ERR</definedName>
    <definedName name="GGG_9" localSheetId="63">ERR</definedName>
    <definedName name="GGG_9" localSheetId="64">ERR</definedName>
    <definedName name="GGG_9" localSheetId="65">ERR</definedName>
    <definedName name="GGG_9" localSheetId="66">ERR</definedName>
    <definedName name="GGG_9" localSheetId="67">ERR</definedName>
    <definedName name="GGG_9" localSheetId="68">ERR</definedName>
    <definedName name="GGG_9" localSheetId="55">ERR</definedName>
    <definedName name="GGG_9" localSheetId="56">ERR</definedName>
    <definedName name="GGG_9" localSheetId="57">ERR</definedName>
    <definedName name="GGG_9" localSheetId="58">ERR</definedName>
    <definedName name="GGG_9" localSheetId="59">ERR</definedName>
    <definedName name="GGG_9" localSheetId="60">ERR</definedName>
    <definedName name="GGG_9" localSheetId="61">ERR</definedName>
    <definedName name="GGG_9" localSheetId="69">ERR</definedName>
    <definedName name="GGG_9" localSheetId="78">ERR</definedName>
    <definedName name="GGG_9" localSheetId="79">ERR</definedName>
    <definedName name="GGG_9" localSheetId="80">ERR</definedName>
    <definedName name="GGG_9" localSheetId="70">ERR</definedName>
    <definedName name="GGG_9" localSheetId="71">ERR</definedName>
    <definedName name="GGG_9" localSheetId="72">ERR</definedName>
    <definedName name="GGG_9" localSheetId="73">ERR</definedName>
    <definedName name="GGG_9" localSheetId="74">ERR</definedName>
    <definedName name="GGG_9" localSheetId="75">ERR</definedName>
    <definedName name="GGG_9" localSheetId="76">ERR</definedName>
    <definedName name="GGG_9" localSheetId="77">ERR</definedName>
    <definedName name="GGG_9" localSheetId="81">ERR</definedName>
    <definedName name="GGG_9" localSheetId="89">ERR</definedName>
    <definedName name="GGG_9" localSheetId="90">ERR</definedName>
    <definedName name="GGG_9" localSheetId="91">ERR</definedName>
    <definedName name="GGG_9" localSheetId="92">ERR</definedName>
    <definedName name="GGG_9" localSheetId="93">ERR</definedName>
    <definedName name="GGG_9" localSheetId="94">ERR</definedName>
    <definedName name="GGG_9" localSheetId="95">ERR</definedName>
    <definedName name="GGG_9" localSheetId="96">ERR</definedName>
    <definedName name="GGG_9" localSheetId="82">ERR</definedName>
    <definedName name="GGG_9" localSheetId="83">ERR</definedName>
    <definedName name="GGG_9" localSheetId="84">ERR</definedName>
    <definedName name="GGG_9" localSheetId="85">ERR</definedName>
    <definedName name="GGG_9" localSheetId="86">ERR</definedName>
    <definedName name="GGG_9" localSheetId="87">ERR</definedName>
    <definedName name="GGG_9" localSheetId="88">ERR</definedName>
    <definedName name="GGG_9" localSheetId="97">ERR</definedName>
    <definedName name="GGG_9" localSheetId="105">ERR</definedName>
    <definedName name="GGG_9" localSheetId="106">ERR</definedName>
    <definedName name="GGG_9" localSheetId="107">ERR</definedName>
    <definedName name="GGG_9" localSheetId="108">ERR</definedName>
    <definedName name="GGG_9" localSheetId="109">ERR</definedName>
    <definedName name="GGG_9" localSheetId="110">ERR</definedName>
    <definedName name="GGG_9" localSheetId="111">ERR</definedName>
    <definedName name="GGG_9" localSheetId="112">ERR</definedName>
    <definedName name="GGG_9" localSheetId="113">ERR</definedName>
    <definedName name="GGG_9" localSheetId="114">ERR</definedName>
    <definedName name="GGG_9" localSheetId="98">ERR</definedName>
    <definedName name="GGG_9" localSheetId="115">ERR</definedName>
    <definedName name="GGG_9" localSheetId="116">ERR</definedName>
    <definedName name="GGG_9" localSheetId="117">ERR</definedName>
    <definedName name="GGG_9" localSheetId="118">ERR</definedName>
    <definedName name="GGG_9" localSheetId="119">ERR</definedName>
    <definedName name="GGG_9" localSheetId="99">ERR</definedName>
    <definedName name="GGG_9" localSheetId="100">ERR</definedName>
    <definedName name="GGG_9" localSheetId="101">ERR</definedName>
    <definedName name="GGG_9" localSheetId="102">ERR</definedName>
    <definedName name="GGG_9" localSheetId="103">ERR</definedName>
    <definedName name="GGG_9" localSheetId="104">ERR</definedName>
    <definedName name="GGG_9" localSheetId="120">ERR</definedName>
    <definedName name="GGG_9" localSheetId="121">ERR</definedName>
    <definedName name="GGG_9" localSheetId="122">ERR</definedName>
    <definedName name="GGG_9" localSheetId="123">ERR</definedName>
    <definedName name="GGG_9" localSheetId="124">ERR</definedName>
    <definedName name="GGG_9" localSheetId="125">ERR</definedName>
    <definedName name="GGG_9" localSheetId="126">ERR</definedName>
    <definedName name="GGG_9" localSheetId="127">ERR</definedName>
    <definedName name="GGG_9" localSheetId="128">ERR</definedName>
    <definedName name="GGG_9" localSheetId="129">ERR</definedName>
    <definedName name="GGG_9" localSheetId="130">ERR</definedName>
    <definedName name="GGG_9" localSheetId="131">ERR</definedName>
    <definedName name="GGG_9" localSheetId="9">ERR</definedName>
    <definedName name="GGG_9" localSheetId="38">ERR</definedName>
    <definedName name="GGG_9" localSheetId="2">ERR</definedName>
    <definedName name="GGG_9">ERR</definedName>
    <definedName name="h.EXC" localSheetId="18">#REF!</definedName>
    <definedName name="h.EXC" localSheetId="21">#REF!</definedName>
    <definedName name="h.EXC" localSheetId="22">#REF!</definedName>
    <definedName name="h.EXC" localSheetId="51">#REF!</definedName>
    <definedName name="h.EXC" localSheetId="69">#REF!</definedName>
    <definedName name="h.EXC" localSheetId="81">#REF!</definedName>
    <definedName name="h.EXC" localSheetId="97">#REF!</definedName>
    <definedName name="h.EXC" localSheetId="2">#REF!</definedName>
    <definedName name="h.EXC">#REF!</definedName>
    <definedName name="h.LOM" localSheetId="18">#REF!</definedName>
    <definedName name="h.LOM" localSheetId="21">#REF!</definedName>
    <definedName name="h.LOM" localSheetId="22">#REF!</definedName>
    <definedName name="h.LOM" localSheetId="51">#REF!</definedName>
    <definedName name="h.LOM" localSheetId="69">#REF!</definedName>
    <definedName name="h.LOM" localSheetId="81">#REF!</definedName>
    <definedName name="h.LOM" localSheetId="97">#REF!</definedName>
    <definedName name="h.LOM">#REF!</definedName>
    <definedName name="H.LOMO">[17]TUBERIA!$S$10:$S$14</definedName>
    <definedName name="h.POZ" localSheetId="18">#REF!</definedName>
    <definedName name="h.POZ" localSheetId="21">#REF!</definedName>
    <definedName name="h.POZ" localSheetId="22">#REF!</definedName>
    <definedName name="h.POZ" localSheetId="51">#REF!</definedName>
    <definedName name="h.POZ" localSheetId="69">#REF!</definedName>
    <definedName name="h.POZ" localSheetId="81">#REF!</definedName>
    <definedName name="h.POZ" localSheetId="97">#REF!</definedName>
    <definedName name="h.POZ" localSheetId="13">#REF!</definedName>
    <definedName name="h.POZ" localSheetId="2">#REF!</definedName>
    <definedName name="h.POZ">#REF!</definedName>
    <definedName name="HM">[10]Hoja1!$G$8</definedName>
    <definedName name="I">[10]Hoja1!$G$2</definedName>
    <definedName name="JOHNNY" localSheetId="20">[0]!ERR</definedName>
    <definedName name="JOHNNY" localSheetId="22">[0]!ERR</definedName>
    <definedName name="JOHNNY" localSheetId="33">[0]!ERR</definedName>
    <definedName name="JOHNNY" localSheetId="36">[0]!ERR</definedName>
    <definedName name="JOHNNY" localSheetId="47">[0]!ERR</definedName>
    <definedName name="JOHNNY" localSheetId="48">[0]!ERR</definedName>
    <definedName name="JOHNNY" localSheetId="51">[0]!ERR</definedName>
    <definedName name="JOHNNY" localSheetId="52">[0]!ERR</definedName>
    <definedName name="JOHNNY" localSheetId="53">[0]!ERR</definedName>
    <definedName name="JOHNNY" localSheetId="54">[0]!ERR</definedName>
    <definedName name="JOHNNY" localSheetId="62">[0]!ERR</definedName>
    <definedName name="JOHNNY" localSheetId="63">[0]!ERR</definedName>
    <definedName name="JOHNNY" localSheetId="64">[0]!ERR</definedName>
    <definedName name="JOHNNY" localSheetId="65">[0]!ERR</definedName>
    <definedName name="JOHNNY" localSheetId="66">[0]!ERR</definedName>
    <definedName name="JOHNNY" localSheetId="67">[0]!ERR</definedName>
    <definedName name="JOHNNY" localSheetId="68">[0]!ERR</definedName>
    <definedName name="JOHNNY" localSheetId="55">[0]!ERR</definedName>
    <definedName name="JOHNNY" localSheetId="56">[0]!ERR</definedName>
    <definedName name="JOHNNY" localSheetId="57">[0]!ERR</definedName>
    <definedName name="JOHNNY" localSheetId="58">[0]!ERR</definedName>
    <definedName name="JOHNNY" localSheetId="59">[0]!ERR</definedName>
    <definedName name="JOHNNY" localSheetId="60">[0]!ERR</definedName>
    <definedName name="JOHNNY" localSheetId="61">[0]!ERR</definedName>
    <definedName name="JOHNNY" localSheetId="69">[0]!ERR</definedName>
    <definedName name="JOHNNY" localSheetId="78">[0]!ERR</definedName>
    <definedName name="JOHNNY" localSheetId="79">[0]!ERR</definedName>
    <definedName name="JOHNNY" localSheetId="80">[0]!ERR</definedName>
    <definedName name="JOHNNY" localSheetId="70">[0]!ERR</definedName>
    <definedName name="JOHNNY" localSheetId="71">[0]!ERR</definedName>
    <definedName name="JOHNNY" localSheetId="72">[0]!ERR</definedName>
    <definedName name="JOHNNY" localSheetId="73">[0]!ERR</definedName>
    <definedName name="JOHNNY" localSheetId="74">[0]!ERR</definedName>
    <definedName name="JOHNNY" localSheetId="75">[0]!ERR</definedName>
    <definedName name="JOHNNY" localSheetId="76">[0]!ERR</definedName>
    <definedName name="JOHNNY" localSheetId="77">[0]!ERR</definedName>
    <definedName name="JOHNNY" localSheetId="81">[0]!ERR</definedName>
    <definedName name="JOHNNY" localSheetId="89">[0]!ERR</definedName>
    <definedName name="JOHNNY" localSheetId="90">[0]!ERR</definedName>
    <definedName name="JOHNNY" localSheetId="91">[0]!ERR</definedName>
    <definedName name="JOHNNY" localSheetId="92">[0]!ERR</definedName>
    <definedName name="JOHNNY" localSheetId="93">[0]!ERR</definedName>
    <definedName name="JOHNNY" localSheetId="94">[0]!ERR</definedName>
    <definedName name="JOHNNY" localSheetId="95">[0]!ERR</definedName>
    <definedName name="JOHNNY" localSheetId="96">[0]!ERR</definedName>
    <definedName name="JOHNNY" localSheetId="82">[0]!ERR</definedName>
    <definedName name="JOHNNY" localSheetId="83">[0]!ERR</definedName>
    <definedName name="JOHNNY" localSheetId="84">[0]!ERR</definedName>
    <definedName name="JOHNNY" localSheetId="85">[0]!ERR</definedName>
    <definedName name="JOHNNY" localSheetId="86">[0]!ERR</definedName>
    <definedName name="JOHNNY" localSheetId="87">[0]!ERR</definedName>
    <definedName name="JOHNNY" localSheetId="88">[0]!ERR</definedName>
    <definedName name="JOHNNY" localSheetId="97">[0]!ERR</definedName>
    <definedName name="JOHNNY" localSheetId="105">[0]!ERR</definedName>
    <definedName name="JOHNNY" localSheetId="106">[0]!ERR</definedName>
    <definedName name="JOHNNY" localSheetId="107">[0]!ERR</definedName>
    <definedName name="JOHNNY" localSheetId="108">[0]!ERR</definedName>
    <definedName name="JOHNNY" localSheetId="109">[0]!ERR</definedName>
    <definedName name="JOHNNY" localSheetId="110">[0]!ERR</definedName>
    <definedName name="JOHNNY" localSheetId="111">[0]!ERR</definedName>
    <definedName name="JOHNNY" localSheetId="112">[0]!ERR</definedName>
    <definedName name="JOHNNY" localSheetId="113">[0]!ERR</definedName>
    <definedName name="JOHNNY" localSheetId="114">[0]!ERR</definedName>
    <definedName name="JOHNNY" localSheetId="98">[0]!ERR</definedName>
    <definedName name="JOHNNY" localSheetId="115">[0]!ERR</definedName>
    <definedName name="JOHNNY" localSheetId="116">[0]!ERR</definedName>
    <definedName name="JOHNNY" localSheetId="117">[0]!ERR</definedName>
    <definedName name="JOHNNY" localSheetId="118">[0]!ERR</definedName>
    <definedName name="JOHNNY" localSheetId="119">[0]!ERR</definedName>
    <definedName name="JOHNNY" localSheetId="99">[0]!ERR</definedName>
    <definedName name="JOHNNY" localSheetId="100">[0]!ERR</definedName>
    <definedName name="JOHNNY" localSheetId="101">[0]!ERR</definedName>
    <definedName name="JOHNNY" localSheetId="102">[0]!ERR</definedName>
    <definedName name="JOHNNY" localSheetId="103">[0]!ERR</definedName>
    <definedName name="JOHNNY" localSheetId="104">[0]!ERR</definedName>
    <definedName name="JOHNNY" localSheetId="120">[0]!ERR</definedName>
    <definedName name="JOHNNY" localSheetId="121">[0]!ERR</definedName>
    <definedName name="JOHNNY" localSheetId="122">[0]!ERR</definedName>
    <definedName name="JOHNNY" localSheetId="123">[0]!ERR</definedName>
    <definedName name="JOHNNY" localSheetId="124">[0]!ERR</definedName>
    <definedName name="JOHNNY" localSheetId="125">[0]!ERR</definedName>
    <definedName name="JOHNNY" localSheetId="126">[0]!ERR</definedName>
    <definedName name="JOHNNY" localSheetId="127">[0]!ERR</definedName>
    <definedName name="JOHNNY" localSheetId="128">[0]!ERR</definedName>
    <definedName name="JOHNNY" localSheetId="129">[0]!ERR</definedName>
    <definedName name="JOHNNY" localSheetId="130">[0]!ERR</definedName>
    <definedName name="JOHNNY" localSheetId="131">[0]!ERR</definedName>
    <definedName name="JOHNNY" localSheetId="38">[0]!ERR</definedName>
    <definedName name="JOHNNY" localSheetId="2">[0]!ERR</definedName>
    <definedName name="JOHNNY">[0]!ERR</definedName>
    <definedName name="JOHNNY_10" localSheetId="20">ERR</definedName>
    <definedName name="JOHNNY_10" localSheetId="22">ERR</definedName>
    <definedName name="JOHNNY_10" localSheetId="33">ERR</definedName>
    <definedName name="JOHNNY_10" localSheetId="36">ERR</definedName>
    <definedName name="JOHNNY_10" localSheetId="47">ERR</definedName>
    <definedName name="JOHNNY_10" localSheetId="48">ERR</definedName>
    <definedName name="JOHNNY_10" localSheetId="51">ERR</definedName>
    <definedName name="JOHNNY_10" localSheetId="52">ERR</definedName>
    <definedName name="JOHNNY_10" localSheetId="53">ERR</definedName>
    <definedName name="JOHNNY_10" localSheetId="54">ERR</definedName>
    <definedName name="JOHNNY_10" localSheetId="62">ERR</definedName>
    <definedName name="JOHNNY_10" localSheetId="63">ERR</definedName>
    <definedName name="JOHNNY_10" localSheetId="64">ERR</definedName>
    <definedName name="JOHNNY_10" localSheetId="65">ERR</definedName>
    <definedName name="JOHNNY_10" localSheetId="66">ERR</definedName>
    <definedName name="JOHNNY_10" localSheetId="67">ERR</definedName>
    <definedName name="JOHNNY_10" localSheetId="68">ERR</definedName>
    <definedName name="JOHNNY_10" localSheetId="55">ERR</definedName>
    <definedName name="JOHNNY_10" localSheetId="56">ERR</definedName>
    <definedName name="JOHNNY_10" localSheetId="57">ERR</definedName>
    <definedName name="JOHNNY_10" localSheetId="58">ERR</definedName>
    <definedName name="JOHNNY_10" localSheetId="59">ERR</definedName>
    <definedName name="JOHNNY_10" localSheetId="60">ERR</definedName>
    <definedName name="JOHNNY_10" localSheetId="61">ERR</definedName>
    <definedName name="JOHNNY_10" localSheetId="69">ERR</definedName>
    <definedName name="JOHNNY_10" localSheetId="78">ERR</definedName>
    <definedName name="JOHNNY_10" localSheetId="79">ERR</definedName>
    <definedName name="JOHNNY_10" localSheetId="80">ERR</definedName>
    <definedName name="JOHNNY_10" localSheetId="70">ERR</definedName>
    <definedName name="JOHNNY_10" localSheetId="71">ERR</definedName>
    <definedName name="JOHNNY_10" localSheetId="72">ERR</definedName>
    <definedName name="JOHNNY_10" localSheetId="73">ERR</definedName>
    <definedName name="JOHNNY_10" localSheetId="74">ERR</definedName>
    <definedName name="JOHNNY_10" localSheetId="75">ERR</definedName>
    <definedName name="JOHNNY_10" localSheetId="76">ERR</definedName>
    <definedName name="JOHNNY_10" localSheetId="77">ERR</definedName>
    <definedName name="JOHNNY_10" localSheetId="81">ERR</definedName>
    <definedName name="JOHNNY_10" localSheetId="89">ERR</definedName>
    <definedName name="JOHNNY_10" localSheetId="90">ERR</definedName>
    <definedName name="JOHNNY_10" localSheetId="91">ERR</definedName>
    <definedName name="JOHNNY_10" localSheetId="92">ERR</definedName>
    <definedName name="JOHNNY_10" localSheetId="93">ERR</definedName>
    <definedName name="JOHNNY_10" localSheetId="94">ERR</definedName>
    <definedName name="JOHNNY_10" localSheetId="95">ERR</definedName>
    <definedName name="JOHNNY_10" localSheetId="96">ERR</definedName>
    <definedName name="JOHNNY_10" localSheetId="82">ERR</definedName>
    <definedName name="JOHNNY_10" localSheetId="83">ERR</definedName>
    <definedName name="JOHNNY_10" localSheetId="84">ERR</definedName>
    <definedName name="JOHNNY_10" localSheetId="85">ERR</definedName>
    <definedName name="JOHNNY_10" localSheetId="86">ERR</definedName>
    <definedName name="JOHNNY_10" localSheetId="87">ERR</definedName>
    <definedName name="JOHNNY_10" localSheetId="88">ERR</definedName>
    <definedName name="JOHNNY_10" localSheetId="97">ERR</definedName>
    <definedName name="JOHNNY_10" localSheetId="105">ERR</definedName>
    <definedName name="JOHNNY_10" localSheetId="106">ERR</definedName>
    <definedName name="JOHNNY_10" localSheetId="107">ERR</definedName>
    <definedName name="JOHNNY_10" localSheetId="108">ERR</definedName>
    <definedName name="JOHNNY_10" localSheetId="109">ERR</definedName>
    <definedName name="JOHNNY_10" localSheetId="110">ERR</definedName>
    <definedName name="JOHNNY_10" localSheetId="111">ERR</definedName>
    <definedName name="JOHNNY_10" localSheetId="112">ERR</definedName>
    <definedName name="JOHNNY_10" localSheetId="113">ERR</definedName>
    <definedName name="JOHNNY_10" localSheetId="114">ERR</definedName>
    <definedName name="JOHNNY_10" localSheetId="98">ERR</definedName>
    <definedName name="JOHNNY_10" localSheetId="115">ERR</definedName>
    <definedName name="JOHNNY_10" localSheetId="116">ERR</definedName>
    <definedName name="JOHNNY_10" localSheetId="117">ERR</definedName>
    <definedName name="JOHNNY_10" localSheetId="118">ERR</definedName>
    <definedName name="JOHNNY_10" localSheetId="119">ERR</definedName>
    <definedName name="JOHNNY_10" localSheetId="99">ERR</definedName>
    <definedName name="JOHNNY_10" localSheetId="100">ERR</definedName>
    <definedName name="JOHNNY_10" localSheetId="101">ERR</definedName>
    <definedName name="JOHNNY_10" localSheetId="102">ERR</definedName>
    <definedName name="JOHNNY_10" localSheetId="103">ERR</definedName>
    <definedName name="JOHNNY_10" localSheetId="104">ERR</definedName>
    <definedName name="JOHNNY_10" localSheetId="120">ERR</definedName>
    <definedName name="JOHNNY_10" localSheetId="121">ERR</definedName>
    <definedName name="JOHNNY_10" localSheetId="122">ERR</definedName>
    <definedName name="JOHNNY_10" localSheetId="123">ERR</definedName>
    <definedName name="JOHNNY_10" localSheetId="124">ERR</definedName>
    <definedName name="JOHNNY_10" localSheetId="125">ERR</definedName>
    <definedName name="JOHNNY_10" localSheetId="126">ERR</definedName>
    <definedName name="JOHNNY_10" localSheetId="127">ERR</definedName>
    <definedName name="JOHNNY_10" localSheetId="128">ERR</definedName>
    <definedName name="JOHNNY_10" localSheetId="129">ERR</definedName>
    <definedName name="JOHNNY_10" localSheetId="130">ERR</definedName>
    <definedName name="JOHNNY_10" localSheetId="131">ERR</definedName>
    <definedName name="JOHNNY_10" localSheetId="9">ERR</definedName>
    <definedName name="JOHNNY_10" localSheetId="38">ERR</definedName>
    <definedName name="JOHNNY_10" localSheetId="2">ERR</definedName>
    <definedName name="JOHNNY_10">ERR</definedName>
    <definedName name="JOHNNY_3" localSheetId="20">ERR</definedName>
    <definedName name="JOHNNY_3" localSheetId="22">ERR</definedName>
    <definedName name="JOHNNY_3" localSheetId="33">ERR</definedName>
    <definedName name="JOHNNY_3" localSheetId="36">ERR</definedName>
    <definedName name="JOHNNY_3" localSheetId="47">ERR</definedName>
    <definedName name="JOHNNY_3" localSheetId="48">ERR</definedName>
    <definedName name="JOHNNY_3" localSheetId="51">ERR</definedName>
    <definedName name="JOHNNY_3" localSheetId="52">ERR</definedName>
    <definedName name="JOHNNY_3" localSheetId="53">ERR</definedName>
    <definedName name="JOHNNY_3" localSheetId="54">ERR</definedName>
    <definedName name="JOHNNY_3" localSheetId="62">ERR</definedName>
    <definedName name="JOHNNY_3" localSheetId="63">ERR</definedName>
    <definedName name="JOHNNY_3" localSheetId="64">ERR</definedName>
    <definedName name="JOHNNY_3" localSheetId="65">ERR</definedName>
    <definedName name="JOHNNY_3" localSheetId="66">ERR</definedName>
    <definedName name="JOHNNY_3" localSheetId="67">ERR</definedName>
    <definedName name="JOHNNY_3" localSheetId="68">ERR</definedName>
    <definedName name="JOHNNY_3" localSheetId="55">ERR</definedName>
    <definedName name="JOHNNY_3" localSheetId="56">ERR</definedName>
    <definedName name="JOHNNY_3" localSheetId="57">ERR</definedName>
    <definedName name="JOHNNY_3" localSheetId="58">ERR</definedName>
    <definedName name="JOHNNY_3" localSheetId="59">ERR</definedName>
    <definedName name="JOHNNY_3" localSheetId="60">ERR</definedName>
    <definedName name="JOHNNY_3" localSheetId="61">ERR</definedName>
    <definedName name="JOHNNY_3" localSheetId="69">ERR</definedName>
    <definedName name="JOHNNY_3" localSheetId="78">ERR</definedName>
    <definedName name="JOHNNY_3" localSheetId="79">ERR</definedName>
    <definedName name="JOHNNY_3" localSheetId="80">ERR</definedName>
    <definedName name="JOHNNY_3" localSheetId="70">ERR</definedName>
    <definedName name="JOHNNY_3" localSheetId="71">ERR</definedName>
    <definedName name="JOHNNY_3" localSheetId="72">ERR</definedName>
    <definedName name="JOHNNY_3" localSheetId="73">ERR</definedName>
    <definedName name="JOHNNY_3" localSheetId="74">ERR</definedName>
    <definedName name="JOHNNY_3" localSheetId="75">ERR</definedName>
    <definedName name="JOHNNY_3" localSheetId="76">ERR</definedName>
    <definedName name="JOHNNY_3" localSheetId="77">ERR</definedName>
    <definedName name="JOHNNY_3" localSheetId="81">ERR</definedName>
    <definedName name="JOHNNY_3" localSheetId="89">ERR</definedName>
    <definedName name="JOHNNY_3" localSheetId="90">ERR</definedName>
    <definedName name="JOHNNY_3" localSheetId="91">ERR</definedName>
    <definedName name="JOHNNY_3" localSheetId="92">ERR</definedName>
    <definedName name="JOHNNY_3" localSheetId="93">ERR</definedName>
    <definedName name="JOHNNY_3" localSheetId="94">ERR</definedName>
    <definedName name="JOHNNY_3" localSheetId="95">ERR</definedName>
    <definedName name="JOHNNY_3" localSheetId="96">ERR</definedName>
    <definedName name="JOHNNY_3" localSheetId="82">ERR</definedName>
    <definedName name="JOHNNY_3" localSheetId="83">ERR</definedName>
    <definedName name="JOHNNY_3" localSheetId="84">ERR</definedName>
    <definedName name="JOHNNY_3" localSheetId="85">ERR</definedName>
    <definedName name="JOHNNY_3" localSheetId="86">ERR</definedName>
    <definedName name="JOHNNY_3" localSheetId="87">ERR</definedName>
    <definedName name="JOHNNY_3" localSheetId="88">ERR</definedName>
    <definedName name="JOHNNY_3" localSheetId="97">ERR</definedName>
    <definedName name="JOHNNY_3" localSheetId="105">ERR</definedName>
    <definedName name="JOHNNY_3" localSheetId="106">ERR</definedName>
    <definedName name="JOHNNY_3" localSheetId="107">ERR</definedName>
    <definedName name="JOHNNY_3" localSheetId="108">ERR</definedName>
    <definedName name="JOHNNY_3" localSheetId="109">ERR</definedName>
    <definedName name="JOHNNY_3" localSheetId="110">ERR</definedName>
    <definedName name="JOHNNY_3" localSheetId="111">ERR</definedName>
    <definedName name="JOHNNY_3" localSheetId="112">ERR</definedName>
    <definedName name="JOHNNY_3" localSheetId="113">ERR</definedName>
    <definedName name="JOHNNY_3" localSheetId="114">ERR</definedName>
    <definedName name="JOHNNY_3" localSheetId="98">ERR</definedName>
    <definedName name="JOHNNY_3" localSheetId="115">ERR</definedName>
    <definedName name="JOHNNY_3" localSheetId="116">ERR</definedName>
    <definedName name="JOHNNY_3" localSheetId="117">ERR</definedName>
    <definedName name="JOHNNY_3" localSheetId="118">ERR</definedName>
    <definedName name="JOHNNY_3" localSheetId="119">ERR</definedName>
    <definedName name="JOHNNY_3" localSheetId="99">ERR</definedName>
    <definedName name="JOHNNY_3" localSheetId="100">ERR</definedName>
    <definedName name="JOHNNY_3" localSheetId="101">ERR</definedName>
    <definedName name="JOHNNY_3" localSheetId="102">ERR</definedName>
    <definedName name="JOHNNY_3" localSheetId="103">ERR</definedName>
    <definedName name="JOHNNY_3" localSheetId="104">ERR</definedName>
    <definedName name="JOHNNY_3" localSheetId="120">ERR</definedName>
    <definedName name="JOHNNY_3" localSheetId="121">ERR</definedName>
    <definedName name="JOHNNY_3" localSheetId="122">ERR</definedName>
    <definedName name="JOHNNY_3" localSheetId="123">ERR</definedName>
    <definedName name="JOHNNY_3" localSheetId="124">ERR</definedName>
    <definedName name="JOHNNY_3" localSheetId="125">ERR</definedName>
    <definedName name="JOHNNY_3" localSheetId="126">ERR</definedName>
    <definedName name="JOHNNY_3" localSheetId="127">ERR</definedName>
    <definedName name="JOHNNY_3" localSheetId="128">ERR</definedName>
    <definedName name="JOHNNY_3" localSheetId="129">ERR</definedName>
    <definedName name="JOHNNY_3" localSheetId="130">ERR</definedName>
    <definedName name="JOHNNY_3" localSheetId="131">ERR</definedName>
    <definedName name="JOHNNY_3" localSheetId="9">ERR</definedName>
    <definedName name="JOHNNY_3" localSheetId="38">ERR</definedName>
    <definedName name="JOHNNY_3" localSheetId="2">ERR</definedName>
    <definedName name="JOHNNY_3">ERR</definedName>
    <definedName name="JOHNNY_4" localSheetId="20">ERR</definedName>
    <definedName name="JOHNNY_4" localSheetId="22">ERR</definedName>
    <definedName name="JOHNNY_4" localSheetId="33">ERR</definedName>
    <definedName name="JOHNNY_4" localSheetId="36">ERR</definedName>
    <definedName name="JOHNNY_4" localSheetId="47">ERR</definedName>
    <definedName name="JOHNNY_4" localSheetId="48">ERR</definedName>
    <definedName name="JOHNNY_4" localSheetId="51">ERR</definedName>
    <definedName name="JOHNNY_4" localSheetId="52">ERR</definedName>
    <definedName name="JOHNNY_4" localSheetId="53">ERR</definedName>
    <definedName name="JOHNNY_4" localSheetId="54">ERR</definedName>
    <definedName name="JOHNNY_4" localSheetId="62">ERR</definedName>
    <definedName name="JOHNNY_4" localSheetId="63">ERR</definedName>
    <definedName name="JOHNNY_4" localSheetId="64">ERR</definedName>
    <definedName name="JOHNNY_4" localSheetId="65">ERR</definedName>
    <definedName name="JOHNNY_4" localSheetId="66">ERR</definedName>
    <definedName name="JOHNNY_4" localSheetId="67">ERR</definedName>
    <definedName name="JOHNNY_4" localSheetId="68">ERR</definedName>
    <definedName name="JOHNNY_4" localSheetId="55">ERR</definedName>
    <definedName name="JOHNNY_4" localSheetId="56">ERR</definedName>
    <definedName name="JOHNNY_4" localSheetId="57">ERR</definedName>
    <definedName name="JOHNNY_4" localSheetId="58">ERR</definedName>
    <definedName name="JOHNNY_4" localSheetId="59">ERR</definedName>
    <definedName name="JOHNNY_4" localSheetId="60">ERR</definedName>
    <definedName name="JOHNNY_4" localSheetId="61">ERR</definedName>
    <definedName name="JOHNNY_4" localSheetId="69">ERR</definedName>
    <definedName name="JOHNNY_4" localSheetId="78">ERR</definedName>
    <definedName name="JOHNNY_4" localSheetId="79">ERR</definedName>
    <definedName name="JOHNNY_4" localSheetId="80">ERR</definedName>
    <definedName name="JOHNNY_4" localSheetId="70">ERR</definedName>
    <definedName name="JOHNNY_4" localSheetId="71">ERR</definedName>
    <definedName name="JOHNNY_4" localSheetId="72">ERR</definedName>
    <definedName name="JOHNNY_4" localSheetId="73">ERR</definedName>
    <definedName name="JOHNNY_4" localSheetId="74">ERR</definedName>
    <definedName name="JOHNNY_4" localSheetId="75">ERR</definedName>
    <definedName name="JOHNNY_4" localSheetId="76">ERR</definedName>
    <definedName name="JOHNNY_4" localSheetId="77">ERR</definedName>
    <definedName name="JOHNNY_4" localSheetId="81">ERR</definedName>
    <definedName name="JOHNNY_4" localSheetId="89">ERR</definedName>
    <definedName name="JOHNNY_4" localSheetId="90">ERR</definedName>
    <definedName name="JOHNNY_4" localSheetId="91">ERR</definedName>
    <definedName name="JOHNNY_4" localSheetId="92">ERR</definedName>
    <definedName name="JOHNNY_4" localSheetId="93">ERR</definedName>
    <definedName name="JOHNNY_4" localSheetId="94">ERR</definedName>
    <definedName name="JOHNNY_4" localSheetId="95">ERR</definedName>
    <definedName name="JOHNNY_4" localSheetId="96">ERR</definedName>
    <definedName name="JOHNNY_4" localSheetId="82">ERR</definedName>
    <definedName name="JOHNNY_4" localSheetId="83">ERR</definedName>
    <definedName name="JOHNNY_4" localSheetId="84">ERR</definedName>
    <definedName name="JOHNNY_4" localSheetId="85">ERR</definedName>
    <definedName name="JOHNNY_4" localSheetId="86">ERR</definedName>
    <definedName name="JOHNNY_4" localSheetId="87">ERR</definedName>
    <definedName name="JOHNNY_4" localSheetId="88">ERR</definedName>
    <definedName name="JOHNNY_4" localSheetId="97">ERR</definedName>
    <definedName name="JOHNNY_4" localSheetId="105">ERR</definedName>
    <definedName name="JOHNNY_4" localSheetId="106">ERR</definedName>
    <definedName name="JOHNNY_4" localSheetId="107">ERR</definedName>
    <definedName name="JOHNNY_4" localSheetId="108">ERR</definedName>
    <definedName name="JOHNNY_4" localSheetId="109">ERR</definedName>
    <definedName name="JOHNNY_4" localSheetId="110">ERR</definedName>
    <definedName name="JOHNNY_4" localSheetId="111">ERR</definedName>
    <definedName name="JOHNNY_4" localSheetId="112">ERR</definedName>
    <definedName name="JOHNNY_4" localSheetId="113">ERR</definedName>
    <definedName name="JOHNNY_4" localSheetId="114">ERR</definedName>
    <definedName name="JOHNNY_4" localSheetId="98">ERR</definedName>
    <definedName name="JOHNNY_4" localSheetId="115">ERR</definedName>
    <definedName name="JOHNNY_4" localSheetId="116">ERR</definedName>
    <definedName name="JOHNNY_4" localSheetId="117">ERR</definedName>
    <definedName name="JOHNNY_4" localSheetId="118">ERR</definedName>
    <definedName name="JOHNNY_4" localSheetId="119">ERR</definedName>
    <definedName name="JOHNNY_4" localSheetId="99">ERR</definedName>
    <definedName name="JOHNNY_4" localSheetId="100">ERR</definedName>
    <definedName name="JOHNNY_4" localSheetId="101">ERR</definedName>
    <definedName name="JOHNNY_4" localSheetId="102">ERR</definedName>
    <definedName name="JOHNNY_4" localSheetId="103">ERR</definedName>
    <definedName name="JOHNNY_4" localSheetId="104">ERR</definedName>
    <definedName name="JOHNNY_4" localSheetId="120">ERR</definedName>
    <definedName name="JOHNNY_4" localSheetId="121">ERR</definedName>
    <definedName name="JOHNNY_4" localSheetId="122">ERR</definedName>
    <definedName name="JOHNNY_4" localSheetId="123">ERR</definedName>
    <definedName name="JOHNNY_4" localSheetId="124">ERR</definedName>
    <definedName name="JOHNNY_4" localSheetId="125">ERR</definedName>
    <definedName name="JOHNNY_4" localSheetId="126">ERR</definedName>
    <definedName name="JOHNNY_4" localSheetId="127">ERR</definedName>
    <definedName name="JOHNNY_4" localSheetId="128">ERR</definedName>
    <definedName name="JOHNNY_4" localSheetId="129">ERR</definedName>
    <definedName name="JOHNNY_4" localSheetId="130">ERR</definedName>
    <definedName name="JOHNNY_4" localSheetId="131">ERR</definedName>
    <definedName name="JOHNNY_4" localSheetId="9">ERR</definedName>
    <definedName name="JOHNNY_4" localSheetId="38">ERR</definedName>
    <definedName name="JOHNNY_4" localSheetId="2">ERR</definedName>
    <definedName name="JOHNNY_4">ERR</definedName>
    <definedName name="JOHNNY_5" localSheetId="20">ERR</definedName>
    <definedName name="JOHNNY_5" localSheetId="22">ERR</definedName>
    <definedName name="JOHNNY_5" localSheetId="33">ERR</definedName>
    <definedName name="JOHNNY_5" localSheetId="36">ERR</definedName>
    <definedName name="JOHNNY_5" localSheetId="47">ERR</definedName>
    <definedName name="JOHNNY_5" localSheetId="48">ERR</definedName>
    <definedName name="JOHNNY_5" localSheetId="51">ERR</definedName>
    <definedName name="JOHNNY_5" localSheetId="52">ERR</definedName>
    <definedName name="JOHNNY_5" localSheetId="53">ERR</definedName>
    <definedName name="JOHNNY_5" localSheetId="54">ERR</definedName>
    <definedName name="JOHNNY_5" localSheetId="62">ERR</definedName>
    <definedName name="JOHNNY_5" localSheetId="63">ERR</definedName>
    <definedName name="JOHNNY_5" localSheetId="64">ERR</definedName>
    <definedName name="JOHNNY_5" localSheetId="65">ERR</definedName>
    <definedName name="JOHNNY_5" localSheetId="66">ERR</definedName>
    <definedName name="JOHNNY_5" localSheetId="67">ERR</definedName>
    <definedName name="JOHNNY_5" localSheetId="68">ERR</definedName>
    <definedName name="JOHNNY_5" localSheetId="55">ERR</definedName>
    <definedName name="JOHNNY_5" localSheetId="56">ERR</definedName>
    <definedName name="JOHNNY_5" localSheetId="57">ERR</definedName>
    <definedName name="JOHNNY_5" localSheetId="58">ERR</definedName>
    <definedName name="JOHNNY_5" localSheetId="59">ERR</definedName>
    <definedName name="JOHNNY_5" localSheetId="60">ERR</definedName>
    <definedName name="JOHNNY_5" localSheetId="61">ERR</definedName>
    <definedName name="JOHNNY_5" localSheetId="69">ERR</definedName>
    <definedName name="JOHNNY_5" localSheetId="78">ERR</definedName>
    <definedName name="JOHNNY_5" localSheetId="79">ERR</definedName>
    <definedName name="JOHNNY_5" localSheetId="80">ERR</definedName>
    <definedName name="JOHNNY_5" localSheetId="70">ERR</definedName>
    <definedName name="JOHNNY_5" localSheetId="71">ERR</definedName>
    <definedName name="JOHNNY_5" localSheetId="72">ERR</definedName>
    <definedName name="JOHNNY_5" localSheetId="73">ERR</definedName>
    <definedName name="JOHNNY_5" localSheetId="74">ERR</definedName>
    <definedName name="JOHNNY_5" localSheetId="75">ERR</definedName>
    <definedName name="JOHNNY_5" localSheetId="76">ERR</definedName>
    <definedName name="JOHNNY_5" localSheetId="77">ERR</definedName>
    <definedName name="JOHNNY_5" localSheetId="81">ERR</definedName>
    <definedName name="JOHNNY_5" localSheetId="89">ERR</definedName>
    <definedName name="JOHNNY_5" localSheetId="90">ERR</definedName>
    <definedName name="JOHNNY_5" localSheetId="91">ERR</definedName>
    <definedName name="JOHNNY_5" localSheetId="92">ERR</definedName>
    <definedName name="JOHNNY_5" localSheetId="93">ERR</definedName>
    <definedName name="JOHNNY_5" localSheetId="94">ERR</definedName>
    <definedName name="JOHNNY_5" localSheetId="95">ERR</definedName>
    <definedName name="JOHNNY_5" localSheetId="96">ERR</definedName>
    <definedName name="JOHNNY_5" localSheetId="82">ERR</definedName>
    <definedName name="JOHNNY_5" localSheetId="83">ERR</definedName>
    <definedName name="JOHNNY_5" localSheetId="84">ERR</definedName>
    <definedName name="JOHNNY_5" localSheetId="85">ERR</definedName>
    <definedName name="JOHNNY_5" localSheetId="86">ERR</definedName>
    <definedName name="JOHNNY_5" localSheetId="87">ERR</definedName>
    <definedName name="JOHNNY_5" localSheetId="88">ERR</definedName>
    <definedName name="JOHNNY_5" localSheetId="97">ERR</definedName>
    <definedName name="JOHNNY_5" localSheetId="105">ERR</definedName>
    <definedName name="JOHNNY_5" localSheetId="106">ERR</definedName>
    <definedName name="JOHNNY_5" localSheetId="107">ERR</definedName>
    <definedName name="JOHNNY_5" localSheetId="108">ERR</definedName>
    <definedName name="JOHNNY_5" localSheetId="109">ERR</definedName>
    <definedName name="JOHNNY_5" localSheetId="110">ERR</definedName>
    <definedName name="JOHNNY_5" localSheetId="111">ERR</definedName>
    <definedName name="JOHNNY_5" localSheetId="112">ERR</definedName>
    <definedName name="JOHNNY_5" localSheetId="113">ERR</definedName>
    <definedName name="JOHNNY_5" localSheetId="114">ERR</definedName>
    <definedName name="JOHNNY_5" localSheetId="98">ERR</definedName>
    <definedName name="JOHNNY_5" localSheetId="115">ERR</definedName>
    <definedName name="JOHNNY_5" localSheetId="116">ERR</definedName>
    <definedName name="JOHNNY_5" localSheetId="117">ERR</definedName>
    <definedName name="JOHNNY_5" localSheetId="118">ERR</definedName>
    <definedName name="JOHNNY_5" localSheetId="119">ERR</definedName>
    <definedName name="JOHNNY_5" localSheetId="99">ERR</definedName>
    <definedName name="JOHNNY_5" localSheetId="100">ERR</definedName>
    <definedName name="JOHNNY_5" localSheetId="101">ERR</definedName>
    <definedName name="JOHNNY_5" localSheetId="102">ERR</definedName>
    <definedName name="JOHNNY_5" localSheetId="103">ERR</definedName>
    <definedName name="JOHNNY_5" localSheetId="104">ERR</definedName>
    <definedName name="JOHNNY_5" localSheetId="120">ERR</definedName>
    <definedName name="JOHNNY_5" localSheetId="121">ERR</definedName>
    <definedName name="JOHNNY_5" localSheetId="122">ERR</definedName>
    <definedName name="JOHNNY_5" localSheetId="123">ERR</definedName>
    <definedName name="JOHNNY_5" localSheetId="124">ERR</definedName>
    <definedName name="JOHNNY_5" localSheetId="125">ERR</definedName>
    <definedName name="JOHNNY_5" localSheetId="126">ERR</definedName>
    <definedName name="JOHNNY_5" localSheetId="127">ERR</definedName>
    <definedName name="JOHNNY_5" localSheetId="128">ERR</definedName>
    <definedName name="JOHNNY_5" localSheetId="129">ERR</definedName>
    <definedName name="JOHNNY_5" localSheetId="130">ERR</definedName>
    <definedName name="JOHNNY_5" localSheetId="131">ERR</definedName>
    <definedName name="JOHNNY_5" localSheetId="9">ERR</definedName>
    <definedName name="JOHNNY_5" localSheetId="38">ERR</definedName>
    <definedName name="JOHNNY_5" localSheetId="2">ERR</definedName>
    <definedName name="JOHNNY_5">ERR</definedName>
    <definedName name="JOHNNY_6" localSheetId="20">ERR</definedName>
    <definedName name="JOHNNY_6" localSheetId="22">ERR</definedName>
    <definedName name="JOHNNY_6" localSheetId="33">ERR</definedName>
    <definedName name="JOHNNY_6" localSheetId="36">ERR</definedName>
    <definedName name="JOHNNY_6" localSheetId="47">ERR</definedName>
    <definedName name="JOHNNY_6" localSheetId="48">ERR</definedName>
    <definedName name="JOHNNY_6" localSheetId="51">ERR</definedName>
    <definedName name="JOHNNY_6" localSheetId="52">ERR</definedName>
    <definedName name="JOHNNY_6" localSheetId="53">ERR</definedName>
    <definedName name="JOHNNY_6" localSheetId="54">ERR</definedName>
    <definedName name="JOHNNY_6" localSheetId="62">ERR</definedName>
    <definedName name="JOHNNY_6" localSheetId="63">ERR</definedName>
    <definedName name="JOHNNY_6" localSheetId="64">ERR</definedName>
    <definedName name="JOHNNY_6" localSheetId="65">ERR</definedName>
    <definedName name="JOHNNY_6" localSheetId="66">ERR</definedName>
    <definedName name="JOHNNY_6" localSheetId="67">ERR</definedName>
    <definedName name="JOHNNY_6" localSheetId="68">ERR</definedName>
    <definedName name="JOHNNY_6" localSheetId="55">ERR</definedName>
    <definedName name="JOHNNY_6" localSheetId="56">ERR</definedName>
    <definedName name="JOHNNY_6" localSheetId="57">ERR</definedName>
    <definedName name="JOHNNY_6" localSheetId="58">ERR</definedName>
    <definedName name="JOHNNY_6" localSheetId="59">ERR</definedName>
    <definedName name="JOHNNY_6" localSheetId="60">ERR</definedName>
    <definedName name="JOHNNY_6" localSheetId="61">ERR</definedName>
    <definedName name="JOHNNY_6" localSheetId="69">ERR</definedName>
    <definedName name="JOHNNY_6" localSheetId="78">ERR</definedName>
    <definedName name="JOHNNY_6" localSheetId="79">ERR</definedName>
    <definedName name="JOHNNY_6" localSheetId="80">ERR</definedName>
    <definedName name="JOHNNY_6" localSheetId="70">ERR</definedName>
    <definedName name="JOHNNY_6" localSheetId="71">ERR</definedName>
    <definedName name="JOHNNY_6" localSheetId="72">ERR</definedName>
    <definedName name="JOHNNY_6" localSheetId="73">ERR</definedName>
    <definedName name="JOHNNY_6" localSheetId="74">ERR</definedName>
    <definedName name="JOHNNY_6" localSheetId="75">ERR</definedName>
    <definedName name="JOHNNY_6" localSheetId="76">ERR</definedName>
    <definedName name="JOHNNY_6" localSheetId="77">ERR</definedName>
    <definedName name="JOHNNY_6" localSheetId="81">ERR</definedName>
    <definedName name="JOHNNY_6" localSheetId="89">ERR</definedName>
    <definedName name="JOHNNY_6" localSheetId="90">ERR</definedName>
    <definedName name="JOHNNY_6" localSheetId="91">ERR</definedName>
    <definedName name="JOHNNY_6" localSheetId="92">ERR</definedName>
    <definedName name="JOHNNY_6" localSheetId="93">ERR</definedName>
    <definedName name="JOHNNY_6" localSheetId="94">ERR</definedName>
    <definedName name="JOHNNY_6" localSheetId="95">ERR</definedName>
    <definedName name="JOHNNY_6" localSheetId="96">ERR</definedName>
    <definedName name="JOHNNY_6" localSheetId="82">ERR</definedName>
    <definedName name="JOHNNY_6" localSheetId="83">ERR</definedName>
    <definedName name="JOHNNY_6" localSheetId="84">ERR</definedName>
    <definedName name="JOHNNY_6" localSheetId="85">ERR</definedName>
    <definedName name="JOHNNY_6" localSheetId="86">ERR</definedName>
    <definedName name="JOHNNY_6" localSheetId="87">ERR</definedName>
    <definedName name="JOHNNY_6" localSheetId="88">ERR</definedName>
    <definedName name="JOHNNY_6" localSheetId="97">ERR</definedName>
    <definedName name="JOHNNY_6" localSheetId="105">ERR</definedName>
    <definedName name="JOHNNY_6" localSheetId="106">ERR</definedName>
    <definedName name="JOHNNY_6" localSheetId="107">ERR</definedName>
    <definedName name="JOHNNY_6" localSheetId="108">ERR</definedName>
    <definedName name="JOHNNY_6" localSheetId="109">ERR</definedName>
    <definedName name="JOHNNY_6" localSheetId="110">ERR</definedName>
    <definedName name="JOHNNY_6" localSheetId="111">ERR</definedName>
    <definedName name="JOHNNY_6" localSheetId="112">ERR</definedName>
    <definedName name="JOHNNY_6" localSheetId="113">ERR</definedName>
    <definedName name="JOHNNY_6" localSheetId="114">ERR</definedName>
    <definedName name="JOHNNY_6" localSheetId="98">ERR</definedName>
    <definedName name="JOHNNY_6" localSheetId="115">ERR</definedName>
    <definedName name="JOHNNY_6" localSheetId="116">ERR</definedName>
    <definedName name="JOHNNY_6" localSheetId="117">ERR</definedName>
    <definedName name="JOHNNY_6" localSheetId="118">ERR</definedName>
    <definedName name="JOHNNY_6" localSheetId="119">ERR</definedName>
    <definedName name="JOHNNY_6" localSheetId="99">ERR</definedName>
    <definedName name="JOHNNY_6" localSheetId="100">ERR</definedName>
    <definedName name="JOHNNY_6" localSheetId="101">ERR</definedName>
    <definedName name="JOHNNY_6" localSheetId="102">ERR</definedName>
    <definedName name="JOHNNY_6" localSheetId="103">ERR</definedName>
    <definedName name="JOHNNY_6" localSheetId="104">ERR</definedName>
    <definedName name="JOHNNY_6" localSheetId="120">ERR</definedName>
    <definedName name="JOHNNY_6" localSheetId="121">ERR</definedName>
    <definedName name="JOHNNY_6" localSheetId="122">ERR</definedName>
    <definedName name="JOHNNY_6" localSheetId="123">ERR</definedName>
    <definedName name="JOHNNY_6" localSheetId="124">ERR</definedName>
    <definedName name="JOHNNY_6" localSheetId="125">ERR</definedName>
    <definedName name="JOHNNY_6" localSheetId="126">ERR</definedName>
    <definedName name="JOHNNY_6" localSheetId="127">ERR</definedName>
    <definedName name="JOHNNY_6" localSheetId="128">ERR</definedName>
    <definedName name="JOHNNY_6" localSheetId="129">ERR</definedName>
    <definedName name="JOHNNY_6" localSheetId="130">ERR</definedName>
    <definedName name="JOHNNY_6" localSheetId="131">ERR</definedName>
    <definedName name="JOHNNY_6" localSheetId="9">ERR</definedName>
    <definedName name="JOHNNY_6" localSheetId="38">ERR</definedName>
    <definedName name="JOHNNY_6" localSheetId="2">ERR</definedName>
    <definedName name="JOHNNY_6">ERR</definedName>
    <definedName name="JOHNNY_7" localSheetId="20">ERR</definedName>
    <definedName name="JOHNNY_7" localSheetId="22">ERR</definedName>
    <definedName name="JOHNNY_7" localSheetId="33">ERR</definedName>
    <definedName name="JOHNNY_7" localSheetId="36">ERR</definedName>
    <definedName name="JOHNNY_7" localSheetId="47">ERR</definedName>
    <definedName name="JOHNNY_7" localSheetId="48">ERR</definedName>
    <definedName name="JOHNNY_7" localSheetId="51">ERR</definedName>
    <definedName name="JOHNNY_7" localSheetId="52">ERR</definedName>
    <definedName name="JOHNNY_7" localSheetId="53">ERR</definedName>
    <definedName name="JOHNNY_7" localSheetId="54">ERR</definedName>
    <definedName name="JOHNNY_7" localSheetId="62">ERR</definedName>
    <definedName name="JOHNNY_7" localSheetId="63">ERR</definedName>
    <definedName name="JOHNNY_7" localSheetId="64">ERR</definedName>
    <definedName name="JOHNNY_7" localSheetId="65">ERR</definedName>
    <definedName name="JOHNNY_7" localSheetId="66">ERR</definedName>
    <definedName name="JOHNNY_7" localSheetId="67">ERR</definedName>
    <definedName name="JOHNNY_7" localSheetId="68">ERR</definedName>
    <definedName name="JOHNNY_7" localSheetId="55">ERR</definedName>
    <definedName name="JOHNNY_7" localSheetId="56">ERR</definedName>
    <definedName name="JOHNNY_7" localSheetId="57">ERR</definedName>
    <definedName name="JOHNNY_7" localSheetId="58">ERR</definedName>
    <definedName name="JOHNNY_7" localSheetId="59">ERR</definedName>
    <definedName name="JOHNNY_7" localSheetId="60">ERR</definedName>
    <definedName name="JOHNNY_7" localSheetId="61">ERR</definedName>
    <definedName name="JOHNNY_7" localSheetId="69">ERR</definedName>
    <definedName name="JOHNNY_7" localSheetId="78">ERR</definedName>
    <definedName name="JOHNNY_7" localSheetId="79">ERR</definedName>
    <definedName name="JOHNNY_7" localSheetId="80">ERR</definedName>
    <definedName name="JOHNNY_7" localSheetId="70">ERR</definedName>
    <definedName name="JOHNNY_7" localSheetId="71">ERR</definedName>
    <definedName name="JOHNNY_7" localSheetId="72">ERR</definedName>
    <definedName name="JOHNNY_7" localSheetId="73">ERR</definedName>
    <definedName name="JOHNNY_7" localSheetId="74">ERR</definedName>
    <definedName name="JOHNNY_7" localSheetId="75">ERR</definedName>
    <definedName name="JOHNNY_7" localSheetId="76">ERR</definedName>
    <definedName name="JOHNNY_7" localSheetId="77">ERR</definedName>
    <definedName name="JOHNNY_7" localSheetId="81">ERR</definedName>
    <definedName name="JOHNNY_7" localSheetId="89">ERR</definedName>
    <definedName name="JOHNNY_7" localSheetId="90">ERR</definedName>
    <definedName name="JOHNNY_7" localSheetId="91">ERR</definedName>
    <definedName name="JOHNNY_7" localSheetId="92">ERR</definedName>
    <definedName name="JOHNNY_7" localSheetId="93">ERR</definedName>
    <definedName name="JOHNNY_7" localSheetId="94">ERR</definedName>
    <definedName name="JOHNNY_7" localSheetId="95">ERR</definedName>
    <definedName name="JOHNNY_7" localSheetId="96">ERR</definedName>
    <definedName name="JOHNNY_7" localSheetId="82">ERR</definedName>
    <definedName name="JOHNNY_7" localSheetId="83">ERR</definedName>
    <definedName name="JOHNNY_7" localSheetId="84">ERR</definedName>
    <definedName name="JOHNNY_7" localSheetId="85">ERR</definedName>
    <definedName name="JOHNNY_7" localSheetId="86">ERR</definedName>
    <definedName name="JOHNNY_7" localSheetId="87">ERR</definedName>
    <definedName name="JOHNNY_7" localSheetId="88">ERR</definedName>
    <definedName name="JOHNNY_7" localSheetId="97">ERR</definedName>
    <definedName name="JOHNNY_7" localSheetId="105">ERR</definedName>
    <definedName name="JOHNNY_7" localSheetId="106">ERR</definedName>
    <definedName name="JOHNNY_7" localSheetId="107">ERR</definedName>
    <definedName name="JOHNNY_7" localSheetId="108">ERR</definedName>
    <definedName name="JOHNNY_7" localSheetId="109">ERR</definedName>
    <definedName name="JOHNNY_7" localSheetId="110">ERR</definedName>
    <definedName name="JOHNNY_7" localSheetId="111">ERR</definedName>
    <definedName name="JOHNNY_7" localSheetId="112">ERR</definedName>
    <definedName name="JOHNNY_7" localSheetId="113">ERR</definedName>
    <definedName name="JOHNNY_7" localSheetId="114">ERR</definedName>
    <definedName name="JOHNNY_7" localSheetId="98">ERR</definedName>
    <definedName name="JOHNNY_7" localSheetId="115">ERR</definedName>
    <definedName name="JOHNNY_7" localSheetId="116">ERR</definedName>
    <definedName name="JOHNNY_7" localSheetId="117">ERR</definedName>
    <definedName name="JOHNNY_7" localSheetId="118">ERR</definedName>
    <definedName name="JOHNNY_7" localSheetId="119">ERR</definedName>
    <definedName name="JOHNNY_7" localSheetId="99">ERR</definedName>
    <definedName name="JOHNNY_7" localSheetId="100">ERR</definedName>
    <definedName name="JOHNNY_7" localSheetId="101">ERR</definedName>
    <definedName name="JOHNNY_7" localSheetId="102">ERR</definedName>
    <definedName name="JOHNNY_7" localSheetId="103">ERR</definedName>
    <definedName name="JOHNNY_7" localSheetId="104">ERR</definedName>
    <definedName name="JOHNNY_7" localSheetId="120">ERR</definedName>
    <definedName name="JOHNNY_7" localSheetId="121">ERR</definedName>
    <definedName name="JOHNNY_7" localSheetId="122">ERR</definedName>
    <definedName name="JOHNNY_7" localSheetId="123">ERR</definedName>
    <definedName name="JOHNNY_7" localSheetId="124">ERR</definedName>
    <definedName name="JOHNNY_7" localSheetId="125">ERR</definedName>
    <definedName name="JOHNNY_7" localSheetId="126">ERR</definedName>
    <definedName name="JOHNNY_7" localSheetId="127">ERR</definedName>
    <definedName name="JOHNNY_7" localSheetId="128">ERR</definedName>
    <definedName name="JOHNNY_7" localSheetId="129">ERR</definedName>
    <definedName name="JOHNNY_7" localSheetId="130">ERR</definedName>
    <definedName name="JOHNNY_7" localSheetId="131">ERR</definedName>
    <definedName name="JOHNNY_7" localSheetId="9">ERR</definedName>
    <definedName name="JOHNNY_7" localSheetId="38">ERR</definedName>
    <definedName name="JOHNNY_7" localSheetId="2">ERR</definedName>
    <definedName name="JOHNNY_7">ERR</definedName>
    <definedName name="JOHNNY_8" localSheetId="20">ERR</definedName>
    <definedName name="JOHNNY_8" localSheetId="22">ERR</definedName>
    <definedName name="JOHNNY_8" localSheetId="33">ERR</definedName>
    <definedName name="JOHNNY_8" localSheetId="36">ERR</definedName>
    <definedName name="JOHNNY_8" localSheetId="47">ERR</definedName>
    <definedName name="JOHNNY_8" localSheetId="48">ERR</definedName>
    <definedName name="JOHNNY_8" localSheetId="51">ERR</definedName>
    <definedName name="JOHNNY_8" localSheetId="52">ERR</definedName>
    <definedName name="JOHNNY_8" localSheetId="53">ERR</definedName>
    <definedName name="JOHNNY_8" localSheetId="54">ERR</definedName>
    <definedName name="JOHNNY_8" localSheetId="62">ERR</definedName>
    <definedName name="JOHNNY_8" localSheetId="63">ERR</definedName>
    <definedName name="JOHNNY_8" localSheetId="64">ERR</definedName>
    <definedName name="JOHNNY_8" localSheetId="65">ERR</definedName>
    <definedName name="JOHNNY_8" localSheetId="66">ERR</definedName>
    <definedName name="JOHNNY_8" localSheetId="67">ERR</definedName>
    <definedName name="JOHNNY_8" localSheetId="68">ERR</definedName>
    <definedName name="JOHNNY_8" localSheetId="55">ERR</definedName>
    <definedName name="JOHNNY_8" localSheetId="56">ERR</definedName>
    <definedName name="JOHNNY_8" localSheetId="57">ERR</definedName>
    <definedName name="JOHNNY_8" localSheetId="58">ERR</definedName>
    <definedName name="JOHNNY_8" localSheetId="59">ERR</definedName>
    <definedName name="JOHNNY_8" localSheetId="60">ERR</definedName>
    <definedName name="JOHNNY_8" localSheetId="61">ERR</definedName>
    <definedName name="JOHNNY_8" localSheetId="69">ERR</definedName>
    <definedName name="JOHNNY_8" localSheetId="78">ERR</definedName>
    <definedName name="JOHNNY_8" localSheetId="79">ERR</definedName>
    <definedName name="JOHNNY_8" localSheetId="80">ERR</definedName>
    <definedName name="JOHNNY_8" localSheetId="70">ERR</definedName>
    <definedName name="JOHNNY_8" localSheetId="71">ERR</definedName>
    <definedName name="JOHNNY_8" localSheetId="72">ERR</definedName>
    <definedName name="JOHNNY_8" localSheetId="73">ERR</definedName>
    <definedName name="JOHNNY_8" localSheetId="74">ERR</definedName>
    <definedName name="JOHNNY_8" localSheetId="75">ERR</definedName>
    <definedName name="JOHNNY_8" localSheetId="76">ERR</definedName>
    <definedName name="JOHNNY_8" localSheetId="77">ERR</definedName>
    <definedName name="JOHNNY_8" localSheetId="81">ERR</definedName>
    <definedName name="JOHNNY_8" localSheetId="89">ERR</definedName>
    <definedName name="JOHNNY_8" localSheetId="90">ERR</definedName>
    <definedName name="JOHNNY_8" localSheetId="91">ERR</definedName>
    <definedName name="JOHNNY_8" localSheetId="92">ERR</definedName>
    <definedName name="JOHNNY_8" localSheetId="93">ERR</definedName>
    <definedName name="JOHNNY_8" localSheetId="94">ERR</definedName>
    <definedName name="JOHNNY_8" localSheetId="95">ERR</definedName>
    <definedName name="JOHNNY_8" localSheetId="96">ERR</definedName>
    <definedName name="JOHNNY_8" localSheetId="82">ERR</definedName>
    <definedName name="JOHNNY_8" localSheetId="83">ERR</definedName>
    <definedName name="JOHNNY_8" localSheetId="84">ERR</definedName>
    <definedName name="JOHNNY_8" localSheetId="85">ERR</definedName>
    <definedName name="JOHNNY_8" localSheetId="86">ERR</definedName>
    <definedName name="JOHNNY_8" localSheetId="87">ERR</definedName>
    <definedName name="JOHNNY_8" localSheetId="88">ERR</definedName>
    <definedName name="JOHNNY_8" localSheetId="97">ERR</definedName>
    <definedName name="JOHNNY_8" localSheetId="105">ERR</definedName>
    <definedName name="JOHNNY_8" localSheetId="106">ERR</definedName>
    <definedName name="JOHNNY_8" localSheetId="107">ERR</definedName>
    <definedName name="JOHNNY_8" localSheetId="108">ERR</definedName>
    <definedName name="JOHNNY_8" localSheetId="109">ERR</definedName>
    <definedName name="JOHNNY_8" localSheetId="110">ERR</definedName>
    <definedName name="JOHNNY_8" localSheetId="111">ERR</definedName>
    <definedName name="JOHNNY_8" localSheetId="112">ERR</definedName>
    <definedName name="JOHNNY_8" localSheetId="113">ERR</definedName>
    <definedName name="JOHNNY_8" localSheetId="114">ERR</definedName>
    <definedName name="JOHNNY_8" localSheetId="98">ERR</definedName>
    <definedName name="JOHNNY_8" localSheetId="115">ERR</definedName>
    <definedName name="JOHNNY_8" localSheetId="116">ERR</definedName>
    <definedName name="JOHNNY_8" localSheetId="117">ERR</definedName>
    <definedName name="JOHNNY_8" localSheetId="118">ERR</definedName>
    <definedName name="JOHNNY_8" localSheetId="119">ERR</definedName>
    <definedName name="JOHNNY_8" localSheetId="99">ERR</definedName>
    <definedName name="JOHNNY_8" localSheetId="100">ERR</definedName>
    <definedName name="JOHNNY_8" localSheetId="101">ERR</definedName>
    <definedName name="JOHNNY_8" localSheetId="102">ERR</definedName>
    <definedName name="JOHNNY_8" localSheetId="103">ERR</definedName>
    <definedName name="JOHNNY_8" localSheetId="104">ERR</definedName>
    <definedName name="JOHNNY_8" localSheetId="120">ERR</definedName>
    <definedName name="JOHNNY_8" localSheetId="121">ERR</definedName>
    <definedName name="JOHNNY_8" localSheetId="122">ERR</definedName>
    <definedName name="JOHNNY_8" localSheetId="123">ERR</definedName>
    <definedName name="JOHNNY_8" localSheetId="124">ERR</definedName>
    <definedName name="JOHNNY_8" localSheetId="125">ERR</definedName>
    <definedName name="JOHNNY_8" localSheetId="126">ERR</definedName>
    <definedName name="JOHNNY_8" localSheetId="127">ERR</definedName>
    <definedName name="JOHNNY_8" localSheetId="128">ERR</definedName>
    <definedName name="JOHNNY_8" localSheetId="129">ERR</definedName>
    <definedName name="JOHNNY_8" localSheetId="130">ERR</definedName>
    <definedName name="JOHNNY_8" localSheetId="131">ERR</definedName>
    <definedName name="JOHNNY_8" localSheetId="9">ERR</definedName>
    <definedName name="JOHNNY_8" localSheetId="38">ERR</definedName>
    <definedName name="JOHNNY_8" localSheetId="2">ERR</definedName>
    <definedName name="JOHNNY_8">ERR</definedName>
    <definedName name="JOHNNY_9" localSheetId="20">ERR</definedName>
    <definedName name="JOHNNY_9" localSheetId="22">ERR</definedName>
    <definedName name="JOHNNY_9" localSheetId="33">ERR</definedName>
    <definedName name="JOHNNY_9" localSheetId="36">ERR</definedName>
    <definedName name="JOHNNY_9" localSheetId="47">ERR</definedName>
    <definedName name="JOHNNY_9" localSheetId="48">ERR</definedName>
    <definedName name="JOHNNY_9" localSheetId="51">ERR</definedName>
    <definedName name="JOHNNY_9" localSheetId="52">ERR</definedName>
    <definedName name="JOHNNY_9" localSheetId="53">ERR</definedName>
    <definedName name="JOHNNY_9" localSheetId="54">ERR</definedName>
    <definedName name="JOHNNY_9" localSheetId="62">ERR</definedName>
    <definedName name="JOHNNY_9" localSheetId="63">ERR</definedName>
    <definedName name="JOHNNY_9" localSheetId="64">ERR</definedName>
    <definedName name="JOHNNY_9" localSheetId="65">ERR</definedName>
    <definedName name="JOHNNY_9" localSheetId="66">ERR</definedName>
    <definedName name="JOHNNY_9" localSheetId="67">ERR</definedName>
    <definedName name="JOHNNY_9" localSheetId="68">ERR</definedName>
    <definedName name="JOHNNY_9" localSheetId="55">ERR</definedName>
    <definedName name="JOHNNY_9" localSheetId="56">ERR</definedName>
    <definedName name="JOHNNY_9" localSheetId="57">ERR</definedName>
    <definedName name="JOHNNY_9" localSheetId="58">ERR</definedName>
    <definedName name="JOHNNY_9" localSheetId="59">ERR</definedName>
    <definedName name="JOHNNY_9" localSheetId="60">ERR</definedName>
    <definedName name="JOHNNY_9" localSheetId="61">ERR</definedName>
    <definedName name="JOHNNY_9" localSheetId="69">ERR</definedName>
    <definedName name="JOHNNY_9" localSheetId="78">ERR</definedName>
    <definedName name="JOHNNY_9" localSheetId="79">ERR</definedName>
    <definedName name="JOHNNY_9" localSheetId="80">ERR</definedName>
    <definedName name="JOHNNY_9" localSheetId="70">ERR</definedName>
    <definedName name="JOHNNY_9" localSheetId="71">ERR</definedName>
    <definedName name="JOHNNY_9" localSheetId="72">ERR</definedName>
    <definedName name="JOHNNY_9" localSheetId="73">ERR</definedName>
    <definedName name="JOHNNY_9" localSheetId="74">ERR</definedName>
    <definedName name="JOHNNY_9" localSheetId="75">ERR</definedName>
    <definedName name="JOHNNY_9" localSheetId="76">ERR</definedName>
    <definedName name="JOHNNY_9" localSheetId="77">ERR</definedName>
    <definedName name="JOHNNY_9" localSheetId="81">ERR</definedName>
    <definedName name="JOHNNY_9" localSheetId="89">ERR</definedName>
    <definedName name="JOHNNY_9" localSheetId="90">ERR</definedName>
    <definedName name="JOHNNY_9" localSheetId="91">ERR</definedName>
    <definedName name="JOHNNY_9" localSheetId="92">ERR</definedName>
    <definedName name="JOHNNY_9" localSheetId="93">ERR</definedName>
    <definedName name="JOHNNY_9" localSheetId="94">ERR</definedName>
    <definedName name="JOHNNY_9" localSheetId="95">ERR</definedName>
    <definedName name="JOHNNY_9" localSheetId="96">ERR</definedName>
    <definedName name="JOHNNY_9" localSheetId="82">ERR</definedName>
    <definedName name="JOHNNY_9" localSheetId="83">ERR</definedName>
    <definedName name="JOHNNY_9" localSheetId="84">ERR</definedName>
    <definedName name="JOHNNY_9" localSheetId="85">ERR</definedName>
    <definedName name="JOHNNY_9" localSheetId="86">ERR</definedName>
    <definedName name="JOHNNY_9" localSheetId="87">ERR</definedName>
    <definedName name="JOHNNY_9" localSheetId="88">ERR</definedName>
    <definedName name="JOHNNY_9" localSheetId="97">ERR</definedName>
    <definedName name="JOHNNY_9" localSheetId="105">ERR</definedName>
    <definedName name="JOHNNY_9" localSheetId="106">ERR</definedName>
    <definedName name="JOHNNY_9" localSheetId="107">ERR</definedName>
    <definedName name="JOHNNY_9" localSheetId="108">ERR</definedName>
    <definedName name="JOHNNY_9" localSheetId="109">ERR</definedName>
    <definedName name="JOHNNY_9" localSheetId="110">ERR</definedName>
    <definedName name="JOHNNY_9" localSheetId="111">ERR</definedName>
    <definedName name="JOHNNY_9" localSheetId="112">ERR</definedName>
    <definedName name="JOHNNY_9" localSheetId="113">ERR</definedName>
    <definedName name="JOHNNY_9" localSheetId="114">ERR</definedName>
    <definedName name="JOHNNY_9" localSheetId="98">ERR</definedName>
    <definedName name="JOHNNY_9" localSheetId="115">ERR</definedName>
    <definedName name="JOHNNY_9" localSheetId="116">ERR</definedName>
    <definedName name="JOHNNY_9" localSheetId="117">ERR</definedName>
    <definedName name="JOHNNY_9" localSheetId="118">ERR</definedName>
    <definedName name="JOHNNY_9" localSheetId="119">ERR</definedName>
    <definedName name="JOHNNY_9" localSheetId="99">ERR</definedName>
    <definedName name="JOHNNY_9" localSheetId="100">ERR</definedName>
    <definedName name="JOHNNY_9" localSheetId="101">ERR</definedName>
    <definedName name="JOHNNY_9" localSheetId="102">ERR</definedName>
    <definedName name="JOHNNY_9" localSheetId="103">ERR</definedName>
    <definedName name="JOHNNY_9" localSheetId="104">ERR</definedName>
    <definedName name="JOHNNY_9" localSheetId="120">ERR</definedName>
    <definedName name="JOHNNY_9" localSheetId="121">ERR</definedName>
    <definedName name="JOHNNY_9" localSheetId="122">ERR</definedName>
    <definedName name="JOHNNY_9" localSheetId="123">ERR</definedName>
    <definedName name="JOHNNY_9" localSheetId="124">ERR</definedName>
    <definedName name="JOHNNY_9" localSheetId="125">ERR</definedName>
    <definedName name="JOHNNY_9" localSheetId="126">ERR</definedName>
    <definedName name="JOHNNY_9" localSheetId="127">ERR</definedName>
    <definedName name="JOHNNY_9" localSheetId="128">ERR</definedName>
    <definedName name="JOHNNY_9" localSheetId="129">ERR</definedName>
    <definedName name="JOHNNY_9" localSheetId="130">ERR</definedName>
    <definedName name="JOHNNY_9" localSheetId="131">ERR</definedName>
    <definedName name="JOHNNY_9" localSheetId="9">ERR</definedName>
    <definedName name="JOHNNY_9" localSheetId="38">ERR</definedName>
    <definedName name="JOHNNY_9" localSheetId="2">ERR</definedName>
    <definedName name="JOHNNY_9">ERR</definedName>
    <definedName name="K0F1" localSheetId="18">#REF!</definedName>
    <definedName name="K0F1" localSheetId="21">#REF!</definedName>
    <definedName name="K0F1" localSheetId="22">#REF!</definedName>
    <definedName name="K0F1" localSheetId="51">#REF!</definedName>
    <definedName name="K0F1" localSheetId="69">#REF!</definedName>
    <definedName name="K0F1" localSheetId="81">#REF!</definedName>
    <definedName name="K0F1" localSheetId="97">#REF!</definedName>
    <definedName name="K0F1" localSheetId="13">#REF!</definedName>
    <definedName name="K0F1" localSheetId="2">#REF!</definedName>
    <definedName name="K0F1">#REF!</definedName>
    <definedName name="K0F2" localSheetId="18">#REF!</definedName>
    <definedName name="K0F2" localSheetId="21">#REF!</definedName>
    <definedName name="K0F2" localSheetId="22">#REF!</definedName>
    <definedName name="K0F2" localSheetId="51">#REF!</definedName>
    <definedName name="K0F2" localSheetId="69">#REF!</definedName>
    <definedName name="K0F2" localSheetId="81">#REF!</definedName>
    <definedName name="K0F2" localSheetId="97">#REF!</definedName>
    <definedName name="K0F2" localSheetId="13">#REF!</definedName>
    <definedName name="K0F2">#REF!</definedName>
    <definedName name="K10ALO" localSheetId="18">#REF!</definedName>
    <definedName name="K10ALO" localSheetId="21">#REF!</definedName>
    <definedName name="K10ALO" localSheetId="22">#REF!</definedName>
    <definedName name="K10ALO" localSheetId="51">#REF!</definedName>
    <definedName name="K10ALO" localSheetId="69">#REF!</definedName>
    <definedName name="K10ALO" localSheetId="81">#REF!</definedName>
    <definedName name="K10ALO" localSheetId="97">#REF!</definedName>
    <definedName name="K10ALO" localSheetId="13">#REF!</definedName>
    <definedName name="K10ALO">#REF!</definedName>
    <definedName name="K11ALO" localSheetId="18">#REF!</definedName>
    <definedName name="K11ALO" localSheetId="21">#REF!</definedName>
    <definedName name="K11ALO" localSheetId="22">#REF!</definedName>
    <definedName name="K11ALO" localSheetId="51">#REF!</definedName>
    <definedName name="K11ALO" localSheetId="69">#REF!</definedName>
    <definedName name="K11ALO" localSheetId="81">#REF!</definedName>
    <definedName name="K11ALO" localSheetId="97">#REF!</definedName>
    <definedName name="K11ALO">#REF!</definedName>
    <definedName name="K1F1" localSheetId="18">#REF!</definedName>
    <definedName name="K1F1" localSheetId="21">#REF!</definedName>
    <definedName name="K1F1" localSheetId="22">#REF!</definedName>
    <definedName name="K1F1" localSheetId="51">#REF!</definedName>
    <definedName name="K1F1" localSheetId="69">#REF!</definedName>
    <definedName name="K1F1" localSheetId="81">#REF!</definedName>
    <definedName name="K1F1" localSheetId="97">#REF!</definedName>
    <definedName name="K1F1">#REF!</definedName>
    <definedName name="K1F2" localSheetId="18">#REF!</definedName>
    <definedName name="K1F2" localSheetId="21">#REF!</definedName>
    <definedName name="K1F2" localSheetId="22">#REF!</definedName>
    <definedName name="K1F2" localSheetId="51">#REF!</definedName>
    <definedName name="K1F2" localSheetId="69">#REF!</definedName>
    <definedName name="K1F2" localSheetId="81">#REF!</definedName>
    <definedName name="K1F2" localSheetId="97">#REF!</definedName>
    <definedName name="K1F2">#REF!</definedName>
    <definedName name="K2F1" localSheetId="18">#REF!</definedName>
    <definedName name="K2F1" localSheetId="21">#REF!</definedName>
    <definedName name="K2F1" localSheetId="22">#REF!</definedName>
    <definedName name="K2F1" localSheetId="51">#REF!</definedName>
    <definedName name="K2F1" localSheetId="69">#REF!</definedName>
    <definedName name="K2F1" localSheetId="81">#REF!</definedName>
    <definedName name="K2F1" localSheetId="97">#REF!</definedName>
    <definedName name="K2F1">#REF!</definedName>
    <definedName name="K2F2" localSheetId="18">#REF!</definedName>
    <definedName name="K2F2" localSheetId="21">#REF!</definedName>
    <definedName name="K2F2" localSheetId="22">#REF!</definedName>
    <definedName name="K2F2" localSheetId="51">#REF!</definedName>
    <definedName name="K2F2" localSheetId="69">#REF!</definedName>
    <definedName name="K2F2" localSheetId="81">#REF!</definedName>
    <definedName name="K2F2" localSheetId="97">#REF!</definedName>
    <definedName name="K2F2">#REF!</definedName>
    <definedName name="K3F1" localSheetId="18">#REF!</definedName>
    <definedName name="K3F1" localSheetId="21">#REF!</definedName>
    <definedName name="K3F1" localSheetId="22">#REF!</definedName>
    <definedName name="K3F1" localSheetId="51">#REF!</definedName>
    <definedName name="K3F1" localSheetId="69">#REF!</definedName>
    <definedName name="K3F1" localSheetId="81">#REF!</definedName>
    <definedName name="K3F1" localSheetId="97">#REF!</definedName>
    <definedName name="K3F1">#REF!</definedName>
    <definedName name="K3F2" localSheetId="18">#REF!</definedName>
    <definedName name="K3F2" localSheetId="21">#REF!</definedName>
    <definedName name="K3F2" localSheetId="22">#REF!</definedName>
    <definedName name="K3F2" localSheetId="51">#REF!</definedName>
    <definedName name="K3F2" localSheetId="69">#REF!</definedName>
    <definedName name="K3F2" localSheetId="81">#REF!</definedName>
    <definedName name="K3F2" localSheetId="97">#REF!</definedName>
    <definedName name="K3F2">#REF!</definedName>
    <definedName name="K4F1" localSheetId="18">#REF!</definedName>
    <definedName name="K4F1" localSheetId="21">#REF!</definedName>
    <definedName name="K4F1" localSheetId="22">#REF!</definedName>
    <definedName name="K4F1" localSheetId="51">#REF!</definedName>
    <definedName name="K4F1" localSheetId="69">#REF!</definedName>
    <definedName name="K4F1" localSheetId="81">#REF!</definedName>
    <definedName name="K4F1" localSheetId="97">#REF!</definedName>
    <definedName name="K4F1">#REF!</definedName>
    <definedName name="K4F2" localSheetId="18">#REF!</definedName>
    <definedName name="K4F2" localSheetId="21">#REF!</definedName>
    <definedName name="K4F2" localSheetId="22">#REF!</definedName>
    <definedName name="K4F2" localSheetId="51">#REF!</definedName>
    <definedName name="K4F2" localSheetId="69">#REF!</definedName>
    <definedName name="K4F2" localSheetId="81">#REF!</definedName>
    <definedName name="K4F2" localSheetId="97">#REF!</definedName>
    <definedName name="K4F2">#REF!</definedName>
    <definedName name="K5F1" localSheetId="18">#REF!</definedName>
    <definedName name="K5F1" localSheetId="21">#REF!</definedName>
    <definedName name="K5F1" localSheetId="22">#REF!</definedName>
    <definedName name="K5F1" localSheetId="51">#REF!</definedName>
    <definedName name="K5F1" localSheetId="69">#REF!</definedName>
    <definedName name="K5F1" localSheetId="81">#REF!</definedName>
    <definedName name="K5F1" localSheetId="97">#REF!</definedName>
    <definedName name="K5F1">#REF!</definedName>
    <definedName name="K5F2" localSheetId="18">#REF!</definedName>
    <definedName name="K5F2" localSheetId="21">#REF!</definedName>
    <definedName name="K5F2" localSheetId="22">#REF!</definedName>
    <definedName name="K5F2" localSheetId="51">#REF!</definedName>
    <definedName name="K5F2" localSheetId="69">#REF!</definedName>
    <definedName name="K5F2" localSheetId="81">#REF!</definedName>
    <definedName name="K5F2" localSheetId="97">#REF!</definedName>
    <definedName name="K5F2">#REF!</definedName>
    <definedName name="K6F1" localSheetId="18">#REF!</definedName>
    <definedName name="K6F1" localSheetId="21">#REF!</definedName>
    <definedName name="K6F1" localSheetId="22">#REF!</definedName>
    <definedName name="K6F1" localSheetId="51">#REF!</definedName>
    <definedName name="K6F1" localSheetId="69">#REF!</definedName>
    <definedName name="K6F1" localSheetId="81">#REF!</definedName>
    <definedName name="K6F1" localSheetId="97">#REF!</definedName>
    <definedName name="K6F1">#REF!</definedName>
    <definedName name="K6F2" localSheetId="18">#REF!</definedName>
    <definedName name="K6F2" localSheetId="21">#REF!</definedName>
    <definedName name="K6F2" localSheetId="22">#REF!</definedName>
    <definedName name="K6F2" localSheetId="51">#REF!</definedName>
    <definedName name="K6F2" localSheetId="69">#REF!</definedName>
    <definedName name="K6F2" localSheetId="81">#REF!</definedName>
    <definedName name="K6F2" localSheetId="97">#REF!</definedName>
    <definedName name="K6F2">#REF!</definedName>
    <definedName name="K7F1" localSheetId="18">#REF!</definedName>
    <definedName name="K7F1" localSheetId="21">#REF!</definedName>
    <definedName name="K7F1" localSheetId="22">#REF!</definedName>
    <definedName name="K7F1" localSheetId="51">#REF!</definedName>
    <definedName name="K7F1" localSheetId="69">#REF!</definedName>
    <definedName name="K7F1" localSheetId="81">#REF!</definedName>
    <definedName name="K7F1" localSheetId="97">#REF!</definedName>
    <definedName name="K7F1">#REF!</definedName>
    <definedName name="K7F2" localSheetId="18">#REF!</definedName>
    <definedName name="K7F2" localSheetId="21">#REF!</definedName>
    <definedName name="K7F2" localSheetId="22">#REF!</definedName>
    <definedName name="K7F2" localSheetId="51">#REF!</definedName>
    <definedName name="K7F2" localSheetId="69">#REF!</definedName>
    <definedName name="K7F2" localSheetId="81">#REF!</definedName>
    <definedName name="K7F2" localSheetId="97">#REF!</definedName>
    <definedName name="K7F2">#REF!</definedName>
    <definedName name="K8ALO" localSheetId="18">#REF!</definedName>
    <definedName name="K8ALO" localSheetId="21">#REF!</definedName>
    <definedName name="K8ALO" localSheetId="22">#REF!</definedName>
    <definedName name="K8ALO" localSheetId="51">#REF!</definedName>
    <definedName name="K8ALO" localSheetId="69">#REF!</definedName>
    <definedName name="K8ALO" localSheetId="81">#REF!</definedName>
    <definedName name="K8ALO" localSheetId="97">#REF!</definedName>
    <definedName name="K8ALO">#REF!</definedName>
    <definedName name="K8F1" localSheetId="18">#REF!</definedName>
    <definedName name="K8F1" localSheetId="21">#REF!</definedName>
    <definedName name="K8F1" localSheetId="22">#REF!</definedName>
    <definedName name="K8F1" localSheetId="51">#REF!</definedName>
    <definedName name="K8F1" localSheetId="69">#REF!</definedName>
    <definedName name="K8F1" localSheetId="81">#REF!</definedName>
    <definedName name="K8F1" localSheetId="97">#REF!</definedName>
    <definedName name="K8F1">#REF!</definedName>
    <definedName name="K8F2" localSheetId="18">#REF!</definedName>
    <definedName name="K8F2" localSheetId="21">#REF!</definedName>
    <definedName name="K8F2" localSheetId="22">#REF!</definedName>
    <definedName name="K8F2" localSheetId="51">#REF!</definedName>
    <definedName name="K8F2" localSheetId="69">#REF!</definedName>
    <definedName name="K8F2" localSheetId="81">#REF!</definedName>
    <definedName name="K8F2" localSheetId="97">#REF!</definedName>
    <definedName name="K8F2">#REF!</definedName>
    <definedName name="K9ALO" localSheetId="18">#REF!</definedName>
    <definedName name="K9ALO" localSheetId="21">#REF!</definedName>
    <definedName name="K9ALO" localSheetId="22">#REF!</definedName>
    <definedName name="K9ALO" localSheetId="51">#REF!</definedName>
    <definedName name="K9ALO" localSheetId="69">#REF!</definedName>
    <definedName name="K9ALO" localSheetId="81">#REF!</definedName>
    <definedName name="K9ALO" localSheetId="97">#REF!</definedName>
    <definedName name="K9ALO">#REF!</definedName>
    <definedName name="KLNDKD" localSheetId="51">[18]PRECIOS!$G$2:$J$57</definedName>
    <definedName name="KLNDKD">[19]PRECIOS!$G$2:$J$57</definedName>
    <definedName name="L.CARCAMO" localSheetId="18">#REF!</definedName>
    <definedName name="L.CARCAMO" localSheetId="21">#REF!</definedName>
    <definedName name="L.CARCAMO" localSheetId="22">#REF!</definedName>
    <definedName name="L.CARCAMO" localSheetId="51">#REF!</definedName>
    <definedName name="L.CARCAMO" localSheetId="69">#REF!</definedName>
    <definedName name="L.CARCAMO" localSheetId="81">#REF!</definedName>
    <definedName name="L.CARCAMO" localSheetId="97">#REF!</definedName>
    <definedName name="L.CARCAMO" localSheetId="13">#REF!</definedName>
    <definedName name="L.CARCAMO" localSheetId="2">#REF!</definedName>
    <definedName name="L.CARCAMO">#REF!</definedName>
    <definedName name="L.CIL" localSheetId="18">#REF!</definedName>
    <definedName name="L.CIL" localSheetId="21">#REF!</definedName>
    <definedName name="L.CIL" localSheetId="22">#REF!</definedName>
    <definedName name="L.CIL" localSheetId="51">#REF!</definedName>
    <definedName name="L.CIL" localSheetId="69">#REF!</definedName>
    <definedName name="L.CIL" localSheetId="81">#REF!</definedName>
    <definedName name="L.CIL" localSheetId="97">#REF!</definedName>
    <definedName name="L.CIL" localSheetId="13">#REF!</definedName>
    <definedName name="L.CIL">#REF!</definedName>
    <definedName name="L_" localSheetId="18">#REF!</definedName>
    <definedName name="L_" localSheetId="21">#REF!</definedName>
    <definedName name="L_" localSheetId="22">#REF!</definedName>
    <definedName name="L_" localSheetId="51">#REF!</definedName>
    <definedName name="L_" localSheetId="69">#REF!</definedName>
    <definedName name="L_" localSheetId="81">#REF!</definedName>
    <definedName name="L_" localSheetId="97">#REF!</definedName>
    <definedName name="L_" localSheetId="13">#REF!</definedName>
    <definedName name="L_">#REF!</definedName>
    <definedName name="L_TUB" localSheetId="18">#REF!</definedName>
    <definedName name="L_TUB" localSheetId="21">#REF!</definedName>
    <definedName name="L_TUB" localSheetId="22">#REF!</definedName>
    <definedName name="L_TUB" localSheetId="51">#REF!</definedName>
    <definedName name="L_TUB" localSheetId="69">#REF!</definedName>
    <definedName name="L_TUB" localSheetId="81">#REF!</definedName>
    <definedName name="L_TUB" localSheetId="97">#REF!</definedName>
    <definedName name="L_TUB">#REF!</definedName>
    <definedName name="LIMPIO" localSheetId="18">#REF!</definedName>
    <definedName name="LIMPIO" localSheetId="21">#REF!</definedName>
    <definedName name="LIMPIO" localSheetId="22">#REF!</definedName>
    <definedName name="LIMPIO" localSheetId="51">#REF!</definedName>
    <definedName name="LIMPIO" localSheetId="69">#REF!</definedName>
    <definedName name="LIMPIO" localSheetId="81">#REF!</definedName>
    <definedName name="LIMPIO" localSheetId="97">#REF!</definedName>
    <definedName name="LIMPIO">#REF!</definedName>
    <definedName name="LOGO" localSheetId="20">[0]!ERR</definedName>
    <definedName name="LOGO" localSheetId="22">[0]!ERR</definedName>
    <definedName name="LOGO" localSheetId="33">[0]!ERR</definedName>
    <definedName name="LOGO" localSheetId="36">[0]!ERR</definedName>
    <definedName name="LOGO" localSheetId="47">[0]!ERR</definedName>
    <definedName name="LOGO" localSheetId="48">[0]!ERR</definedName>
    <definedName name="LOGO" localSheetId="51">[0]!ERR</definedName>
    <definedName name="LOGO" localSheetId="52">[0]!ERR</definedName>
    <definedName name="LOGO" localSheetId="53">[0]!ERR</definedName>
    <definedName name="LOGO" localSheetId="54">[0]!ERR</definedName>
    <definedName name="LOGO" localSheetId="62">[0]!ERR</definedName>
    <definedName name="LOGO" localSheetId="63">[0]!ERR</definedName>
    <definedName name="LOGO" localSheetId="64">[0]!ERR</definedName>
    <definedName name="LOGO" localSheetId="65">[0]!ERR</definedName>
    <definedName name="LOGO" localSheetId="66">[0]!ERR</definedName>
    <definedName name="LOGO" localSheetId="67">[0]!ERR</definedName>
    <definedName name="LOGO" localSheetId="68">[0]!ERR</definedName>
    <definedName name="LOGO" localSheetId="55">[0]!ERR</definedName>
    <definedName name="LOGO" localSheetId="56">[0]!ERR</definedName>
    <definedName name="LOGO" localSheetId="57">[0]!ERR</definedName>
    <definedName name="LOGO" localSheetId="58">[0]!ERR</definedName>
    <definedName name="LOGO" localSheetId="59">[0]!ERR</definedName>
    <definedName name="LOGO" localSheetId="60">[0]!ERR</definedName>
    <definedName name="LOGO" localSheetId="61">[0]!ERR</definedName>
    <definedName name="LOGO" localSheetId="69">[0]!ERR</definedName>
    <definedName name="LOGO" localSheetId="78">[0]!ERR</definedName>
    <definedName name="LOGO" localSheetId="79">[0]!ERR</definedName>
    <definedName name="LOGO" localSheetId="80">[0]!ERR</definedName>
    <definedName name="LOGO" localSheetId="70">[0]!ERR</definedName>
    <definedName name="LOGO" localSheetId="71">[0]!ERR</definedName>
    <definedName name="LOGO" localSheetId="72">[0]!ERR</definedName>
    <definedName name="LOGO" localSheetId="73">[0]!ERR</definedName>
    <definedName name="LOGO" localSheetId="74">[0]!ERR</definedName>
    <definedName name="LOGO" localSheetId="75">[0]!ERR</definedName>
    <definedName name="LOGO" localSheetId="76">[0]!ERR</definedName>
    <definedName name="LOGO" localSheetId="77">[0]!ERR</definedName>
    <definedName name="LOGO" localSheetId="81">[0]!ERR</definedName>
    <definedName name="LOGO" localSheetId="89">[0]!ERR</definedName>
    <definedName name="LOGO" localSheetId="90">[0]!ERR</definedName>
    <definedName name="LOGO" localSheetId="91">[0]!ERR</definedName>
    <definedName name="LOGO" localSheetId="92">[0]!ERR</definedName>
    <definedName name="LOGO" localSheetId="93">[0]!ERR</definedName>
    <definedName name="LOGO" localSheetId="94">[0]!ERR</definedName>
    <definedName name="LOGO" localSheetId="95">[0]!ERR</definedName>
    <definedName name="LOGO" localSheetId="96">[0]!ERR</definedName>
    <definedName name="LOGO" localSheetId="82">[0]!ERR</definedName>
    <definedName name="LOGO" localSheetId="83">[0]!ERR</definedName>
    <definedName name="LOGO" localSheetId="84">[0]!ERR</definedName>
    <definedName name="LOGO" localSheetId="85">[0]!ERR</definedName>
    <definedName name="LOGO" localSheetId="86">[0]!ERR</definedName>
    <definedName name="LOGO" localSheetId="87">[0]!ERR</definedName>
    <definedName name="LOGO" localSheetId="88">[0]!ERR</definedName>
    <definedName name="LOGO" localSheetId="97">[0]!ERR</definedName>
    <definedName name="LOGO" localSheetId="105">[0]!ERR</definedName>
    <definedName name="LOGO" localSheetId="106">[0]!ERR</definedName>
    <definedName name="LOGO" localSheetId="107">[0]!ERR</definedName>
    <definedName name="LOGO" localSheetId="108">[0]!ERR</definedName>
    <definedName name="LOGO" localSheetId="109">[0]!ERR</definedName>
    <definedName name="LOGO" localSheetId="110">[0]!ERR</definedName>
    <definedName name="LOGO" localSheetId="111">[0]!ERR</definedName>
    <definedName name="LOGO" localSheetId="112">[0]!ERR</definedName>
    <definedName name="LOGO" localSheetId="113">[0]!ERR</definedName>
    <definedName name="LOGO" localSheetId="114">[0]!ERR</definedName>
    <definedName name="LOGO" localSheetId="98">[0]!ERR</definedName>
    <definedName name="LOGO" localSheetId="115">[0]!ERR</definedName>
    <definedName name="LOGO" localSheetId="116">[0]!ERR</definedName>
    <definedName name="LOGO" localSheetId="117">[0]!ERR</definedName>
    <definedName name="LOGO" localSheetId="118">[0]!ERR</definedName>
    <definedName name="LOGO" localSheetId="119">[0]!ERR</definedName>
    <definedName name="LOGO" localSheetId="99">[0]!ERR</definedName>
    <definedName name="LOGO" localSheetId="100">[0]!ERR</definedName>
    <definedName name="LOGO" localSheetId="101">[0]!ERR</definedName>
    <definedName name="LOGO" localSheetId="102">[0]!ERR</definedName>
    <definedName name="LOGO" localSheetId="103">[0]!ERR</definedName>
    <definedName name="LOGO" localSheetId="104">[0]!ERR</definedName>
    <definedName name="LOGO" localSheetId="120">[0]!ERR</definedName>
    <definedName name="LOGO" localSheetId="121">[0]!ERR</definedName>
    <definedName name="LOGO" localSheetId="122">[0]!ERR</definedName>
    <definedName name="LOGO" localSheetId="123">[0]!ERR</definedName>
    <definedName name="LOGO" localSheetId="124">[0]!ERR</definedName>
    <definedName name="LOGO" localSheetId="125">[0]!ERR</definedName>
    <definedName name="LOGO" localSheetId="126">[0]!ERR</definedName>
    <definedName name="LOGO" localSheetId="127">[0]!ERR</definedName>
    <definedName name="LOGO" localSheetId="128">[0]!ERR</definedName>
    <definedName name="LOGO" localSheetId="129">[0]!ERR</definedName>
    <definedName name="LOGO" localSheetId="130">[0]!ERR</definedName>
    <definedName name="LOGO" localSheetId="131">[0]!ERR</definedName>
    <definedName name="LOGO" localSheetId="38">[0]!ERR</definedName>
    <definedName name="LOGO" localSheetId="2">[0]!ERR</definedName>
    <definedName name="LOGO">[0]!ERR</definedName>
    <definedName name="LOGO_10" localSheetId="20">ERR</definedName>
    <definedName name="LOGO_10" localSheetId="22">ERR</definedName>
    <definedName name="LOGO_10" localSheetId="33">ERR</definedName>
    <definedName name="LOGO_10" localSheetId="36">ERR</definedName>
    <definedName name="LOGO_10" localSheetId="47">ERR</definedName>
    <definedName name="LOGO_10" localSheetId="48">ERR</definedName>
    <definedName name="LOGO_10" localSheetId="51">ERR</definedName>
    <definedName name="LOGO_10" localSheetId="52">ERR</definedName>
    <definedName name="LOGO_10" localSheetId="53">ERR</definedName>
    <definedName name="LOGO_10" localSheetId="54">ERR</definedName>
    <definedName name="LOGO_10" localSheetId="62">ERR</definedName>
    <definedName name="LOGO_10" localSheetId="63">ERR</definedName>
    <definedName name="LOGO_10" localSheetId="64">ERR</definedName>
    <definedName name="LOGO_10" localSheetId="65">ERR</definedName>
    <definedName name="LOGO_10" localSheetId="66">ERR</definedName>
    <definedName name="LOGO_10" localSheetId="67">ERR</definedName>
    <definedName name="LOGO_10" localSheetId="68">ERR</definedName>
    <definedName name="LOGO_10" localSheetId="55">ERR</definedName>
    <definedName name="LOGO_10" localSheetId="56">ERR</definedName>
    <definedName name="LOGO_10" localSheetId="57">ERR</definedName>
    <definedName name="LOGO_10" localSheetId="58">ERR</definedName>
    <definedName name="LOGO_10" localSheetId="59">ERR</definedName>
    <definedName name="LOGO_10" localSheetId="60">ERR</definedName>
    <definedName name="LOGO_10" localSheetId="61">ERR</definedName>
    <definedName name="LOGO_10" localSheetId="69">ERR</definedName>
    <definedName name="LOGO_10" localSheetId="78">ERR</definedName>
    <definedName name="LOGO_10" localSheetId="79">ERR</definedName>
    <definedName name="LOGO_10" localSheetId="80">ERR</definedName>
    <definedName name="LOGO_10" localSheetId="70">ERR</definedName>
    <definedName name="LOGO_10" localSheetId="71">ERR</definedName>
    <definedName name="LOGO_10" localSheetId="72">ERR</definedName>
    <definedName name="LOGO_10" localSheetId="73">ERR</definedName>
    <definedName name="LOGO_10" localSheetId="74">ERR</definedName>
    <definedName name="LOGO_10" localSheetId="75">ERR</definedName>
    <definedName name="LOGO_10" localSheetId="76">ERR</definedName>
    <definedName name="LOGO_10" localSheetId="77">ERR</definedName>
    <definedName name="LOGO_10" localSheetId="81">ERR</definedName>
    <definedName name="LOGO_10" localSheetId="89">ERR</definedName>
    <definedName name="LOGO_10" localSheetId="90">ERR</definedName>
    <definedName name="LOGO_10" localSheetId="91">ERR</definedName>
    <definedName name="LOGO_10" localSheetId="92">ERR</definedName>
    <definedName name="LOGO_10" localSheetId="93">ERR</definedName>
    <definedName name="LOGO_10" localSheetId="94">ERR</definedName>
    <definedName name="LOGO_10" localSheetId="95">ERR</definedName>
    <definedName name="LOGO_10" localSheetId="96">ERR</definedName>
    <definedName name="LOGO_10" localSheetId="82">ERR</definedName>
    <definedName name="LOGO_10" localSheetId="83">ERR</definedName>
    <definedName name="LOGO_10" localSheetId="84">ERR</definedName>
    <definedName name="LOGO_10" localSheetId="85">ERR</definedName>
    <definedName name="LOGO_10" localSheetId="86">ERR</definedName>
    <definedName name="LOGO_10" localSheetId="87">ERR</definedName>
    <definedName name="LOGO_10" localSheetId="88">ERR</definedName>
    <definedName name="LOGO_10" localSheetId="97">ERR</definedName>
    <definedName name="LOGO_10" localSheetId="105">ERR</definedName>
    <definedName name="LOGO_10" localSheetId="106">ERR</definedName>
    <definedName name="LOGO_10" localSheetId="107">ERR</definedName>
    <definedName name="LOGO_10" localSheetId="108">ERR</definedName>
    <definedName name="LOGO_10" localSheetId="109">ERR</definedName>
    <definedName name="LOGO_10" localSheetId="110">ERR</definedName>
    <definedName name="LOGO_10" localSheetId="111">ERR</definedName>
    <definedName name="LOGO_10" localSheetId="112">ERR</definedName>
    <definedName name="LOGO_10" localSheetId="113">ERR</definedName>
    <definedName name="LOGO_10" localSheetId="114">ERR</definedName>
    <definedName name="LOGO_10" localSheetId="98">ERR</definedName>
    <definedName name="LOGO_10" localSheetId="115">ERR</definedName>
    <definedName name="LOGO_10" localSheetId="116">ERR</definedName>
    <definedName name="LOGO_10" localSheetId="117">ERR</definedName>
    <definedName name="LOGO_10" localSheetId="118">ERR</definedName>
    <definedName name="LOGO_10" localSheetId="119">ERR</definedName>
    <definedName name="LOGO_10" localSheetId="99">ERR</definedName>
    <definedName name="LOGO_10" localSheetId="100">ERR</definedName>
    <definedName name="LOGO_10" localSheetId="101">ERR</definedName>
    <definedName name="LOGO_10" localSheetId="102">ERR</definedName>
    <definedName name="LOGO_10" localSheetId="103">ERR</definedName>
    <definedName name="LOGO_10" localSheetId="104">ERR</definedName>
    <definedName name="LOGO_10" localSheetId="120">ERR</definedName>
    <definedName name="LOGO_10" localSheetId="121">ERR</definedName>
    <definedName name="LOGO_10" localSheetId="122">ERR</definedName>
    <definedName name="LOGO_10" localSheetId="123">ERR</definedName>
    <definedName name="LOGO_10" localSheetId="124">ERR</definedName>
    <definedName name="LOGO_10" localSheetId="125">ERR</definedName>
    <definedName name="LOGO_10" localSheetId="126">ERR</definedName>
    <definedName name="LOGO_10" localSheetId="127">ERR</definedName>
    <definedName name="LOGO_10" localSheetId="128">ERR</definedName>
    <definedName name="LOGO_10" localSheetId="129">ERR</definedName>
    <definedName name="LOGO_10" localSheetId="130">ERR</definedName>
    <definedName name="LOGO_10" localSheetId="131">ERR</definedName>
    <definedName name="LOGO_10" localSheetId="9">ERR</definedName>
    <definedName name="LOGO_10" localSheetId="38">ERR</definedName>
    <definedName name="LOGO_10" localSheetId="2">ERR</definedName>
    <definedName name="LOGO_10">ERR</definedName>
    <definedName name="LOGO_3" localSheetId="20">ERR</definedName>
    <definedName name="LOGO_3" localSheetId="22">ERR</definedName>
    <definedName name="LOGO_3" localSheetId="33">ERR</definedName>
    <definedName name="LOGO_3" localSheetId="36">ERR</definedName>
    <definedName name="LOGO_3" localSheetId="47">ERR</definedName>
    <definedName name="LOGO_3" localSheetId="48">ERR</definedName>
    <definedName name="LOGO_3" localSheetId="51">ERR</definedName>
    <definedName name="LOGO_3" localSheetId="52">ERR</definedName>
    <definedName name="LOGO_3" localSheetId="53">ERR</definedName>
    <definedName name="LOGO_3" localSheetId="54">ERR</definedName>
    <definedName name="LOGO_3" localSheetId="62">ERR</definedName>
    <definedName name="LOGO_3" localSheetId="63">ERR</definedName>
    <definedName name="LOGO_3" localSheetId="64">ERR</definedName>
    <definedName name="LOGO_3" localSheetId="65">ERR</definedName>
    <definedName name="LOGO_3" localSheetId="66">ERR</definedName>
    <definedName name="LOGO_3" localSheetId="67">ERR</definedName>
    <definedName name="LOGO_3" localSheetId="68">ERR</definedName>
    <definedName name="LOGO_3" localSheetId="55">ERR</definedName>
    <definedName name="LOGO_3" localSheetId="56">ERR</definedName>
    <definedName name="LOGO_3" localSheetId="57">ERR</definedName>
    <definedName name="LOGO_3" localSheetId="58">ERR</definedName>
    <definedName name="LOGO_3" localSheetId="59">ERR</definedName>
    <definedName name="LOGO_3" localSheetId="60">ERR</definedName>
    <definedName name="LOGO_3" localSheetId="61">ERR</definedName>
    <definedName name="LOGO_3" localSheetId="69">ERR</definedName>
    <definedName name="LOGO_3" localSheetId="78">ERR</definedName>
    <definedName name="LOGO_3" localSheetId="79">ERR</definedName>
    <definedName name="LOGO_3" localSheetId="80">ERR</definedName>
    <definedName name="LOGO_3" localSheetId="70">ERR</definedName>
    <definedName name="LOGO_3" localSheetId="71">ERR</definedName>
    <definedName name="LOGO_3" localSheetId="72">ERR</definedName>
    <definedName name="LOGO_3" localSheetId="73">ERR</definedName>
    <definedName name="LOGO_3" localSheetId="74">ERR</definedName>
    <definedName name="LOGO_3" localSheetId="75">ERR</definedName>
    <definedName name="LOGO_3" localSheetId="76">ERR</definedName>
    <definedName name="LOGO_3" localSheetId="77">ERR</definedName>
    <definedName name="LOGO_3" localSheetId="81">ERR</definedName>
    <definedName name="LOGO_3" localSheetId="89">ERR</definedName>
    <definedName name="LOGO_3" localSheetId="90">ERR</definedName>
    <definedName name="LOGO_3" localSheetId="91">ERR</definedName>
    <definedName name="LOGO_3" localSheetId="92">ERR</definedName>
    <definedName name="LOGO_3" localSheetId="93">ERR</definedName>
    <definedName name="LOGO_3" localSheetId="94">ERR</definedName>
    <definedName name="LOGO_3" localSheetId="95">ERR</definedName>
    <definedName name="LOGO_3" localSheetId="96">ERR</definedName>
    <definedName name="LOGO_3" localSheetId="82">ERR</definedName>
    <definedName name="LOGO_3" localSheetId="83">ERR</definedName>
    <definedName name="LOGO_3" localSheetId="84">ERR</definedName>
    <definedName name="LOGO_3" localSheetId="85">ERR</definedName>
    <definedName name="LOGO_3" localSheetId="86">ERR</definedName>
    <definedName name="LOGO_3" localSheetId="87">ERR</definedName>
    <definedName name="LOGO_3" localSheetId="88">ERR</definedName>
    <definedName name="LOGO_3" localSheetId="97">ERR</definedName>
    <definedName name="LOGO_3" localSheetId="105">ERR</definedName>
    <definedName name="LOGO_3" localSheetId="106">ERR</definedName>
    <definedName name="LOGO_3" localSheetId="107">ERR</definedName>
    <definedName name="LOGO_3" localSheetId="108">ERR</definedName>
    <definedName name="LOGO_3" localSheetId="109">ERR</definedName>
    <definedName name="LOGO_3" localSheetId="110">ERR</definedName>
    <definedName name="LOGO_3" localSheetId="111">ERR</definedName>
    <definedName name="LOGO_3" localSheetId="112">ERR</definedName>
    <definedName name="LOGO_3" localSheetId="113">ERR</definedName>
    <definedName name="LOGO_3" localSheetId="114">ERR</definedName>
    <definedName name="LOGO_3" localSheetId="98">ERR</definedName>
    <definedName name="LOGO_3" localSheetId="115">ERR</definedName>
    <definedName name="LOGO_3" localSheetId="116">ERR</definedName>
    <definedName name="LOGO_3" localSheetId="117">ERR</definedName>
    <definedName name="LOGO_3" localSheetId="118">ERR</definedName>
    <definedName name="LOGO_3" localSheetId="119">ERR</definedName>
    <definedName name="LOGO_3" localSheetId="99">ERR</definedName>
    <definedName name="LOGO_3" localSheetId="100">ERR</definedName>
    <definedName name="LOGO_3" localSheetId="101">ERR</definedName>
    <definedName name="LOGO_3" localSheetId="102">ERR</definedName>
    <definedName name="LOGO_3" localSheetId="103">ERR</definedName>
    <definedName name="LOGO_3" localSheetId="104">ERR</definedName>
    <definedName name="LOGO_3" localSheetId="120">ERR</definedName>
    <definedName name="LOGO_3" localSheetId="121">ERR</definedName>
    <definedName name="LOGO_3" localSheetId="122">ERR</definedName>
    <definedName name="LOGO_3" localSheetId="123">ERR</definedName>
    <definedName name="LOGO_3" localSheetId="124">ERR</definedName>
    <definedName name="LOGO_3" localSheetId="125">ERR</definedName>
    <definedName name="LOGO_3" localSheetId="126">ERR</definedName>
    <definedName name="LOGO_3" localSheetId="127">ERR</definedName>
    <definedName name="LOGO_3" localSheetId="128">ERR</definedName>
    <definedName name="LOGO_3" localSheetId="129">ERR</definedName>
    <definedName name="LOGO_3" localSheetId="130">ERR</definedName>
    <definedName name="LOGO_3" localSheetId="131">ERR</definedName>
    <definedName name="LOGO_3" localSheetId="9">ERR</definedName>
    <definedName name="LOGO_3" localSheetId="38">ERR</definedName>
    <definedName name="LOGO_3" localSheetId="2">ERR</definedName>
    <definedName name="LOGO_3">ERR</definedName>
    <definedName name="LOGO_4" localSheetId="20">ERR</definedName>
    <definedName name="LOGO_4" localSheetId="22">ERR</definedName>
    <definedName name="LOGO_4" localSheetId="33">ERR</definedName>
    <definedName name="LOGO_4" localSheetId="36">ERR</definedName>
    <definedName name="LOGO_4" localSheetId="47">ERR</definedName>
    <definedName name="LOGO_4" localSheetId="48">ERR</definedName>
    <definedName name="LOGO_4" localSheetId="51">ERR</definedName>
    <definedName name="LOGO_4" localSheetId="52">ERR</definedName>
    <definedName name="LOGO_4" localSheetId="53">ERR</definedName>
    <definedName name="LOGO_4" localSheetId="54">ERR</definedName>
    <definedName name="LOGO_4" localSheetId="62">ERR</definedName>
    <definedName name="LOGO_4" localSheetId="63">ERR</definedName>
    <definedName name="LOGO_4" localSheetId="64">ERR</definedName>
    <definedName name="LOGO_4" localSheetId="65">ERR</definedName>
    <definedName name="LOGO_4" localSheetId="66">ERR</definedName>
    <definedName name="LOGO_4" localSheetId="67">ERR</definedName>
    <definedName name="LOGO_4" localSheetId="68">ERR</definedName>
    <definedName name="LOGO_4" localSheetId="55">ERR</definedName>
    <definedName name="LOGO_4" localSheetId="56">ERR</definedName>
    <definedName name="LOGO_4" localSheetId="57">ERR</definedName>
    <definedName name="LOGO_4" localSheetId="58">ERR</definedName>
    <definedName name="LOGO_4" localSheetId="59">ERR</definedName>
    <definedName name="LOGO_4" localSheetId="60">ERR</definedName>
    <definedName name="LOGO_4" localSheetId="61">ERR</definedName>
    <definedName name="LOGO_4" localSheetId="69">ERR</definedName>
    <definedName name="LOGO_4" localSheetId="78">ERR</definedName>
    <definedName name="LOGO_4" localSheetId="79">ERR</definedName>
    <definedName name="LOGO_4" localSheetId="80">ERR</definedName>
    <definedName name="LOGO_4" localSheetId="70">ERR</definedName>
    <definedName name="LOGO_4" localSheetId="71">ERR</definedName>
    <definedName name="LOGO_4" localSheetId="72">ERR</definedName>
    <definedName name="LOGO_4" localSheetId="73">ERR</definedName>
    <definedName name="LOGO_4" localSheetId="74">ERR</definedName>
    <definedName name="LOGO_4" localSheetId="75">ERR</definedName>
    <definedName name="LOGO_4" localSheetId="76">ERR</definedName>
    <definedName name="LOGO_4" localSheetId="77">ERR</definedName>
    <definedName name="LOGO_4" localSheetId="81">ERR</definedName>
    <definedName name="LOGO_4" localSheetId="89">ERR</definedName>
    <definedName name="LOGO_4" localSheetId="90">ERR</definedName>
    <definedName name="LOGO_4" localSheetId="91">ERR</definedName>
    <definedName name="LOGO_4" localSheetId="92">ERR</definedName>
    <definedName name="LOGO_4" localSheetId="93">ERR</definedName>
    <definedName name="LOGO_4" localSheetId="94">ERR</definedName>
    <definedName name="LOGO_4" localSheetId="95">ERR</definedName>
    <definedName name="LOGO_4" localSheetId="96">ERR</definedName>
    <definedName name="LOGO_4" localSheetId="82">ERR</definedName>
    <definedName name="LOGO_4" localSheetId="83">ERR</definedName>
    <definedName name="LOGO_4" localSheetId="84">ERR</definedName>
    <definedName name="LOGO_4" localSheetId="85">ERR</definedName>
    <definedName name="LOGO_4" localSheetId="86">ERR</definedName>
    <definedName name="LOGO_4" localSheetId="87">ERR</definedName>
    <definedName name="LOGO_4" localSheetId="88">ERR</definedName>
    <definedName name="LOGO_4" localSheetId="97">ERR</definedName>
    <definedName name="LOGO_4" localSheetId="105">ERR</definedName>
    <definedName name="LOGO_4" localSheetId="106">ERR</definedName>
    <definedName name="LOGO_4" localSheetId="107">ERR</definedName>
    <definedName name="LOGO_4" localSheetId="108">ERR</definedName>
    <definedName name="LOGO_4" localSheetId="109">ERR</definedName>
    <definedName name="LOGO_4" localSheetId="110">ERR</definedName>
    <definedName name="LOGO_4" localSheetId="111">ERR</definedName>
    <definedName name="LOGO_4" localSheetId="112">ERR</definedName>
    <definedName name="LOGO_4" localSheetId="113">ERR</definedName>
    <definedName name="LOGO_4" localSheetId="114">ERR</definedName>
    <definedName name="LOGO_4" localSheetId="98">ERR</definedName>
    <definedName name="LOGO_4" localSheetId="115">ERR</definedName>
    <definedName name="LOGO_4" localSheetId="116">ERR</definedName>
    <definedName name="LOGO_4" localSheetId="117">ERR</definedName>
    <definedName name="LOGO_4" localSheetId="118">ERR</definedName>
    <definedName name="LOGO_4" localSheetId="119">ERR</definedName>
    <definedName name="LOGO_4" localSheetId="99">ERR</definedName>
    <definedName name="LOGO_4" localSheetId="100">ERR</definedName>
    <definedName name="LOGO_4" localSheetId="101">ERR</definedName>
    <definedName name="LOGO_4" localSheetId="102">ERR</definedName>
    <definedName name="LOGO_4" localSheetId="103">ERR</definedName>
    <definedName name="LOGO_4" localSheetId="104">ERR</definedName>
    <definedName name="LOGO_4" localSheetId="120">ERR</definedName>
    <definedName name="LOGO_4" localSheetId="121">ERR</definedName>
    <definedName name="LOGO_4" localSheetId="122">ERR</definedName>
    <definedName name="LOGO_4" localSheetId="123">ERR</definedName>
    <definedName name="LOGO_4" localSheetId="124">ERR</definedName>
    <definedName name="LOGO_4" localSheetId="125">ERR</definedName>
    <definedName name="LOGO_4" localSheetId="126">ERR</definedName>
    <definedName name="LOGO_4" localSheetId="127">ERR</definedName>
    <definedName name="LOGO_4" localSheetId="128">ERR</definedName>
    <definedName name="LOGO_4" localSheetId="129">ERR</definedName>
    <definedName name="LOGO_4" localSheetId="130">ERR</definedName>
    <definedName name="LOGO_4" localSheetId="131">ERR</definedName>
    <definedName name="LOGO_4" localSheetId="9">ERR</definedName>
    <definedName name="LOGO_4" localSheetId="38">ERR</definedName>
    <definedName name="LOGO_4" localSheetId="2">ERR</definedName>
    <definedName name="LOGO_4">ERR</definedName>
    <definedName name="LOGO_5" localSheetId="20">ERR</definedName>
    <definedName name="LOGO_5" localSheetId="22">ERR</definedName>
    <definedName name="LOGO_5" localSheetId="33">ERR</definedName>
    <definedName name="LOGO_5" localSheetId="36">ERR</definedName>
    <definedName name="LOGO_5" localSheetId="47">ERR</definedName>
    <definedName name="LOGO_5" localSheetId="48">ERR</definedName>
    <definedName name="LOGO_5" localSheetId="51">ERR</definedName>
    <definedName name="LOGO_5" localSheetId="52">ERR</definedName>
    <definedName name="LOGO_5" localSheetId="53">ERR</definedName>
    <definedName name="LOGO_5" localSheetId="54">ERR</definedName>
    <definedName name="LOGO_5" localSheetId="62">ERR</definedName>
    <definedName name="LOGO_5" localSheetId="63">ERR</definedName>
    <definedName name="LOGO_5" localSheetId="64">ERR</definedName>
    <definedName name="LOGO_5" localSheetId="65">ERR</definedName>
    <definedName name="LOGO_5" localSheetId="66">ERR</definedName>
    <definedName name="LOGO_5" localSheetId="67">ERR</definedName>
    <definedName name="LOGO_5" localSheetId="68">ERR</definedName>
    <definedName name="LOGO_5" localSheetId="55">ERR</definedName>
    <definedName name="LOGO_5" localSheetId="56">ERR</definedName>
    <definedName name="LOGO_5" localSheetId="57">ERR</definedName>
    <definedName name="LOGO_5" localSheetId="58">ERR</definedName>
    <definedName name="LOGO_5" localSheetId="59">ERR</definedName>
    <definedName name="LOGO_5" localSheetId="60">ERR</definedName>
    <definedName name="LOGO_5" localSheetId="61">ERR</definedName>
    <definedName name="LOGO_5" localSheetId="69">ERR</definedName>
    <definedName name="LOGO_5" localSheetId="78">ERR</definedName>
    <definedName name="LOGO_5" localSheetId="79">ERR</definedName>
    <definedName name="LOGO_5" localSheetId="80">ERR</definedName>
    <definedName name="LOGO_5" localSheetId="70">ERR</definedName>
    <definedName name="LOGO_5" localSheetId="71">ERR</definedName>
    <definedName name="LOGO_5" localSheetId="72">ERR</definedName>
    <definedName name="LOGO_5" localSheetId="73">ERR</definedName>
    <definedName name="LOGO_5" localSheetId="74">ERR</definedName>
    <definedName name="LOGO_5" localSheetId="75">ERR</definedName>
    <definedName name="LOGO_5" localSheetId="76">ERR</definedName>
    <definedName name="LOGO_5" localSheetId="77">ERR</definedName>
    <definedName name="LOGO_5" localSheetId="81">ERR</definedName>
    <definedName name="LOGO_5" localSheetId="89">ERR</definedName>
    <definedName name="LOGO_5" localSheetId="90">ERR</definedName>
    <definedName name="LOGO_5" localSheetId="91">ERR</definedName>
    <definedName name="LOGO_5" localSheetId="92">ERR</definedName>
    <definedName name="LOGO_5" localSheetId="93">ERR</definedName>
    <definedName name="LOGO_5" localSheetId="94">ERR</definedName>
    <definedName name="LOGO_5" localSheetId="95">ERR</definedName>
    <definedName name="LOGO_5" localSheetId="96">ERR</definedName>
    <definedName name="LOGO_5" localSheetId="82">ERR</definedName>
    <definedName name="LOGO_5" localSheetId="83">ERR</definedName>
    <definedName name="LOGO_5" localSheetId="84">ERR</definedName>
    <definedName name="LOGO_5" localSheetId="85">ERR</definedName>
    <definedName name="LOGO_5" localSheetId="86">ERR</definedName>
    <definedName name="LOGO_5" localSheetId="87">ERR</definedName>
    <definedName name="LOGO_5" localSheetId="88">ERR</definedName>
    <definedName name="LOGO_5" localSheetId="97">ERR</definedName>
    <definedName name="LOGO_5" localSheetId="105">ERR</definedName>
    <definedName name="LOGO_5" localSheetId="106">ERR</definedName>
    <definedName name="LOGO_5" localSheetId="107">ERR</definedName>
    <definedName name="LOGO_5" localSheetId="108">ERR</definedName>
    <definedName name="LOGO_5" localSheetId="109">ERR</definedName>
    <definedName name="LOGO_5" localSheetId="110">ERR</definedName>
    <definedName name="LOGO_5" localSheetId="111">ERR</definedName>
    <definedName name="LOGO_5" localSheetId="112">ERR</definedName>
    <definedName name="LOGO_5" localSheetId="113">ERR</definedName>
    <definedName name="LOGO_5" localSheetId="114">ERR</definedName>
    <definedName name="LOGO_5" localSheetId="98">ERR</definedName>
    <definedName name="LOGO_5" localSheetId="115">ERR</definedName>
    <definedName name="LOGO_5" localSheetId="116">ERR</definedName>
    <definedName name="LOGO_5" localSheetId="117">ERR</definedName>
    <definedName name="LOGO_5" localSheetId="118">ERR</definedName>
    <definedName name="LOGO_5" localSheetId="119">ERR</definedName>
    <definedName name="LOGO_5" localSheetId="99">ERR</definedName>
    <definedName name="LOGO_5" localSheetId="100">ERR</definedName>
    <definedName name="LOGO_5" localSheetId="101">ERR</definedName>
    <definedName name="LOGO_5" localSheetId="102">ERR</definedName>
    <definedName name="LOGO_5" localSheetId="103">ERR</definedName>
    <definedName name="LOGO_5" localSheetId="104">ERR</definedName>
    <definedName name="LOGO_5" localSheetId="120">ERR</definedName>
    <definedName name="LOGO_5" localSheetId="121">ERR</definedName>
    <definedName name="LOGO_5" localSheetId="122">ERR</definedName>
    <definedName name="LOGO_5" localSheetId="123">ERR</definedName>
    <definedName name="LOGO_5" localSheetId="124">ERR</definedName>
    <definedName name="LOGO_5" localSheetId="125">ERR</definedName>
    <definedName name="LOGO_5" localSheetId="126">ERR</definedName>
    <definedName name="LOGO_5" localSheetId="127">ERR</definedName>
    <definedName name="LOGO_5" localSheetId="128">ERR</definedName>
    <definedName name="LOGO_5" localSheetId="129">ERR</definedName>
    <definedName name="LOGO_5" localSheetId="130">ERR</definedName>
    <definedName name="LOGO_5" localSheetId="131">ERR</definedName>
    <definedName name="LOGO_5" localSheetId="9">ERR</definedName>
    <definedName name="LOGO_5" localSheetId="38">ERR</definedName>
    <definedName name="LOGO_5" localSheetId="2">ERR</definedName>
    <definedName name="LOGO_5">ERR</definedName>
    <definedName name="LOGO_6" localSheetId="20">ERR</definedName>
    <definedName name="LOGO_6" localSheetId="22">ERR</definedName>
    <definedName name="LOGO_6" localSheetId="33">ERR</definedName>
    <definedName name="LOGO_6" localSheetId="36">ERR</definedName>
    <definedName name="LOGO_6" localSheetId="47">ERR</definedName>
    <definedName name="LOGO_6" localSheetId="48">ERR</definedName>
    <definedName name="LOGO_6" localSheetId="51">ERR</definedName>
    <definedName name="LOGO_6" localSheetId="52">ERR</definedName>
    <definedName name="LOGO_6" localSheetId="53">ERR</definedName>
    <definedName name="LOGO_6" localSheetId="54">ERR</definedName>
    <definedName name="LOGO_6" localSheetId="62">ERR</definedName>
    <definedName name="LOGO_6" localSheetId="63">ERR</definedName>
    <definedName name="LOGO_6" localSheetId="64">ERR</definedName>
    <definedName name="LOGO_6" localSheetId="65">ERR</definedName>
    <definedName name="LOGO_6" localSheetId="66">ERR</definedName>
    <definedName name="LOGO_6" localSheetId="67">ERR</definedName>
    <definedName name="LOGO_6" localSheetId="68">ERR</definedName>
    <definedName name="LOGO_6" localSheetId="55">ERR</definedName>
    <definedName name="LOGO_6" localSheetId="56">ERR</definedName>
    <definedName name="LOGO_6" localSheetId="57">ERR</definedName>
    <definedName name="LOGO_6" localSheetId="58">ERR</definedName>
    <definedName name="LOGO_6" localSheetId="59">ERR</definedName>
    <definedName name="LOGO_6" localSheetId="60">ERR</definedName>
    <definedName name="LOGO_6" localSheetId="61">ERR</definedName>
    <definedName name="LOGO_6" localSheetId="69">ERR</definedName>
    <definedName name="LOGO_6" localSheetId="78">ERR</definedName>
    <definedName name="LOGO_6" localSheetId="79">ERR</definedName>
    <definedName name="LOGO_6" localSheetId="80">ERR</definedName>
    <definedName name="LOGO_6" localSheetId="70">ERR</definedName>
    <definedName name="LOGO_6" localSheetId="71">ERR</definedName>
    <definedName name="LOGO_6" localSheetId="72">ERR</definedName>
    <definedName name="LOGO_6" localSheetId="73">ERR</definedName>
    <definedName name="LOGO_6" localSheetId="74">ERR</definedName>
    <definedName name="LOGO_6" localSheetId="75">ERR</definedName>
    <definedName name="LOGO_6" localSheetId="76">ERR</definedName>
    <definedName name="LOGO_6" localSheetId="77">ERR</definedName>
    <definedName name="LOGO_6" localSheetId="81">ERR</definedName>
    <definedName name="LOGO_6" localSheetId="89">ERR</definedName>
    <definedName name="LOGO_6" localSheetId="90">ERR</definedName>
    <definedName name="LOGO_6" localSheetId="91">ERR</definedName>
    <definedName name="LOGO_6" localSheetId="92">ERR</definedName>
    <definedName name="LOGO_6" localSheetId="93">ERR</definedName>
    <definedName name="LOGO_6" localSheetId="94">ERR</definedName>
    <definedName name="LOGO_6" localSheetId="95">ERR</definedName>
    <definedName name="LOGO_6" localSheetId="96">ERR</definedName>
    <definedName name="LOGO_6" localSheetId="82">ERR</definedName>
    <definedName name="LOGO_6" localSheetId="83">ERR</definedName>
    <definedName name="LOGO_6" localSheetId="84">ERR</definedName>
    <definedName name="LOGO_6" localSheetId="85">ERR</definedName>
    <definedName name="LOGO_6" localSheetId="86">ERR</definedName>
    <definedName name="LOGO_6" localSheetId="87">ERR</definedName>
    <definedName name="LOGO_6" localSheetId="88">ERR</definedName>
    <definedName name="LOGO_6" localSheetId="97">ERR</definedName>
    <definedName name="LOGO_6" localSheetId="105">ERR</definedName>
    <definedName name="LOGO_6" localSheetId="106">ERR</definedName>
    <definedName name="LOGO_6" localSheetId="107">ERR</definedName>
    <definedName name="LOGO_6" localSheetId="108">ERR</definedName>
    <definedName name="LOGO_6" localSheetId="109">ERR</definedName>
    <definedName name="LOGO_6" localSheetId="110">ERR</definedName>
    <definedName name="LOGO_6" localSheetId="111">ERR</definedName>
    <definedName name="LOGO_6" localSheetId="112">ERR</definedName>
    <definedName name="LOGO_6" localSheetId="113">ERR</definedName>
    <definedName name="LOGO_6" localSheetId="114">ERR</definedName>
    <definedName name="LOGO_6" localSheetId="98">ERR</definedName>
    <definedName name="LOGO_6" localSheetId="115">ERR</definedName>
    <definedName name="LOGO_6" localSheetId="116">ERR</definedName>
    <definedName name="LOGO_6" localSheetId="117">ERR</definedName>
    <definedName name="LOGO_6" localSheetId="118">ERR</definedName>
    <definedName name="LOGO_6" localSheetId="119">ERR</definedName>
    <definedName name="LOGO_6" localSheetId="99">ERR</definedName>
    <definedName name="LOGO_6" localSheetId="100">ERR</definedName>
    <definedName name="LOGO_6" localSheetId="101">ERR</definedName>
    <definedName name="LOGO_6" localSheetId="102">ERR</definedName>
    <definedName name="LOGO_6" localSheetId="103">ERR</definedName>
    <definedName name="LOGO_6" localSheetId="104">ERR</definedName>
    <definedName name="LOGO_6" localSheetId="120">ERR</definedName>
    <definedName name="LOGO_6" localSheetId="121">ERR</definedName>
    <definedName name="LOGO_6" localSheetId="122">ERR</definedName>
    <definedName name="LOGO_6" localSheetId="123">ERR</definedName>
    <definedName name="LOGO_6" localSheetId="124">ERR</definedName>
    <definedName name="LOGO_6" localSheetId="125">ERR</definedName>
    <definedName name="LOGO_6" localSheetId="126">ERR</definedName>
    <definedName name="LOGO_6" localSheetId="127">ERR</definedName>
    <definedName name="LOGO_6" localSheetId="128">ERR</definedName>
    <definedName name="LOGO_6" localSheetId="129">ERR</definedName>
    <definedName name="LOGO_6" localSheetId="130">ERR</definedName>
    <definedName name="LOGO_6" localSheetId="131">ERR</definedName>
    <definedName name="LOGO_6" localSheetId="9">ERR</definedName>
    <definedName name="LOGO_6" localSheetId="38">ERR</definedName>
    <definedName name="LOGO_6" localSheetId="2">ERR</definedName>
    <definedName name="LOGO_6">ERR</definedName>
    <definedName name="LOGO_7" localSheetId="20">ERR</definedName>
    <definedName name="LOGO_7" localSheetId="22">ERR</definedName>
    <definedName name="LOGO_7" localSheetId="33">ERR</definedName>
    <definedName name="LOGO_7" localSheetId="36">ERR</definedName>
    <definedName name="LOGO_7" localSheetId="47">ERR</definedName>
    <definedName name="LOGO_7" localSheetId="48">ERR</definedName>
    <definedName name="LOGO_7" localSheetId="51">ERR</definedName>
    <definedName name="LOGO_7" localSheetId="52">ERR</definedName>
    <definedName name="LOGO_7" localSheetId="53">ERR</definedName>
    <definedName name="LOGO_7" localSheetId="54">ERR</definedName>
    <definedName name="LOGO_7" localSheetId="62">ERR</definedName>
    <definedName name="LOGO_7" localSheetId="63">ERR</definedName>
    <definedName name="LOGO_7" localSheetId="64">ERR</definedName>
    <definedName name="LOGO_7" localSheetId="65">ERR</definedName>
    <definedName name="LOGO_7" localSheetId="66">ERR</definedName>
    <definedName name="LOGO_7" localSheetId="67">ERR</definedName>
    <definedName name="LOGO_7" localSheetId="68">ERR</definedName>
    <definedName name="LOGO_7" localSheetId="55">ERR</definedName>
    <definedName name="LOGO_7" localSheetId="56">ERR</definedName>
    <definedName name="LOGO_7" localSheetId="57">ERR</definedName>
    <definedName name="LOGO_7" localSheetId="58">ERR</definedName>
    <definedName name="LOGO_7" localSheetId="59">ERR</definedName>
    <definedName name="LOGO_7" localSheetId="60">ERR</definedName>
    <definedName name="LOGO_7" localSheetId="61">ERR</definedName>
    <definedName name="LOGO_7" localSheetId="69">ERR</definedName>
    <definedName name="LOGO_7" localSheetId="78">ERR</definedName>
    <definedName name="LOGO_7" localSheetId="79">ERR</definedName>
    <definedName name="LOGO_7" localSheetId="80">ERR</definedName>
    <definedName name="LOGO_7" localSheetId="70">ERR</definedName>
    <definedName name="LOGO_7" localSheetId="71">ERR</definedName>
    <definedName name="LOGO_7" localSheetId="72">ERR</definedName>
    <definedName name="LOGO_7" localSheetId="73">ERR</definedName>
    <definedName name="LOGO_7" localSheetId="74">ERR</definedName>
    <definedName name="LOGO_7" localSheetId="75">ERR</definedName>
    <definedName name="LOGO_7" localSheetId="76">ERR</definedName>
    <definedName name="LOGO_7" localSheetId="77">ERR</definedName>
    <definedName name="LOGO_7" localSheetId="81">ERR</definedName>
    <definedName name="LOGO_7" localSheetId="89">ERR</definedName>
    <definedName name="LOGO_7" localSheetId="90">ERR</definedName>
    <definedName name="LOGO_7" localSheetId="91">ERR</definedName>
    <definedName name="LOGO_7" localSheetId="92">ERR</definedName>
    <definedName name="LOGO_7" localSheetId="93">ERR</definedName>
    <definedName name="LOGO_7" localSheetId="94">ERR</definedName>
    <definedName name="LOGO_7" localSheetId="95">ERR</definedName>
    <definedName name="LOGO_7" localSheetId="96">ERR</definedName>
    <definedName name="LOGO_7" localSheetId="82">ERR</definedName>
    <definedName name="LOGO_7" localSheetId="83">ERR</definedName>
    <definedName name="LOGO_7" localSheetId="84">ERR</definedName>
    <definedName name="LOGO_7" localSheetId="85">ERR</definedName>
    <definedName name="LOGO_7" localSheetId="86">ERR</definedName>
    <definedName name="LOGO_7" localSheetId="87">ERR</definedName>
    <definedName name="LOGO_7" localSheetId="88">ERR</definedName>
    <definedName name="LOGO_7" localSheetId="97">ERR</definedName>
    <definedName name="LOGO_7" localSheetId="105">ERR</definedName>
    <definedName name="LOGO_7" localSheetId="106">ERR</definedName>
    <definedName name="LOGO_7" localSheetId="107">ERR</definedName>
    <definedName name="LOGO_7" localSheetId="108">ERR</definedName>
    <definedName name="LOGO_7" localSheetId="109">ERR</definedName>
    <definedName name="LOGO_7" localSheetId="110">ERR</definedName>
    <definedName name="LOGO_7" localSheetId="111">ERR</definedName>
    <definedName name="LOGO_7" localSheetId="112">ERR</definedName>
    <definedName name="LOGO_7" localSheetId="113">ERR</definedName>
    <definedName name="LOGO_7" localSheetId="114">ERR</definedName>
    <definedName name="LOGO_7" localSheetId="98">ERR</definedName>
    <definedName name="LOGO_7" localSheetId="115">ERR</definedName>
    <definedName name="LOGO_7" localSheetId="116">ERR</definedName>
    <definedName name="LOGO_7" localSheetId="117">ERR</definedName>
    <definedName name="LOGO_7" localSheetId="118">ERR</definedName>
    <definedName name="LOGO_7" localSheetId="119">ERR</definedName>
    <definedName name="LOGO_7" localSheetId="99">ERR</definedName>
    <definedName name="LOGO_7" localSheetId="100">ERR</definedName>
    <definedName name="LOGO_7" localSheetId="101">ERR</definedName>
    <definedName name="LOGO_7" localSheetId="102">ERR</definedName>
    <definedName name="LOGO_7" localSheetId="103">ERR</definedName>
    <definedName name="LOGO_7" localSheetId="104">ERR</definedName>
    <definedName name="LOGO_7" localSheetId="120">ERR</definedName>
    <definedName name="LOGO_7" localSheetId="121">ERR</definedName>
    <definedName name="LOGO_7" localSheetId="122">ERR</definedName>
    <definedName name="LOGO_7" localSheetId="123">ERR</definedName>
    <definedName name="LOGO_7" localSheetId="124">ERR</definedName>
    <definedName name="LOGO_7" localSheetId="125">ERR</definedName>
    <definedName name="LOGO_7" localSheetId="126">ERR</definedName>
    <definedName name="LOGO_7" localSheetId="127">ERR</definedName>
    <definedName name="LOGO_7" localSheetId="128">ERR</definedName>
    <definedName name="LOGO_7" localSheetId="129">ERR</definedName>
    <definedName name="LOGO_7" localSheetId="130">ERR</definedName>
    <definedName name="LOGO_7" localSheetId="131">ERR</definedName>
    <definedName name="LOGO_7" localSheetId="9">ERR</definedName>
    <definedName name="LOGO_7" localSheetId="38">ERR</definedName>
    <definedName name="LOGO_7" localSheetId="2">ERR</definedName>
    <definedName name="LOGO_7">ERR</definedName>
    <definedName name="LOGO_8" localSheetId="20">ERR</definedName>
    <definedName name="LOGO_8" localSheetId="22">ERR</definedName>
    <definedName name="LOGO_8" localSheetId="33">ERR</definedName>
    <definedName name="LOGO_8" localSheetId="36">ERR</definedName>
    <definedName name="LOGO_8" localSheetId="47">ERR</definedName>
    <definedName name="LOGO_8" localSheetId="48">ERR</definedName>
    <definedName name="LOGO_8" localSheetId="51">ERR</definedName>
    <definedName name="LOGO_8" localSheetId="52">ERR</definedName>
    <definedName name="LOGO_8" localSheetId="53">ERR</definedName>
    <definedName name="LOGO_8" localSheetId="54">ERR</definedName>
    <definedName name="LOGO_8" localSheetId="62">ERR</definedName>
    <definedName name="LOGO_8" localSheetId="63">ERR</definedName>
    <definedName name="LOGO_8" localSheetId="64">ERR</definedName>
    <definedName name="LOGO_8" localSheetId="65">ERR</definedName>
    <definedName name="LOGO_8" localSheetId="66">ERR</definedName>
    <definedName name="LOGO_8" localSheetId="67">ERR</definedName>
    <definedName name="LOGO_8" localSheetId="68">ERR</definedName>
    <definedName name="LOGO_8" localSheetId="55">ERR</definedName>
    <definedName name="LOGO_8" localSheetId="56">ERR</definedName>
    <definedName name="LOGO_8" localSheetId="57">ERR</definedName>
    <definedName name="LOGO_8" localSheetId="58">ERR</definedName>
    <definedName name="LOGO_8" localSheetId="59">ERR</definedName>
    <definedName name="LOGO_8" localSheetId="60">ERR</definedName>
    <definedName name="LOGO_8" localSheetId="61">ERR</definedName>
    <definedName name="LOGO_8" localSheetId="69">ERR</definedName>
    <definedName name="LOGO_8" localSheetId="78">ERR</definedName>
    <definedName name="LOGO_8" localSheetId="79">ERR</definedName>
    <definedName name="LOGO_8" localSheetId="80">ERR</definedName>
    <definedName name="LOGO_8" localSheetId="70">ERR</definedName>
    <definedName name="LOGO_8" localSheetId="71">ERR</definedName>
    <definedName name="LOGO_8" localSheetId="72">ERR</definedName>
    <definedName name="LOGO_8" localSheetId="73">ERR</definedName>
    <definedName name="LOGO_8" localSheetId="74">ERR</definedName>
    <definedName name="LOGO_8" localSheetId="75">ERR</definedName>
    <definedName name="LOGO_8" localSheetId="76">ERR</definedName>
    <definedName name="LOGO_8" localSheetId="77">ERR</definedName>
    <definedName name="LOGO_8" localSheetId="81">ERR</definedName>
    <definedName name="LOGO_8" localSheetId="89">ERR</definedName>
    <definedName name="LOGO_8" localSheetId="90">ERR</definedName>
    <definedName name="LOGO_8" localSheetId="91">ERR</definedName>
    <definedName name="LOGO_8" localSheetId="92">ERR</definedName>
    <definedName name="LOGO_8" localSheetId="93">ERR</definedName>
    <definedName name="LOGO_8" localSheetId="94">ERR</definedName>
    <definedName name="LOGO_8" localSheetId="95">ERR</definedName>
    <definedName name="LOGO_8" localSheetId="96">ERR</definedName>
    <definedName name="LOGO_8" localSheetId="82">ERR</definedName>
    <definedName name="LOGO_8" localSheetId="83">ERR</definedName>
    <definedName name="LOGO_8" localSheetId="84">ERR</definedName>
    <definedName name="LOGO_8" localSheetId="85">ERR</definedName>
    <definedName name="LOGO_8" localSheetId="86">ERR</definedName>
    <definedName name="LOGO_8" localSheetId="87">ERR</definedName>
    <definedName name="LOGO_8" localSheetId="88">ERR</definedName>
    <definedName name="LOGO_8" localSheetId="97">ERR</definedName>
    <definedName name="LOGO_8" localSheetId="105">ERR</definedName>
    <definedName name="LOGO_8" localSheetId="106">ERR</definedName>
    <definedName name="LOGO_8" localSheetId="107">ERR</definedName>
    <definedName name="LOGO_8" localSheetId="108">ERR</definedName>
    <definedName name="LOGO_8" localSheetId="109">ERR</definedName>
    <definedName name="LOGO_8" localSheetId="110">ERR</definedName>
    <definedName name="LOGO_8" localSheetId="111">ERR</definedName>
    <definedName name="LOGO_8" localSheetId="112">ERR</definedName>
    <definedName name="LOGO_8" localSheetId="113">ERR</definedName>
    <definedName name="LOGO_8" localSheetId="114">ERR</definedName>
    <definedName name="LOGO_8" localSheetId="98">ERR</definedName>
    <definedName name="LOGO_8" localSheetId="115">ERR</definedName>
    <definedName name="LOGO_8" localSheetId="116">ERR</definedName>
    <definedName name="LOGO_8" localSheetId="117">ERR</definedName>
    <definedName name="LOGO_8" localSheetId="118">ERR</definedName>
    <definedName name="LOGO_8" localSheetId="119">ERR</definedName>
    <definedName name="LOGO_8" localSheetId="99">ERR</definedName>
    <definedName name="LOGO_8" localSheetId="100">ERR</definedName>
    <definedName name="LOGO_8" localSheetId="101">ERR</definedName>
    <definedName name="LOGO_8" localSheetId="102">ERR</definedName>
    <definedName name="LOGO_8" localSheetId="103">ERR</definedName>
    <definedName name="LOGO_8" localSheetId="104">ERR</definedName>
    <definedName name="LOGO_8" localSheetId="120">ERR</definedName>
    <definedName name="LOGO_8" localSheetId="121">ERR</definedName>
    <definedName name="LOGO_8" localSheetId="122">ERR</definedName>
    <definedName name="LOGO_8" localSheetId="123">ERR</definedName>
    <definedName name="LOGO_8" localSheetId="124">ERR</definedName>
    <definedName name="LOGO_8" localSheetId="125">ERR</definedName>
    <definedName name="LOGO_8" localSheetId="126">ERR</definedName>
    <definedName name="LOGO_8" localSheetId="127">ERR</definedName>
    <definedName name="LOGO_8" localSheetId="128">ERR</definedName>
    <definedName name="LOGO_8" localSheetId="129">ERR</definedName>
    <definedName name="LOGO_8" localSheetId="130">ERR</definedName>
    <definedName name="LOGO_8" localSheetId="131">ERR</definedName>
    <definedName name="LOGO_8" localSheetId="9">ERR</definedName>
    <definedName name="LOGO_8" localSheetId="38">ERR</definedName>
    <definedName name="LOGO_8" localSheetId="2">ERR</definedName>
    <definedName name="LOGO_8">ERR</definedName>
    <definedName name="LOGO_9" localSheetId="20">ERR</definedName>
    <definedName name="LOGO_9" localSheetId="22">ERR</definedName>
    <definedName name="LOGO_9" localSheetId="33">ERR</definedName>
    <definedName name="LOGO_9" localSheetId="36">ERR</definedName>
    <definedName name="LOGO_9" localSheetId="47">ERR</definedName>
    <definedName name="LOGO_9" localSheetId="48">ERR</definedName>
    <definedName name="LOGO_9" localSheetId="51">ERR</definedName>
    <definedName name="LOGO_9" localSheetId="52">ERR</definedName>
    <definedName name="LOGO_9" localSheetId="53">ERR</definedName>
    <definedName name="LOGO_9" localSheetId="54">ERR</definedName>
    <definedName name="LOGO_9" localSheetId="62">ERR</definedName>
    <definedName name="LOGO_9" localSheetId="63">ERR</definedName>
    <definedName name="LOGO_9" localSheetId="64">ERR</definedName>
    <definedName name="LOGO_9" localSheetId="65">ERR</definedName>
    <definedName name="LOGO_9" localSheetId="66">ERR</definedName>
    <definedName name="LOGO_9" localSheetId="67">ERR</definedName>
    <definedName name="LOGO_9" localSheetId="68">ERR</definedName>
    <definedName name="LOGO_9" localSheetId="55">ERR</definedName>
    <definedName name="LOGO_9" localSheetId="56">ERR</definedName>
    <definedName name="LOGO_9" localSheetId="57">ERR</definedName>
    <definedName name="LOGO_9" localSheetId="58">ERR</definedName>
    <definedName name="LOGO_9" localSheetId="59">ERR</definedName>
    <definedName name="LOGO_9" localSheetId="60">ERR</definedName>
    <definedName name="LOGO_9" localSheetId="61">ERR</definedName>
    <definedName name="LOGO_9" localSheetId="69">ERR</definedName>
    <definedName name="LOGO_9" localSheetId="78">ERR</definedName>
    <definedName name="LOGO_9" localSheetId="79">ERR</definedName>
    <definedName name="LOGO_9" localSheetId="80">ERR</definedName>
    <definedName name="LOGO_9" localSheetId="70">ERR</definedName>
    <definedName name="LOGO_9" localSheetId="71">ERR</definedName>
    <definedName name="LOGO_9" localSheetId="72">ERR</definedName>
    <definedName name="LOGO_9" localSheetId="73">ERR</definedName>
    <definedName name="LOGO_9" localSheetId="74">ERR</definedName>
    <definedName name="LOGO_9" localSheetId="75">ERR</definedName>
    <definedName name="LOGO_9" localSheetId="76">ERR</definedName>
    <definedName name="LOGO_9" localSheetId="77">ERR</definedName>
    <definedName name="LOGO_9" localSheetId="81">ERR</definedName>
    <definedName name="LOGO_9" localSheetId="89">ERR</definedName>
    <definedName name="LOGO_9" localSheetId="90">ERR</definedName>
    <definedName name="LOGO_9" localSheetId="91">ERR</definedName>
    <definedName name="LOGO_9" localSheetId="92">ERR</definedName>
    <definedName name="LOGO_9" localSheetId="93">ERR</definedName>
    <definedName name="LOGO_9" localSheetId="94">ERR</definedName>
    <definedName name="LOGO_9" localSheetId="95">ERR</definedName>
    <definedName name="LOGO_9" localSheetId="96">ERR</definedName>
    <definedName name="LOGO_9" localSheetId="82">ERR</definedName>
    <definedName name="LOGO_9" localSheetId="83">ERR</definedName>
    <definedName name="LOGO_9" localSheetId="84">ERR</definedName>
    <definedName name="LOGO_9" localSheetId="85">ERR</definedName>
    <definedName name="LOGO_9" localSheetId="86">ERR</definedName>
    <definedName name="LOGO_9" localSheetId="87">ERR</definedName>
    <definedName name="LOGO_9" localSheetId="88">ERR</definedName>
    <definedName name="LOGO_9" localSheetId="97">ERR</definedName>
    <definedName name="LOGO_9" localSheetId="105">ERR</definedName>
    <definedName name="LOGO_9" localSheetId="106">ERR</definedName>
    <definedName name="LOGO_9" localSheetId="107">ERR</definedName>
    <definedName name="LOGO_9" localSheetId="108">ERR</definedName>
    <definedName name="LOGO_9" localSheetId="109">ERR</definedName>
    <definedName name="LOGO_9" localSheetId="110">ERR</definedName>
    <definedName name="LOGO_9" localSheetId="111">ERR</definedName>
    <definedName name="LOGO_9" localSheetId="112">ERR</definedName>
    <definedName name="LOGO_9" localSheetId="113">ERR</definedName>
    <definedName name="LOGO_9" localSheetId="114">ERR</definedName>
    <definedName name="LOGO_9" localSheetId="98">ERR</definedName>
    <definedName name="LOGO_9" localSheetId="115">ERR</definedName>
    <definedName name="LOGO_9" localSheetId="116">ERR</definedName>
    <definedName name="LOGO_9" localSheetId="117">ERR</definedName>
    <definedName name="LOGO_9" localSheetId="118">ERR</definedName>
    <definedName name="LOGO_9" localSheetId="119">ERR</definedName>
    <definedName name="LOGO_9" localSheetId="99">ERR</definedName>
    <definedName name="LOGO_9" localSheetId="100">ERR</definedName>
    <definedName name="LOGO_9" localSheetId="101">ERR</definedName>
    <definedName name="LOGO_9" localSheetId="102">ERR</definedName>
    <definedName name="LOGO_9" localSheetId="103">ERR</definedName>
    <definedName name="LOGO_9" localSheetId="104">ERR</definedName>
    <definedName name="LOGO_9" localSheetId="120">ERR</definedName>
    <definedName name="LOGO_9" localSheetId="121">ERR</definedName>
    <definedName name="LOGO_9" localSheetId="122">ERR</definedName>
    <definedName name="LOGO_9" localSheetId="123">ERR</definedName>
    <definedName name="LOGO_9" localSheetId="124">ERR</definedName>
    <definedName name="LOGO_9" localSheetId="125">ERR</definedName>
    <definedName name="LOGO_9" localSheetId="126">ERR</definedName>
    <definedName name="LOGO_9" localSheetId="127">ERR</definedName>
    <definedName name="LOGO_9" localSheetId="128">ERR</definedName>
    <definedName name="LOGO_9" localSheetId="129">ERR</definedName>
    <definedName name="LOGO_9" localSheetId="130">ERR</definedName>
    <definedName name="LOGO_9" localSheetId="131">ERR</definedName>
    <definedName name="LOGO_9" localSheetId="9">ERR</definedName>
    <definedName name="LOGO_9" localSheetId="38">ERR</definedName>
    <definedName name="LOGO_9" localSheetId="2">ERR</definedName>
    <definedName name="LOGO_9">ERR</definedName>
    <definedName name="MAT" localSheetId="18">[13]INSUMOS!$A$41:$G$787</definedName>
    <definedName name="MAT" localSheetId="21">[14]INSUMOS!$A$40:$G$759</definedName>
    <definedName name="MAT" localSheetId="22">[14]INSUMOS!$A$40:$G$759</definedName>
    <definedName name="MAT" localSheetId="51">[15]INSUMOS!$A$40:$G$759</definedName>
    <definedName name="MAT" localSheetId="69">[13]INSUMOS!$A$41:$G$787</definedName>
    <definedName name="MAT" localSheetId="81">[13]INSUMOS!$A$41:$G$787</definedName>
    <definedName name="MAT" localSheetId="97">[13]INSUMOS!$A$41:$G$787</definedName>
    <definedName name="MAT" localSheetId="13">[14]INSUMOS!$A$40:$G$759</definedName>
    <definedName name="MAT" localSheetId="2">[16]INSUMOS!$A$40:$G$759</definedName>
    <definedName name="MAT">INSUMOS!$A$40:$G$769</definedName>
    <definedName name="MO" localSheetId="18">[13]CUADRILLAS!$A$3:$O$54</definedName>
    <definedName name="MO" localSheetId="21">[14]CUADRILLAS!$A$3:$O$54</definedName>
    <definedName name="MO" localSheetId="22">[14]CUADRILLAS!$A$3:$O$54</definedName>
    <definedName name="MO" localSheetId="51">[15]CUADRILLAS!$A$3:$O$54</definedName>
    <definedName name="MO" localSheetId="69">[13]CUADRILLAS!$A$3:$O$54</definedName>
    <definedName name="MO" localSheetId="81">[13]CUADRILLAS!$A$3:$O$54</definedName>
    <definedName name="MO" localSheetId="97">[13]CUADRILLAS!$A$3:$O$54</definedName>
    <definedName name="MO" localSheetId="13">[14]CUADRILLAS!$A$3:$O$54</definedName>
    <definedName name="MO" localSheetId="2">[16]CUADRILLAS!$A$3:$O$54</definedName>
    <definedName name="MO">CUADRILLAS!$A$3:$O$54</definedName>
    <definedName name="NO" localSheetId="20">[0]!ERR</definedName>
    <definedName name="NO" localSheetId="22">[0]!ERR</definedName>
    <definedName name="NO" localSheetId="33">[0]!ERR</definedName>
    <definedName name="NO" localSheetId="36">[0]!ERR</definedName>
    <definedName name="NO" localSheetId="47">[0]!ERR</definedName>
    <definedName name="NO" localSheetId="48">[0]!ERR</definedName>
    <definedName name="NO" localSheetId="51">[0]!ERR</definedName>
    <definedName name="NO" localSheetId="52">[0]!ERR</definedName>
    <definedName name="NO" localSheetId="53">[0]!ERR</definedName>
    <definedName name="NO" localSheetId="54">[0]!ERR</definedName>
    <definedName name="NO" localSheetId="62">[0]!ERR</definedName>
    <definedName name="NO" localSheetId="63">[0]!ERR</definedName>
    <definedName name="NO" localSheetId="64">[0]!ERR</definedName>
    <definedName name="NO" localSheetId="65">[0]!ERR</definedName>
    <definedName name="NO" localSheetId="66">[0]!ERR</definedName>
    <definedName name="NO" localSheetId="67">[0]!ERR</definedName>
    <definedName name="NO" localSheetId="68">[0]!ERR</definedName>
    <definedName name="NO" localSheetId="55">[0]!ERR</definedName>
    <definedName name="NO" localSheetId="56">[0]!ERR</definedName>
    <definedName name="NO" localSheetId="57">[0]!ERR</definedName>
    <definedName name="NO" localSheetId="58">[0]!ERR</definedName>
    <definedName name="NO" localSheetId="59">[0]!ERR</definedName>
    <definedName name="NO" localSheetId="60">[0]!ERR</definedName>
    <definedName name="NO" localSheetId="61">[0]!ERR</definedName>
    <definedName name="NO" localSheetId="69">[0]!ERR</definedName>
    <definedName name="NO" localSheetId="78">[0]!ERR</definedName>
    <definedName name="NO" localSheetId="79">[0]!ERR</definedName>
    <definedName name="NO" localSheetId="80">[0]!ERR</definedName>
    <definedName name="NO" localSheetId="70">[0]!ERR</definedName>
    <definedName name="NO" localSheetId="71">[0]!ERR</definedName>
    <definedName name="NO" localSheetId="72">[0]!ERR</definedName>
    <definedName name="NO" localSheetId="73">[0]!ERR</definedName>
    <definedName name="NO" localSheetId="74">[0]!ERR</definedName>
    <definedName name="NO" localSheetId="75">[0]!ERR</definedName>
    <definedName name="NO" localSheetId="76">[0]!ERR</definedName>
    <definedName name="NO" localSheetId="77">[0]!ERR</definedName>
    <definedName name="NO" localSheetId="81">[0]!ERR</definedName>
    <definedName name="NO" localSheetId="89">[0]!ERR</definedName>
    <definedName name="NO" localSheetId="90">[0]!ERR</definedName>
    <definedName name="NO" localSheetId="91">[0]!ERR</definedName>
    <definedName name="NO" localSheetId="92">[0]!ERR</definedName>
    <definedName name="NO" localSheetId="93">[0]!ERR</definedName>
    <definedName name="NO" localSheetId="94">[0]!ERR</definedName>
    <definedName name="NO" localSheetId="95">[0]!ERR</definedName>
    <definedName name="NO" localSheetId="96">[0]!ERR</definedName>
    <definedName name="NO" localSheetId="82">[0]!ERR</definedName>
    <definedName name="NO" localSheetId="83">[0]!ERR</definedName>
    <definedName name="NO" localSheetId="84">[0]!ERR</definedName>
    <definedName name="NO" localSheetId="85">[0]!ERR</definedName>
    <definedName name="NO" localSheetId="86">[0]!ERR</definedName>
    <definedName name="NO" localSheetId="87">[0]!ERR</definedName>
    <definedName name="NO" localSheetId="88">[0]!ERR</definedName>
    <definedName name="NO" localSheetId="97">[0]!ERR</definedName>
    <definedName name="NO" localSheetId="105">[0]!ERR</definedName>
    <definedName name="NO" localSheetId="106">[0]!ERR</definedName>
    <definedName name="NO" localSheetId="107">[0]!ERR</definedName>
    <definedName name="NO" localSheetId="108">[0]!ERR</definedName>
    <definedName name="NO" localSheetId="109">[0]!ERR</definedName>
    <definedName name="NO" localSheetId="110">[0]!ERR</definedName>
    <definedName name="NO" localSheetId="111">[0]!ERR</definedName>
    <definedName name="NO" localSheetId="112">[0]!ERR</definedName>
    <definedName name="NO" localSheetId="113">[0]!ERR</definedName>
    <definedName name="NO" localSheetId="114">[0]!ERR</definedName>
    <definedName name="NO" localSheetId="98">[0]!ERR</definedName>
    <definedName name="NO" localSheetId="115">[0]!ERR</definedName>
    <definedName name="NO" localSheetId="116">[0]!ERR</definedName>
    <definedName name="NO" localSheetId="117">[0]!ERR</definedName>
    <definedName name="NO" localSheetId="118">[0]!ERR</definedName>
    <definedName name="NO" localSheetId="119">[0]!ERR</definedName>
    <definedName name="NO" localSheetId="99">[0]!ERR</definedName>
    <definedName name="NO" localSheetId="100">[0]!ERR</definedName>
    <definedName name="NO" localSheetId="101">[0]!ERR</definedName>
    <definedName name="NO" localSheetId="102">[0]!ERR</definedName>
    <definedName name="NO" localSheetId="103">[0]!ERR</definedName>
    <definedName name="NO" localSheetId="104">[0]!ERR</definedName>
    <definedName name="NO" localSheetId="120">[0]!ERR</definedName>
    <definedName name="NO" localSheetId="121">[0]!ERR</definedName>
    <definedName name="NO" localSheetId="122">[0]!ERR</definedName>
    <definedName name="NO" localSheetId="123">[0]!ERR</definedName>
    <definedName name="NO" localSheetId="124">[0]!ERR</definedName>
    <definedName name="NO" localSheetId="125">[0]!ERR</definedName>
    <definedName name="NO" localSheetId="126">[0]!ERR</definedName>
    <definedName name="NO" localSheetId="127">[0]!ERR</definedName>
    <definedName name="NO" localSheetId="128">[0]!ERR</definedName>
    <definedName name="NO" localSheetId="129">[0]!ERR</definedName>
    <definedName name="NO" localSheetId="130">[0]!ERR</definedName>
    <definedName name="NO" localSheetId="131">[0]!ERR</definedName>
    <definedName name="NO" localSheetId="38">[0]!ERR</definedName>
    <definedName name="NO" localSheetId="2">[0]!ERR</definedName>
    <definedName name="NO">[0]!ERR</definedName>
    <definedName name="NO_10" localSheetId="20">ERR</definedName>
    <definedName name="NO_10" localSheetId="22">ERR</definedName>
    <definedName name="NO_10" localSheetId="33">ERR</definedName>
    <definedName name="NO_10" localSheetId="36">ERR</definedName>
    <definedName name="NO_10" localSheetId="47">ERR</definedName>
    <definedName name="NO_10" localSheetId="48">ERR</definedName>
    <definedName name="NO_10" localSheetId="51">ERR</definedName>
    <definedName name="NO_10" localSheetId="52">ERR</definedName>
    <definedName name="NO_10" localSheetId="53">ERR</definedName>
    <definedName name="NO_10" localSheetId="54">ERR</definedName>
    <definedName name="NO_10" localSheetId="62">ERR</definedName>
    <definedName name="NO_10" localSheetId="63">ERR</definedName>
    <definedName name="NO_10" localSheetId="64">ERR</definedName>
    <definedName name="NO_10" localSheetId="65">ERR</definedName>
    <definedName name="NO_10" localSheetId="66">ERR</definedName>
    <definedName name="NO_10" localSheetId="67">ERR</definedName>
    <definedName name="NO_10" localSheetId="68">ERR</definedName>
    <definedName name="NO_10" localSheetId="55">ERR</definedName>
    <definedName name="NO_10" localSheetId="56">ERR</definedName>
    <definedName name="NO_10" localSheetId="57">ERR</definedName>
    <definedName name="NO_10" localSheetId="58">ERR</definedName>
    <definedName name="NO_10" localSheetId="59">ERR</definedName>
    <definedName name="NO_10" localSheetId="60">ERR</definedName>
    <definedName name="NO_10" localSheetId="61">ERR</definedName>
    <definedName name="NO_10" localSheetId="69">ERR</definedName>
    <definedName name="NO_10" localSheetId="78">ERR</definedName>
    <definedName name="NO_10" localSheetId="79">ERR</definedName>
    <definedName name="NO_10" localSheetId="80">ERR</definedName>
    <definedName name="NO_10" localSheetId="70">ERR</definedName>
    <definedName name="NO_10" localSheetId="71">ERR</definedName>
    <definedName name="NO_10" localSheetId="72">ERR</definedName>
    <definedName name="NO_10" localSheetId="73">ERR</definedName>
    <definedName name="NO_10" localSheetId="74">ERR</definedName>
    <definedName name="NO_10" localSheetId="75">ERR</definedName>
    <definedName name="NO_10" localSheetId="76">ERR</definedName>
    <definedName name="NO_10" localSheetId="77">ERR</definedName>
    <definedName name="NO_10" localSheetId="81">ERR</definedName>
    <definedName name="NO_10" localSheetId="89">ERR</definedName>
    <definedName name="NO_10" localSheetId="90">ERR</definedName>
    <definedName name="NO_10" localSheetId="91">ERR</definedName>
    <definedName name="NO_10" localSheetId="92">ERR</definedName>
    <definedName name="NO_10" localSheetId="93">ERR</definedName>
    <definedName name="NO_10" localSheetId="94">ERR</definedName>
    <definedName name="NO_10" localSheetId="95">ERR</definedName>
    <definedName name="NO_10" localSheetId="96">ERR</definedName>
    <definedName name="NO_10" localSheetId="82">ERR</definedName>
    <definedName name="NO_10" localSheetId="83">ERR</definedName>
    <definedName name="NO_10" localSheetId="84">ERR</definedName>
    <definedName name="NO_10" localSheetId="85">ERR</definedName>
    <definedName name="NO_10" localSheetId="86">ERR</definedName>
    <definedName name="NO_10" localSheetId="87">ERR</definedName>
    <definedName name="NO_10" localSheetId="88">ERR</definedName>
    <definedName name="NO_10" localSheetId="97">ERR</definedName>
    <definedName name="NO_10" localSheetId="105">ERR</definedName>
    <definedName name="NO_10" localSheetId="106">ERR</definedName>
    <definedName name="NO_10" localSheetId="107">ERR</definedName>
    <definedName name="NO_10" localSheetId="108">ERR</definedName>
    <definedName name="NO_10" localSheetId="109">ERR</definedName>
    <definedName name="NO_10" localSheetId="110">ERR</definedName>
    <definedName name="NO_10" localSheetId="111">ERR</definedName>
    <definedName name="NO_10" localSheetId="112">ERR</definedName>
    <definedName name="NO_10" localSheetId="113">ERR</definedName>
    <definedName name="NO_10" localSheetId="114">ERR</definedName>
    <definedName name="NO_10" localSheetId="98">ERR</definedName>
    <definedName name="NO_10" localSheetId="115">ERR</definedName>
    <definedName name="NO_10" localSheetId="116">ERR</definedName>
    <definedName name="NO_10" localSheetId="117">ERR</definedName>
    <definedName name="NO_10" localSheetId="118">ERR</definedName>
    <definedName name="NO_10" localSheetId="119">ERR</definedName>
    <definedName name="NO_10" localSheetId="99">ERR</definedName>
    <definedName name="NO_10" localSheetId="100">ERR</definedName>
    <definedName name="NO_10" localSheetId="101">ERR</definedName>
    <definedName name="NO_10" localSheetId="102">ERR</definedName>
    <definedName name="NO_10" localSheetId="103">ERR</definedName>
    <definedName name="NO_10" localSheetId="104">ERR</definedName>
    <definedName name="NO_10" localSheetId="120">ERR</definedName>
    <definedName name="NO_10" localSheetId="121">ERR</definedName>
    <definedName name="NO_10" localSheetId="122">ERR</definedName>
    <definedName name="NO_10" localSheetId="123">ERR</definedName>
    <definedName name="NO_10" localSheetId="124">ERR</definedName>
    <definedName name="NO_10" localSheetId="125">ERR</definedName>
    <definedName name="NO_10" localSheetId="126">ERR</definedName>
    <definedName name="NO_10" localSheetId="127">ERR</definedName>
    <definedName name="NO_10" localSheetId="128">ERR</definedName>
    <definedName name="NO_10" localSheetId="129">ERR</definedName>
    <definedName name="NO_10" localSheetId="130">ERR</definedName>
    <definedName name="NO_10" localSheetId="131">ERR</definedName>
    <definedName name="NO_10" localSheetId="9">ERR</definedName>
    <definedName name="NO_10" localSheetId="38">ERR</definedName>
    <definedName name="NO_10" localSheetId="2">ERR</definedName>
    <definedName name="NO_10">ERR</definedName>
    <definedName name="NO_3" localSheetId="20">ERR</definedName>
    <definedName name="NO_3" localSheetId="22">ERR</definedName>
    <definedName name="NO_3" localSheetId="33">ERR</definedName>
    <definedName name="NO_3" localSheetId="36">ERR</definedName>
    <definedName name="NO_3" localSheetId="47">ERR</definedName>
    <definedName name="NO_3" localSheetId="48">ERR</definedName>
    <definedName name="NO_3" localSheetId="51">ERR</definedName>
    <definedName name="NO_3" localSheetId="52">ERR</definedName>
    <definedName name="NO_3" localSheetId="53">ERR</definedName>
    <definedName name="NO_3" localSheetId="54">ERR</definedName>
    <definedName name="NO_3" localSheetId="62">ERR</definedName>
    <definedName name="NO_3" localSheetId="63">ERR</definedName>
    <definedName name="NO_3" localSheetId="64">ERR</definedName>
    <definedName name="NO_3" localSheetId="65">ERR</definedName>
    <definedName name="NO_3" localSheetId="66">ERR</definedName>
    <definedName name="NO_3" localSheetId="67">ERR</definedName>
    <definedName name="NO_3" localSheetId="68">ERR</definedName>
    <definedName name="NO_3" localSheetId="55">ERR</definedName>
    <definedName name="NO_3" localSheetId="56">ERR</definedName>
    <definedName name="NO_3" localSheetId="57">ERR</definedName>
    <definedName name="NO_3" localSheetId="58">ERR</definedName>
    <definedName name="NO_3" localSheetId="59">ERR</definedName>
    <definedName name="NO_3" localSheetId="60">ERR</definedName>
    <definedName name="NO_3" localSheetId="61">ERR</definedName>
    <definedName name="NO_3" localSheetId="69">ERR</definedName>
    <definedName name="NO_3" localSheetId="78">ERR</definedName>
    <definedName name="NO_3" localSheetId="79">ERR</definedName>
    <definedName name="NO_3" localSheetId="80">ERR</definedName>
    <definedName name="NO_3" localSheetId="70">ERR</definedName>
    <definedName name="NO_3" localSheetId="71">ERR</definedName>
    <definedName name="NO_3" localSheetId="72">ERR</definedName>
    <definedName name="NO_3" localSheetId="73">ERR</definedName>
    <definedName name="NO_3" localSheetId="74">ERR</definedName>
    <definedName name="NO_3" localSheetId="75">ERR</definedName>
    <definedName name="NO_3" localSheetId="76">ERR</definedName>
    <definedName name="NO_3" localSheetId="77">ERR</definedName>
    <definedName name="NO_3" localSheetId="81">ERR</definedName>
    <definedName name="NO_3" localSheetId="89">ERR</definedName>
    <definedName name="NO_3" localSheetId="90">ERR</definedName>
    <definedName name="NO_3" localSheetId="91">ERR</definedName>
    <definedName name="NO_3" localSheetId="92">ERR</definedName>
    <definedName name="NO_3" localSheetId="93">ERR</definedName>
    <definedName name="NO_3" localSheetId="94">ERR</definedName>
    <definedName name="NO_3" localSheetId="95">ERR</definedName>
    <definedName name="NO_3" localSheetId="96">ERR</definedName>
    <definedName name="NO_3" localSheetId="82">ERR</definedName>
    <definedName name="NO_3" localSheetId="83">ERR</definedName>
    <definedName name="NO_3" localSheetId="84">ERR</definedName>
    <definedName name="NO_3" localSheetId="85">ERR</definedName>
    <definedName name="NO_3" localSheetId="86">ERR</definedName>
    <definedName name="NO_3" localSheetId="87">ERR</definedName>
    <definedName name="NO_3" localSheetId="88">ERR</definedName>
    <definedName name="NO_3" localSheetId="97">ERR</definedName>
    <definedName name="NO_3" localSheetId="105">ERR</definedName>
    <definedName name="NO_3" localSheetId="106">ERR</definedName>
    <definedName name="NO_3" localSheetId="107">ERR</definedName>
    <definedName name="NO_3" localSheetId="108">ERR</definedName>
    <definedName name="NO_3" localSheetId="109">ERR</definedName>
    <definedName name="NO_3" localSheetId="110">ERR</definedName>
    <definedName name="NO_3" localSheetId="111">ERR</definedName>
    <definedName name="NO_3" localSheetId="112">ERR</definedName>
    <definedName name="NO_3" localSheetId="113">ERR</definedName>
    <definedName name="NO_3" localSheetId="114">ERR</definedName>
    <definedName name="NO_3" localSheetId="98">ERR</definedName>
    <definedName name="NO_3" localSheetId="115">ERR</definedName>
    <definedName name="NO_3" localSheetId="116">ERR</definedName>
    <definedName name="NO_3" localSheetId="117">ERR</definedName>
    <definedName name="NO_3" localSheetId="118">ERR</definedName>
    <definedName name="NO_3" localSheetId="119">ERR</definedName>
    <definedName name="NO_3" localSheetId="99">ERR</definedName>
    <definedName name="NO_3" localSheetId="100">ERR</definedName>
    <definedName name="NO_3" localSheetId="101">ERR</definedName>
    <definedName name="NO_3" localSheetId="102">ERR</definedName>
    <definedName name="NO_3" localSheetId="103">ERR</definedName>
    <definedName name="NO_3" localSheetId="104">ERR</definedName>
    <definedName name="NO_3" localSheetId="120">ERR</definedName>
    <definedName name="NO_3" localSheetId="121">ERR</definedName>
    <definedName name="NO_3" localSheetId="122">ERR</definedName>
    <definedName name="NO_3" localSheetId="123">ERR</definedName>
    <definedName name="NO_3" localSheetId="124">ERR</definedName>
    <definedName name="NO_3" localSheetId="125">ERR</definedName>
    <definedName name="NO_3" localSheetId="126">ERR</definedName>
    <definedName name="NO_3" localSheetId="127">ERR</definedName>
    <definedName name="NO_3" localSheetId="128">ERR</definedName>
    <definedName name="NO_3" localSheetId="129">ERR</definedName>
    <definedName name="NO_3" localSheetId="130">ERR</definedName>
    <definedName name="NO_3" localSheetId="131">ERR</definedName>
    <definedName name="NO_3" localSheetId="9">ERR</definedName>
    <definedName name="NO_3" localSheetId="38">ERR</definedName>
    <definedName name="NO_3" localSheetId="2">ERR</definedName>
    <definedName name="NO_3">ERR</definedName>
    <definedName name="NO_4" localSheetId="20">ERR</definedName>
    <definedName name="NO_4" localSheetId="22">ERR</definedName>
    <definedName name="NO_4" localSheetId="33">ERR</definedName>
    <definedName name="NO_4" localSheetId="36">ERR</definedName>
    <definedName name="NO_4" localSheetId="47">ERR</definedName>
    <definedName name="NO_4" localSheetId="48">ERR</definedName>
    <definedName name="NO_4" localSheetId="51">ERR</definedName>
    <definedName name="NO_4" localSheetId="52">ERR</definedName>
    <definedName name="NO_4" localSheetId="53">ERR</definedName>
    <definedName name="NO_4" localSheetId="54">ERR</definedName>
    <definedName name="NO_4" localSheetId="62">ERR</definedName>
    <definedName name="NO_4" localSheetId="63">ERR</definedName>
    <definedName name="NO_4" localSheetId="64">ERR</definedName>
    <definedName name="NO_4" localSheetId="65">ERR</definedName>
    <definedName name="NO_4" localSheetId="66">ERR</definedName>
    <definedName name="NO_4" localSheetId="67">ERR</definedName>
    <definedName name="NO_4" localSheetId="68">ERR</definedName>
    <definedName name="NO_4" localSheetId="55">ERR</definedName>
    <definedName name="NO_4" localSheetId="56">ERR</definedName>
    <definedName name="NO_4" localSheetId="57">ERR</definedName>
    <definedName name="NO_4" localSheetId="58">ERR</definedName>
    <definedName name="NO_4" localSheetId="59">ERR</definedName>
    <definedName name="NO_4" localSheetId="60">ERR</definedName>
    <definedName name="NO_4" localSheetId="61">ERR</definedName>
    <definedName name="NO_4" localSheetId="69">ERR</definedName>
    <definedName name="NO_4" localSheetId="78">ERR</definedName>
    <definedName name="NO_4" localSheetId="79">ERR</definedName>
    <definedName name="NO_4" localSheetId="80">ERR</definedName>
    <definedName name="NO_4" localSheetId="70">ERR</definedName>
    <definedName name="NO_4" localSheetId="71">ERR</definedName>
    <definedName name="NO_4" localSheetId="72">ERR</definedName>
    <definedName name="NO_4" localSheetId="73">ERR</definedName>
    <definedName name="NO_4" localSheetId="74">ERR</definedName>
    <definedName name="NO_4" localSheetId="75">ERR</definedName>
    <definedName name="NO_4" localSheetId="76">ERR</definedName>
    <definedName name="NO_4" localSheetId="77">ERR</definedName>
    <definedName name="NO_4" localSheetId="81">ERR</definedName>
    <definedName name="NO_4" localSheetId="89">ERR</definedName>
    <definedName name="NO_4" localSheetId="90">ERR</definedName>
    <definedName name="NO_4" localSheetId="91">ERR</definedName>
    <definedName name="NO_4" localSheetId="92">ERR</definedName>
    <definedName name="NO_4" localSheetId="93">ERR</definedName>
    <definedName name="NO_4" localSheetId="94">ERR</definedName>
    <definedName name="NO_4" localSheetId="95">ERR</definedName>
    <definedName name="NO_4" localSheetId="96">ERR</definedName>
    <definedName name="NO_4" localSheetId="82">ERR</definedName>
    <definedName name="NO_4" localSheetId="83">ERR</definedName>
    <definedName name="NO_4" localSheetId="84">ERR</definedName>
    <definedName name="NO_4" localSheetId="85">ERR</definedName>
    <definedName name="NO_4" localSheetId="86">ERR</definedName>
    <definedName name="NO_4" localSheetId="87">ERR</definedName>
    <definedName name="NO_4" localSheetId="88">ERR</definedName>
    <definedName name="NO_4" localSheetId="97">ERR</definedName>
    <definedName name="NO_4" localSheetId="105">ERR</definedName>
    <definedName name="NO_4" localSheetId="106">ERR</definedName>
    <definedName name="NO_4" localSheetId="107">ERR</definedName>
    <definedName name="NO_4" localSheetId="108">ERR</definedName>
    <definedName name="NO_4" localSheetId="109">ERR</definedName>
    <definedName name="NO_4" localSheetId="110">ERR</definedName>
    <definedName name="NO_4" localSheetId="111">ERR</definedName>
    <definedName name="NO_4" localSheetId="112">ERR</definedName>
    <definedName name="NO_4" localSheetId="113">ERR</definedName>
    <definedName name="NO_4" localSheetId="114">ERR</definedName>
    <definedName name="NO_4" localSheetId="98">ERR</definedName>
    <definedName name="NO_4" localSheetId="115">ERR</definedName>
    <definedName name="NO_4" localSheetId="116">ERR</definedName>
    <definedName name="NO_4" localSheetId="117">ERR</definedName>
    <definedName name="NO_4" localSheetId="118">ERR</definedName>
    <definedName name="NO_4" localSheetId="119">ERR</definedName>
    <definedName name="NO_4" localSheetId="99">ERR</definedName>
    <definedName name="NO_4" localSheetId="100">ERR</definedName>
    <definedName name="NO_4" localSheetId="101">ERR</definedName>
    <definedName name="NO_4" localSheetId="102">ERR</definedName>
    <definedName name="NO_4" localSheetId="103">ERR</definedName>
    <definedName name="NO_4" localSheetId="104">ERR</definedName>
    <definedName name="NO_4" localSheetId="120">ERR</definedName>
    <definedName name="NO_4" localSheetId="121">ERR</definedName>
    <definedName name="NO_4" localSheetId="122">ERR</definedName>
    <definedName name="NO_4" localSheetId="123">ERR</definedName>
    <definedName name="NO_4" localSheetId="124">ERR</definedName>
    <definedName name="NO_4" localSheetId="125">ERR</definedName>
    <definedName name="NO_4" localSheetId="126">ERR</definedName>
    <definedName name="NO_4" localSheetId="127">ERR</definedName>
    <definedName name="NO_4" localSheetId="128">ERR</definedName>
    <definedName name="NO_4" localSheetId="129">ERR</definedName>
    <definedName name="NO_4" localSheetId="130">ERR</definedName>
    <definedName name="NO_4" localSheetId="131">ERR</definedName>
    <definedName name="NO_4" localSheetId="9">ERR</definedName>
    <definedName name="NO_4" localSheetId="38">ERR</definedName>
    <definedName name="NO_4" localSheetId="2">ERR</definedName>
    <definedName name="NO_4">ERR</definedName>
    <definedName name="NO_5" localSheetId="20">ERR</definedName>
    <definedName name="NO_5" localSheetId="22">ERR</definedName>
    <definedName name="NO_5" localSheetId="33">ERR</definedName>
    <definedName name="NO_5" localSheetId="36">ERR</definedName>
    <definedName name="NO_5" localSheetId="47">ERR</definedName>
    <definedName name="NO_5" localSheetId="48">ERR</definedName>
    <definedName name="NO_5" localSheetId="51">ERR</definedName>
    <definedName name="NO_5" localSheetId="52">ERR</definedName>
    <definedName name="NO_5" localSheetId="53">ERR</definedName>
    <definedName name="NO_5" localSheetId="54">ERR</definedName>
    <definedName name="NO_5" localSheetId="62">ERR</definedName>
    <definedName name="NO_5" localSheetId="63">ERR</definedName>
    <definedName name="NO_5" localSheetId="64">ERR</definedName>
    <definedName name="NO_5" localSheetId="65">ERR</definedName>
    <definedName name="NO_5" localSheetId="66">ERR</definedName>
    <definedName name="NO_5" localSheetId="67">ERR</definedName>
    <definedName name="NO_5" localSheetId="68">ERR</definedName>
    <definedName name="NO_5" localSheetId="55">ERR</definedName>
    <definedName name="NO_5" localSheetId="56">ERR</definedName>
    <definedName name="NO_5" localSheetId="57">ERR</definedName>
    <definedName name="NO_5" localSheetId="58">ERR</definedName>
    <definedName name="NO_5" localSheetId="59">ERR</definedName>
    <definedName name="NO_5" localSheetId="60">ERR</definedName>
    <definedName name="NO_5" localSheetId="61">ERR</definedName>
    <definedName name="NO_5" localSheetId="69">ERR</definedName>
    <definedName name="NO_5" localSheetId="78">ERR</definedName>
    <definedName name="NO_5" localSheetId="79">ERR</definedName>
    <definedName name="NO_5" localSheetId="80">ERR</definedName>
    <definedName name="NO_5" localSheetId="70">ERR</definedName>
    <definedName name="NO_5" localSheetId="71">ERR</definedName>
    <definedName name="NO_5" localSheetId="72">ERR</definedName>
    <definedName name="NO_5" localSheetId="73">ERR</definedName>
    <definedName name="NO_5" localSheetId="74">ERR</definedName>
    <definedName name="NO_5" localSheetId="75">ERR</definedName>
    <definedName name="NO_5" localSheetId="76">ERR</definedName>
    <definedName name="NO_5" localSheetId="77">ERR</definedName>
    <definedName name="NO_5" localSheetId="81">ERR</definedName>
    <definedName name="NO_5" localSheetId="89">ERR</definedName>
    <definedName name="NO_5" localSheetId="90">ERR</definedName>
    <definedName name="NO_5" localSheetId="91">ERR</definedName>
    <definedName name="NO_5" localSheetId="92">ERR</definedName>
    <definedName name="NO_5" localSheetId="93">ERR</definedName>
    <definedName name="NO_5" localSheetId="94">ERR</definedName>
    <definedName name="NO_5" localSheetId="95">ERR</definedName>
    <definedName name="NO_5" localSheetId="96">ERR</definedName>
    <definedName name="NO_5" localSheetId="82">ERR</definedName>
    <definedName name="NO_5" localSheetId="83">ERR</definedName>
    <definedName name="NO_5" localSheetId="84">ERR</definedName>
    <definedName name="NO_5" localSheetId="85">ERR</definedName>
    <definedName name="NO_5" localSheetId="86">ERR</definedName>
    <definedName name="NO_5" localSheetId="87">ERR</definedName>
    <definedName name="NO_5" localSheetId="88">ERR</definedName>
    <definedName name="NO_5" localSheetId="97">ERR</definedName>
    <definedName name="NO_5" localSheetId="105">ERR</definedName>
    <definedName name="NO_5" localSheetId="106">ERR</definedName>
    <definedName name="NO_5" localSheetId="107">ERR</definedName>
    <definedName name="NO_5" localSheetId="108">ERR</definedName>
    <definedName name="NO_5" localSheetId="109">ERR</definedName>
    <definedName name="NO_5" localSheetId="110">ERR</definedName>
    <definedName name="NO_5" localSheetId="111">ERR</definedName>
    <definedName name="NO_5" localSheetId="112">ERR</definedName>
    <definedName name="NO_5" localSheetId="113">ERR</definedName>
    <definedName name="NO_5" localSheetId="114">ERR</definedName>
    <definedName name="NO_5" localSheetId="98">ERR</definedName>
    <definedName name="NO_5" localSheetId="115">ERR</definedName>
    <definedName name="NO_5" localSheetId="116">ERR</definedName>
    <definedName name="NO_5" localSheetId="117">ERR</definedName>
    <definedName name="NO_5" localSheetId="118">ERR</definedName>
    <definedName name="NO_5" localSheetId="119">ERR</definedName>
    <definedName name="NO_5" localSheetId="99">ERR</definedName>
    <definedName name="NO_5" localSheetId="100">ERR</definedName>
    <definedName name="NO_5" localSheetId="101">ERR</definedName>
    <definedName name="NO_5" localSheetId="102">ERR</definedName>
    <definedName name="NO_5" localSheetId="103">ERR</definedName>
    <definedName name="NO_5" localSheetId="104">ERR</definedName>
    <definedName name="NO_5" localSheetId="120">ERR</definedName>
    <definedName name="NO_5" localSheetId="121">ERR</definedName>
    <definedName name="NO_5" localSheetId="122">ERR</definedName>
    <definedName name="NO_5" localSheetId="123">ERR</definedName>
    <definedName name="NO_5" localSheetId="124">ERR</definedName>
    <definedName name="NO_5" localSheetId="125">ERR</definedName>
    <definedName name="NO_5" localSheetId="126">ERR</definedName>
    <definedName name="NO_5" localSheetId="127">ERR</definedName>
    <definedName name="NO_5" localSheetId="128">ERR</definedName>
    <definedName name="NO_5" localSheetId="129">ERR</definedName>
    <definedName name="NO_5" localSheetId="130">ERR</definedName>
    <definedName name="NO_5" localSheetId="131">ERR</definedName>
    <definedName name="NO_5" localSheetId="9">ERR</definedName>
    <definedName name="NO_5" localSheetId="38">ERR</definedName>
    <definedName name="NO_5" localSheetId="2">ERR</definedName>
    <definedName name="NO_5">ERR</definedName>
    <definedName name="NO_6" localSheetId="20">ERR</definedName>
    <definedName name="NO_6" localSheetId="22">ERR</definedName>
    <definedName name="NO_6" localSheetId="33">ERR</definedName>
    <definedName name="NO_6" localSheetId="36">ERR</definedName>
    <definedName name="NO_6" localSheetId="47">ERR</definedName>
    <definedName name="NO_6" localSheetId="48">ERR</definedName>
    <definedName name="NO_6" localSheetId="51">ERR</definedName>
    <definedName name="NO_6" localSheetId="52">ERR</definedName>
    <definedName name="NO_6" localSheetId="53">ERR</definedName>
    <definedName name="NO_6" localSheetId="54">ERR</definedName>
    <definedName name="NO_6" localSheetId="62">ERR</definedName>
    <definedName name="NO_6" localSheetId="63">ERR</definedName>
    <definedName name="NO_6" localSheetId="64">ERR</definedName>
    <definedName name="NO_6" localSheetId="65">ERR</definedName>
    <definedName name="NO_6" localSheetId="66">ERR</definedName>
    <definedName name="NO_6" localSheetId="67">ERR</definedName>
    <definedName name="NO_6" localSheetId="68">ERR</definedName>
    <definedName name="NO_6" localSheetId="55">ERR</definedName>
    <definedName name="NO_6" localSheetId="56">ERR</definedName>
    <definedName name="NO_6" localSheetId="57">ERR</definedName>
    <definedName name="NO_6" localSheetId="58">ERR</definedName>
    <definedName name="NO_6" localSheetId="59">ERR</definedName>
    <definedName name="NO_6" localSheetId="60">ERR</definedName>
    <definedName name="NO_6" localSheetId="61">ERR</definedName>
    <definedName name="NO_6" localSheetId="69">ERR</definedName>
    <definedName name="NO_6" localSheetId="78">ERR</definedName>
    <definedName name="NO_6" localSheetId="79">ERR</definedName>
    <definedName name="NO_6" localSheetId="80">ERR</definedName>
    <definedName name="NO_6" localSheetId="70">ERR</definedName>
    <definedName name="NO_6" localSheetId="71">ERR</definedName>
    <definedName name="NO_6" localSheetId="72">ERR</definedName>
    <definedName name="NO_6" localSheetId="73">ERR</definedName>
    <definedName name="NO_6" localSheetId="74">ERR</definedName>
    <definedName name="NO_6" localSheetId="75">ERR</definedName>
    <definedName name="NO_6" localSheetId="76">ERR</definedName>
    <definedName name="NO_6" localSheetId="77">ERR</definedName>
    <definedName name="NO_6" localSheetId="81">ERR</definedName>
    <definedName name="NO_6" localSheetId="89">ERR</definedName>
    <definedName name="NO_6" localSheetId="90">ERR</definedName>
    <definedName name="NO_6" localSheetId="91">ERR</definedName>
    <definedName name="NO_6" localSheetId="92">ERR</definedName>
    <definedName name="NO_6" localSheetId="93">ERR</definedName>
    <definedName name="NO_6" localSheetId="94">ERR</definedName>
    <definedName name="NO_6" localSheetId="95">ERR</definedName>
    <definedName name="NO_6" localSheetId="96">ERR</definedName>
    <definedName name="NO_6" localSheetId="82">ERR</definedName>
    <definedName name="NO_6" localSheetId="83">ERR</definedName>
    <definedName name="NO_6" localSheetId="84">ERR</definedName>
    <definedName name="NO_6" localSheetId="85">ERR</definedName>
    <definedName name="NO_6" localSheetId="86">ERR</definedName>
    <definedName name="NO_6" localSheetId="87">ERR</definedName>
    <definedName name="NO_6" localSheetId="88">ERR</definedName>
    <definedName name="NO_6" localSheetId="97">ERR</definedName>
    <definedName name="NO_6" localSheetId="105">ERR</definedName>
    <definedName name="NO_6" localSheetId="106">ERR</definedName>
    <definedName name="NO_6" localSheetId="107">ERR</definedName>
    <definedName name="NO_6" localSheetId="108">ERR</definedName>
    <definedName name="NO_6" localSheetId="109">ERR</definedName>
    <definedName name="NO_6" localSheetId="110">ERR</definedName>
    <definedName name="NO_6" localSheetId="111">ERR</definedName>
    <definedName name="NO_6" localSheetId="112">ERR</definedName>
    <definedName name="NO_6" localSheetId="113">ERR</definedName>
    <definedName name="NO_6" localSheetId="114">ERR</definedName>
    <definedName name="NO_6" localSheetId="98">ERR</definedName>
    <definedName name="NO_6" localSheetId="115">ERR</definedName>
    <definedName name="NO_6" localSheetId="116">ERR</definedName>
    <definedName name="NO_6" localSheetId="117">ERR</definedName>
    <definedName name="NO_6" localSheetId="118">ERR</definedName>
    <definedName name="NO_6" localSheetId="119">ERR</definedName>
    <definedName name="NO_6" localSheetId="99">ERR</definedName>
    <definedName name="NO_6" localSheetId="100">ERR</definedName>
    <definedName name="NO_6" localSheetId="101">ERR</definedName>
    <definedName name="NO_6" localSheetId="102">ERR</definedName>
    <definedName name="NO_6" localSheetId="103">ERR</definedName>
    <definedName name="NO_6" localSheetId="104">ERR</definedName>
    <definedName name="NO_6" localSheetId="120">ERR</definedName>
    <definedName name="NO_6" localSheetId="121">ERR</definedName>
    <definedName name="NO_6" localSheetId="122">ERR</definedName>
    <definedName name="NO_6" localSheetId="123">ERR</definedName>
    <definedName name="NO_6" localSheetId="124">ERR</definedName>
    <definedName name="NO_6" localSheetId="125">ERR</definedName>
    <definedName name="NO_6" localSheetId="126">ERR</definedName>
    <definedName name="NO_6" localSheetId="127">ERR</definedName>
    <definedName name="NO_6" localSheetId="128">ERR</definedName>
    <definedName name="NO_6" localSheetId="129">ERR</definedName>
    <definedName name="NO_6" localSheetId="130">ERR</definedName>
    <definedName name="NO_6" localSheetId="131">ERR</definedName>
    <definedName name="NO_6" localSheetId="9">ERR</definedName>
    <definedName name="NO_6" localSheetId="38">ERR</definedName>
    <definedName name="NO_6" localSheetId="2">ERR</definedName>
    <definedName name="NO_6">ERR</definedName>
    <definedName name="NO_7" localSheetId="20">ERR</definedName>
    <definedName name="NO_7" localSheetId="22">ERR</definedName>
    <definedName name="NO_7" localSheetId="33">ERR</definedName>
    <definedName name="NO_7" localSheetId="36">ERR</definedName>
    <definedName name="NO_7" localSheetId="47">ERR</definedName>
    <definedName name="NO_7" localSheetId="48">ERR</definedName>
    <definedName name="NO_7" localSheetId="51">ERR</definedName>
    <definedName name="NO_7" localSheetId="52">ERR</definedName>
    <definedName name="NO_7" localSheetId="53">ERR</definedName>
    <definedName name="NO_7" localSheetId="54">ERR</definedName>
    <definedName name="NO_7" localSheetId="62">ERR</definedName>
    <definedName name="NO_7" localSheetId="63">ERR</definedName>
    <definedName name="NO_7" localSheetId="64">ERR</definedName>
    <definedName name="NO_7" localSheetId="65">ERR</definedName>
    <definedName name="NO_7" localSheetId="66">ERR</definedName>
    <definedName name="NO_7" localSheetId="67">ERR</definedName>
    <definedName name="NO_7" localSheetId="68">ERR</definedName>
    <definedName name="NO_7" localSheetId="55">ERR</definedName>
    <definedName name="NO_7" localSheetId="56">ERR</definedName>
    <definedName name="NO_7" localSheetId="57">ERR</definedName>
    <definedName name="NO_7" localSheetId="58">ERR</definedName>
    <definedName name="NO_7" localSheetId="59">ERR</definedName>
    <definedName name="NO_7" localSheetId="60">ERR</definedName>
    <definedName name="NO_7" localSheetId="61">ERR</definedName>
    <definedName name="NO_7" localSheetId="69">ERR</definedName>
    <definedName name="NO_7" localSheetId="78">ERR</definedName>
    <definedName name="NO_7" localSheetId="79">ERR</definedName>
    <definedName name="NO_7" localSheetId="80">ERR</definedName>
    <definedName name="NO_7" localSheetId="70">ERR</definedName>
    <definedName name="NO_7" localSheetId="71">ERR</definedName>
    <definedName name="NO_7" localSheetId="72">ERR</definedName>
    <definedName name="NO_7" localSheetId="73">ERR</definedName>
    <definedName name="NO_7" localSheetId="74">ERR</definedName>
    <definedName name="NO_7" localSheetId="75">ERR</definedName>
    <definedName name="NO_7" localSheetId="76">ERR</definedName>
    <definedName name="NO_7" localSheetId="77">ERR</definedName>
    <definedName name="NO_7" localSheetId="81">ERR</definedName>
    <definedName name="NO_7" localSheetId="89">ERR</definedName>
    <definedName name="NO_7" localSheetId="90">ERR</definedName>
    <definedName name="NO_7" localSheetId="91">ERR</definedName>
    <definedName name="NO_7" localSheetId="92">ERR</definedName>
    <definedName name="NO_7" localSheetId="93">ERR</definedName>
    <definedName name="NO_7" localSheetId="94">ERR</definedName>
    <definedName name="NO_7" localSheetId="95">ERR</definedName>
    <definedName name="NO_7" localSheetId="96">ERR</definedName>
    <definedName name="NO_7" localSheetId="82">ERR</definedName>
    <definedName name="NO_7" localSheetId="83">ERR</definedName>
    <definedName name="NO_7" localSheetId="84">ERR</definedName>
    <definedName name="NO_7" localSheetId="85">ERR</definedName>
    <definedName name="NO_7" localSheetId="86">ERR</definedName>
    <definedName name="NO_7" localSheetId="87">ERR</definedName>
    <definedName name="NO_7" localSheetId="88">ERR</definedName>
    <definedName name="NO_7" localSheetId="97">ERR</definedName>
    <definedName name="NO_7" localSheetId="105">ERR</definedName>
    <definedName name="NO_7" localSheetId="106">ERR</definedName>
    <definedName name="NO_7" localSheetId="107">ERR</definedName>
    <definedName name="NO_7" localSheetId="108">ERR</definedName>
    <definedName name="NO_7" localSheetId="109">ERR</definedName>
    <definedName name="NO_7" localSheetId="110">ERR</definedName>
    <definedName name="NO_7" localSheetId="111">ERR</definedName>
    <definedName name="NO_7" localSheetId="112">ERR</definedName>
    <definedName name="NO_7" localSheetId="113">ERR</definedName>
    <definedName name="NO_7" localSheetId="114">ERR</definedName>
    <definedName name="NO_7" localSheetId="98">ERR</definedName>
    <definedName name="NO_7" localSheetId="115">ERR</definedName>
    <definedName name="NO_7" localSheetId="116">ERR</definedName>
    <definedName name="NO_7" localSheetId="117">ERR</definedName>
    <definedName name="NO_7" localSheetId="118">ERR</definedName>
    <definedName name="NO_7" localSheetId="119">ERR</definedName>
    <definedName name="NO_7" localSheetId="99">ERR</definedName>
    <definedName name="NO_7" localSheetId="100">ERR</definedName>
    <definedName name="NO_7" localSheetId="101">ERR</definedName>
    <definedName name="NO_7" localSheetId="102">ERR</definedName>
    <definedName name="NO_7" localSheetId="103">ERR</definedName>
    <definedName name="NO_7" localSheetId="104">ERR</definedName>
    <definedName name="NO_7" localSheetId="120">ERR</definedName>
    <definedName name="NO_7" localSheetId="121">ERR</definedName>
    <definedName name="NO_7" localSheetId="122">ERR</definedName>
    <definedName name="NO_7" localSheetId="123">ERR</definedName>
    <definedName name="NO_7" localSheetId="124">ERR</definedName>
    <definedName name="NO_7" localSheetId="125">ERR</definedName>
    <definedName name="NO_7" localSheetId="126">ERR</definedName>
    <definedName name="NO_7" localSheetId="127">ERR</definedName>
    <definedName name="NO_7" localSheetId="128">ERR</definedName>
    <definedName name="NO_7" localSheetId="129">ERR</definedName>
    <definedName name="NO_7" localSheetId="130">ERR</definedName>
    <definedName name="NO_7" localSheetId="131">ERR</definedName>
    <definedName name="NO_7" localSheetId="9">ERR</definedName>
    <definedName name="NO_7" localSheetId="38">ERR</definedName>
    <definedName name="NO_7" localSheetId="2">ERR</definedName>
    <definedName name="NO_7">ERR</definedName>
    <definedName name="NO_8" localSheetId="20">ERR</definedName>
    <definedName name="NO_8" localSheetId="22">ERR</definedName>
    <definedName name="NO_8" localSheetId="33">ERR</definedName>
    <definedName name="NO_8" localSheetId="36">ERR</definedName>
    <definedName name="NO_8" localSheetId="47">ERR</definedName>
    <definedName name="NO_8" localSheetId="48">ERR</definedName>
    <definedName name="NO_8" localSheetId="51">ERR</definedName>
    <definedName name="NO_8" localSheetId="52">ERR</definedName>
    <definedName name="NO_8" localSheetId="53">ERR</definedName>
    <definedName name="NO_8" localSheetId="54">ERR</definedName>
    <definedName name="NO_8" localSheetId="62">ERR</definedName>
    <definedName name="NO_8" localSheetId="63">ERR</definedName>
    <definedName name="NO_8" localSheetId="64">ERR</definedName>
    <definedName name="NO_8" localSheetId="65">ERR</definedName>
    <definedName name="NO_8" localSheetId="66">ERR</definedName>
    <definedName name="NO_8" localSheetId="67">ERR</definedName>
    <definedName name="NO_8" localSheetId="68">ERR</definedName>
    <definedName name="NO_8" localSheetId="55">ERR</definedName>
    <definedName name="NO_8" localSheetId="56">ERR</definedName>
    <definedName name="NO_8" localSheetId="57">ERR</definedName>
    <definedName name="NO_8" localSheetId="58">ERR</definedName>
    <definedName name="NO_8" localSheetId="59">ERR</definedName>
    <definedName name="NO_8" localSheetId="60">ERR</definedName>
    <definedName name="NO_8" localSheetId="61">ERR</definedName>
    <definedName name="NO_8" localSheetId="69">ERR</definedName>
    <definedName name="NO_8" localSheetId="78">ERR</definedName>
    <definedName name="NO_8" localSheetId="79">ERR</definedName>
    <definedName name="NO_8" localSheetId="80">ERR</definedName>
    <definedName name="NO_8" localSheetId="70">ERR</definedName>
    <definedName name="NO_8" localSheetId="71">ERR</definedName>
    <definedName name="NO_8" localSheetId="72">ERR</definedName>
    <definedName name="NO_8" localSheetId="73">ERR</definedName>
    <definedName name="NO_8" localSheetId="74">ERR</definedName>
    <definedName name="NO_8" localSheetId="75">ERR</definedName>
    <definedName name="NO_8" localSheetId="76">ERR</definedName>
    <definedName name="NO_8" localSheetId="77">ERR</definedName>
    <definedName name="NO_8" localSheetId="81">ERR</definedName>
    <definedName name="NO_8" localSheetId="89">ERR</definedName>
    <definedName name="NO_8" localSheetId="90">ERR</definedName>
    <definedName name="NO_8" localSheetId="91">ERR</definedName>
    <definedName name="NO_8" localSheetId="92">ERR</definedName>
    <definedName name="NO_8" localSheetId="93">ERR</definedName>
    <definedName name="NO_8" localSheetId="94">ERR</definedName>
    <definedName name="NO_8" localSheetId="95">ERR</definedName>
    <definedName name="NO_8" localSheetId="96">ERR</definedName>
    <definedName name="NO_8" localSheetId="82">ERR</definedName>
    <definedName name="NO_8" localSheetId="83">ERR</definedName>
    <definedName name="NO_8" localSheetId="84">ERR</definedName>
    <definedName name="NO_8" localSheetId="85">ERR</definedName>
    <definedName name="NO_8" localSheetId="86">ERR</definedName>
    <definedName name="NO_8" localSheetId="87">ERR</definedName>
    <definedName name="NO_8" localSheetId="88">ERR</definedName>
    <definedName name="NO_8" localSheetId="97">ERR</definedName>
    <definedName name="NO_8" localSheetId="105">ERR</definedName>
    <definedName name="NO_8" localSheetId="106">ERR</definedName>
    <definedName name="NO_8" localSheetId="107">ERR</definedName>
    <definedName name="NO_8" localSheetId="108">ERR</definedName>
    <definedName name="NO_8" localSheetId="109">ERR</definedName>
    <definedName name="NO_8" localSheetId="110">ERR</definedName>
    <definedName name="NO_8" localSheetId="111">ERR</definedName>
    <definedName name="NO_8" localSheetId="112">ERR</definedName>
    <definedName name="NO_8" localSheetId="113">ERR</definedName>
    <definedName name="NO_8" localSheetId="114">ERR</definedName>
    <definedName name="NO_8" localSheetId="98">ERR</definedName>
    <definedName name="NO_8" localSheetId="115">ERR</definedName>
    <definedName name="NO_8" localSheetId="116">ERR</definedName>
    <definedName name="NO_8" localSheetId="117">ERR</definedName>
    <definedName name="NO_8" localSheetId="118">ERR</definedName>
    <definedName name="NO_8" localSheetId="119">ERR</definedName>
    <definedName name="NO_8" localSheetId="99">ERR</definedName>
    <definedName name="NO_8" localSheetId="100">ERR</definedName>
    <definedName name="NO_8" localSheetId="101">ERR</definedName>
    <definedName name="NO_8" localSheetId="102">ERR</definedName>
    <definedName name="NO_8" localSheetId="103">ERR</definedName>
    <definedName name="NO_8" localSheetId="104">ERR</definedName>
    <definedName name="NO_8" localSheetId="120">ERR</definedName>
    <definedName name="NO_8" localSheetId="121">ERR</definedName>
    <definedName name="NO_8" localSheetId="122">ERR</definedName>
    <definedName name="NO_8" localSheetId="123">ERR</definedName>
    <definedName name="NO_8" localSheetId="124">ERR</definedName>
    <definedName name="NO_8" localSheetId="125">ERR</definedName>
    <definedName name="NO_8" localSheetId="126">ERR</definedName>
    <definedName name="NO_8" localSheetId="127">ERR</definedName>
    <definedName name="NO_8" localSheetId="128">ERR</definedName>
    <definedName name="NO_8" localSheetId="129">ERR</definedName>
    <definedName name="NO_8" localSheetId="130">ERR</definedName>
    <definedName name="NO_8" localSheetId="131">ERR</definedName>
    <definedName name="NO_8" localSheetId="9">ERR</definedName>
    <definedName name="NO_8" localSheetId="38">ERR</definedName>
    <definedName name="NO_8" localSheetId="2">ERR</definedName>
    <definedName name="NO_8">ERR</definedName>
    <definedName name="NO_9" localSheetId="20">ERR</definedName>
    <definedName name="NO_9" localSheetId="22">ERR</definedName>
    <definedName name="NO_9" localSheetId="33">ERR</definedName>
    <definedName name="NO_9" localSheetId="36">ERR</definedName>
    <definedName name="NO_9" localSheetId="47">ERR</definedName>
    <definedName name="NO_9" localSheetId="48">ERR</definedName>
    <definedName name="NO_9" localSheetId="51">ERR</definedName>
    <definedName name="NO_9" localSheetId="52">ERR</definedName>
    <definedName name="NO_9" localSheetId="53">ERR</definedName>
    <definedName name="NO_9" localSheetId="54">ERR</definedName>
    <definedName name="NO_9" localSheetId="62">ERR</definedName>
    <definedName name="NO_9" localSheetId="63">ERR</definedName>
    <definedName name="NO_9" localSheetId="64">ERR</definedName>
    <definedName name="NO_9" localSheetId="65">ERR</definedName>
    <definedName name="NO_9" localSheetId="66">ERR</definedName>
    <definedName name="NO_9" localSheetId="67">ERR</definedName>
    <definedName name="NO_9" localSheetId="68">ERR</definedName>
    <definedName name="NO_9" localSheetId="55">ERR</definedName>
    <definedName name="NO_9" localSheetId="56">ERR</definedName>
    <definedName name="NO_9" localSheetId="57">ERR</definedName>
    <definedName name="NO_9" localSheetId="58">ERR</definedName>
    <definedName name="NO_9" localSheetId="59">ERR</definedName>
    <definedName name="NO_9" localSheetId="60">ERR</definedName>
    <definedName name="NO_9" localSheetId="61">ERR</definedName>
    <definedName name="NO_9" localSheetId="69">ERR</definedName>
    <definedName name="NO_9" localSheetId="78">ERR</definedName>
    <definedName name="NO_9" localSheetId="79">ERR</definedName>
    <definedName name="NO_9" localSheetId="80">ERR</definedName>
    <definedName name="NO_9" localSheetId="70">ERR</definedName>
    <definedName name="NO_9" localSheetId="71">ERR</definedName>
    <definedName name="NO_9" localSheetId="72">ERR</definedName>
    <definedName name="NO_9" localSheetId="73">ERR</definedName>
    <definedName name="NO_9" localSheetId="74">ERR</definedName>
    <definedName name="NO_9" localSheetId="75">ERR</definedName>
    <definedName name="NO_9" localSheetId="76">ERR</definedName>
    <definedName name="NO_9" localSheetId="77">ERR</definedName>
    <definedName name="NO_9" localSheetId="81">ERR</definedName>
    <definedName name="NO_9" localSheetId="89">ERR</definedName>
    <definedName name="NO_9" localSheetId="90">ERR</definedName>
    <definedName name="NO_9" localSheetId="91">ERR</definedName>
    <definedName name="NO_9" localSheetId="92">ERR</definedName>
    <definedName name="NO_9" localSheetId="93">ERR</definedName>
    <definedName name="NO_9" localSheetId="94">ERR</definedName>
    <definedName name="NO_9" localSheetId="95">ERR</definedName>
    <definedName name="NO_9" localSheetId="96">ERR</definedName>
    <definedName name="NO_9" localSheetId="82">ERR</definedName>
    <definedName name="NO_9" localSheetId="83">ERR</definedName>
    <definedName name="NO_9" localSheetId="84">ERR</definedName>
    <definedName name="NO_9" localSheetId="85">ERR</definedName>
    <definedName name="NO_9" localSheetId="86">ERR</definedName>
    <definedName name="NO_9" localSheetId="87">ERR</definedName>
    <definedName name="NO_9" localSheetId="88">ERR</definedName>
    <definedName name="NO_9" localSheetId="97">ERR</definedName>
    <definedName name="NO_9" localSheetId="105">ERR</definedName>
    <definedName name="NO_9" localSheetId="106">ERR</definedName>
    <definedName name="NO_9" localSheetId="107">ERR</definedName>
    <definedName name="NO_9" localSheetId="108">ERR</definedName>
    <definedName name="NO_9" localSheetId="109">ERR</definedName>
    <definedName name="NO_9" localSheetId="110">ERR</definedName>
    <definedName name="NO_9" localSheetId="111">ERR</definedName>
    <definedName name="NO_9" localSheetId="112">ERR</definedName>
    <definedName name="NO_9" localSheetId="113">ERR</definedName>
    <definedName name="NO_9" localSheetId="114">ERR</definedName>
    <definedName name="NO_9" localSheetId="98">ERR</definedName>
    <definedName name="NO_9" localSheetId="115">ERR</definedName>
    <definedName name="NO_9" localSheetId="116">ERR</definedName>
    <definedName name="NO_9" localSheetId="117">ERR</definedName>
    <definedName name="NO_9" localSheetId="118">ERR</definedName>
    <definedName name="NO_9" localSheetId="119">ERR</definedName>
    <definedName name="NO_9" localSheetId="99">ERR</definedName>
    <definedName name="NO_9" localSheetId="100">ERR</definedName>
    <definedName name="NO_9" localSheetId="101">ERR</definedName>
    <definedName name="NO_9" localSheetId="102">ERR</definedName>
    <definedName name="NO_9" localSheetId="103">ERR</definedName>
    <definedName name="NO_9" localSheetId="104">ERR</definedName>
    <definedName name="NO_9" localSheetId="120">ERR</definedName>
    <definedName name="NO_9" localSheetId="121">ERR</definedName>
    <definedName name="NO_9" localSheetId="122">ERR</definedName>
    <definedName name="NO_9" localSheetId="123">ERR</definedName>
    <definedName name="NO_9" localSheetId="124">ERR</definedName>
    <definedName name="NO_9" localSheetId="125">ERR</definedName>
    <definedName name="NO_9" localSheetId="126">ERR</definedName>
    <definedName name="NO_9" localSheetId="127">ERR</definedName>
    <definedName name="NO_9" localSheetId="128">ERR</definedName>
    <definedName name="NO_9" localSheetId="129">ERR</definedName>
    <definedName name="NO_9" localSheetId="130">ERR</definedName>
    <definedName name="NO_9" localSheetId="131">ERR</definedName>
    <definedName name="NO_9" localSheetId="9">ERR</definedName>
    <definedName name="NO_9" localSheetId="38">ERR</definedName>
    <definedName name="NO_9" localSheetId="2">ERR</definedName>
    <definedName name="NO_9">ERR</definedName>
    <definedName name="O" localSheetId="51">[1]PRECIOS!$J$64</definedName>
    <definedName name="O">[2]PRECIOS!$J$64</definedName>
    <definedName name="OBSERV" localSheetId="18">#REF!</definedName>
    <definedName name="OBSERV" localSheetId="21">#REF!</definedName>
    <definedName name="OBSERV" localSheetId="22">#REF!</definedName>
    <definedName name="OBSERV" localSheetId="51">#REF!</definedName>
    <definedName name="OBSERV" localSheetId="69">#REF!</definedName>
    <definedName name="OBSERV" localSheetId="81">#REF!</definedName>
    <definedName name="OBSERV" localSheetId="97">#REF!</definedName>
    <definedName name="OBSERV" localSheetId="13">#REF!</definedName>
    <definedName name="OBSERV" localSheetId="2">#REF!</definedName>
    <definedName name="OBSERV">#REF!</definedName>
    <definedName name="OF">[10]Hoja1!$F$5</definedName>
    <definedName name="P" localSheetId="51">[1]PRECIOS!$I$59</definedName>
    <definedName name="P">[2]PRECIOS!$I$59</definedName>
    <definedName name="PER_PAV" localSheetId="18">#REF!</definedName>
    <definedName name="PER_PAV" localSheetId="21">#REF!</definedName>
    <definedName name="PER_PAV" localSheetId="22">#REF!</definedName>
    <definedName name="PER_PAV" localSheetId="51">#REF!</definedName>
    <definedName name="PER_PAV" localSheetId="69">#REF!</definedName>
    <definedName name="PER_PAV" localSheetId="81">#REF!</definedName>
    <definedName name="PER_PAV" localSheetId="97">#REF!</definedName>
    <definedName name="PER_PAV" localSheetId="13">#REF!</definedName>
    <definedName name="PER_PAV" localSheetId="2">#REF!</definedName>
    <definedName name="PER_PAV">#REF!</definedName>
    <definedName name="POZ" localSheetId="18">#REF!</definedName>
    <definedName name="POZ" localSheetId="21">#REF!</definedName>
    <definedName name="POZ" localSheetId="22">#REF!</definedName>
    <definedName name="POZ" localSheetId="51">#REF!</definedName>
    <definedName name="POZ" localSheetId="69">#REF!</definedName>
    <definedName name="POZ" localSheetId="81">#REF!</definedName>
    <definedName name="POZ" localSheetId="97">#REF!</definedName>
    <definedName name="POZ" localSheetId="13">#REF!</definedName>
    <definedName name="POZ" localSheetId="2">#REF!</definedName>
    <definedName name="POZ">#REF!</definedName>
    <definedName name="POZO" localSheetId="18">#REF!</definedName>
    <definedName name="POZO" localSheetId="21">#REF!</definedName>
    <definedName name="POZO" localSheetId="22">#REF!</definedName>
    <definedName name="POZO" localSheetId="51">#REF!</definedName>
    <definedName name="POZO" localSheetId="69">#REF!</definedName>
    <definedName name="POZO" localSheetId="81">#REF!</definedName>
    <definedName name="POZO" localSheetId="97">#REF!</definedName>
    <definedName name="POZO" localSheetId="13">#REF!</definedName>
    <definedName name="POZO" localSheetId="2">#REF!</definedName>
    <definedName name="POZO">#REF!</definedName>
    <definedName name="POZO1.2" localSheetId="18">#REF!</definedName>
    <definedName name="POZO1.2" localSheetId="21">#REF!</definedName>
    <definedName name="POZO1.2" localSheetId="22">#REF!</definedName>
    <definedName name="POZO1.2" localSheetId="51">#REF!</definedName>
    <definedName name="POZO1.2" localSheetId="69">#REF!</definedName>
    <definedName name="POZO1.2" localSheetId="81">#REF!</definedName>
    <definedName name="POZO1.2" localSheetId="97">#REF!</definedName>
    <definedName name="POZO1.2">#REF!</definedName>
    <definedName name="POZOS" localSheetId="18">#REF!</definedName>
    <definedName name="POZOS" localSheetId="21">#REF!</definedName>
    <definedName name="POZOS" localSheetId="22">#REF!</definedName>
    <definedName name="POZOS" localSheetId="51">#REF!</definedName>
    <definedName name="POZOS" localSheetId="69">#REF!</definedName>
    <definedName name="POZOS" localSheetId="81">#REF!</definedName>
    <definedName name="POZOS" localSheetId="97">#REF!</definedName>
    <definedName name="Pozos" localSheetId="9">#REF!</definedName>
    <definedName name="POZOS">#REF!</definedName>
    <definedName name="programainv" localSheetId="20">[0]!ERR</definedName>
    <definedName name="programainv" localSheetId="22">[0]!ERR</definedName>
    <definedName name="programainv" localSheetId="33">[0]!ERR</definedName>
    <definedName name="programainv" localSheetId="36">[0]!ERR</definedName>
    <definedName name="programainv" localSheetId="47">[0]!ERR</definedName>
    <definedName name="programainv" localSheetId="48">[0]!ERR</definedName>
    <definedName name="programainv" localSheetId="51">[0]!ERR</definedName>
    <definedName name="programainv" localSheetId="52">[0]!ERR</definedName>
    <definedName name="programainv" localSheetId="53">[0]!ERR</definedName>
    <definedName name="programainv" localSheetId="54">[0]!ERR</definedName>
    <definedName name="programainv" localSheetId="62">[0]!ERR</definedName>
    <definedName name="programainv" localSheetId="63">[0]!ERR</definedName>
    <definedName name="programainv" localSheetId="64">[0]!ERR</definedName>
    <definedName name="programainv" localSheetId="65">[0]!ERR</definedName>
    <definedName name="programainv" localSheetId="66">[0]!ERR</definedName>
    <definedName name="programainv" localSheetId="67">[0]!ERR</definedName>
    <definedName name="programainv" localSheetId="68">[0]!ERR</definedName>
    <definedName name="programainv" localSheetId="55">[0]!ERR</definedName>
    <definedName name="programainv" localSheetId="56">[0]!ERR</definedName>
    <definedName name="programainv" localSheetId="57">[0]!ERR</definedName>
    <definedName name="programainv" localSheetId="58">[0]!ERR</definedName>
    <definedName name="programainv" localSheetId="59">[0]!ERR</definedName>
    <definedName name="programainv" localSheetId="60">[0]!ERR</definedName>
    <definedName name="programainv" localSheetId="61">[0]!ERR</definedName>
    <definedName name="programainv" localSheetId="69">[0]!ERR</definedName>
    <definedName name="programainv" localSheetId="78">[0]!ERR</definedName>
    <definedName name="programainv" localSheetId="79">[0]!ERR</definedName>
    <definedName name="programainv" localSheetId="80">[0]!ERR</definedName>
    <definedName name="programainv" localSheetId="70">[0]!ERR</definedName>
    <definedName name="programainv" localSheetId="71">[0]!ERR</definedName>
    <definedName name="programainv" localSheetId="72">[0]!ERR</definedName>
    <definedName name="programainv" localSheetId="73">[0]!ERR</definedName>
    <definedName name="programainv" localSheetId="74">[0]!ERR</definedName>
    <definedName name="programainv" localSheetId="75">[0]!ERR</definedName>
    <definedName name="programainv" localSheetId="76">[0]!ERR</definedName>
    <definedName name="programainv" localSheetId="77">[0]!ERR</definedName>
    <definedName name="programainv" localSheetId="81">[0]!ERR</definedName>
    <definedName name="programainv" localSheetId="89">[0]!ERR</definedName>
    <definedName name="programainv" localSheetId="90">[0]!ERR</definedName>
    <definedName name="programainv" localSheetId="91">[0]!ERR</definedName>
    <definedName name="programainv" localSheetId="92">[0]!ERR</definedName>
    <definedName name="programainv" localSheetId="93">[0]!ERR</definedName>
    <definedName name="programainv" localSheetId="94">[0]!ERR</definedName>
    <definedName name="programainv" localSheetId="95">[0]!ERR</definedName>
    <definedName name="programainv" localSheetId="96">[0]!ERR</definedName>
    <definedName name="programainv" localSheetId="82">[0]!ERR</definedName>
    <definedName name="programainv" localSheetId="83">[0]!ERR</definedName>
    <definedName name="programainv" localSheetId="84">[0]!ERR</definedName>
    <definedName name="programainv" localSheetId="85">[0]!ERR</definedName>
    <definedName name="programainv" localSheetId="86">[0]!ERR</definedName>
    <definedName name="programainv" localSheetId="87">[0]!ERR</definedName>
    <definedName name="programainv" localSheetId="88">[0]!ERR</definedName>
    <definedName name="programainv" localSheetId="97">[0]!ERR</definedName>
    <definedName name="programainv" localSheetId="105">[0]!ERR</definedName>
    <definedName name="programainv" localSheetId="106">[0]!ERR</definedName>
    <definedName name="programainv" localSheetId="107">[0]!ERR</definedName>
    <definedName name="programainv" localSheetId="108">[0]!ERR</definedName>
    <definedName name="programainv" localSheetId="109">[0]!ERR</definedName>
    <definedName name="programainv" localSheetId="110">[0]!ERR</definedName>
    <definedName name="programainv" localSheetId="111">[0]!ERR</definedName>
    <definedName name="programainv" localSheetId="112">[0]!ERR</definedName>
    <definedName name="programainv" localSheetId="113">[0]!ERR</definedName>
    <definedName name="programainv" localSheetId="114">[0]!ERR</definedName>
    <definedName name="programainv" localSheetId="98">[0]!ERR</definedName>
    <definedName name="programainv" localSheetId="115">[0]!ERR</definedName>
    <definedName name="programainv" localSheetId="116">[0]!ERR</definedName>
    <definedName name="programainv" localSheetId="117">[0]!ERR</definedName>
    <definedName name="programainv" localSheetId="118">[0]!ERR</definedName>
    <definedName name="programainv" localSheetId="119">[0]!ERR</definedName>
    <definedName name="programainv" localSheetId="99">[0]!ERR</definedName>
    <definedName name="programainv" localSheetId="100">[0]!ERR</definedName>
    <definedName name="programainv" localSheetId="101">[0]!ERR</definedName>
    <definedName name="programainv" localSheetId="102">[0]!ERR</definedName>
    <definedName name="programainv" localSheetId="103">[0]!ERR</definedName>
    <definedName name="programainv" localSheetId="104">[0]!ERR</definedName>
    <definedName name="programainv" localSheetId="120">[0]!ERR</definedName>
    <definedName name="programainv" localSheetId="121">[0]!ERR</definedName>
    <definedName name="programainv" localSheetId="122">[0]!ERR</definedName>
    <definedName name="programainv" localSheetId="123">[0]!ERR</definedName>
    <definedName name="programainv" localSheetId="124">[0]!ERR</definedName>
    <definedName name="programainv" localSheetId="125">[0]!ERR</definedName>
    <definedName name="programainv" localSheetId="126">[0]!ERR</definedName>
    <definedName name="programainv" localSheetId="127">[0]!ERR</definedName>
    <definedName name="programainv" localSheetId="128">[0]!ERR</definedName>
    <definedName name="programainv" localSheetId="129">[0]!ERR</definedName>
    <definedName name="programainv" localSheetId="130">[0]!ERR</definedName>
    <definedName name="programainv" localSheetId="131">[0]!ERR</definedName>
    <definedName name="programainv" localSheetId="38">[0]!ERR</definedName>
    <definedName name="programainv" localSheetId="2">[0]!ERR</definedName>
    <definedName name="programainv">[0]!ERR</definedName>
    <definedName name="programainv_10" localSheetId="20">ERR</definedName>
    <definedName name="programainv_10" localSheetId="22">ERR</definedName>
    <definedName name="programainv_10" localSheetId="33">ERR</definedName>
    <definedName name="programainv_10" localSheetId="36">ERR</definedName>
    <definedName name="programainv_10" localSheetId="47">ERR</definedName>
    <definedName name="programainv_10" localSheetId="48">ERR</definedName>
    <definedName name="programainv_10" localSheetId="51">ERR</definedName>
    <definedName name="programainv_10" localSheetId="52">ERR</definedName>
    <definedName name="programainv_10" localSheetId="53">ERR</definedName>
    <definedName name="programainv_10" localSheetId="54">ERR</definedName>
    <definedName name="programainv_10" localSheetId="62">ERR</definedName>
    <definedName name="programainv_10" localSheetId="63">ERR</definedName>
    <definedName name="programainv_10" localSheetId="64">ERR</definedName>
    <definedName name="programainv_10" localSheetId="65">ERR</definedName>
    <definedName name="programainv_10" localSheetId="66">ERR</definedName>
    <definedName name="programainv_10" localSheetId="67">ERR</definedName>
    <definedName name="programainv_10" localSheetId="68">ERR</definedName>
    <definedName name="programainv_10" localSheetId="55">ERR</definedName>
    <definedName name="programainv_10" localSheetId="56">ERR</definedName>
    <definedName name="programainv_10" localSheetId="57">ERR</definedName>
    <definedName name="programainv_10" localSheetId="58">ERR</definedName>
    <definedName name="programainv_10" localSheetId="59">ERR</definedName>
    <definedName name="programainv_10" localSheetId="60">ERR</definedName>
    <definedName name="programainv_10" localSheetId="61">ERR</definedName>
    <definedName name="programainv_10" localSheetId="69">ERR</definedName>
    <definedName name="programainv_10" localSheetId="78">ERR</definedName>
    <definedName name="programainv_10" localSheetId="79">ERR</definedName>
    <definedName name="programainv_10" localSheetId="80">ERR</definedName>
    <definedName name="programainv_10" localSheetId="70">ERR</definedName>
    <definedName name="programainv_10" localSheetId="71">ERR</definedName>
    <definedName name="programainv_10" localSheetId="72">ERR</definedName>
    <definedName name="programainv_10" localSheetId="73">ERR</definedName>
    <definedName name="programainv_10" localSheetId="74">ERR</definedName>
    <definedName name="programainv_10" localSheetId="75">ERR</definedName>
    <definedName name="programainv_10" localSheetId="76">ERR</definedName>
    <definedName name="programainv_10" localSheetId="77">ERR</definedName>
    <definedName name="programainv_10" localSheetId="81">ERR</definedName>
    <definedName name="programainv_10" localSheetId="89">ERR</definedName>
    <definedName name="programainv_10" localSheetId="90">ERR</definedName>
    <definedName name="programainv_10" localSheetId="91">ERR</definedName>
    <definedName name="programainv_10" localSheetId="92">ERR</definedName>
    <definedName name="programainv_10" localSheetId="93">ERR</definedName>
    <definedName name="programainv_10" localSheetId="94">ERR</definedName>
    <definedName name="programainv_10" localSheetId="95">ERR</definedName>
    <definedName name="programainv_10" localSheetId="96">ERR</definedName>
    <definedName name="programainv_10" localSheetId="82">ERR</definedName>
    <definedName name="programainv_10" localSheetId="83">ERR</definedName>
    <definedName name="programainv_10" localSheetId="84">ERR</definedName>
    <definedName name="programainv_10" localSheetId="85">ERR</definedName>
    <definedName name="programainv_10" localSheetId="86">ERR</definedName>
    <definedName name="programainv_10" localSheetId="87">ERR</definedName>
    <definedName name="programainv_10" localSheetId="88">ERR</definedName>
    <definedName name="programainv_10" localSheetId="97">ERR</definedName>
    <definedName name="programainv_10" localSheetId="105">ERR</definedName>
    <definedName name="programainv_10" localSheetId="106">ERR</definedName>
    <definedName name="programainv_10" localSheetId="107">ERR</definedName>
    <definedName name="programainv_10" localSheetId="108">ERR</definedName>
    <definedName name="programainv_10" localSheetId="109">ERR</definedName>
    <definedName name="programainv_10" localSheetId="110">ERR</definedName>
    <definedName name="programainv_10" localSheetId="111">ERR</definedName>
    <definedName name="programainv_10" localSheetId="112">ERR</definedName>
    <definedName name="programainv_10" localSheetId="113">ERR</definedName>
    <definedName name="programainv_10" localSheetId="114">ERR</definedName>
    <definedName name="programainv_10" localSheetId="98">ERR</definedName>
    <definedName name="programainv_10" localSheetId="115">ERR</definedName>
    <definedName name="programainv_10" localSheetId="116">ERR</definedName>
    <definedName name="programainv_10" localSheetId="117">ERR</definedName>
    <definedName name="programainv_10" localSheetId="118">ERR</definedName>
    <definedName name="programainv_10" localSheetId="119">ERR</definedName>
    <definedName name="programainv_10" localSheetId="99">ERR</definedName>
    <definedName name="programainv_10" localSheetId="100">ERR</definedName>
    <definedName name="programainv_10" localSheetId="101">ERR</definedName>
    <definedName name="programainv_10" localSheetId="102">ERR</definedName>
    <definedName name="programainv_10" localSheetId="103">ERR</definedName>
    <definedName name="programainv_10" localSheetId="104">ERR</definedName>
    <definedName name="programainv_10" localSheetId="120">ERR</definedName>
    <definedName name="programainv_10" localSheetId="121">ERR</definedName>
    <definedName name="programainv_10" localSheetId="122">ERR</definedName>
    <definedName name="programainv_10" localSheetId="123">ERR</definedName>
    <definedName name="programainv_10" localSheetId="124">ERR</definedName>
    <definedName name="programainv_10" localSheetId="125">ERR</definedName>
    <definedName name="programainv_10" localSheetId="126">ERR</definedName>
    <definedName name="programainv_10" localSheetId="127">ERR</definedName>
    <definedName name="programainv_10" localSheetId="128">ERR</definedName>
    <definedName name="programainv_10" localSheetId="129">ERR</definedName>
    <definedName name="programainv_10" localSheetId="130">ERR</definedName>
    <definedName name="programainv_10" localSheetId="131">ERR</definedName>
    <definedName name="programainv_10" localSheetId="9">ERR</definedName>
    <definedName name="programainv_10" localSheetId="38">ERR</definedName>
    <definedName name="programainv_10" localSheetId="2">ERR</definedName>
    <definedName name="programainv_10">ERR</definedName>
    <definedName name="programainv_3" localSheetId="20">ERR</definedName>
    <definedName name="programainv_3" localSheetId="22">ERR</definedName>
    <definedName name="programainv_3" localSheetId="33">ERR</definedName>
    <definedName name="programainv_3" localSheetId="36">ERR</definedName>
    <definedName name="programainv_3" localSheetId="47">ERR</definedName>
    <definedName name="programainv_3" localSheetId="48">ERR</definedName>
    <definedName name="programainv_3" localSheetId="51">ERR</definedName>
    <definedName name="programainv_3" localSheetId="52">ERR</definedName>
    <definedName name="programainv_3" localSheetId="53">ERR</definedName>
    <definedName name="programainv_3" localSheetId="54">ERR</definedName>
    <definedName name="programainv_3" localSheetId="62">ERR</definedName>
    <definedName name="programainv_3" localSheetId="63">ERR</definedName>
    <definedName name="programainv_3" localSheetId="64">ERR</definedName>
    <definedName name="programainv_3" localSheetId="65">ERR</definedName>
    <definedName name="programainv_3" localSheetId="66">ERR</definedName>
    <definedName name="programainv_3" localSheetId="67">ERR</definedName>
    <definedName name="programainv_3" localSheetId="68">ERR</definedName>
    <definedName name="programainv_3" localSheetId="55">ERR</definedName>
    <definedName name="programainv_3" localSheetId="56">ERR</definedName>
    <definedName name="programainv_3" localSheetId="57">ERR</definedName>
    <definedName name="programainv_3" localSheetId="58">ERR</definedName>
    <definedName name="programainv_3" localSheetId="59">ERR</definedName>
    <definedName name="programainv_3" localSheetId="60">ERR</definedName>
    <definedName name="programainv_3" localSheetId="61">ERR</definedName>
    <definedName name="programainv_3" localSheetId="69">ERR</definedName>
    <definedName name="programainv_3" localSheetId="78">ERR</definedName>
    <definedName name="programainv_3" localSheetId="79">ERR</definedName>
    <definedName name="programainv_3" localSheetId="80">ERR</definedName>
    <definedName name="programainv_3" localSheetId="70">ERR</definedName>
    <definedName name="programainv_3" localSheetId="71">ERR</definedName>
    <definedName name="programainv_3" localSheetId="72">ERR</definedName>
    <definedName name="programainv_3" localSheetId="73">ERR</definedName>
    <definedName name="programainv_3" localSheetId="74">ERR</definedName>
    <definedName name="programainv_3" localSheetId="75">ERR</definedName>
    <definedName name="programainv_3" localSheetId="76">ERR</definedName>
    <definedName name="programainv_3" localSheetId="77">ERR</definedName>
    <definedName name="programainv_3" localSheetId="81">ERR</definedName>
    <definedName name="programainv_3" localSheetId="89">ERR</definedName>
    <definedName name="programainv_3" localSheetId="90">ERR</definedName>
    <definedName name="programainv_3" localSheetId="91">ERR</definedName>
    <definedName name="programainv_3" localSheetId="92">ERR</definedName>
    <definedName name="programainv_3" localSheetId="93">ERR</definedName>
    <definedName name="programainv_3" localSheetId="94">ERR</definedName>
    <definedName name="programainv_3" localSheetId="95">ERR</definedName>
    <definedName name="programainv_3" localSheetId="96">ERR</definedName>
    <definedName name="programainv_3" localSheetId="82">ERR</definedName>
    <definedName name="programainv_3" localSheetId="83">ERR</definedName>
    <definedName name="programainv_3" localSheetId="84">ERR</definedName>
    <definedName name="programainv_3" localSheetId="85">ERR</definedName>
    <definedName name="programainv_3" localSheetId="86">ERR</definedName>
    <definedName name="programainv_3" localSheetId="87">ERR</definedName>
    <definedName name="programainv_3" localSheetId="88">ERR</definedName>
    <definedName name="programainv_3" localSheetId="97">ERR</definedName>
    <definedName name="programainv_3" localSheetId="105">ERR</definedName>
    <definedName name="programainv_3" localSheetId="106">ERR</definedName>
    <definedName name="programainv_3" localSheetId="107">ERR</definedName>
    <definedName name="programainv_3" localSheetId="108">ERR</definedName>
    <definedName name="programainv_3" localSheetId="109">ERR</definedName>
    <definedName name="programainv_3" localSheetId="110">ERR</definedName>
    <definedName name="programainv_3" localSheetId="111">ERR</definedName>
    <definedName name="programainv_3" localSheetId="112">ERR</definedName>
    <definedName name="programainv_3" localSheetId="113">ERR</definedName>
    <definedName name="programainv_3" localSheetId="114">ERR</definedName>
    <definedName name="programainv_3" localSheetId="98">ERR</definedName>
    <definedName name="programainv_3" localSheetId="115">ERR</definedName>
    <definedName name="programainv_3" localSheetId="116">ERR</definedName>
    <definedName name="programainv_3" localSheetId="117">ERR</definedName>
    <definedName name="programainv_3" localSheetId="118">ERR</definedName>
    <definedName name="programainv_3" localSheetId="119">ERR</definedName>
    <definedName name="programainv_3" localSheetId="99">ERR</definedName>
    <definedName name="programainv_3" localSheetId="100">ERR</definedName>
    <definedName name="programainv_3" localSheetId="101">ERR</definedName>
    <definedName name="programainv_3" localSheetId="102">ERR</definedName>
    <definedName name="programainv_3" localSheetId="103">ERR</definedName>
    <definedName name="programainv_3" localSheetId="104">ERR</definedName>
    <definedName name="programainv_3" localSheetId="120">ERR</definedName>
    <definedName name="programainv_3" localSheetId="121">ERR</definedName>
    <definedName name="programainv_3" localSheetId="122">ERR</definedName>
    <definedName name="programainv_3" localSheetId="123">ERR</definedName>
    <definedName name="programainv_3" localSheetId="124">ERR</definedName>
    <definedName name="programainv_3" localSheetId="125">ERR</definedName>
    <definedName name="programainv_3" localSheetId="126">ERR</definedName>
    <definedName name="programainv_3" localSheetId="127">ERR</definedName>
    <definedName name="programainv_3" localSheetId="128">ERR</definedName>
    <definedName name="programainv_3" localSheetId="129">ERR</definedName>
    <definedName name="programainv_3" localSheetId="130">ERR</definedName>
    <definedName name="programainv_3" localSheetId="131">ERR</definedName>
    <definedName name="programainv_3" localSheetId="9">ERR</definedName>
    <definedName name="programainv_3" localSheetId="38">ERR</definedName>
    <definedName name="programainv_3" localSheetId="2">ERR</definedName>
    <definedName name="programainv_3">ERR</definedName>
    <definedName name="programainv_4" localSheetId="20">ERR</definedName>
    <definedName name="programainv_4" localSheetId="22">ERR</definedName>
    <definedName name="programainv_4" localSheetId="33">ERR</definedName>
    <definedName name="programainv_4" localSheetId="36">ERR</definedName>
    <definedName name="programainv_4" localSheetId="47">ERR</definedName>
    <definedName name="programainv_4" localSheetId="48">ERR</definedName>
    <definedName name="programainv_4" localSheetId="51">ERR</definedName>
    <definedName name="programainv_4" localSheetId="52">ERR</definedName>
    <definedName name="programainv_4" localSheetId="53">ERR</definedName>
    <definedName name="programainv_4" localSheetId="54">ERR</definedName>
    <definedName name="programainv_4" localSheetId="62">ERR</definedName>
    <definedName name="programainv_4" localSheetId="63">ERR</definedName>
    <definedName name="programainv_4" localSheetId="64">ERR</definedName>
    <definedName name="programainv_4" localSheetId="65">ERR</definedName>
    <definedName name="programainv_4" localSheetId="66">ERR</definedName>
    <definedName name="programainv_4" localSheetId="67">ERR</definedName>
    <definedName name="programainv_4" localSheetId="68">ERR</definedName>
    <definedName name="programainv_4" localSheetId="55">ERR</definedName>
    <definedName name="programainv_4" localSheetId="56">ERR</definedName>
    <definedName name="programainv_4" localSheetId="57">ERR</definedName>
    <definedName name="programainv_4" localSheetId="58">ERR</definedName>
    <definedName name="programainv_4" localSheetId="59">ERR</definedName>
    <definedName name="programainv_4" localSheetId="60">ERR</definedName>
    <definedName name="programainv_4" localSheetId="61">ERR</definedName>
    <definedName name="programainv_4" localSheetId="69">ERR</definedName>
    <definedName name="programainv_4" localSheetId="78">ERR</definedName>
    <definedName name="programainv_4" localSheetId="79">ERR</definedName>
    <definedName name="programainv_4" localSheetId="80">ERR</definedName>
    <definedName name="programainv_4" localSheetId="70">ERR</definedName>
    <definedName name="programainv_4" localSheetId="71">ERR</definedName>
    <definedName name="programainv_4" localSheetId="72">ERR</definedName>
    <definedName name="programainv_4" localSheetId="73">ERR</definedName>
    <definedName name="programainv_4" localSheetId="74">ERR</definedName>
    <definedName name="programainv_4" localSheetId="75">ERR</definedName>
    <definedName name="programainv_4" localSheetId="76">ERR</definedName>
    <definedName name="programainv_4" localSheetId="77">ERR</definedName>
    <definedName name="programainv_4" localSheetId="81">ERR</definedName>
    <definedName name="programainv_4" localSheetId="89">ERR</definedName>
    <definedName name="programainv_4" localSheetId="90">ERR</definedName>
    <definedName name="programainv_4" localSheetId="91">ERR</definedName>
    <definedName name="programainv_4" localSheetId="92">ERR</definedName>
    <definedName name="programainv_4" localSheetId="93">ERR</definedName>
    <definedName name="programainv_4" localSheetId="94">ERR</definedName>
    <definedName name="programainv_4" localSheetId="95">ERR</definedName>
    <definedName name="programainv_4" localSheetId="96">ERR</definedName>
    <definedName name="programainv_4" localSheetId="82">ERR</definedName>
    <definedName name="programainv_4" localSheetId="83">ERR</definedName>
    <definedName name="programainv_4" localSheetId="84">ERR</definedName>
    <definedName name="programainv_4" localSheetId="85">ERR</definedName>
    <definedName name="programainv_4" localSheetId="86">ERR</definedName>
    <definedName name="programainv_4" localSheetId="87">ERR</definedName>
    <definedName name="programainv_4" localSheetId="88">ERR</definedName>
    <definedName name="programainv_4" localSheetId="97">ERR</definedName>
    <definedName name="programainv_4" localSheetId="105">ERR</definedName>
    <definedName name="programainv_4" localSheetId="106">ERR</definedName>
    <definedName name="programainv_4" localSheetId="107">ERR</definedName>
    <definedName name="programainv_4" localSheetId="108">ERR</definedName>
    <definedName name="programainv_4" localSheetId="109">ERR</definedName>
    <definedName name="programainv_4" localSheetId="110">ERR</definedName>
    <definedName name="programainv_4" localSheetId="111">ERR</definedName>
    <definedName name="programainv_4" localSheetId="112">ERR</definedName>
    <definedName name="programainv_4" localSheetId="113">ERR</definedName>
    <definedName name="programainv_4" localSheetId="114">ERR</definedName>
    <definedName name="programainv_4" localSheetId="98">ERR</definedName>
    <definedName name="programainv_4" localSheetId="115">ERR</definedName>
    <definedName name="programainv_4" localSheetId="116">ERR</definedName>
    <definedName name="programainv_4" localSheetId="117">ERR</definedName>
    <definedName name="programainv_4" localSheetId="118">ERR</definedName>
    <definedName name="programainv_4" localSheetId="119">ERR</definedName>
    <definedName name="programainv_4" localSheetId="99">ERR</definedName>
    <definedName name="programainv_4" localSheetId="100">ERR</definedName>
    <definedName name="programainv_4" localSheetId="101">ERR</definedName>
    <definedName name="programainv_4" localSheetId="102">ERR</definedName>
    <definedName name="programainv_4" localSheetId="103">ERR</definedName>
    <definedName name="programainv_4" localSheetId="104">ERR</definedName>
    <definedName name="programainv_4" localSheetId="120">ERR</definedName>
    <definedName name="programainv_4" localSheetId="121">ERR</definedName>
    <definedName name="programainv_4" localSheetId="122">ERR</definedName>
    <definedName name="programainv_4" localSheetId="123">ERR</definedName>
    <definedName name="programainv_4" localSheetId="124">ERR</definedName>
    <definedName name="programainv_4" localSheetId="125">ERR</definedName>
    <definedName name="programainv_4" localSheetId="126">ERR</definedName>
    <definedName name="programainv_4" localSheetId="127">ERR</definedName>
    <definedName name="programainv_4" localSheetId="128">ERR</definedName>
    <definedName name="programainv_4" localSheetId="129">ERR</definedName>
    <definedName name="programainv_4" localSheetId="130">ERR</definedName>
    <definedName name="programainv_4" localSheetId="131">ERR</definedName>
    <definedName name="programainv_4" localSheetId="9">ERR</definedName>
    <definedName name="programainv_4" localSheetId="38">ERR</definedName>
    <definedName name="programainv_4" localSheetId="2">ERR</definedName>
    <definedName name="programainv_4">ERR</definedName>
    <definedName name="programainv_5" localSheetId="20">ERR</definedName>
    <definedName name="programainv_5" localSheetId="22">ERR</definedName>
    <definedName name="programainv_5" localSheetId="33">ERR</definedName>
    <definedName name="programainv_5" localSheetId="36">ERR</definedName>
    <definedName name="programainv_5" localSheetId="47">ERR</definedName>
    <definedName name="programainv_5" localSheetId="48">ERR</definedName>
    <definedName name="programainv_5" localSheetId="51">ERR</definedName>
    <definedName name="programainv_5" localSheetId="52">ERR</definedName>
    <definedName name="programainv_5" localSheetId="53">ERR</definedName>
    <definedName name="programainv_5" localSheetId="54">ERR</definedName>
    <definedName name="programainv_5" localSheetId="62">ERR</definedName>
    <definedName name="programainv_5" localSheetId="63">ERR</definedName>
    <definedName name="programainv_5" localSheetId="64">ERR</definedName>
    <definedName name="programainv_5" localSheetId="65">ERR</definedName>
    <definedName name="programainv_5" localSheetId="66">ERR</definedName>
    <definedName name="programainv_5" localSheetId="67">ERR</definedName>
    <definedName name="programainv_5" localSheetId="68">ERR</definedName>
    <definedName name="programainv_5" localSheetId="55">ERR</definedName>
    <definedName name="programainv_5" localSheetId="56">ERR</definedName>
    <definedName name="programainv_5" localSheetId="57">ERR</definedName>
    <definedName name="programainv_5" localSheetId="58">ERR</definedName>
    <definedName name="programainv_5" localSheetId="59">ERR</definedName>
    <definedName name="programainv_5" localSheetId="60">ERR</definedName>
    <definedName name="programainv_5" localSheetId="61">ERR</definedName>
    <definedName name="programainv_5" localSheetId="69">ERR</definedName>
    <definedName name="programainv_5" localSheetId="78">ERR</definedName>
    <definedName name="programainv_5" localSheetId="79">ERR</definedName>
    <definedName name="programainv_5" localSheetId="80">ERR</definedName>
    <definedName name="programainv_5" localSheetId="70">ERR</definedName>
    <definedName name="programainv_5" localSheetId="71">ERR</definedName>
    <definedName name="programainv_5" localSheetId="72">ERR</definedName>
    <definedName name="programainv_5" localSheetId="73">ERR</definedName>
    <definedName name="programainv_5" localSheetId="74">ERR</definedName>
    <definedName name="programainv_5" localSheetId="75">ERR</definedName>
    <definedName name="programainv_5" localSheetId="76">ERR</definedName>
    <definedName name="programainv_5" localSheetId="77">ERR</definedName>
    <definedName name="programainv_5" localSheetId="81">ERR</definedName>
    <definedName name="programainv_5" localSheetId="89">ERR</definedName>
    <definedName name="programainv_5" localSheetId="90">ERR</definedName>
    <definedName name="programainv_5" localSheetId="91">ERR</definedName>
    <definedName name="programainv_5" localSheetId="92">ERR</definedName>
    <definedName name="programainv_5" localSheetId="93">ERR</definedName>
    <definedName name="programainv_5" localSheetId="94">ERR</definedName>
    <definedName name="programainv_5" localSheetId="95">ERR</definedName>
    <definedName name="programainv_5" localSheetId="96">ERR</definedName>
    <definedName name="programainv_5" localSheetId="82">ERR</definedName>
    <definedName name="programainv_5" localSheetId="83">ERR</definedName>
    <definedName name="programainv_5" localSheetId="84">ERR</definedName>
    <definedName name="programainv_5" localSheetId="85">ERR</definedName>
    <definedName name="programainv_5" localSheetId="86">ERR</definedName>
    <definedName name="programainv_5" localSheetId="87">ERR</definedName>
    <definedName name="programainv_5" localSheetId="88">ERR</definedName>
    <definedName name="programainv_5" localSheetId="97">ERR</definedName>
    <definedName name="programainv_5" localSheetId="105">ERR</definedName>
    <definedName name="programainv_5" localSheetId="106">ERR</definedName>
    <definedName name="programainv_5" localSheetId="107">ERR</definedName>
    <definedName name="programainv_5" localSheetId="108">ERR</definedName>
    <definedName name="programainv_5" localSheetId="109">ERR</definedName>
    <definedName name="programainv_5" localSheetId="110">ERR</definedName>
    <definedName name="programainv_5" localSheetId="111">ERR</definedName>
    <definedName name="programainv_5" localSheetId="112">ERR</definedName>
    <definedName name="programainv_5" localSheetId="113">ERR</definedName>
    <definedName name="programainv_5" localSheetId="114">ERR</definedName>
    <definedName name="programainv_5" localSheetId="98">ERR</definedName>
    <definedName name="programainv_5" localSheetId="115">ERR</definedName>
    <definedName name="programainv_5" localSheetId="116">ERR</definedName>
    <definedName name="programainv_5" localSheetId="117">ERR</definedName>
    <definedName name="programainv_5" localSheetId="118">ERR</definedName>
    <definedName name="programainv_5" localSheetId="119">ERR</definedName>
    <definedName name="programainv_5" localSheetId="99">ERR</definedName>
    <definedName name="programainv_5" localSheetId="100">ERR</definedName>
    <definedName name="programainv_5" localSheetId="101">ERR</definedName>
    <definedName name="programainv_5" localSheetId="102">ERR</definedName>
    <definedName name="programainv_5" localSheetId="103">ERR</definedName>
    <definedName name="programainv_5" localSheetId="104">ERR</definedName>
    <definedName name="programainv_5" localSheetId="120">ERR</definedName>
    <definedName name="programainv_5" localSheetId="121">ERR</definedName>
    <definedName name="programainv_5" localSheetId="122">ERR</definedName>
    <definedName name="programainv_5" localSheetId="123">ERR</definedName>
    <definedName name="programainv_5" localSheetId="124">ERR</definedName>
    <definedName name="programainv_5" localSheetId="125">ERR</definedName>
    <definedName name="programainv_5" localSheetId="126">ERR</definedName>
    <definedName name="programainv_5" localSheetId="127">ERR</definedName>
    <definedName name="programainv_5" localSheetId="128">ERR</definedName>
    <definedName name="programainv_5" localSheetId="129">ERR</definedName>
    <definedName name="programainv_5" localSheetId="130">ERR</definedName>
    <definedName name="programainv_5" localSheetId="131">ERR</definedName>
    <definedName name="programainv_5" localSheetId="9">ERR</definedName>
    <definedName name="programainv_5" localSheetId="38">ERR</definedName>
    <definedName name="programainv_5" localSheetId="2">ERR</definedName>
    <definedName name="programainv_5">ERR</definedName>
    <definedName name="programainv_6" localSheetId="20">ERR</definedName>
    <definedName name="programainv_6" localSheetId="22">ERR</definedName>
    <definedName name="programainv_6" localSheetId="33">ERR</definedName>
    <definedName name="programainv_6" localSheetId="36">ERR</definedName>
    <definedName name="programainv_6" localSheetId="47">ERR</definedName>
    <definedName name="programainv_6" localSheetId="48">ERR</definedName>
    <definedName name="programainv_6" localSheetId="51">ERR</definedName>
    <definedName name="programainv_6" localSheetId="52">ERR</definedName>
    <definedName name="programainv_6" localSheetId="53">ERR</definedName>
    <definedName name="programainv_6" localSheetId="54">ERR</definedName>
    <definedName name="programainv_6" localSheetId="62">ERR</definedName>
    <definedName name="programainv_6" localSheetId="63">ERR</definedName>
    <definedName name="programainv_6" localSheetId="64">ERR</definedName>
    <definedName name="programainv_6" localSheetId="65">ERR</definedName>
    <definedName name="programainv_6" localSheetId="66">ERR</definedName>
    <definedName name="programainv_6" localSheetId="67">ERR</definedName>
    <definedName name="programainv_6" localSheetId="68">ERR</definedName>
    <definedName name="programainv_6" localSheetId="55">ERR</definedName>
    <definedName name="programainv_6" localSheetId="56">ERR</definedName>
    <definedName name="programainv_6" localSheetId="57">ERR</definedName>
    <definedName name="programainv_6" localSheetId="58">ERR</definedName>
    <definedName name="programainv_6" localSheetId="59">ERR</definedName>
    <definedName name="programainv_6" localSheetId="60">ERR</definedName>
    <definedName name="programainv_6" localSheetId="61">ERR</definedName>
    <definedName name="programainv_6" localSheetId="69">ERR</definedName>
    <definedName name="programainv_6" localSheetId="78">ERR</definedName>
    <definedName name="programainv_6" localSheetId="79">ERR</definedName>
    <definedName name="programainv_6" localSheetId="80">ERR</definedName>
    <definedName name="programainv_6" localSheetId="70">ERR</definedName>
    <definedName name="programainv_6" localSheetId="71">ERR</definedName>
    <definedName name="programainv_6" localSheetId="72">ERR</definedName>
    <definedName name="programainv_6" localSheetId="73">ERR</definedName>
    <definedName name="programainv_6" localSheetId="74">ERR</definedName>
    <definedName name="programainv_6" localSheetId="75">ERR</definedName>
    <definedName name="programainv_6" localSheetId="76">ERR</definedName>
    <definedName name="programainv_6" localSheetId="77">ERR</definedName>
    <definedName name="programainv_6" localSheetId="81">ERR</definedName>
    <definedName name="programainv_6" localSheetId="89">ERR</definedName>
    <definedName name="programainv_6" localSheetId="90">ERR</definedName>
    <definedName name="programainv_6" localSheetId="91">ERR</definedName>
    <definedName name="programainv_6" localSheetId="92">ERR</definedName>
    <definedName name="programainv_6" localSheetId="93">ERR</definedName>
    <definedName name="programainv_6" localSheetId="94">ERR</definedName>
    <definedName name="programainv_6" localSheetId="95">ERR</definedName>
    <definedName name="programainv_6" localSheetId="96">ERR</definedName>
    <definedName name="programainv_6" localSheetId="82">ERR</definedName>
    <definedName name="programainv_6" localSheetId="83">ERR</definedName>
    <definedName name="programainv_6" localSheetId="84">ERR</definedName>
    <definedName name="programainv_6" localSheetId="85">ERR</definedName>
    <definedName name="programainv_6" localSheetId="86">ERR</definedName>
    <definedName name="programainv_6" localSheetId="87">ERR</definedName>
    <definedName name="programainv_6" localSheetId="88">ERR</definedName>
    <definedName name="programainv_6" localSheetId="97">ERR</definedName>
    <definedName name="programainv_6" localSheetId="105">ERR</definedName>
    <definedName name="programainv_6" localSheetId="106">ERR</definedName>
    <definedName name="programainv_6" localSheetId="107">ERR</definedName>
    <definedName name="programainv_6" localSheetId="108">ERR</definedName>
    <definedName name="programainv_6" localSheetId="109">ERR</definedName>
    <definedName name="programainv_6" localSheetId="110">ERR</definedName>
    <definedName name="programainv_6" localSheetId="111">ERR</definedName>
    <definedName name="programainv_6" localSheetId="112">ERR</definedName>
    <definedName name="programainv_6" localSheetId="113">ERR</definedName>
    <definedName name="programainv_6" localSheetId="114">ERR</definedName>
    <definedName name="programainv_6" localSheetId="98">ERR</definedName>
    <definedName name="programainv_6" localSheetId="115">ERR</definedName>
    <definedName name="programainv_6" localSheetId="116">ERR</definedName>
    <definedName name="programainv_6" localSheetId="117">ERR</definedName>
    <definedName name="programainv_6" localSheetId="118">ERR</definedName>
    <definedName name="programainv_6" localSheetId="119">ERR</definedName>
    <definedName name="programainv_6" localSheetId="99">ERR</definedName>
    <definedName name="programainv_6" localSheetId="100">ERR</definedName>
    <definedName name="programainv_6" localSheetId="101">ERR</definedName>
    <definedName name="programainv_6" localSheetId="102">ERR</definedName>
    <definedName name="programainv_6" localSheetId="103">ERR</definedName>
    <definedName name="programainv_6" localSheetId="104">ERR</definedName>
    <definedName name="programainv_6" localSheetId="120">ERR</definedName>
    <definedName name="programainv_6" localSheetId="121">ERR</definedName>
    <definedName name="programainv_6" localSheetId="122">ERR</definedName>
    <definedName name="programainv_6" localSheetId="123">ERR</definedName>
    <definedName name="programainv_6" localSheetId="124">ERR</definedName>
    <definedName name="programainv_6" localSheetId="125">ERR</definedName>
    <definedName name="programainv_6" localSheetId="126">ERR</definedName>
    <definedName name="programainv_6" localSheetId="127">ERR</definedName>
    <definedName name="programainv_6" localSheetId="128">ERR</definedName>
    <definedName name="programainv_6" localSheetId="129">ERR</definedName>
    <definedName name="programainv_6" localSheetId="130">ERR</definedName>
    <definedName name="programainv_6" localSheetId="131">ERR</definedName>
    <definedName name="programainv_6" localSheetId="9">ERR</definedName>
    <definedName name="programainv_6" localSheetId="38">ERR</definedName>
    <definedName name="programainv_6" localSheetId="2">ERR</definedName>
    <definedName name="programainv_6">ERR</definedName>
    <definedName name="programainv_7" localSheetId="20">ERR</definedName>
    <definedName name="programainv_7" localSheetId="22">ERR</definedName>
    <definedName name="programainv_7" localSheetId="33">ERR</definedName>
    <definedName name="programainv_7" localSheetId="36">ERR</definedName>
    <definedName name="programainv_7" localSheetId="47">ERR</definedName>
    <definedName name="programainv_7" localSheetId="48">ERR</definedName>
    <definedName name="programainv_7" localSheetId="51">ERR</definedName>
    <definedName name="programainv_7" localSheetId="52">ERR</definedName>
    <definedName name="programainv_7" localSheetId="53">ERR</definedName>
    <definedName name="programainv_7" localSheetId="54">ERR</definedName>
    <definedName name="programainv_7" localSheetId="62">ERR</definedName>
    <definedName name="programainv_7" localSheetId="63">ERR</definedName>
    <definedName name="programainv_7" localSheetId="64">ERR</definedName>
    <definedName name="programainv_7" localSheetId="65">ERR</definedName>
    <definedName name="programainv_7" localSheetId="66">ERR</definedName>
    <definedName name="programainv_7" localSheetId="67">ERR</definedName>
    <definedName name="programainv_7" localSheetId="68">ERR</definedName>
    <definedName name="programainv_7" localSheetId="55">ERR</definedName>
    <definedName name="programainv_7" localSheetId="56">ERR</definedName>
    <definedName name="programainv_7" localSheetId="57">ERR</definedName>
    <definedName name="programainv_7" localSheetId="58">ERR</definedName>
    <definedName name="programainv_7" localSheetId="59">ERR</definedName>
    <definedName name="programainv_7" localSheetId="60">ERR</definedName>
    <definedName name="programainv_7" localSheetId="61">ERR</definedName>
    <definedName name="programainv_7" localSheetId="69">ERR</definedName>
    <definedName name="programainv_7" localSheetId="78">ERR</definedName>
    <definedName name="programainv_7" localSheetId="79">ERR</definedName>
    <definedName name="programainv_7" localSheetId="80">ERR</definedName>
    <definedName name="programainv_7" localSheetId="70">ERR</definedName>
    <definedName name="programainv_7" localSheetId="71">ERR</definedName>
    <definedName name="programainv_7" localSheetId="72">ERR</definedName>
    <definedName name="programainv_7" localSheetId="73">ERR</definedName>
    <definedName name="programainv_7" localSheetId="74">ERR</definedName>
    <definedName name="programainv_7" localSheetId="75">ERR</definedName>
    <definedName name="programainv_7" localSheetId="76">ERR</definedName>
    <definedName name="programainv_7" localSheetId="77">ERR</definedName>
    <definedName name="programainv_7" localSheetId="81">ERR</definedName>
    <definedName name="programainv_7" localSheetId="89">ERR</definedName>
    <definedName name="programainv_7" localSheetId="90">ERR</definedName>
    <definedName name="programainv_7" localSheetId="91">ERR</definedName>
    <definedName name="programainv_7" localSheetId="92">ERR</definedName>
    <definedName name="programainv_7" localSheetId="93">ERR</definedName>
    <definedName name="programainv_7" localSheetId="94">ERR</definedName>
    <definedName name="programainv_7" localSheetId="95">ERR</definedName>
    <definedName name="programainv_7" localSheetId="96">ERR</definedName>
    <definedName name="programainv_7" localSheetId="82">ERR</definedName>
    <definedName name="programainv_7" localSheetId="83">ERR</definedName>
    <definedName name="programainv_7" localSheetId="84">ERR</definedName>
    <definedName name="programainv_7" localSheetId="85">ERR</definedName>
    <definedName name="programainv_7" localSheetId="86">ERR</definedName>
    <definedName name="programainv_7" localSheetId="87">ERR</definedName>
    <definedName name="programainv_7" localSheetId="88">ERR</definedName>
    <definedName name="programainv_7" localSheetId="97">ERR</definedName>
    <definedName name="programainv_7" localSheetId="105">ERR</definedName>
    <definedName name="programainv_7" localSheetId="106">ERR</definedName>
    <definedName name="programainv_7" localSheetId="107">ERR</definedName>
    <definedName name="programainv_7" localSheetId="108">ERR</definedName>
    <definedName name="programainv_7" localSheetId="109">ERR</definedName>
    <definedName name="programainv_7" localSheetId="110">ERR</definedName>
    <definedName name="programainv_7" localSheetId="111">ERR</definedName>
    <definedName name="programainv_7" localSheetId="112">ERR</definedName>
    <definedName name="programainv_7" localSheetId="113">ERR</definedName>
    <definedName name="programainv_7" localSheetId="114">ERR</definedName>
    <definedName name="programainv_7" localSheetId="98">ERR</definedName>
    <definedName name="programainv_7" localSheetId="115">ERR</definedName>
    <definedName name="programainv_7" localSheetId="116">ERR</definedName>
    <definedName name="programainv_7" localSheetId="117">ERR</definedName>
    <definedName name="programainv_7" localSheetId="118">ERR</definedName>
    <definedName name="programainv_7" localSheetId="119">ERR</definedName>
    <definedName name="programainv_7" localSheetId="99">ERR</definedName>
    <definedName name="programainv_7" localSheetId="100">ERR</definedName>
    <definedName name="programainv_7" localSheetId="101">ERR</definedName>
    <definedName name="programainv_7" localSheetId="102">ERR</definedName>
    <definedName name="programainv_7" localSheetId="103">ERR</definedName>
    <definedName name="programainv_7" localSheetId="104">ERR</definedName>
    <definedName name="programainv_7" localSheetId="120">ERR</definedName>
    <definedName name="programainv_7" localSheetId="121">ERR</definedName>
    <definedName name="programainv_7" localSheetId="122">ERR</definedName>
    <definedName name="programainv_7" localSheetId="123">ERR</definedName>
    <definedName name="programainv_7" localSheetId="124">ERR</definedName>
    <definedName name="programainv_7" localSheetId="125">ERR</definedName>
    <definedName name="programainv_7" localSheetId="126">ERR</definedName>
    <definedName name="programainv_7" localSheetId="127">ERR</definedName>
    <definedName name="programainv_7" localSheetId="128">ERR</definedName>
    <definedName name="programainv_7" localSheetId="129">ERR</definedName>
    <definedName name="programainv_7" localSheetId="130">ERR</definedName>
    <definedName name="programainv_7" localSheetId="131">ERR</definedName>
    <definedName name="programainv_7" localSheetId="9">ERR</definedName>
    <definedName name="programainv_7" localSheetId="38">ERR</definedName>
    <definedName name="programainv_7" localSheetId="2">ERR</definedName>
    <definedName name="programainv_7">ERR</definedName>
    <definedName name="programainv_8" localSheetId="20">ERR</definedName>
    <definedName name="programainv_8" localSheetId="22">ERR</definedName>
    <definedName name="programainv_8" localSheetId="33">ERR</definedName>
    <definedName name="programainv_8" localSheetId="36">ERR</definedName>
    <definedName name="programainv_8" localSheetId="47">ERR</definedName>
    <definedName name="programainv_8" localSheetId="48">ERR</definedName>
    <definedName name="programainv_8" localSheetId="51">ERR</definedName>
    <definedName name="programainv_8" localSheetId="52">ERR</definedName>
    <definedName name="programainv_8" localSheetId="53">ERR</definedName>
    <definedName name="programainv_8" localSheetId="54">ERR</definedName>
    <definedName name="programainv_8" localSheetId="62">ERR</definedName>
    <definedName name="programainv_8" localSheetId="63">ERR</definedName>
    <definedName name="programainv_8" localSheetId="64">ERR</definedName>
    <definedName name="programainv_8" localSheetId="65">ERR</definedName>
    <definedName name="programainv_8" localSheetId="66">ERR</definedName>
    <definedName name="programainv_8" localSheetId="67">ERR</definedName>
    <definedName name="programainv_8" localSheetId="68">ERR</definedName>
    <definedName name="programainv_8" localSheetId="55">ERR</definedName>
    <definedName name="programainv_8" localSheetId="56">ERR</definedName>
    <definedName name="programainv_8" localSheetId="57">ERR</definedName>
    <definedName name="programainv_8" localSheetId="58">ERR</definedName>
    <definedName name="programainv_8" localSheetId="59">ERR</definedName>
    <definedName name="programainv_8" localSheetId="60">ERR</definedName>
    <definedName name="programainv_8" localSheetId="61">ERR</definedName>
    <definedName name="programainv_8" localSheetId="69">ERR</definedName>
    <definedName name="programainv_8" localSheetId="78">ERR</definedName>
    <definedName name="programainv_8" localSheetId="79">ERR</definedName>
    <definedName name="programainv_8" localSheetId="80">ERR</definedName>
    <definedName name="programainv_8" localSheetId="70">ERR</definedName>
    <definedName name="programainv_8" localSheetId="71">ERR</definedName>
    <definedName name="programainv_8" localSheetId="72">ERR</definedName>
    <definedName name="programainv_8" localSheetId="73">ERR</definedName>
    <definedName name="programainv_8" localSheetId="74">ERR</definedName>
    <definedName name="programainv_8" localSheetId="75">ERR</definedName>
    <definedName name="programainv_8" localSheetId="76">ERR</definedName>
    <definedName name="programainv_8" localSheetId="77">ERR</definedName>
    <definedName name="programainv_8" localSheetId="81">ERR</definedName>
    <definedName name="programainv_8" localSheetId="89">ERR</definedName>
    <definedName name="programainv_8" localSheetId="90">ERR</definedName>
    <definedName name="programainv_8" localSheetId="91">ERR</definedName>
    <definedName name="programainv_8" localSheetId="92">ERR</definedName>
    <definedName name="programainv_8" localSheetId="93">ERR</definedName>
    <definedName name="programainv_8" localSheetId="94">ERR</definedName>
    <definedName name="programainv_8" localSheetId="95">ERR</definedName>
    <definedName name="programainv_8" localSheetId="96">ERR</definedName>
    <definedName name="programainv_8" localSheetId="82">ERR</definedName>
    <definedName name="programainv_8" localSheetId="83">ERR</definedName>
    <definedName name="programainv_8" localSheetId="84">ERR</definedName>
    <definedName name="programainv_8" localSheetId="85">ERR</definedName>
    <definedName name="programainv_8" localSheetId="86">ERR</definedName>
    <definedName name="programainv_8" localSheetId="87">ERR</definedName>
    <definedName name="programainv_8" localSheetId="88">ERR</definedName>
    <definedName name="programainv_8" localSheetId="97">ERR</definedName>
    <definedName name="programainv_8" localSheetId="105">ERR</definedName>
    <definedName name="programainv_8" localSheetId="106">ERR</definedName>
    <definedName name="programainv_8" localSheetId="107">ERR</definedName>
    <definedName name="programainv_8" localSheetId="108">ERR</definedName>
    <definedName name="programainv_8" localSheetId="109">ERR</definedName>
    <definedName name="programainv_8" localSheetId="110">ERR</definedName>
    <definedName name="programainv_8" localSheetId="111">ERR</definedName>
    <definedName name="programainv_8" localSheetId="112">ERR</definedName>
    <definedName name="programainv_8" localSheetId="113">ERR</definedName>
    <definedName name="programainv_8" localSheetId="114">ERR</definedName>
    <definedName name="programainv_8" localSheetId="98">ERR</definedName>
    <definedName name="programainv_8" localSheetId="115">ERR</definedName>
    <definedName name="programainv_8" localSheetId="116">ERR</definedName>
    <definedName name="programainv_8" localSheetId="117">ERR</definedName>
    <definedName name="programainv_8" localSheetId="118">ERR</definedName>
    <definedName name="programainv_8" localSheetId="119">ERR</definedName>
    <definedName name="programainv_8" localSheetId="99">ERR</definedName>
    <definedName name="programainv_8" localSheetId="100">ERR</definedName>
    <definedName name="programainv_8" localSheetId="101">ERR</definedName>
    <definedName name="programainv_8" localSheetId="102">ERR</definedName>
    <definedName name="programainv_8" localSheetId="103">ERR</definedName>
    <definedName name="programainv_8" localSheetId="104">ERR</definedName>
    <definedName name="programainv_8" localSheetId="120">ERR</definedName>
    <definedName name="programainv_8" localSheetId="121">ERR</definedName>
    <definedName name="programainv_8" localSheetId="122">ERR</definedName>
    <definedName name="programainv_8" localSheetId="123">ERR</definedName>
    <definedName name="programainv_8" localSheetId="124">ERR</definedName>
    <definedName name="programainv_8" localSheetId="125">ERR</definedName>
    <definedName name="programainv_8" localSheetId="126">ERR</definedName>
    <definedName name="programainv_8" localSheetId="127">ERR</definedName>
    <definedName name="programainv_8" localSheetId="128">ERR</definedName>
    <definedName name="programainv_8" localSheetId="129">ERR</definedName>
    <definedName name="programainv_8" localSheetId="130">ERR</definedName>
    <definedName name="programainv_8" localSheetId="131">ERR</definedName>
    <definedName name="programainv_8" localSheetId="9">ERR</definedName>
    <definedName name="programainv_8" localSheetId="38">ERR</definedName>
    <definedName name="programainv_8" localSheetId="2">ERR</definedName>
    <definedName name="programainv_8">ERR</definedName>
    <definedName name="programainv_9" localSheetId="20">ERR</definedName>
    <definedName name="programainv_9" localSheetId="22">ERR</definedName>
    <definedName name="programainv_9" localSheetId="33">ERR</definedName>
    <definedName name="programainv_9" localSheetId="36">ERR</definedName>
    <definedName name="programainv_9" localSheetId="47">ERR</definedName>
    <definedName name="programainv_9" localSheetId="48">ERR</definedName>
    <definedName name="programainv_9" localSheetId="51">ERR</definedName>
    <definedName name="programainv_9" localSheetId="52">ERR</definedName>
    <definedName name="programainv_9" localSheetId="53">ERR</definedName>
    <definedName name="programainv_9" localSheetId="54">ERR</definedName>
    <definedName name="programainv_9" localSheetId="62">ERR</definedName>
    <definedName name="programainv_9" localSheetId="63">ERR</definedName>
    <definedName name="programainv_9" localSheetId="64">ERR</definedName>
    <definedName name="programainv_9" localSheetId="65">ERR</definedName>
    <definedName name="programainv_9" localSheetId="66">ERR</definedName>
    <definedName name="programainv_9" localSheetId="67">ERR</definedName>
    <definedName name="programainv_9" localSheetId="68">ERR</definedName>
    <definedName name="programainv_9" localSheetId="55">ERR</definedName>
    <definedName name="programainv_9" localSheetId="56">ERR</definedName>
    <definedName name="programainv_9" localSheetId="57">ERR</definedName>
    <definedName name="programainv_9" localSheetId="58">ERR</definedName>
    <definedName name="programainv_9" localSheetId="59">ERR</definedName>
    <definedName name="programainv_9" localSheetId="60">ERR</definedName>
    <definedName name="programainv_9" localSheetId="61">ERR</definedName>
    <definedName name="programainv_9" localSheetId="69">ERR</definedName>
    <definedName name="programainv_9" localSheetId="78">ERR</definedName>
    <definedName name="programainv_9" localSheetId="79">ERR</definedName>
    <definedName name="programainv_9" localSheetId="80">ERR</definedName>
    <definedName name="programainv_9" localSheetId="70">ERR</definedName>
    <definedName name="programainv_9" localSheetId="71">ERR</definedName>
    <definedName name="programainv_9" localSheetId="72">ERR</definedName>
    <definedName name="programainv_9" localSheetId="73">ERR</definedName>
    <definedName name="programainv_9" localSheetId="74">ERR</definedName>
    <definedName name="programainv_9" localSheetId="75">ERR</definedName>
    <definedName name="programainv_9" localSheetId="76">ERR</definedName>
    <definedName name="programainv_9" localSheetId="77">ERR</definedName>
    <definedName name="programainv_9" localSheetId="81">ERR</definedName>
    <definedName name="programainv_9" localSheetId="89">ERR</definedName>
    <definedName name="programainv_9" localSheetId="90">ERR</definedName>
    <definedName name="programainv_9" localSheetId="91">ERR</definedName>
    <definedName name="programainv_9" localSheetId="92">ERR</definedName>
    <definedName name="programainv_9" localSheetId="93">ERR</definedName>
    <definedName name="programainv_9" localSheetId="94">ERR</definedName>
    <definedName name="programainv_9" localSheetId="95">ERR</definedName>
    <definedName name="programainv_9" localSheetId="96">ERR</definedName>
    <definedName name="programainv_9" localSheetId="82">ERR</definedName>
    <definedName name="programainv_9" localSheetId="83">ERR</definedName>
    <definedName name="programainv_9" localSheetId="84">ERR</definedName>
    <definedName name="programainv_9" localSheetId="85">ERR</definedName>
    <definedName name="programainv_9" localSheetId="86">ERR</definedName>
    <definedName name="programainv_9" localSheetId="87">ERR</definedName>
    <definedName name="programainv_9" localSheetId="88">ERR</definedName>
    <definedName name="programainv_9" localSheetId="97">ERR</definedName>
    <definedName name="programainv_9" localSheetId="105">ERR</definedName>
    <definedName name="programainv_9" localSheetId="106">ERR</definedName>
    <definedName name="programainv_9" localSheetId="107">ERR</definedName>
    <definedName name="programainv_9" localSheetId="108">ERR</definedName>
    <definedName name="programainv_9" localSheetId="109">ERR</definedName>
    <definedName name="programainv_9" localSheetId="110">ERR</definedName>
    <definedName name="programainv_9" localSheetId="111">ERR</definedName>
    <definedName name="programainv_9" localSheetId="112">ERR</definedName>
    <definedName name="programainv_9" localSheetId="113">ERR</definedName>
    <definedName name="programainv_9" localSheetId="114">ERR</definedName>
    <definedName name="programainv_9" localSheetId="98">ERR</definedName>
    <definedName name="programainv_9" localSheetId="115">ERR</definedName>
    <definedName name="programainv_9" localSheetId="116">ERR</definedName>
    <definedName name="programainv_9" localSheetId="117">ERR</definedName>
    <definedName name="programainv_9" localSheetId="118">ERR</definedName>
    <definedName name="programainv_9" localSheetId="119">ERR</definedName>
    <definedName name="programainv_9" localSheetId="99">ERR</definedName>
    <definedName name="programainv_9" localSheetId="100">ERR</definedName>
    <definedName name="programainv_9" localSheetId="101">ERR</definedName>
    <definedName name="programainv_9" localSheetId="102">ERR</definedName>
    <definedName name="programainv_9" localSheetId="103">ERR</definedName>
    <definedName name="programainv_9" localSheetId="104">ERR</definedName>
    <definedName name="programainv_9" localSheetId="120">ERR</definedName>
    <definedName name="programainv_9" localSheetId="121">ERR</definedName>
    <definedName name="programainv_9" localSheetId="122">ERR</definedName>
    <definedName name="programainv_9" localSheetId="123">ERR</definedName>
    <definedName name="programainv_9" localSheetId="124">ERR</definedName>
    <definedName name="programainv_9" localSheetId="125">ERR</definedName>
    <definedName name="programainv_9" localSheetId="126">ERR</definedName>
    <definedName name="programainv_9" localSheetId="127">ERR</definedName>
    <definedName name="programainv_9" localSheetId="128">ERR</definedName>
    <definedName name="programainv_9" localSheetId="129">ERR</definedName>
    <definedName name="programainv_9" localSheetId="130">ERR</definedName>
    <definedName name="programainv_9" localSheetId="131">ERR</definedName>
    <definedName name="programainv_9" localSheetId="9">ERR</definedName>
    <definedName name="programainv_9" localSheetId="38">ERR</definedName>
    <definedName name="programainv_9" localSheetId="2">ERR</definedName>
    <definedName name="programainv_9">ERR</definedName>
    <definedName name="RDN">[10]Hoja1!$G$7</definedName>
    <definedName name="REICIO" localSheetId="20">[0]!ERR</definedName>
    <definedName name="REICIO" localSheetId="22">[0]!ERR</definedName>
    <definedName name="REICIO" localSheetId="33">[0]!ERR</definedName>
    <definedName name="REICIO" localSheetId="36">[0]!ERR</definedName>
    <definedName name="REICIO" localSheetId="47">[0]!ERR</definedName>
    <definedName name="REICIO" localSheetId="48">[0]!ERR</definedName>
    <definedName name="REICIO" localSheetId="51">[0]!ERR</definedName>
    <definedName name="REICIO" localSheetId="52">[0]!ERR</definedName>
    <definedName name="REICIO" localSheetId="53">[0]!ERR</definedName>
    <definedName name="REICIO" localSheetId="54">[0]!ERR</definedName>
    <definedName name="REICIO" localSheetId="62">[0]!ERR</definedName>
    <definedName name="REICIO" localSheetId="63">[0]!ERR</definedName>
    <definedName name="REICIO" localSheetId="64">[0]!ERR</definedName>
    <definedName name="REICIO" localSheetId="65">[0]!ERR</definedName>
    <definedName name="REICIO" localSheetId="66">[0]!ERR</definedName>
    <definedName name="REICIO" localSheetId="67">[0]!ERR</definedName>
    <definedName name="REICIO" localSheetId="68">[0]!ERR</definedName>
    <definedName name="REICIO" localSheetId="55">[0]!ERR</definedName>
    <definedName name="REICIO" localSheetId="56">[0]!ERR</definedName>
    <definedName name="REICIO" localSheetId="57">[0]!ERR</definedName>
    <definedName name="REICIO" localSheetId="58">[0]!ERR</definedName>
    <definedName name="REICIO" localSheetId="59">[0]!ERR</definedName>
    <definedName name="REICIO" localSheetId="60">[0]!ERR</definedName>
    <definedName name="REICIO" localSheetId="61">[0]!ERR</definedName>
    <definedName name="REICIO" localSheetId="69">[0]!ERR</definedName>
    <definedName name="REICIO" localSheetId="78">[0]!ERR</definedName>
    <definedName name="REICIO" localSheetId="79">[0]!ERR</definedName>
    <definedName name="REICIO" localSheetId="80">[0]!ERR</definedName>
    <definedName name="REICIO" localSheetId="70">[0]!ERR</definedName>
    <definedName name="REICIO" localSheetId="71">[0]!ERR</definedName>
    <definedName name="REICIO" localSheetId="72">[0]!ERR</definedName>
    <definedName name="REICIO" localSheetId="73">[0]!ERR</definedName>
    <definedName name="REICIO" localSheetId="74">[0]!ERR</definedName>
    <definedName name="REICIO" localSheetId="75">[0]!ERR</definedName>
    <definedName name="REICIO" localSheetId="76">[0]!ERR</definedName>
    <definedName name="REICIO" localSheetId="77">[0]!ERR</definedName>
    <definedName name="REICIO" localSheetId="81">[0]!ERR</definedName>
    <definedName name="REICIO" localSheetId="89">[0]!ERR</definedName>
    <definedName name="REICIO" localSheetId="90">[0]!ERR</definedName>
    <definedName name="REICIO" localSheetId="91">[0]!ERR</definedName>
    <definedName name="REICIO" localSheetId="92">[0]!ERR</definedName>
    <definedName name="REICIO" localSheetId="93">[0]!ERR</definedName>
    <definedName name="REICIO" localSheetId="94">[0]!ERR</definedName>
    <definedName name="REICIO" localSheetId="95">[0]!ERR</definedName>
    <definedName name="REICIO" localSheetId="96">[0]!ERR</definedName>
    <definedName name="REICIO" localSheetId="82">[0]!ERR</definedName>
    <definedName name="REICIO" localSheetId="83">[0]!ERR</definedName>
    <definedName name="REICIO" localSheetId="84">[0]!ERR</definedName>
    <definedName name="REICIO" localSheetId="85">[0]!ERR</definedName>
    <definedName name="REICIO" localSheetId="86">[0]!ERR</definedName>
    <definedName name="REICIO" localSheetId="87">[0]!ERR</definedName>
    <definedName name="REICIO" localSheetId="88">[0]!ERR</definedName>
    <definedName name="REICIO" localSheetId="97">[0]!ERR</definedName>
    <definedName name="REICIO" localSheetId="105">[0]!ERR</definedName>
    <definedName name="REICIO" localSheetId="106">[0]!ERR</definedName>
    <definedName name="REICIO" localSheetId="107">[0]!ERR</definedName>
    <definedName name="REICIO" localSheetId="108">[0]!ERR</definedName>
    <definedName name="REICIO" localSheetId="109">[0]!ERR</definedName>
    <definedName name="REICIO" localSheetId="110">[0]!ERR</definedName>
    <definedName name="REICIO" localSheetId="111">[0]!ERR</definedName>
    <definedName name="REICIO" localSheetId="112">[0]!ERR</definedName>
    <definedName name="REICIO" localSheetId="113">[0]!ERR</definedName>
    <definedName name="REICIO" localSheetId="114">[0]!ERR</definedName>
    <definedName name="REICIO" localSheetId="98">[0]!ERR</definedName>
    <definedName name="REICIO" localSheetId="115">[0]!ERR</definedName>
    <definedName name="REICIO" localSheetId="116">[0]!ERR</definedName>
    <definedName name="REICIO" localSheetId="117">[0]!ERR</definedName>
    <definedName name="REICIO" localSheetId="118">[0]!ERR</definedName>
    <definedName name="REICIO" localSheetId="119">[0]!ERR</definedName>
    <definedName name="REICIO" localSheetId="99">[0]!ERR</definedName>
    <definedName name="REICIO" localSheetId="100">[0]!ERR</definedName>
    <definedName name="REICIO" localSheetId="101">[0]!ERR</definedName>
    <definedName name="REICIO" localSheetId="102">[0]!ERR</definedName>
    <definedName name="REICIO" localSheetId="103">[0]!ERR</definedName>
    <definedName name="REICIO" localSheetId="104">[0]!ERR</definedName>
    <definedName name="REICIO" localSheetId="120">[0]!ERR</definedName>
    <definedName name="REICIO" localSheetId="121">[0]!ERR</definedName>
    <definedName name="REICIO" localSheetId="122">[0]!ERR</definedName>
    <definedName name="REICIO" localSheetId="123">[0]!ERR</definedName>
    <definedName name="REICIO" localSheetId="124">[0]!ERR</definedName>
    <definedName name="REICIO" localSheetId="125">[0]!ERR</definedName>
    <definedName name="REICIO" localSheetId="126">[0]!ERR</definedName>
    <definedName name="REICIO" localSheetId="127">[0]!ERR</definedName>
    <definedName name="REICIO" localSheetId="128">[0]!ERR</definedName>
    <definedName name="REICIO" localSheetId="129">[0]!ERR</definedName>
    <definedName name="REICIO" localSheetId="130">[0]!ERR</definedName>
    <definedName name="REICIO" localSheetId="131">[0]!ERR</definedName>
    <definedName name="REICIO" localSheetId="38">[0]!ERR</definedName>
    <definedName name="REICIO" localSheetId="2">[0]!ERR</definedName>
    <definedName name="REICIO">[0]!ERR</definedName>
    <definedName name="REICIO_10" localSheetId="20">ERR</definedName>
    <definedName name="REICIO_10" localSheetId="22">ERR</definedName>
    <definedName name="REICIO_10" localSheetId="33">ERR</definedName>
    <definedName name="REICIO_10" localSheetId="36">ERR</definedName>
    <definedName name="REICIO_10" localSheetId="47">ERR</definedName>
    <definedName name="REICIO_10" localSheetId="48">ERR</definedName>
    <definedName name="REICIO_10" localSheetId="51">ERR</definedName>
    <definedName name="REICIO_10" localSheetId="52">ERR</definedName>
    <definedName name="REICIO_10" localSheetId="53">ERR</definedName>
    <definedName name="REICIO_10" localSheetId="54">ERR</definedName>
    <definedName name="REICIO_10" localSheetId="62">ERR</definedName>
    <definedName name="REICIO_10" localSheetId="63">ERR</definedName>
    <definedName name="REICIO_10" localSheetId="64">ERR</definedName>
    <definedName name="REICIO_10" localSheetId="65">ERR</definedName>
    <definedName name="REICIO_10" localSheetId="66">ERR</definedName>
    <definedName name="REICIO_10" localSheetId="67">ERR</definedName>
    <definedName name="REICIO_10" localSheetId="68">ERR</definedName>
    <definedName name="REICIO_10" localSheetId="55">ERR</definedName>
    <definedName name="REICIO_10" localSheetId="56">ERR</definedName>
    <definedName name="REICIO_10" localSheetId="57">ERR</definedName>
    <definedName name="REICIO_10" localSheetId="58">ERR</definedName>
    <definedName name="REICIO_10" localSheetId="59">ERR</definedName>
    <definedName name="REICIO_10" localSheetId="60">ERR</definedName>
    <definedName name="REICIO_10" localSheetId="61">ERR</definedName>
    <definedName name="REICIO_10" localSheetId="69">ERR</definedName>
    <definedName name="REICIO_10" localSheetId="78">ERR</definedName>
    <definedName name="REICIO_10" localSheetId="79">ERR</definedName>
    <definedName name="REICIO_10" localSheetId="80">ERR</definedName>
    <definedName name="REICIO_10" localSheetId="70">ERR</definedName>
    <definedName name="REICIO_10" localSheetId="71">ERR</definedName>
    <definedName name="REICIO_10" localSheetId="72">ERR</definedName>
    <definedName name="REICIO_10" localSheetId="73">ERR</definedName>
    <definedName name="REICIO_10" localSheetId="74">ERR</definedName>
    <definedName name="REICIO_10" localSheetId="75">ERR</definedName>
    <definedName name="REICIO_10" localSheetId="76">ERR</definedName>
    <definedName name="REICIO_10" localSheetId="77">ERR</definedName>
    <definedName name="REICIO_10" localSheetId="81">ERR</definedName>
    <definedName name="REICIO_10" localSheetId="89">ERR</definedName>
    <definedName name="REICIO_10" localSheetId="90">ERR</definedName>
    <definedName name="REICIO_10" localSheetId="91">ERR</definedName>
    <definedName name="REICIO_10" localSheetId="92">ERR</definedName>
    <definedName name="REICIO_10" localSheetId="93">ERR</definedName>
    <definedName name="REICIO_10" localSheetId="94">ERR</definedName>
    <definedName name="REICIO_10" localSheetId="95">ERR</definedName>
    <definedName name="REICIO_10" localSheetId="96">ERR</definedName>
    <definedName name="REICIO_10" localSheetId="82">ERR</definedName>
    <definedName name="REICIO_10" localSheetId="83">ERR</definedName>
    <definedName name="REICIO_10" localSheetId="84">ERR</definedName>
    <definedName name="REICIO_10" localSheetId="85">ERR</definedName>
    <definedName name="REICIO_10" localSheetId="86">ERR</definedName>
    <definedName name="REICIO_10" localSheetId="87">ERR</definedName>
    <definedName name="REICIO_10" localSheetId="88">ERR</definedName>
    <definedName name="REICIO_10" localSheetId="97">ERR</definedName>
    <definedName name="REICIO_10" localSheetId="105">ERR</definedName>
    <definedName name="REICIO_10" localSheetId="106">ERR</definedName>
    <definedName name="REICIO_10" localSheetId="107">ERR</definedName>
    <definedName name="REICIO_10" localSheetId="108">ERR</definedName>
    <definedName name="REICIO_10" localSheetId="109">ERR</definedName>
    <definedName name="REICIO_10" localSheetId="110">ERR</definedName>
    <definedName name="REICIO_10" localSheetId="111">ERR</definedName>
    <definedName name="REICIO_10" localSheetId="112">ERR</definedName>
    <definedName name="REICIO_10" localSheetId="113">ERR</definedName>
    <definedName name="REICIO_10" localSheetId="114">ERR</definedName>
    <definedName name="REICIO_10" localSheetId="98">ERR</definedName>
    <definedName name="REICIO_10" localSheetId="115">ERR</definedName>
    <definedName name="REICIO_10" localSheetId="116">ERR</definedName>
    <definedName name="REICIO_10" localSheetId="117">ERR</definedName>
    <definedName name="REICIO_10" localSheetId="118">ERR</definedName>
    <definedName name="REICIO_10" localSheetId="119">ERR</definedName>
    <definedName name="REICIO_10" localSheetId="99">ERR</definedName>
    <definedName name="REICIO_10" localSheetId="100">ERR</definedName>
    <definedName name="REICIO_10" localSheetId="101">ERR</definedName>
    <definedName name="REICIO_10" localSheetId="102">ERR</definedName>
    <definedName name="REICIO_10" localSheetId="103">ERR</definedName>
    <definedName name="REICIO_10" localSheetId="104">ERR</definedName>
    <definedName name="REICIO_10" localSheetId="120">ERR</definedName>
    <definedName name="REICIO_10" localSheetId="121">ERR</definedName>
    <definedName name="REICIO_10" localSheetId="122">ERR</definedName>
    <definedName name="REICIO_10" localSheetId="123">ERR</definedName>
    <definedName name="REICIO_10" localSheetId="124">ERR</definedName>
    <definedName name="REICIO_10" localSheetId="125">ERR</definedName>
    <definedName name="REICIO_10" localSheetId="126">ERR</definedName>
    <definedName name="REICIO_10" localSheetId="127">ERR</definedName>
    <definedName name="REICIO_10" localSheetId="128">ERR</definedName>
    <definedName name="REICIO_10" localSheetId="129">ERR</definedName>
    <definedName name="REICIO_10" localSheetId="130">ERR</definedName>
    <definedName name="REICIO_10" localSheetId="131">ERR</definedName>
    <definedName name="REICIO_10" localSheetId="9">ERR</definedName>
    <definedName name="REICIO_10" localSheetId="38">ERR</definedName>
    <definedName name="REICIO_10" localSheetId="2">ERR</definedName>
    <definedName name="REICIO_10">ERR</definedName>
    <definedName name="REICIO_3" localSheetId="20">ERR</definedName>
    <definedName name="REICIO_3" localSheetId="22">ERR</definedName>
    <definedName name="REICIO_3" localSheetId="33">ERR</definedName>
    <definedName name="REICIO_3" localSheetId="36">ERR</definedName>
    <definedName name="REICIO_3" localSheetId="47">ERR</definedName>
    <definedName name="REICIO_3" localSheetId="48">ERR</definedName>
    <definedName name="REICIO_3" localSheetId="51">ERR</definedName>
    <definedName name="REICIO_3" localSheetId="52">ERR</definedName>
    <definedName name="REICIO_3" localSheetId="53">ERR</definedName>
    <definedName name="REICIO_3" localSheetId="54">ERR</definedName>
    <definedName name="REICIO_3" localSheetId="62">ERR</definedName>
    <definedName name="REICIO_3" localSheetId="63">ERR</definedName>
    <definedName name="REICIO_3" localSheetId="64">ERR</definedName>
    <definedName name="REICIO_3" localSheetId="65">ERR</definedName>
    <definedName name="REICIO_3" localSheetId="66">ERR</definedName>
    <definedName name="REICIO_3" localSheetId="67">ERR</definedName>
    <definedName name="REICIO_3" localSheetId="68">ERR</definedName>
    <definedName name="REICIO_3" localSheetId="55">ERR</definedName>
    <definedName name="REICIO_3" localSheetId="56">ERR</definedName>
    <definedName name="REICIO_3" localSheetId="57">ERR</definedName>
    <definedName name="REICIO_3" localSheetId="58">ERR</definedName>
    <definedName name="REICIO_3" localSheetId="59">ERR</definedName>
    <definedName name="REICIO_3" localSheetId="60">ERR</definedName>
    <definedName name="REICIO_3" localSheetId="61">ERR</definedName>
    <definedName name="REICIO_3" localSheetId="69">ERR</definedName>
    <definedName name="REICIO_3" localSheetId="78">ERR</definedName>
    <definedName name="REICIO_3" localSheetId="79">ERR</definedName>
    <definedName name="REICIO_3" localSheetId="80">ERR</definedName>
    <definedName name="REICIO_3" localSheetId="70">ERR</definedName>
    <definedName name="REICIO_3" localSheetId="71">ERR</definedName>
    <definedName name="REICIO_3" localSheetId="72">ERR</definedName>
    <definedName name="REICIO_3" localSheetId="73">ERR</definedName>
    <definedName name="REICIO_3" localSheetId="74">ERR</definedName>
    <definedName name="REICIO_3" localSheetId="75">ERR</definedName>
    <definedName name="REICIO_3" localSheetId="76">ERR</definedName>
    <definedName name="REICIO_3" localSheetId="77">ERR</definedName>
    <definedName name="REICIO_3" localSheetId="81">ERR</definedName>
    <definedName name="REICIO_3" localSheetId="89">ERR</definedName>
    <definedName name="REICIO_3" localSheetId="90">ERR</definedName>
    <definedName name="REICIO_3" localSheetId="91">ERR</definedName>
    <definedName name="REICIO_3" localSheetId="92">ERR</definedName>
    <definedName name="REICIO_3" localSheetId="93">ERR</definedName>
    <definedName name="REICIO_3" localSheetId="94">ERR</definedName>
    <definedName name="REICIO_3" localSheetId="95">ERR</definedName>
    <definedName name="REICIO_3" localSheetId="96">ERR</definedName>
    <definedName name="REICIO_3" localSheetId="82">ERR</definedName>
    <definedName name="REICIO_3" localSheetId="83">ERR</definedName>
    <definedName name="REICIO_3" localSheetId="84">ERR</definedName>
    <definedName name="REICIO_3" localSheetId="85">ERR</definedName>
    <definedName name="REICIO_3" localSheetId="86">ERR</definedName>
    <definedName name="REICIO_3" localSheetId="87">ERR</definedName>
    <definedName name="REICIO_3" localSheetId="88">ERR</definedName>
    <definedName name="REICIO_3" localSheetId="97">ERR</definedName>
    <definedName name="REICIO_3" localSheetId="105">ERR</definedName>
    <definedName name="REICIO_3" localSheetId="106">ERR</definedName>
    <definedName name="REICIO_3" localSheetId="107">ERR</definedName>
    <definedName name="REICIO_3" localSheetId="108">ERR</definedName>
    <definedName name="REICIO_3" localSheetId="109">ERR</definedName>
    <definedName name="REICIO_3" localSheetId="110">ERR</definedName>
    <definedName name="REICIO_3" localSheetId="111">ERR</definedName>
    <definedName name="REICIO_3" localSheetId="112">ERR</definedName>
    <definedName name="REICIO_3" localSheetId="113">ERR</definedName>
    <definedName name="REICIO_3" localSheetId="114">ERR</definedName>
    <definedName name="REICIO_3" localSheetId="98">ERR</definedName>
    <definedName name="REICIO_3" localSheetId="115">ERR</definedName>
    <definedName name="REICIO_3" localSheetId="116">ERR</definedName>
    <definedName name="REICIO_3" localSheetId="117">ERR</definedName>
    <definedName name="REICIO_3" localSheetId="118">ERR</definedName>
    <definedName name="REICIO_3" localSheetId="119">ERR</definedName>
    <definedName name="REICIO_3" localSheetId="99">ERR</definedName>
    <definedName name="REICIO_3" localSheetId="100">ERR</definedName>
    <definedName name="REICIO_3" localSheetId="101">ERR</definedName>
    <definedName name="REICIO_3" localSheetId="102">ERR</definedName>
    <definedName name="REICIO_3" localSheetId="103">ERR</definedName>
    <definedName name="REICIO_3" localSheetId="104">ERR</definedName>
    <definedName name="REICIO_3" localSheetId="120">ERR</definedName>
    <definedName name="REICIO_3" localSheetId="121">ERR</definedName>
    <definedName name="REICIO_3" localSheetId="122">ERR</definedName>
    <definedName name="REICIO_3" localSheetId="123">ERR</definedName>
    <definedName name="REICIO_3" localSheetId="124">ERR</definedName>
    <definedName name="REICIO_3" localSheetId="125">ERR</definedName>
    <definedName name="REICIO_3" localSheetId="126">ERR</definedName>
    <definedName name="REICIO_3" localSheetId="127">ERR</definedName>
    <definedName name="REICIO_3" localSheetId="128">ERR</definedName>
    <definedName name="REICIO_3" localSheetId="129">ERR</definedName>
    <definedName name="REICIO_3" localSheetId="130">ERR</definedName>
    <definedName name="REICIO_3" localSheetId="131">ERR</definedName>
    <definedName name="REICIO_3" localSheetId="9">ERR</definedName>
    <definedName name="REICIO_3" localSheetId="38">ERR</definedName>
    <definedName name="REICIO_3" localSheetId="2">ERR</definedName>
    <definedName name="REICIO_3">ERR</definedName>
    <definedName name="REICIO_4" localSheetId="20">ERR</definedName>
    <definedName name="REICIO_4" localSheetId="22">ERR</definedName>
    <definedName name="REICIO_4" localSheetId="33">ERR</definedName>
    <definedName name="REICIO_4" localSheetId="36">ERR</definedName>
    <definedName name="REICIO_4" localSheetId="47">ERR</definedName>
    <definedName name="REICIO_4" localSheetId="48">ERR</definedName>
    <definedName name="REICIO_4" localSheetId="51">ERR</definedName>
    <definedName name="REICIO_4" localSheetId="52">ERR</definedName>
    <definedName name="REICIO_4" localSheetId="53">ERR</definedName>
    <definedName name="REICIO_4" localSheetId="54">ERR</definedName>
    <definedName name="REICIO_4" localSheetId="62">ERR</definedName>
    <definedName name="REICIO_4" localSheetId="63">ERR</definedName>
    <definedName name="REICIO_4" localSheetId="64">ERR</definedName>
    <definedName name="REICIO_4" localSheetId="65">ERR</definedName>
    <definedName name="REICIO_4" localSheetId="66">ERR</definedName>
    <definedName name="REICIO_4" localSheetId="67">ERR</definedName>
    <definedName name="REICIO_4" localSheetId="68">ERR</definedName>
    <definedName name="REICIO_4" localSheetId="55">ERR</definedName>
    <definedName name="REICIO_4" localSheetId="56">ERR</definedName>
    <definedName name="REICIO_4" localSheetId="57">ERR</definedName>
    <definedName name="REICIO_4" localSheetId="58">ERR</definedName>
    <definedName name="REICIO_4" localSheetId="59">ERR</definedName>
    <definedName name="REICIO_4" localSheetId="60">ERR</definedName>
    <definedName name="REICIO_4" localSheetId="61">ERR</definedName>
    <definedName name="REICIO_4" localSheetId="69">ERR</definedName>
    <definedName name="REICIO_4" localSheetId="78">ERR</definedName>
    <definedName name="REICIO_4" localSheetId="79">ERR</definedName>
    <definedName name="REICIO_4" localSheetId="80">ERR</definedName>
    <definedName name="REICIO_4" localSheetId="70">ERR</definedName>
    <definedName name="REICIO_4" localSheetId="71">ERR</definedName>
    <definedName name="REICIO_4" localSheetId="72">ERR</definedName>
    <definedName name="REICIO_4" localSheetId="73">ERR</definedName>
    <definedName name="REICIO_4" localSheetId="74">ERR</definedName>
    <definedName name="REICIO_4" localSheetId="75">ERR</definedName>
    <definedName name="REICIO_4" localSheetId="76">ERR</definedName>
    <definedName name="REICIO_4" localSheetId="77">ERR</definedName>
    <definedName name="REICIO_4" localSheetId="81">ERR</definedName>
    <definedName name="REICIO_4" localSheetId="89">ERR</definedName>
    <definedName name="REICIO_4" localSheetId="90">ERR</definedName>
    <definedName name="REICIO_4" localSheetId="91">ERR</definedName>
    <definedName name="REICIO_4" localSheetId="92">ERR</definedName>
    <definedName name="REICIO_4" localSheetId="93">ERR</definedName>
    <definedName name="REICIO_4" localSheetId="94">ERR</definedName>
    <definedName name="REICIO_4" localSheetId="95">ERR</definedName>
    <definedName name="REICIO_4" localSheetId="96">ERR</definedName>
    <definedName name="REICIO_4" localSheetId="82">ERR</definedName>
    <definedName name="REICIO_4" localSheetId="83">ERR</definedName>
    <definedName name="REICIO_4" localSheetId="84">ERR</definedName>
    <definedName name="REICIO_4" localSheetId="85">ERR</definedName>
    <definedName name="REICIO_4" localSheetId="86">ERR</definedName>
    <definedName name="REICIO_4" localSheetId="87">ERR</definedName>
    <definedName name="REICIO_4" localSheetId="88">ERR</definedName>
    <definedName name="REICIO_4" localSheetId="97">ERR</definedName>
    <definedName name="REICIO_4" localSheetId="105">ERR</definedName>
    <definedName name="REICIO_4" localSheetId="106">ERR</definedName>
    <definedName name="REICIO_4" localSheetId="107">ERR</definedName>
    <definedName name="REICIO_4" localSheetId="108">ERR</definedName>
    <definedName name="REICIO_4" localSheetId="109">ERR</definedName>
    <definedName name="REICIO_4" localSheetId="110">ERR</definedName>
    <definedName name="REICIO_4" localSheetId="111">ERR</definedName>
    <definedName name="REICIO_4" localSheetId="112">ERR</definedName>
    <definedName name="REICIO_4" localSheetId="113">ERR</definedName>
    <definedName name="REICIO_4" localSheetId="114">ERR</definedName>
    <definedName name="REICIO_4" localSheetId="98">ERR</definedName>
    <definedName name="REICIO_4" localSheetId="115">ERR</definedName>
    <definedName name="REICIO_4" localSheetId="116">ERR</definedName>
    <definedName name="REICIO_4" localSheetId="117">ERR</definedName>
    <definedName name="REICIO_4" localSheetId="118">ERR</definedName>
    <definedName name="REICIO_4" localSheetId="119">ERR</definedName>
    <definedName name="REICIO_4" localSheetId="99">ERR</definedName>
    <definedName name="REICIO_4" localSheetId="100">ERR</definedName>
    <definedName name="REICIO_4" localSheetId="101">ERR</definedName>
    <definedName name="REICIO_4" localSheetId="102">ERR</definedName>
    <definedName name="REICIO_4" localSheetId="103">ERR</definedName>
    <definedName name="REICIO_4" localSheetId="104">ERR</definedName>
    <definedName name="REICIO_4" localSheetId="120">ERR</definedName>
    <definedName name="REICIO_4" localSheetId="121">ERR</definedName>
    <definedName name="REICIO_4" localSheetId="122">ERR</definedName>
    <definedName name="REICIO_4" localSheetId="123">ERR</definedName>
    <definedName name="REICIO_4" localSheetId="124">ERR</definedName>
    <definedName name="REICIO_4" localSheetId="125">ERR</definedName>
    <definedName name="REICIO_4" localSheetId="126">ERR</definedName>
    <definedName name="REICIO_4" localSheetId="127">ERR</definedName>
    <definedName name="REICIO_4" localSheetId="128">ERR</definedName>
    <definedName name="REICIO_4" localSheetId="129">ERR</definedName>
    <definedName name="REICIO_4" localSheetId="130">ERR</definedName>
    <definedName name="REICIO_4" localSheetId="131">ERR</definedName>
    <definedName name="REICIO_4" localSheetId="9">ERR</definedName>
    <definedName name="REICIO_4" localSheetId="38">ERR</definedName>
    <definedName name="REICIO_4" localSheetId="2">ERR</definedName>
    <definedName name="REICIO_4">ERR</definedName>
    <definedName name="REICIO_5" localSheetId="20">ERR</definedName>
    <definedName name="REICIO_5" localSheetId="22">ERR</definedName>
    <definedName name="REICIO_5" localSheetId="33">ERR</definedName>
    <definedName name="REICIO_5" localSheetId="36">ERR</definedName>
    <definedName name="REICIO_5" localSheetId="47">ERR</definedName>
    <definedName name="REICIO_5" localSheetId="48">ERR</definedName>
    <definedName name="REICIO_5" localSheetId="51">ERR</definedName>
    <definedName name="REICIO_5" localSheetId="52">ERR</definedName>
    <definedName name="REICIO_5" localSheetId="53">ERR</definedName>
    <definedName name="REICIO_5" localSheetId="54">ERR</definedName>
    <definedName name="REICIO_5" localSheetId="62">ERR</definedName>
    <definedName name="REICIO_5" localSheetId="63">ERR</definedName>
    <definedName name="REICIO_5" localSheetId="64">ERR</definedName>
    <definedName name="REICIO_5" localSheetId="65">ERR</definedName>
    <definedName name="REICIO_5" localSheetId="66">ERR</definedName>
    <definedName name="REICIO_5" localSheetId="67">ERR</definedName>
    <definedName name="REICIO_5" localSheetId="68">ERR</definedName>
    <definedName name="REICIO_5" localSheetId="55">ERR</definedName>
    <definedName name="REICIO_5" localSheetId="56">ERR</definedName>
    <definedName name="REICIO_5" localSheetId="57">ERR</definedName>
    <definedName name="REICIO_5" localSheetId="58">ERR</definedName>
    <definedName name="REICIO_5" localSheetId="59">ERR</definedName>
    <definedName name="REICIO_5" localSheetId="60">ERR</definedName>
    <definedName name="REICIO_5" localSheetId="61">ERR</definedName>
    <definedName name="REICIO_5" localSheetId="69">ERR</definedName>
    <definedName name="REICIO_5" localSheetId="78">ERR</definedName>
    <definedName name="REICIO_5" localSheetId="79">ERR</definedName>
    <definedName name="REICIO_5" localSheetId="80">ERR</definedName>
    <definedName name="REICIO_5" localSheetId="70">ERR</definedName>
    <definedName name="REICIO_5" localSheetId="71">ERR</definedName>
    <definedName name="REICIO_5" localSheetId="72">ERR</definedName>
    <definedName name="REICIO_5" localSheetId="73">ERR</definedName>
    <definedName name="REICIO_5" localSheetId="74">ERR</definedName>
    <definedName name="REICIO_5" localSheetId="75">ERR</definedName>
    <definedName name="REICIO_5" localSheetId="76">ERR</definedName>
    <definedName name="REICIO_5" localSheetId="77">ERR</definedName>
    <definedName name="REICIO_5" localSheetId="81">ERR</definedName>
    <definedName name="REICIO_5" localSheetId="89">ERR</definedName>
    <definedName name="REICIO_5" localSheetId="90">ERR</definedName>
    <definedName name="REICIO_5" localSheetId="91">ERR</definedName>
    <definedName name="REICIO_5" localSheetId="92">ERR</definedName>
    <definedName name="REICIO_5" localSheetId="93">ERR</definedName>
    <definedName name="REICIO_5" localSheetId="94">ERR</definedName>
    <definedName name="REICIO_5" localSheetId="95">ERR</definedName>
    <definedName name="REICIO_5" localSheetId="96">ERR</definedName>
    <definedName name="REICIO_5" localSheetId="82">ERR</definedName>
    <definedName name="REICIO_5" localSheetId="83">ERR</definedName>
    <definedName name="REICIO_5" localSheetId="84">ERR</definedName>
    <definedName name="REICIO_5" localSheetId="85">ERR</definedName>
    <definedName name="REICIO_5" localSheetId="86">ERR</definedName>
    <definedName name="REICIO_5" localSheetId="87">ERR</definedName>
    <definedName name="REICIO_5" localSheetId="88">ERR</definedName>
    <definedName name="REICIO_5" localSheetId="97">ERR</definedName>
    <definedName name="REICIO_5" localSheetId="105">ERR</definedName>
    <definedName name="REICIO_5" localSheetId="106">ERR</definedName>
    <definedName name="REICIO_5" localSheetId="107">ERR</definedName>
    <definedName name="REICIO_5" localSheetId="108">ERR</definedName>
    <definedName name="REICIO_5" localSheetId="109">ERR</definedName>
    <definedName name="REICIO_5" localSheetId="110">ERR</definedName>
    <definedName name="REICIO_5" localSheetId="111">ERR</definedName>
    <definedName name="REICIO_5" localSheetId="112">ERR</definedName>
    <definedName name="REICIO_5" localSheetId="113">ERR</definedName>
    <definedName name="REICIO_5" localSheetId="114">ERR</definedName>
    <definedName name="REICIO_5" localSheetId="98">ERR</definedName>
    <definedName name="REICIO_5" localSheetId="115">ERR</definedName>
    <definedName name="REICIO_5" localSheetId="116">ERR</definedName>
    <definedName name="REICIO_5" localSheetId="117">ERR</definedName>
    <definedName name="REICIO_5" localSheetId="118">ERR</definedName>
    <definedName name="REICIO_5" localSheetId="119">ERR</definedName>
    <definedName name="REICIO_5" localSheetId="99">ERR</definedName>
    <definedName name="REICIO_5" localSheetId="100">ERR</definedName>
    <definedName name="REICIO_5" localSheetId="101">ERR</definedName>
    <definedName name="REICIO_5" localSheetId="102">ERR</definedName>
    <definedName name="REICIO_5" localSheetId="103">ERR</definedName>
    <definedName name="REICIO_5" localSheetId="104">ERR</definedName>
    <definedName name="REICIO_5" localSheetId="120">ERR</definedName>
    <definedName name="REICIO_5" localSheetId="121">ERR</definedName>
    <definedName name="REICIO_5" localSheetId="122">ERR</definedName>
    <definedName name="REICIO_5" localSheetId="123">ERR</definedName>
    <definedName name="REICIO_5" localSheetId="124">ERR</definedName>
    <definedName name="REICIO_5" localSheetId="125">ERR</definedName>
    <definedName name="REICIO_5" localSheetId="126">ERR</definedName>
    <definedName name="REICIO_5" localSheetId="127">ERR</definedName>
    <definedName name="REICIO_5" localSheetId="128">ERR</definedName>
    <definedName name="REICIO_5" localSheetId="129">ERR</definedName>
    <definedName name="REICIO_5" localSheetId="130">ERR</definedName>
    <definedName name="REICIO_5" localSheetId="131">ERR</definedName>
    <definedName name="REICIO_5" localSheetId="9">ERR</definedName>
    <definedName name="REICIO_5" localSheetId="38">ERR</definedName>
    <definedName name="REICIO_5" localSheetId="2">ERR</definedName>
    <definedName name="REICIO_5">ERR</definedName>
    <definedName name="REICIO_6" localSheetId="20">ERR</definedName>
    <definedName name="REICIO_6" localSheetId="22">ERR</definedName>
    <definedName name="REICIO_6" localSheetId="33">ERR</definedName>
    <definedName name="REICIO_6" localSheetId="36">ERR</definedName>
    <definedName name="REICIO_6" localSheetId="47">ERR</definedName>
    <definedName name="REICIO_6" localSheetId="48">ERR</definedName>
    <definedName name="REICIO_6" localSheetId="51">ERR</definedName>
    <definedName name="REICIO_6" localSheetId="52">ERR</definedName>
    <definedName name="REICIO_6" localSheetId="53">ERR</definedName>
    <definedName name="REICIO_6" localSheetId="54">ERR</definedName>
    <definedName name="REICIO_6" localSheetId="62">ERR</definedName>
    <definedName name="REICIO_6" localSheetId="63">ERR</definedName>
    <definedName name="REICIO_6" localSheetId="64">ERR</definedName>
    <definedName name="REICIO_6" localSheetId="65">ERR</definedName>
    <definedName name="REICIO_6" localSheetId="66">ERR</definedName>
    <definedName name="REICIO_6" localSheetId="67">ERR</definedName>
    <definedName name="REICIO_6" localSheetId="68">ERR</definedName>
    <definedName name="REICIO_6" localSheetId="55">ERR</definedName>
    <definedName name="REICIO_6" localSheetId="56">ERR</definedName>
    <definedName name="REICIO_6" localSheetId="57">ERR</definedName>
    <definedName name="REICIO_6" localSheetId="58">ERR</definedName>
    <definedName name="REICIO_6" localSheetId="59">ERR</definedName>
    <definedName name="REICIO_6" localSheetId="60">ERR</definedName>
    <definedName name="REICIO_6" localSheetId="61">ERR</definedName>
    <definedName name="REICIO_6" localSheetId="69">ERR</definedName>
    <definedName name="REICIO_6" localSheetId="78">ERR</definedName>
    <definedName name="REICIO_6" localSheetId="79">ERR</definedName>
    <definedName name="REICIO_6" localSheetId="80">ERR</definedName>
    <definedName name="REICIO_6" localSheetId="70">ERR</definedName>
    <definedName name="REICIO_6" localSheetId="71">ERR</definedName>
    <definedName name="REICIO_6" localSheetId="72">ERR</definedName>
    <definedName name="REICIO_6" localSheetId="73">ERR</definedName>
    <definedName name="REICIO_6" localSheetId="74">ERR</definedName>
    <definedName name="REICIO_6" localSheetId="75">ERR</definedName>
    <definedName name="REICIO_6" localSheetId="76">ERR</definedName>
    <definedName name="REICIO_6" localSheetId="77">ERR</definedName>
    <definedName name="REICIO_6" localSheetId="81">ERR</definedName>
    <definedName name="REICIO_6" localSheetId="89">ERR</definedName>
    <definedName name="REICIO_6" localSheetId="90">ERR</definedName>
    <definedName name="REICIO_6" localSheetId="91">ERR</definedName>
    <definedName name="REICIO_6" localSheetId="92">ERR</definedName>
    <definedName name="REICIO_6" localSheetId="93">ERR</definedName>
    <definedName name="REICIO_6" localSheetId="94">ERR</definedName>
    <definedName name="REICIO_6" localSheetId="95">ERR</definedName>
    <definedName name="REICIO_6" localSheetId="96">ERR</definedName>
    <definedName name="REICIO_6" localSheetId="82">ERR</definedName>
    <definedName name="REICIO_6" localSheetId="83">ERR</definedName>
    <definedName name="REICIO_6" localSheetId="84">ERR</definedName>
    <definedName name="REICIO_6" localSheetId="85">ERR</definedName>
    <definedName name="REICIO_6" localSheetId="86">ERR</definedName>
    <definedName name="REICIO_6" localSheetId="87">ERR</definedName>
    <definedName name="REICIO_6" localSheetId="88">ERR</definedName>
    <definedName name="REICIO_6" localSheetId="97">ERR</definedName>
    <definedName name="REICIO_6" localSheetId="105">ERR</definedName>
    <definedName name="REICIO_6" localSheetId="106">ERR</definedName>
    <definedName name="REICIO_6" localSheetId="107">ERR</definedName>
    <definedName name="REICIO_6" localSheetId="108">ERR</definedName>
    <definedName name="REICIO_6" localSheetId="109">ERR</definedName>
    <definedName name="REICIO_6" localSheetId="110">ERR</definedName>
    <definedName name="REICIO_6" localSheetId="111">ERR</definedName>
    <definedName name="REICIO_6" localSheetId="112">ERR</definedName>
    <definedName name="REICIO_6" localSheetId="113">ERR</definedName>
    <definedName name="REICIO_6" localSheetId="114">ERR</definedName>
    <definedName name="REICIO_6" localSheetId="98">ERR</definedName>
    <definedName name="REICIO_6" localSheetId="115">ERR</definedName>
    <definedName name="REICIO_6" localSheetId="116">ERR</definedName>
    <definedName name="REICIO_6" localSheetId="117">ERR</definedName>
    <definedName name="REICIO_6" localSheetId="118">ERR</definedName>
    <definedName name="REICIO_6" localSheetId="119">ERR</definedName>
    <definedName name="REICIO_6" localSheetId="99">ERR</definedName>
    <definedName name="REICIO_6" localSheetId="100">ERR</definedName>
    <definedName name="REICIO_6" localSheetId="101">ERR</definedName>
    <definedName name="REICIO_6" localSheetId="102">ERR</definedName>
    <definedName name="REICIO_6" localSheetId="103">ERR</definedName>
    <definedName name="REICIO_6" localSheetId="104">ERR</definedName>
    <definedName name="REICIO_6" localSheetId="120">ERR</definedName>
    <definedName name="REICIO_6" localSheetId="121">ERR</definedName>
    <definedName name="REICIO_6" localSheetId="122">ERR</definedName>
    <definedName name="REICIO_6" localSheetId="123">ERR</definedName>
    <definedName name="REICIO_6" localSheetId="124">ERR</definedName>
    <definedName name="REICIO_6" localSheetId="125">ERR</definedName>
    <definedName name="REICIO_6" localSheetId="126">ERR</definedName>
    <definedName name="REICIO_6" localSheetId="127">ERR</definedName>
    <definedName name="REICIO_6" localSheetId="128">ERR</definedName>
    <definedName name="REICIO_6" localSheetId="129">ERR</definedName>
    <definedName name="REICIO_6" localSheetId="130">ERR</definedName>
    <definedName name="REICIO_6" localSheetId="131">ERR</definedName>
    <definedName name="REICIO_6" localSheetId="9">ERR</definedName>
    <definedName name="REICIO_6" localSheetId="38">ERR</definedName>
    <definedName name="REICIO_6" localSheetId="2">ERR</definedName>
    <definedName name="REICIO_6">ERR</definedName>
    <definedName name="REICIO_7" localSheetId="20">ERR</definedName>
    <definedName name="REICIO_7" localSheetId="22">ERR</definedName>
    <definedName name="REICIO_7" localSheetId="33">ERR</definedName>
    <definedName name="REICIO_7" localSheetId="36">ERR</definedName>
    <definedName name="REICIO_7" localSheetId="47">ERR</definedName>
    <definedName name="REICIO_7" localSheetId="48">ERR</definedName>
    <definedName name="REICIO_7" localSheetId="51">ERR</definedName>
    <definedName name="REICIO_7" localSheetId="52">ERR</definedName>
    <definedName name="REICIO_7" localSheetId="53">ERR</definedName>
    <definedName name="REICIO_7" localSheetId="54">ERR</definedName>
    <definedName name="REICIO_7" localSheetId="62">ERR</definedName>
    <definedName name="REICIO_7" localSheetId="63">ERR</definedName>
    <definedName name="REICIO_7" localSheetId="64">ERR</definedName>
    <definedName name="REICIO_7" localSheetId="65">ERR</definedName>
    <definedName name="REICIO_7" localSheetId="66">ERR</definedName>
    <definedName name="REICIO_7" localSheetId="67">ERR</definedName>
    <definedName name="REICIO_7" localSheetId="68">ERR</definedName>
    <definedName name="REICIO_7" localSheetId="55">ERR</definedName>
    <definedName name="REICIO_7" localSheetId="56">ERR</definedName>
    <definedName name="REICIO_7" localSheetId="57">ERR</definedName>
    <definedName name="REICIO_7" localSheetId="58">ERR</definedName>
    <definedName name="REICIO_7" localSheetId="59">ERR</definedName>
    <definedName name="REICIO_7" localSheetId="60">ERR</definedName>
    <definedName name="REICIO_7" localSheetId="61">ERR</definedName>
    <definedName name="REICIO_7" localSheetId="69">ERR</definedName>
    <definedName name="REICIO_7" localSheetId="78">ERR</definedName>
    <definedName name="REICIO_7" localSheetId="79">ERR</definedName>
    <definedName name="REICIO_7" localSheetId="80">ERR</definedName>
    <definedName name="REICIO_7" localSheetId="70">ERR</definedName>
    <definedName name="REICIO_7" localSheetId="71">ERR</definedName>
    <definedName name="REICIO_7" localSheetId="72">ERR</definedName>
    <definedName name="REICIO_7" localSheetId="73">ERR</definedName>
    <definedName name="REICIO_7" localSheetId="74">ERR</definedName>
    <definedName name="REICIO_7" localSheetId="75">ERR</definedName>
    <definedName name="REICIO_7" localSheetId="76">ERR</definedName>
    <definedName name="REICIO_7" localSheetId="77">ERR</definedName>
    <definedName name="REICIO_7" localSheetId="81">ERR</definedName>
    <definedName name="REICIO_7" localSheetId="89">ERR</definedName>
    <definedName name="REICIO_7" localSheetId="90">ERR</definedName>
    <definedName name="REICIO_7" localSheetId="91">ERR</definedName>
    <definedName name="REICIO_7" localSheetId="92">ERR</definedName>
    <definedName name="REICIO_7" localSheetId="93">ERR</definedName>
    <definedName name="REICIO_7" localSheetId="94">ERR</definedName>
    <definedName name="REICIO_7" localSheetId="95">ERR</definedName>
    <definedName name="REICIO_7" localSheetId="96">ERR</definedName>
    <definedName name="REICIO_7" localSheetId="82">ERR</definedName>
    <definedName name="REICIO_7" localSheetId="83">ERR</definedName>
    <definedName name="REICIO_7" localSheetId="84">ERR</definedName>
    <definedName name="REICIO_7" localSheetId="85">ERR</definedName>
    <definedName name="REICIO_7" localSheetId="86">ERR</definedName>
    <definedName name="REICIO_7" localSheetId="87">ERR</definedName>
    <definedName name="REICIO_7" localSheetId="88">ERR</definedName>
    <definedName name="REICIO_7" localSheetId="97">ERR</definedName>
    <definedName name="REICIO_7" localSheetId="105">ERR</definedName>
    <definedName name="REICIO_7" localSheetId="106">ERR</definedName>
    <definedName name="REICIO_7" localSheetId="107">ERR</definedName>
    <definedName name="REICIO_7" localSheetId="108">ERR</definedName>
    <definedName name="REICIO_7" localSheetId="109">ERR</definedName>
    <definedName name="REICIO_7" localSheetId="110">ERR</definedName>
    <definedName name="REICIO_7" localSheetId="111">ERR</definedName>
    <definedName name="REICIO_7" localSheetId="112">ERR</definedName>
    <definedName name="REICIO_7" localSheetId="113">ERR</definedName>
    <definedName name="REICIO_7" localSheetId="114">ERR</definedName>
    <definedName name="REICIO_7" localSheetId="98">ERR</definedName>
    <definedName name="REICIO_7" localSheetId="115">ERR</definedName>
    <definedName name="REICIO_7" localSheetId="116">ERR</definedName>
    <definedName name="REICIO_7" localSheetId="117">ERR</definedName>
    <definedName name="REICIO_7" localSheetId="118">ERR</definedName>
    <definedName name="REICIO_7" localSheetId="119">ERR</definedName>
    <definedName name="REICIO_7" localSheetId="99">ERR</definedName>
    <definedName name="REICIO_7" localSheetId="100">ERR</definedName>
    <definedName name="REICIO_7" localSheetId="101">ERR</definedName>
    <definedName name="REICIO_7" localSheetId="102">ERR</definedName>
    <definedName name="REICIO_7" localSheetId="103">ERR</definedName>
    <definedName name="REICIO_7" localSheetId="104">ERR</definedName>
    <definedName name="REICIO_7" localSheetId="120">ERR</definedName>
    <definedName name="REICIO_7" localSheetId="121">ERR</definedName>
    <definedName name="REICIO_7" localSheetId="122">ERR</definedName>
    <definedName name="REICIO_7" localSheetId="123">ERR</definedName>
    <definedName name="REICIO_7" localSheetId="124">ERR</definedName>
    <definedName name="REICIO_7" localSheetId="125">ERR</definedName>
    <definedName name="REICIO_7" localSheetId="126">ERR</definedName>
    <definedName name="REICIO_7" localSheetId="127">ERR</definedName>
    <definedName name="REICIO_7" localSheetId="128">ERR</definedName>
    <definedName name="REICIO_7" localSheetId="129">ERR</definedName>
    <definedName name="REICIO_7" localSheetId="130">ERR</definedName>
    <definedName name="REICIO_7" localSheetId="131">ERR</definedName>
    <definedName name="REICIO_7" localSheetId="9">ERR</definedName>
    <definedName name="REICIO_7" localSheetId="38">ERR</definedName>
    <definedName name="REICIO_7" localSheetId="2">ERR</definedName>
    <definedName name="REICIO_7">ERR</definedName>
    <definedName name="REICIO_8" localSheetId="20">ERR</definedName>
    <definedName name="REICIO_8" localSheetId="22">ERR</definedName>
    <definedName name="REICIO_8" localSheetId="33">ERR</definedName>
    <definedName name="REICIO_8" localSheetId="36">ERR</definedName>
    <definedName name="REICIO_8" localSheetId="47">ERR</definedName>
    <definedName name="REICIO_8" localSheetId="48">ERR</definedName>
    <definedName name="REICIO_8" localSheetId="51">ERR</definedName>
    <definedName name="REICIO_8" localSheetId="52">ERR</definedName>
    <definedName name="REICIO_8" localSheetId="53">ERR</definedName>
    <definedName name="REICIO_8" localSheetId="54">ERR</definedName>
    <definedName name="REICIO_8" localSheetId="62">ERR</definedName>
    <definedName name="REICIO_8" localSheetId="63">ERR</definedName>
    <definedName name="REICIO_8" localSheetId="64">ERR</definedName>
    <definedName name="REICIO_8" localSheetId="65">ERR</definedName>
    <definedName name="REICIO_8" localSheetId="66">ERR</definedName>
    <definedName name="REICIO_8" localSheetId="67">ERR</definedName>
    <definedName name="REICIO_8" localSheetId="68">ERR</definedName>
    <definedName name="REICIO_8" localSheetId="55">ERR</definedName>
    <definedName name="REICIO_8" localSheetId="56">ERR</definedName>
    <definedName name="REICIO_8" localSheetId="57">ERR</definedName>
    <definedName name="REICIO_8" localSheetId="58">ERR</definedName>
    <definedName name="REICIO_8" localSheetId="59">ERR</definedName>
    <definedName name="REICIO_8" localSheetId="60">ERR</definedName>
    <definedName name="REICIO_8" localSheetId="61">ERR</definedName>
    <definedName name="REICIO_8" localSheetId="69">ERR</definedName>
    <definedName name="REICIO_8" localSheetId="78">ERR</definedName>
    <definedName name="REICIO_8" localSheetId="79">ERR</definedName>
    <definedName name="REICIO_8" localSheetId="80">ERR</definedName>
    <definedName name="REICIO_8" localSheetId="70">ERR</definedName>
    <definedName name="REICIO_8" localSheetId="71">ERR</definedName>
    <definedName name="REICIO_8" localSheetId="72">ERR</definedName>
    <definedName name="REICIO_8" localSheetId="73">ERR</definedName>
    <definedName name="REICIO_8" localSheetId="74">ERR</definedName>
    <definedName name="REICIO_8" localSheetId="75">ERR</definedName>
    <definedName name="REICIO_8" localSheetId="76">ERR</definedName>
    <definedName name="REICIO_8" localSheetId="77">ERR</definedName>
    <definedName name="REICIO_8" localSheetId="81">ERR</definedName>
    <definedName name="REICIO_8" localSheetId="89">ERR</definedName>
    <definedName name="REICIO_8" localSheetId="90">ERR</definedName>
    <definedName name="REICIO_8" localSheetId="91">ERR</definedName>
    <definedName name="REICIO_8" localSheetId="92">ERR</definedName>
    <definedName name="REICIO_8" localSheetId="93">ERR</definedName>
    <definedName name="REICIO_8" localSheetId="94">ERR</definedName>
    <definedName name="REICIO_8" localSheetId="95">ERR</definedName>
    <definedName name="REICIO_8" localSheetId="96">ERR</definedName>
    <definedName name="REICIO_8" localSheetId="82">ERR</definedName>
    <definedName name="REICIO_8" localSheetId="83">ERR</definedName>
    <definedName name="REICIO_8" localSheetId="84">ERR</definedName>
    <definedName name="REICIO_8" localSheetId="85">ERR</definedName>
    <definedName name="REICIO_8" localSheetId="86">ERR</definedName>
    <definedName name="REICIO_8" localSheetId="87">ERR</definedName>
    <definedName name="REICIO_8" localSheetId="88">ERR</definedName>
    <definedName name="REICIO_8" localSheetId="97">ERR</definedName>
    <definedName name="REICIO_8" localSheetId="105">ERR</definedName>
    <definedName name="REICIO_8" localSheetId="106">ERR</definedName>
    <definedName name="REICIO_8" localSheetId="107">ERR</definedName>
    <definedName name="REICIO_8" localSheetId="108">ERR</definedName>
    <definedName name="REICIO_8" localSheetId="109">ERR</definedName>
    <definedName name="REICIO_8" localSheetId="110">ERR</definedName>
    <definedName name="REICIO_8" localSheetId="111">ERR</definedName>
    <definedName name="REICIO_8" localSheetId="112">ERR</definedName>
    <definedName name="REICIO_8" localSheetId="113">ERR</definedName>
    <definedName name="REICIO_8" localSheetId="114">ERR</definedName>
    <definedName name="REICIO_8" localSheetId="98">ERR</definedName>
    <definedName name="REICIO_8" localSheetId="115">ERR</definedName>
    <definedName name="REICIO_8" localSheetId="116">ERR</definedName>
    <definedName name="REICIO_8" localSheetId="117">ERR</definedName>
    <definedName name="REICIO_8" localSheetId="118">ERR</definedName>
    <definedName name="REICIO_8" localSheetId="119">ERR</definedName>
    <definedName name="REICIO_8" localSheetId="99">ERR</definedName>
    <definedName name="REICIO_8" localSheetId="100">ERR</definedName>
    <definedName name="REICIO_8" localSheetId="101">ERR</definedName>
    <definedName name="REICIO_8" localSheetId="102">ERR</definedName>
    <definedName name="REICIO_8" localSheetId="103">ERR</definedName>
    <definedName name="REICIO_8" localSheetId="104">ERR</definedName>
    <definedName name="REICIO_8" localSheetId="120">ERR</definedName>
    <definedName name="REICIO_8" localSheetId="121">ERR</definedName>
    <definedName name="REICIO_8" localSheetId="122">ERR</definedName>
    <definedName name="REICIO_8" localSheetId="123">ERR</definedName>
    <definedName name="REICIO_8" localSheetId="124">ERR</definedName>
    <definedName name="REICIO_8" localSheetId="125">ERR</definedName>
    <definedName name="REICIO_8" localSheetId="126">ERR</definedName>
    <definedName name="REICIO_8" localSheetId="127">ERR</definedName>
    <definedName name="REICIO_8" localSheetId="128">ERR</definedName>
    <definedName name="REICIO_8" localSheetId="129">ERR</definedName>
    <definedName name="REICIO_8" localSheetId="130">ERR</definedName>
    <definedName name="REICIO_8" localSheetId="131">ERR</definedName>
    <definedName name="REICIO_8" localSheetId="9">ERR</definedName>
    <definedName name="REICIO_8" localSheetId="38">ERR</definedName>
    <definedName name="REICIO_8" localSheetId="2">ERR</definedName>
    <definedName name="REICIO_8">ERR</definedName>
    <definedName name="REICIO_9" localSheetId="20">ERR</definedName>
    <definedName name="REICIO_9" localSheetId="22">ERR</definedName>
    <definedName name="REICIO_9" localSheetId="33">ERR</definedName>
    <definedName name="REICIO_9" localSheetId="36">ERR</definedName>
    <definedName name="REICIO_9" localSheetId="47">ERR</definedName>
    <definedName name="REICIO_9" localSheetId="48">ERR</definedName>
    <definedName name="REICIO_9" localSheetId="51">ERR</definedName>
    <definedName name="REICIO_9" localSheetId="52">ERR</definedName>
    <definedName name="REICIO_9" localSheetId="53">ERR</definedName>
    <definedName name="REICIO_9" localSheetId="54">ERR</definedName>
    <definedName name="REICIO_9" localSheetId="62">ERR</definedName>
    <definedName name="REICIO_9" localSheetId="63">ERR</definedName>
    <definedName name="REICIO_9" localSheetId="64">ERR</definedName>
    <definedName name="REICIO_9" localSheetId="65">ERR</definedName>
    <definedName name="REICIO_9" localSheetId="66">ERR</definedName>
    <definedName name="REICIO_9" localSheetId="67">ERR</definedName>
    <definedName name="REICIO_9" localSheetId="68">ERR</definedName>
    <definedName name="REICIO_9" localSheetId="55">ERR</definedName>
    <definedName name="REICIO_9" localSheetId="56">ERR</definedName>
    <definedName name="REICIO_9" localSheetId="57">ERR</definedName>
    <definedName name="REICIO_9" localSheetId="58">ERR</definedName>
    <definedName name="REICIO_9" localSheetId="59">ERR</definedName>
    <definedName name="REICIO_9" localSheetId="60">ERR</definedName>
    <definedName name="REICIO_9" localSheetId="61">ERR</definedName>
    <definedName name="REICIO_9" localSheetId="69">ERR</definedName>
    <definedName name="REICIO_9" localSheetId="78">ERR</definedName>
    <definedName name="REICIO_9" localSheetId="79">ERR</definedName>
    <definedName name="REICIO_9" localSheetId="80">ERR</definedName>
    <definedName name="REICIO_9" localSheetId="70">ERR</definedName>
    <definedName name="REICIO_9" localSheetId="71">ERR</definedName>
    <definedName name="REICIO_9" localSheetId="72">ERR</definedName>
    <definedName name="REICIO_9" localSheetId="73">ERR</definedName>
    <definedName name="REICIO_9" localSheetId="74">ERR</definedName>
    <definedName name="REICIO_9" localSheetId="75">ERR</definedName>
    <definedName name="REICIO_9" localSheetId="76">ERR</definedName>
    <definedName name="REICIO_9" localSheetId="77">ERR</definedName>
    <definedName name="REICIO_9" localSheetId="81">ERR</definedName>
    <definedName name="REICIO_9" localSheetId="89">ERR</definedName>
    <definedName name="REICIO_9" localSheetId="90">ERR</definedName>
    <definedName name="REICIO_9" localSheetId="91">ERR</definedName>
    <definedName name="REICIO_9" localSheetId="92">ERR</definedName>
    <definedName name="REICIO_9" localSheetId="93">ERR</definedName>
    <definedName name="REICIO_9" localSheetId="94">ERR</definedName>
    <definedName name="REICIO_9" localSheetId="95">ERR</definedName>
    <definedName name="REICIO_9" localSheetId="96">ERR</definedName>
    <definedName name="REICIO_9" localSheetId="82">ERR</definedName>
    <definedName name="REICIO_9" localSheetId="83">ERR</definedName>
    <definedName name="REICIO_9" localSheetId="84">ERR</definedName>
    <definedName name="REICIO_9" localSheetId="85">ERR</definedName>
    <definedName name="REICIO_9" localSheetId="86">ERR</definedName>
    <definedName name="REICIO_9" localSheetId="87">ERR</definedName>
    <definedName name="REICIO_9" localSheetId="88">ERR</definedName>
    <definedName name="REICIO_9" localSheetId="97">ERR</definedName>
    <definedName name="REICIO_9" localSheetId="105">ERR</definedName>
    <definedName name="REICIO_9" localSheetId="106">ERR</definedName>
    <definedName name="REICIO_9" localSheetId="107">ERR</definedName>
    <definedName name="REICIO_9" localSheetId="108">ERR</definedName>
    <definedName name="REICIO_9" localSheetId="109">ERR</definedName>
    <definedName name="REICIO_9" localSheetId="110">ERR</definedName>
    <definedName name="REICIO_9" localSheetId="111">ERR</definedName>
    <definedName name="REICIO_9" localSheetId="112">ERR</definedName>
    <definedName name="REICIO_9" localSheetId="113">ERR</definedName>
    <definedName name="REICIO_9" localSheetId="114">ERR</definedName>
    <definedName name="REICIO_9" localSheetId="98">ERR</definedName>
    <definedName name="REICIO_9" localSheetId="115">ERR</definedName>
    <definedName name="REICIO_9" localSheetId="116">ERR</definedName>
    <definedName name="REICIO_9" localSheetId="117">ERR</definedName>
    <definedName name="REICIO_9" localSheetId="118">ERR</definedName>
    <definedName name="REICIO_9" localSheetId="119">ERR</definedName>
    <definedName name="REICIO_9" localSheetId="99">ERR</definedName>
    <definedName name="REICIO_9" localSheetId="100">ERR</definedName>
    <definedName name="REICIO_9" localSheetId="101">ERR</definedName>
    <definedName name="REICIO_9" localSheetId="102">ERR</definedName>
    <definedName name="REICIO_9" localSheetId="103">ERR</definedName>
    <definedName name="REICIO_9" localSheetId="104">ERR</definedName>
    <definedName name="REICIO_9" localSheetId="120">ERR</definedName>
    <definedName name="REICIO_9" localSheetId="121">ERR</definedName>
    <definedName name="REICIO_9" localSheetId="122">ERR</definedName>
    <definedName name="REICIO_9" localSheetId="123">ERR</definedName>
    <definedName name="REICIO_9" localSheetId="124">ERR</definedName>
    <definedName name="REICIO_9" localSheetId="125">ERR</definedName>
    <definedName name="REICIO_9" localSheetId="126">ERR</definedName>
    <definedName name="REICIO_9" localSheetId="127">ERR</definedName>
    <definedName name="REICIO_9" localSheetId="128">ERR</definedName>
    <definedName name="REICIO_9" localSheetId="129">ERR</definedName>
    <definedName name="REICIO_9" localSheetId="130">ERR</definedName>
    <definedName name="REICIO_9" localSheetId="131">ERR</definedName>
    <definedName name="REICIO_9" localSheetId="9">ERR</definedName>
    <definedName name="REICIO_9" localSheetId="38">ERR</definedName>
    <definedName name="REICIO_9" localSheetId="2">ERR</definedName>
    <definedName name="REICIO_9">ERR</definedName>
    <definedName name="reinicio" localSheetId="20">[0]!ERR</definedName>
    <definedName name="reinicio" localSheetId="22">[0]!ERR</definedName>
    <definedName name="reinicio" localSheetId="33">[0]!ERR</definedName>
    <definedName name="reinicio" localSheetId="36">[0]!ERR</definedName>
    <definedName name="reinicio" localSheetId="47">[0]!ERR</definedName>
    <definedName name="reinicio" localSheetId="48">[0]!ERR</definedName>
    <definedName name="reinicio" localSheetId="51">[0]!ERR</definedName>
    <definedName name="reinicio" localSheetId="52">[0]!ERR</definedName>
    <definedName name="reinicio" localSheetId="53">[0]!ERR</definedName>
    <definedName name="reinicio" localSheetId="54">[0]!ERR</definedName>
    <definedName name="reinicio" localSheetId="62">[0]!ERR</definedName>
    <definedName name="reinicio" localSheetId="63">[0]!ERR</definedName>
    <definedName name="reinicio" localSheetId="64">[0]!ERR</definedName>
    <definedName name="reinicio" localSheetId="65">[0]!ERR</definedName>
    <definedName name="reinicio" localSheetId="66">[0]!ERR</definedName>
    <definedName name="reinicio" localSheetId="67">[0]!ERR</definedName>
    <definedName name="reinicio" localSheetId="68">[0]!ERR</definedName>
    <definedName name="reinicio" localSheetId="55">[0]!ERR</definedName>
    <definedName name="reinicio" localSheetId="56">[0]!ERR</definedName>
    <definedName name="reinicio" localSheetId="57">[0]!ERR</definedName>
    <definedName name="reinicio" localSheetId="58">[0]!ERR</definedName>
    <definedName name="reinicio" localSheetId="59">[0]!ERR</definedName>
    <definedName name="reinicio" localSheetId="60">[0]!ERR</definedName>
    <definedName name="reinicio" localSheetId="61">[0]!ERR</definedName>
    <definedName name="reinicio" localSheetId="69">[0]!ERR</definedName>
    <definedName name="reinicio" localSheetId="78">[0]!ERR</definedName>
    <definedName name="reinicio" localSheetId="79">[0]!ERR</definedName>
    <definedName name="reinicio" localSheetId="80">[0]!ERR</definedName>
    <definedName name="reinicio" localSheetId="70">[0]!ERR</definedName>
    <definedName name="reinicio" localSheetId="71">[0]!ERR</definedName>
    <definedName name="reinicio" localSheetId="72">[0]!ERR</definedName>
    <definedName name="reinicio" localSheetId="73">[0]!ERR</definedName>
    <definedName name="reinicio" localSheetId="74">[0]!ERR</definedName>
    <definedName name="reinicio" localSheetId="75">[0]!ERR</definedName>
    <definedName name="reinicio" localSheetId="76">[0]!ERR</definedName>
    <definedName name="reinicio" localSheetId="77">[0]!ERR</definedName>
    <definedName name="reinicio" localSheetId="81">[0]!ERR</definedName>
    <definedName name="reinicio" localSheetId="89">[0]!ERR</definedName>
    <definedName name="reinicio" localSheetId="90">[0]!ERR</definedName>
    <definedName name="reinicio" localSheetId="91">[0]!ERR</definedName>
    <definedName name="reinicio" localSheetId="92">[0]!ERR</definedName>
    <definedName name="reinicio" localSheetId="93">[0]!ERR</definedName>
    <definedName name="reinicio" localSheetId="94">[0]!ERR</definedName>
    <definedName name="reinicio" localSheetId="95">[0]!ERR</definedName>
    <definedName name="reinicio" localSheetId="96">[0]!ERR</definedName>
    <definedName name="reinicio" localSheetId="82">[0]!ERR</definedName>
    <definedName name="reinicio" localSheetId="83">[0]!ERR</definedName>
    <definedName name="reinicio" localSheetId="84">[0]!ERR</definedName>
    <definedName name="reinicio" localSheetId="85">[0]!ERR</definedName>
    <definedName name="reinicio" localSheetId="86">[0]!ERR</definedName>
    <definedName name="reinicio" localSheetId="87">[0]!ERR</definedName>
    <definedName name="reinicio" localSheetId="88">[0]!ERR</definedName>
    <definedName name="reinicio" localSheetId="97">[0]!ERR</definedName>
    <definedName name="reinicio" localSheetId="105">[0]!ERR</definedName>
    <definedName name="reinicio" localSheetId="106">[0]!ERR</definedName>
    <definedName name="reinicio" localSheetId="107">[0]!ERR</definedName>
    <definedName name="reinicio" localSheetId="108">[0]!ERR</definedName>
    <definedName name="reinicio" localSheetId="109">[0]!ERR</definedName>
    <definedName name="reinicio" localSheetId="110">[0]!ERR</definedName>
    <definedName name="reinicio" localSheetId="111">[0]!ERR</definedName>
    <definedName name="reinicio" localSheetId="112">[0]!ERR</definedName>
    <definedName name="reinicio" localSheetId="113">[0]!ERR</definedName>
    <definedName name="reinicio" localSheetId="114">[0]!ERR</definedName>
    <definedName name="reinicio" localSheetId="98">[0]!ERR</definedName>
    <definedName name="reinicio" localSheetId="115">[0]!ERR</definedName>
    <definedName name="reinicio" localSheetId="116">[0]!ERR</definedName>
    <definedName name="reinicio" localSheetId="117">[0]!ERR</definedName>
    <definedName name="reinicio" localSheetId="118">[0]!ERR</definedName>
    <definedName name="reinicio" localSheetId="119">[0]!ERR</definedName>
    <definedName name="reinicio" localSheetId="99">[0]!ERR</definedName>
    <definedName name="reinicio" localSheetId="100">[0]!ERR</definedName>
    <definedName name="reinicio" localSheetId="101">[0]!ERR</definedName>
    <definedName name="reinicio" localSheetId="102">[0]!ERR</definedName>
    <definedName name="reinicio" localSheetId="103">[0]!ERR</definedName>
    <definedName name="reinicio" localSheetId="104">[0]!ERR</definedName>
    <definedName name="reinicio" localSheetId="120">[0]!ERR</definedName>
    <definedName name="reinicio" localSheetId="121">[0]!ERR</definedName>
    <definedName name="reinicio" localSheetId="122">[0]!ERR</definedName>
    <definedName name="reinicio" localSheetId="123">[0]!ERR</definedName>
    <definedName name="reinicio" localSheetId="124">[0]!ERR</definedName>
    <definedName name="reinicio" localSheetId="125">[0]!ERR</definedName>
    <definedName name="reinicio" localSheetId="126">[0]!ERR</definedName>
    <definedName name="reinicio" localSheetId="127">[0]!ERR</definedName>
    <definedName name="reinicio" localSheetId="128">[0]!ERR</definedName>
    <definedName name="reinicio" localSheetId="129">[0]!ERR</definedName>
    <definedName name="reinicio" localSheetId="130">[0]!ERR</definedName>
    <definedName name="reinicio" localSheetId="131">[0]!ERR</definedName>
    <definedName name="reinicio" localSheetId="38">[0]!ERR</definedName>
    <definedName name="reinicio" localSheetId="2">[0]!ERR</definedName>
    <definedName name="reinicio">[0]!ERR</definedName>
    <definedName name="reinicio_10" localSheetId="20">ERR</definedName>
    <definedName name="reinicio_10" localSheetId="22">ERR</definedName>
    <definedName name="reinicio_10" localSheetId="33">ERR</definedName>
    <definedName name="reinicio_10" localSheetId="36">ERR</definedName>
    <definedName name="reinicio_10" localSheetId="47">ERR</definedName>
    <definedName name="reinicio_10" localSheetId="48">ERR</definedName>
    <definedName name="reinicio_10" localSheetId="51">ERR</definedName>
    <definedName name="reinicio_10" localSheetId="52">ERR</definedName>
    <definedName name="reinicio_10" localSheetId="53">ERR</definedName>
    <definedName name="reinicio_10" localSheetId="54">ERR</definedName>
    <definedName name="reinicio_10" localSheetId="62">ERR</definedName>
    <definedName name="reinicio_10" localSheetId="63">ERR</definedName>
    <definedName name="reinicio_10" localSheetId="64">ERR</definedName>
    <definedName name="reinicio_10" localSheetId="65">ERR</definedName>
    <definedName name="reinicio_10" localSheetId="66">ERR</definedName>
    <definedName name="reinicio_10" localSheetId="67">ERR</definedName>
    <definedName name="reinicio_10" localSheetId="68">ERR</definedName>
    <definedName name="reinicio_10" localSheetId="55">ERR</definedName>
    <definedName name="reinicio_10" localSheetId="56">ERR</definedName>
    <definedName name="reinicio_10" localSheetId="57">ERR</definedName>
    <definedName name="reinicio_10" localSheetId="58">ERR</definedName>
    <definedName name="reinicio_10" localSheetId="59">ERR</definedName>
    <definedName name="reinicio_10" localSheetId="60">ERR</definedName>
    <definedName name="reinicio_10" localSheetId="61">ERR</definedName>
    <definedName name="reinicio_10" localSheetId="69">ERR</definedName>
    <definedName name="reinicio_10" localSheetId="78">ERR</definedName>
    <definedName name="reinicio_10" localSheetId="79">ERR</definedName>
    <definedName name="reinicio_10" localSheetId="80">ERR</definedName>
    <definedName name="reinicio_10" localSheetId="70">ERR</definedName>
    <definedName name="reinicio_10" localSheetId="71">ERR</definedName>
    <definedName name="reinicio_10" localSheetId="72">ERR</definedName>
    <definedName name="reinicio_10" localSheetId="73">ERR</definedName>
    <definedName name="reinicio_10" localSheetId="74">ERR</definedName>
    <definedName name="reinicio_10" localSheetId="75">ERR</definedName>
    <definedName name="reinicio_10" localSheetId="76">ERR</definedName>
    <definedName name="reinicio_10" localSheetId="77">ERR</definedName>
    <definedName name="reinicio_10" localSheetId="81">ERR</definedName>
    <definedName name="reinicio_10" localSheetId="89">ERR</definedName>
    <definedName name="reinicio_10" localSheetId="90">ERR</definedName>
    <definedName name="reinicio_10" localSheetId="91">ERR</definedName>
    <definedName name="reinicio_10" localSheetId="92">ERR</definedName>
    <definedName name="reinicio_10" localSheetId="93">ERR</definedName>
    <definedName name="reinicio_10" localSheetId="94">ERR</definedName>
    <definedName name="reinicio_10" localSheetId="95">ERR</definedName>
    <definedName name="reinicio_10" localSheetId="96">ERR</definedName>
    <definedName name="reinicio_10" localSheetId="82">ERR</definedName>
    <definedName name="reinicio_10" localSheetId="83">ERR</definedName>
    <definedName name="reinicio_10" localSheetId="84">ERR</definedName>
    <definedName name="reinicio_10" localSheetId="85">ERR</definedName>
    <definedName name="reinicio_10" localSheetId="86">ERR</definedName>
    <definedName name="reinicio_10" localSheetId="87">ERR</definedName>
    <definedName name="reinicio_10" localSheetId="88">ERR</definedName>
    <definedName name="reinicio_10" localSheetId="97">ERR</definedName>
    <definedName name="reinicio_10" localSheetId="105">ERR</definedName>
    <definedName name="reinicio_10" localSheetId="106">ERR</definedName>
    <definedName name="reinicio_10" localSheetId="107">ERR</definedName>
    <definedName name="reinicio_10" localSheetId="108">ERR</definedName>
    <definedName name="reinicio_10" localSheetId="109">ERR</definedName>
    <definedName name="reinicio_10" localSheetId="110">ERR</definedName>
    <definedName name="reinicio_10" localSheetId="111">ERR</definedName>
    <definedName name="reinicio_10" localSheetId="112">ERR</definedName>
    <definedName name="reinicio_10" localSheetId="113">ERR</definedName>
    <definedName name="reinicio_10" localSheetId="114">ERR</definedName>
    <definedName name="reinicio_10" localSheetId="98">ERR</definedName>
    <definedName name="reinicio_10" localSheetId="115">ERR</definedName>
    <definedName name="reinicio_10" localSheetId="116">ERR</definedName>
    <definedName name="reinicio_10" localSheetId="117">ERR</definedName>
    <definedName name="reinicio_10" localSheetId="118">ERR</definedName>
    <definedName name="reinicio_10" localSheetId="119">ERR</definedName>
    <definedName name="reinicio_10" localSheetId="99">ERR</definedName>
    <definedName name="reinicio_10" localSheetId="100">ERR</definedName>
    <definedName name="reinicio_10" localSheetId="101">ERR</definedName>
    <definedName name="reinicio_10" localSheetId="102">ERR</definedName>
    <definedName name="reinicio_10" localSheetId="103">ERR</definedName>
    <definedName name="reinicio_10" localSheetId="104">ERR</definedName>
    <definedName name="reinicio_10" localSheetId="120">ERR</definedName>
    <definedName name="reinicio_10" localSheetId="121">ERR</definedName>
    <definedName name="reinicio_10" localSheetId="122">ERR</definedName>
    <definedName name="reinicio_10" localSheetId="123">ERR</definedName>
    <definedName name="reinicio_10" localSheetId="124">ERR</definedName>
    <definedName name="reinicio_10" localSheetId="125">ERR</definedName>
    <definedName name="reinicio_10" localSheetId="126">ERR</definedName>
    <definedName name="reinicio_10" localSheetId="127">ERR</definedName>
    <definedName name="reinicio_10" localSheetId="128">ERR</definedName>
    <definedName name="reinicio_10" localSheetId="129">ERR</definedName>
    <definedName name="reinicio_10" localSheetId="130">ERR</definedName>
    <definedName name="reinicio_10" localSheetId="131">ERR</definedName>
    <definedName name="reinicio_10" localSheetId="9">ERR</definedName>
    <definedName name="reinicio_10" localSheetId="38">ERR</definedName>
    <definedName name="reinicio_10" localSheetId="2">ERR</definedName>
    <definedName name="reinicio_10">ERR</definedName>
    <definedName name="reinicio_3" localSheetId="20">ERR</definedName>
    <definedName name="reinicio_3" localSheetId="22">ERR</definedName>
    <definedName name="reinicio_3" localSheetId="33">ERR</definedName>
    <definedName name="reinicio_3" localSheetId="36">ERR</definedName>
    <definedName name="reinicio_3" localSheetId="47">ERR</definedName>
    <definedName name="reinicio_3" localSheetId="48">ERR</definedName>
    <definedName name="reinicio_3" localSheetId="51">ERR</definedName>
    <definedName name="reinicio_3" localSheetId="52">ERR</definedName>
    <definedName name="reinicio_3" localSheetId="53">ERR</definedName>
    <definedName name="reinicio_3" localSheetId="54">ERR</definedName>
    <definedName name="reinicio_3" localSheetId="62">ERR</definedName>
    <definedName name="reinicio_3" localSheetId="63">ERR</definedName>
    <definedName name="reinicio_3" localSheetId="64">ERR</definedName>
    <definedName name="reinicio_3" localSheetId="65">ERR</definedName>
    <definedName name="reinicio_3" localSheetId="66">ERR</definedName>
    <definedName name="reinicio_3" localSheetId="67">ERR</definedName>
    <definedName name="reinicio_3" localSheetId="68">ERR</definedName>
    <definedName name="reinicio_3" localSheetId="55">ERR</definedName>
    <definedName name="reinicio_3" localSheetId="56">ERR</definedName>
    <definedName name="reinicio_3" localSheetId="57">ERR</definedName>
    <definedName name="reinicio_3" localSheetId="58">ERR</definedName>
    <definedName name="reinicio_3" localSheetId="59">ERR</definedName>
    <definedName name="reinicio_3" localSheetId="60">ERR</definedName>
    <definedName name="reinicio_3" localSheetId="61">ERR</definedName>
    <definedName name="reinicio_3" localSheetId="69">ERR</definedName>
    <definedName name="reinicio_3" localSheetId="78">ERR</definedName>
    <definedName name="reinicio_3" localSheetId="79">ERR</definedName>
    <definedName name="reinicio_3" localSheetId="80">ERR</definedName>
    <definedName name="reinicio_3" localSheetId="70">ERR</definedName>
    <definedName name="reinicio_3" localSheetId="71">ERR</definedName>
    <definedName name="reinicio_3" localSheetId="72">ERR</definedName>
    <definedName name="reinicio_3" localSheetId="73">ERR</definedName>
    <definedName name="reinicio_3" localSheetId="74">ERR</definedName>
    <definedName name="reinicio_3" localSheetId="75">ERR</definedName>
    <definedName name="reinicio_3" localSheetId="76">ERR</definedName>
    <definedName name="reinicio_3" localSheetId="77">ERR</definedName>
    <definedName name="reinicio_3" localSheetId="81">ERR</definedName>
    <definedName name="reinicio_3" localSheetId="89">ERR</definedName>
    <definedName name="reinicio_3" localSheetId="90">ERR</definedName>
    <definedName name="reinicio_3" localSheetId="91">ERR</definedName>
    <definedName name="reinicio_3" localSheetId="92">ERR</definedName>
    <definedName name="reinicio_3" localSheetId="93">ERR</definedName>
    <definedName name="reinicio_3" localSheetId="94">ERR</definedName>
    <definedName name="reinicio_3" localSheetId="95">ERR</definedName>
    <definedName name="reinicio_3" localSheetId="96">ERR</definedName>
    <definedName name="reinicio_3" localSheetId="82">ERR</definedName>
    <definedName name="reinicio_3" localSheetId="83">ERR</definedName>
    <definedName name="reinicio_3" localSheetId="84">ERR</definedName>
    <definedName name="reinicio_3" localSheetId="85">ERR</definedName>
    <definedName name="reinicio_3" localSheetId="86">ERR</definedName>
    <definedName name="reinicio_3" localSheetId="87">ERR</definedName>
    <definedName name="reinicio_3" localSheetId="88">ERR</definedName>
    <definedName name="reinicio_3" localSheetId="97">ERR</definedName>
    <definedName name="reinicio_3" localSheetId="105">ERR</definedName>
    <definedName name="reinicio_3" localSheetId="106">ERR</definedName>
    <definedName name="reinicio_3" localSheetId="107">ERR</definedName>
    <definedName name="reinicio_3" localSheetId="108">ERR</definedName>
    <definedName name="reinicio_3" localSheetId="109">ERR</definedName>
    <definedName name="reinicio_3" localSheetId="110">ERR</definedName>
    <definedName name="reinicio_3" localSheetId="111">ERR</definedName>
    <definedName name="reinicio_3" localSheetId="112">ERR</definedName>
    <definedName name="reinicio_3" localSheetId="113">ERR</definedName>
    <definedName name="reinicio_3" localSheetId="114">ERR</definedName>
    <definedName name="reinicio_3" localSheetId="98">ERR</definedName>
    <definedName name="reinicio_3" localSheetId="115">ERR</definedName>
    <definedName name="reinicio_3" localSheetId="116">ERR</definedName>
    <definedName name="reinicio_3" localSheetId="117">ERR</definedName>
    <definedName name="reinicio_3" localSheetId="118">ERR</definedName>
    <definedName name="reinicio_3" localSheetId="119">ERR</definedName>
    <definedName name="reinicio_3" localSheetId="99">ERR</definedName>
    <definedName name="reinicio_3" localSheetId="100">ERR</definedName>
    <definedName name="reinicio_3" localSheetId="101">ERR</definedName>
    <definedName name="reinicio_3" localSheetId="102">ERR</definedName>
    <definedName name="reinicio_3" localSheetId="103">ERR</definedName>
    <definedName name="reinicio_3" localSheetId="104">ERR</definedName>
    <definedName name="reinicio_3" localSheetId="120">ERR</definedName>
    <definedName name="reinicio_3" localSheetId="121">ERR</definedName>
    <definedName name="reinicio_3" localSheetId="122">ERR</definedName>
    <definedName name="reinicio_3" localSheetId="123">ERR</definedName>
    <definedName name="reinicio_3" localSheetId="124">ERR</definedName>
    <definedName name="reinicio_3" localSheetId="125">ERR</definedName>
    <definedName name="reinicio_3" localSheetId="126">ERR</definedName>
    <definedName name="reinicio_3" localSheetId="127">ERR</definedName>
    <definedName name="reinicio_3" localSheetId="128">ERR</definedName>
    <definedName name="reinicio_3" localSheetId="129">ERR</definedName>
    <definedName name="reinicio_3" localSheetId="130">ERR</definedName>
    <definedName name="reinicio_3" localSheetId="131">ERR</definedName>
    <definedName name="reinicio_3" localSheetId="9">ERR</definedName>
    <definedName name="reinicio_3" localSheetId="38">ERR</definedName>
    <definedName name="reinicio_3" localSheetId="2">ERR</definedName>
    <definedName name="reinicio_3">ERR</definedName>
    <definedName name="reinicio_4" localSheetId="20">ERR</definedName>
    <definedName name="reinicio_4" localSheetId="22">ERR</definedName>
    <definedName name="reinicio_4" localSheetId="33">ERR</definedName>
    <definedName name="reinicio_4" localSheetId="36">ERR</definedName>
    <definedName name="reinicio_4" localSheetId="47">ERR</definedName>
    <definedName name="reinicio_4" localSheetId="48">ERR</definedName>
    <definedName name="reinicio_4" localSheetId="51">ERR</definedName>
    <definedName name="reinicio_4" localSheetId="52">ERR</definedName>
    <definedName name="reinicio_4" localSheetId="53">ERR</definedName>
    <definedName name="reinicio_4" localSheetId="54">ERR</definedName>
    <definedName name="reinicio_4" localSheetId="62">ERR</definedName>
    <definedName name="reinicio_4" localSheetId="63">ERR</definedName>
    <definedName name="reinicio_4" localSheetId="64">ERR</definedName>
    <definedName name="reinicio_4" localSheetId="65">ERR</definedName>
    <definedName name="reinicio_4" localSheetId="66">ERR</definedName>
    <definedName name="reinicio_4" localSheetId="67">ERR</definedName>
    <definedName name="reinicio_4" localSheetId="68">ERR</definedName>
    <definedName name="reinicio_4" localSheetId="55">ERR</definedName>
    <definedName name="reinicio_4" localSheetId="56">ERR</definedName>
    <definedName name="reinicio_4" localSheetId="57">ERR</definedName>
    <definedName name="reinicio_4" localSheetId="58">ERR</definedName>
    <definedName name="reinicio_4" localSheetId="59">ERR</definedName>
    <definedName name="reinicio_4" localSheetId="60">ERR</definedName>
    <definedName name="reinicio_4" localSheetId="61">ERR</definedName>
    <definedName name="reinicio_4" localSheetId="69">ERR</definedName>
    <definedName name="reinicio_4" localSheetId="78">ERR</definedName>
    <definedName name="reinicio_4" localSheetId="79">ERR</definedName>
    <definedName name="reinicio_4" localSheetId="80">ERR</definedName>
    <definedName name="reinicio_4" localSheetId="70">ERR</definedName>
    <definedName name="reinicio_4" localSheetId="71">ERR</definedName>
    <definedName name="reinicio_4" localSheetId="72">ERR</definedName>
    <definedName name="reinicio_4" localSheetId="73">ERR</definedName>
    <definedName name="reinicio_4" localSheetId="74">ERR</definedName>
    <definedName name="reinicio_4" localSheetId="75">ERR</definedName>
    <definedName name="reinicio_4" localSheetId="76">ERR</definedName>
    <definedName name="reinicio_4" localSheetId="77">ERR</definedName>
    <definedName name="reinicio_4" localSheetId="81">ERR</definedName>
    <definedName name="reinicio_4" localSheetId="89">ERR</definedName>
    <definedName name="reinicio_4" localSheetId="90">ERR</definedName>
    <definedName name="reinicio_4" localSheetId="91">ERR</definedName>
    <definedName name="reinicio_4" localSheetId="92">ERR</definedName>
    <definedName name="reinicio_4" localSheetId="93">ERR</definedName>
    <definedName name="reinicio_4" localSheetId="94">ERR</definedName>
    <definedName name="reinicio_4" localSheetId="95">ERR</definedName>
    <definedName name="reinicio_4" localSheetId="96">ERR</definedName>
    <definedName name="reinicio_4" localSheetId="82">ERR</definedName>
    <definedName name="reinicio_4" localSheetId="83">ERR</definedName>
    <definedName name="reinicio_4" localSheetId="84">ERR</definedName>
    <definedName name="reinicio_4" localSheetId="85">ERR</definedName>
    <definedName name="reinicio_4" localSheetId="86">ERR</definedName>
    <definedName name="reinicio_4" localSheetId="87">ERR</definedName>
    <definedName name="reinicio_4" localSheetId="88">ERR</definedName>
    <definedName name="reinicio_4" localSheetId="97">ERR</definedName>
    <definedName name="reinicio_4" localSheetId="105">ERR</definedName>
    <definedName name="reinicio_4" localSheetId="106">ERR</definedName>
    <definedName name="reinicio_4" localSheetId="107">ERR</definedName>
    <definedName name="reinicio_4" localSheetId="108">ERR</definedName>
    <definedName name="reinicio_4" localSheetId="109">ERR</definedName>
    <definedName name="reinicio_4" localSheetId="110">ERR</definedName>
    <definedName name="reinicio_4" localSheetId="111">ERR</definedName>
    <definedName name="reinicio_4" localSheetId="112">ERR</definedName>
    <definedName name="reinicio_4" localSheetId="113">ERR</definedName>
    <definedName name="reinicio_4" localSheetId="114">ERR</definedName>
    <definedName name="reinicio_4" localSheetId="98">ERR</definedName>
    <definedName name="reinicio_4" localSheetId="115">ERR</definedName>
    <definedName name="reinicio_4" localSheetId="116">ERR</definedName>
    <definedName name="reinicio_4" localSheetId="117">ERR</definedName>
    <definedName name="reinicio_4" localSheetId="118">ERR</definedName>
    <definedName name="reinicio_4" localSheetId="119">ERR</definedName>
    <definedName name="reinicio_4" localSheetId="99">ERR</definedName>
    <definedName name="reinicio_4" localSheetId="100">ERR</definedName>
    <definedName name="reinicio_4" localSheetId="101">ERR</definedName>
    <definedName name="reinicio_4" localSheetId="102">ERR</definedName>
    <definedName name="reinicio_4" localSheetId="103">ERR</definedName>
    <definedName name="reinicio_4" localSheetId="104">ERR</definedName>
    <definedName name="reinicio_4" localSheetId="120">ERR</definedName>
    <definedName name="reinicio_4" localSheetId="121">ERR</definedName>
    <definedName name="reinicio_4" localSheetId="122">ERR</definedName>
    <definedName name="reinicio_4" localSheetId="123">ERR</definedName>
    <definedName name="reinicio_4" localSheetId="124">ERR</definedName>
    <definedName name="reinicio_4" localSheetId="125">ERR</definedName>
    <definedName name="reinicio_4" localSheetId="126">ERR</definedName>
    <definedName name="reinicio_4" localSheetId="127">ERR</definedName>
    <definedName name="reinicio_4" localSheetId="128">ERR</definedName>
    <definedName name="reinicio_4" localSheetId="129">ERR</definedName>
    <definedName name="reinicio_4" localSheetId="130">ERR</definedName>
    <definedName name="reinicio_4" localSheetId="131">ERR</definedName>
    <definedName name="reinicio_4" localSheetId="9">ERR</definedName>
    <definedName name="reinicio_4" localSheetId="38">ERR</definedName>
    <definedName name="reinicio_4" localSheetId="2">ERR</definedName>
    <definedName name="reinicio_4">ERR</definedName>
    <definedName name="reinicio_5" localSheetId="20">ERR</definedName>
    <definedName name="reinicio_5" localSheetId="22">ERR</definedName>
    <definedName name="reinicio_5" localSheetId="33">ERR</definedName>
    <definedName name="reinicio_5" localSheetId="36">ERR</definedName>
    <definedName name="reinicio_5" localSheetId="47">ERR</definedName>
    <definedName name="reinicio_5" localSheetId="48">ERR</definedName>
    <definedName name="reinicio_5" localSheetId="51">ERR</definedName>
    <definedName name="reinicio_5" localSheetId="52">ERR</definedName>
    <definedName name="reinicio_5" localSheetId="53">ERR</definedName>
    <definedName name="reinicio_5" localSheetId="54">ERR</definedName>
    <definedName name="reinicio_5" localSheetId="62">ERR</definedName>
    <definedName name="reinicio_5" localSheetId="63">ERR</definedName>
    <definedName name="reinicio_5" localSheetId="64">ERR</definedName>
    <definedName name="reinicio_5" localSheetId="65">ERR</definedName>
    <definedName name="reinicio_5" localSheetId="66">ERR</definedName>
    <definedName name="reinicio_5" localSheetId="67">ERR</definedName>
    <definedName name="reinicio_5" localSheetId="68">ERR</definedName>
    <definedName name="reinicio_5" localSheetId="55">ERR</definedName>
    <definedName name="reinicio_5" localSheetId="56">ERR</definedName>
    <definedName name="reinicio_5" localSheetId="57">ERR</definedName>
    <definedName name="reinicio_5" localSheetId="58">ERR</definedName>
    <definedName name="reinicio_5" localSheetId="59">ERR</definedName>
    <definedName name="reinicio_5" localSheetId="60">ERR</definedName>
    <definedName name="reinicio_5" localSheetId="61">ERR</definedName>
    <definedName name="reinicio_5" localSheetId="69">ERR</definedName>
    <definedName name="reinicio_5" localSheetId="78">ERR</definedName>
    <definedName name="reinicio_5" localSheetId="79">ERR</definedName>
    <definedName name="reinicio_5" localSheetId="80">ERR</definedName>
    <definedName name="reinicio_5" localSheetId="70">ERR</definedName>
    <definedName name="reinicio_5" localSheetId="71">ERR</definedName>
    <definedName name="reinicio_5" localSheetId="72">ERR</definedName>
    <definedName name="reinicio_5" localSheetId="73">ERR</definedName>
    <definedName name="reinicio_5" localSheetId="74">ERR</definedName>
    <definedName name="reinicio_5" localSheetId="75">ERR</definedName>
    <definedName name="reinicio_5" localSheetId="76">ERR</definedName>
    <definedName name="reinicio_5" localSheetId="77">ERR</definedName>
    <definedName name="reinicio_5" localSheetId="81">ERR</definedName>
    <definedName name="reinicio_5" localSheetId="89">ERR</definedName>
    <definedName name="reinicio_5" localSheetId="90">ERR</definedName>
    <definedName name="reinicio_5" localSheetId="91">ERR</definedName>
    <definedName name="reinicio_5" localSheetId="92">ERR</definedName>
    <definedName name="reinicio_5" localSheetId="93">ERR</definedName>
    <definedName name="reinicio_5" localSheetId="94">ERR</definedName>
    <definedName name="reinicio_5" localSheetId="95">ERR</definedName>
    <definedName name="reinicio_5" localSheetId="96">ERR</definedName>
    <definedName name="reinicio_5" localSheetId="82">ERR</definedName>
    <definedName name="reinicio_5" localSheetId="83">ERR</definedName>
    <definedName name="reinicio_5" localSheetId="84">ERR</definedName>
    <definedName name="reinicio_5" localSheetId="85">ERR</definedName>
    <definedName name="reinicio_5" localSheetId="86">ERR</definedName>
    <definedName name="reinicio_5" localSheetId="87">ERR</definedName>
    <definedName name="reinicio_5" localSheetId="88">ERR</definedName>
    <definedName name="reinicio_5" localSheetId="97">ERR</definedName>
    <definedName name="reinicio_5" localSheetId="105">ERR</definedName>
    <definedName name="reinicio_5" localSheetId="106">ERR</definedName>
    <definedName name="reinicio_5" localSheetId="107">ERR</definedName>
    <definedName name="reinicio_5" localSheetId="108">ERR</definedName>
    <definedName name="reinicio_5" localSheetId="109">ERR</definedName>
    <definedName name="reinicio_5" localSheetId="110">ERR</definedName>
    <definedName name="reinicio_5" localSheetId="111">ERR</definedName>
    <definedName name="reinicio_5" localSheetId="112">ERR</definedName>
    <definedName name="reinicio_5" localSheetId="113">ERR</definedName>
    <definedName name="reinicio_5" localSheetId="114">ERR</definedName>
    <definedName name="reinicio_5" localSheetId="98">ERR</definedName>
    <definedName name="reinicio_5" localSheetId="115">ERR</definedName>
    <definedName name="reinicio_5" localSheetId="116">ERR</definedName>
    <definedName name="reinicio_5" localSheetId="117">ERR</definedName>
    <definedName name="reinicio_5" localSheetId="118">ERR</definedName>
    <definedName name="reinicio_5" localSheetId="119">ERR</definedName>
    <definedName name="reinicio_5" localSheetId="99">ERR</definedName>
    <definedName name="reinicio_5" localSheetId="100">ERR</definedName>
    <definedName name="reinicio_5" localSheetId="101">ERR</definedName>
    <definedName name="reinicio_5" localSheetId="102">ERR</definedName>
    <definedName name="reinicio_5" localSheetId="103">ERR</definedName>
    <definedName name="reinicio_5" localSheetId="104">ERR</definedName>
    <definedName name="reinicio_5" localSheetId="120">ERR</definedName>
    <definedName name="reinicio_5" localSheetId="121">ERR</definedName>
    <definedName name="reinicio_5" localSheetId="122">ERR</definedName>
    <definedName name="reinicio_5" localSheetId="123">ERR</definedName>
    <definedName name="reinicio_5" localSheetId="124">ERR</definedName>
    <definedName name="reinicio_5" localSheetId="125">ERR</definedName>
    <definedName name="reinicio_5" localSheetId="126">ERR</definedName>
    <definedName name="reinicio_5" localSheetId="127">ERR</definedName>
    <definedName name="reinicio_5" localSheetId="128">ERR</definedName>
    <definedName name="reinicio_5" localSheetId="129">ERR</definedName>
    <definedName name="reinicio_5" localSheetId="130">ERR</definedName>
    <definedName name="reinicio_5" localSheetId="131">ERR</definedName>
    <definedName name="reinicio_5" localSheetId="9">ERR</definedName>
    <definedName name="reinicio_5" localSheetId="38">ERR</definedName>
    <definedName name="reinicio_5" localSheetId="2">ERR</definedName>
    <definedName name="reinicio_5">ERR</definedName>
    <definedName name="reinicio_6" localSheetId="20">ERR</definedName>
    <definedName name="reinicio_6" localSheetId="22">ERR</definedName>
    <definedName name="reinicio_6" localSheetId="33">ERR</definedName>
    <definedName name="reinicio_6" localSheetId="36">ERR</definedName>
    <definedName name="reinicio_6" localSheetId="47">ERR</definedName>
    <definedName name="reinicio_6" localSheetId="48">ERR</definedName>
    <definedName name="reinicio_6" localSheetId="51">ERR</definedName>
    <definedName name="reinicio_6" localSheetId="52">ERR</definedName>
    <definedName name="reinicio_6" localSheetId="53">ERR</definedName>
    <definedName name="reinicio_6" localSheetId="54">ERR</definedName>
    <definedName name="reinicio_6" localSheetId="62">ERR</definedName>
    <definedName name="reinicio_6" localSheetId="63">ERR</definedName>
    <definedName name="reinicio_6" localSheetId="64">ERR</definedName>
    <definedName name="reinicio_6" localSheetId="65">ERR</definedName>
    <definedName name="reinicio_6" localSheetId="66">ERR</definedName>
    <definedName name="reinicio_6" localSheetId="67">ERR</definedName>
    <definedName name="reinicio_6" localSheetId="68">ERR</definedName>
    <definedName name="reinicio_6" localSheetId="55">ERR</definedName>
    <definedName name="reinicio_6" localSheetId="56">ERR</definedName>
    <definedName name="reinicio_6" localSheetId="57">ERR</definedName>
    <definedName name="reinicio_6" localSheetId="58">ERR</definedName>
    <definedName name="reinicio_6" localSheetId="59">ERR</definedName>
    <definedName name="reinicio_6" localSheetId="60">ERR</definedName>
    <definedName name="reinicio_6" localSheetId="61">ERR</definedName>
    <definedName name="reinicio_6" localSheetId="69">ERR</definedName>
    <definedName name="reinicio_6" localSheetId="78">ERR</definedName>
    <definedName name="reinicio_6" localSheetId="79">ERR</definedName>
    <definedName name="reinicio_6" localSheetId="80">ERR</definedName>
    <definedName name="reinicio_6" localSheetId="70">ERR</definedName>
    <definedName name="reinicio_6" localSheetId="71">ERR</definedName>
    <definedName name="reinicio_6" localSheetId="72">ERR</definedName>
    <definedName name="reinicio_6" localSheetId="73">ERR</definedName>
    <definedName name="reinicio_6" localSheetId="74">ERR</definedName>
    <definedName name="reinicio_6" localSheetId="75">ERR</definedName>
    <definedName name="reinicio_6" localSheetId="76">ERR</definedName>
    <definedName name="reinicio_6" localSheetId="77">ERR</definedName>
    <definedName name="reinicio_6" localSheetId="81">ERR</definedName>
    <definedName name="reinicio_6" localSheetId="89">ERR</definedName>
    <definedName name="reinicio_6" localSheetId="90">ERR</definedName>
    <definedName name="reinicio_6" localSheetId="91">ERR</definedName>
    <definedName name="reinicio_6" localSheetId="92">ERR</definedName>
    <definedName name="reinicio_6" localSheetId="93">ERR</definedName>
    <definedName name="reinicio_6" localSheetId="94">ERR</definedName>
    <definedName name="reinicio_6" localSheetId="95">ERR</definedName>
    <definedName name="reinicio_6" localSheetId="96">ERR</definedName>
    <definedName name="reinicio_6" localSheetId="82">ERR</definedName>
    <definedName name="reinicio_6" localSheetId="83">ERR</definedName>
    <definedName name="reinicio_6" localSheetId="84">ERR</definedName>
    <definedName name="reinicio_6" localSheetId="85">ERR</definedName>
    <definedName name="reinicio_6" localSheetId="86">ERR</definedName>
    <definedName name="reinicio_6" localSheetId="87">ERR</definedName>
    <definedName name="reinicio_6" localSheetId="88">ERR</definedName>
    <definedName name="reinicio_6" localSheetId="97">ERR</definedName>
    <definedName name="reinicio_6" localSheetId="105">ERR</definedName>
    <definedName name="reinicio_6" localSheetId="106">ERR</definedName>
    <definedName name="reinicio_6" localSheetId="107">ERR</definedName>
    <definedName name="reinicio_6" localSheetId="108">ERR</definedName>
    <definedName name="reinicio_6" localSheetId="109">ERR</definedName>
    <definedName name="reinicio_6" localSheetId="110">ERR</definedName>
    <definedName name="reinicio_6" localSheetId="111">ERR</definedName>
    <definedName name="reinicio_6" localSheetId="112">ERR</definedName>
    <definedName name="reinicio_6" localSheetId="113">ERR</definedName>
    <definedName name="reinicio_6" localSheetId="114">ERR</definedName>
    <definedName name="reinicio_6" localSheetId="98">ERR</definedName>
    <definedName name="reinicio_6" localSheetId="115">ERR</definedName>
    <definedName name="reinicio_6" localSheetId="116">ERR</definedName>
    <definedName name="reinicio_6" localSheetId="117">ERR</definedName>
    <definedName name="reinicio_6" localSheetId="118">ERR</definedName>
    <definedName name="reinicio_6" localSheetId="119">ERR</definedName>
    <definedName name="reinicio_6" localSheetId="99">ERR</definedName>
    <definedName name="reinicio_6" localSheetId="100">ERR</definedName>
    <definedName name="reinicio_6" localSheetId="101">ERR</definedName>
    <definedName name="reinicio_6" localSheetId="102">ERR</definedName>
    <definedName name="reinicio_6" localSheetId="103">ERR</definedName>
    <definedName name="reinicio_6" localSheetId="104">ERR</definedName>
    <definedName name="reinicio_6" localSheetId="120">ERR</definedName>
    <definedName name="reinicio_6" localSheetId="121">ERR</definedName>
    <definedName name="reinicio_6" localSheetId="122">ERR</definedName>
    <definedName name="reinicio_6" localSheetId="123">ERR</definedName>
    <definedName name="reinicio_6" localSheetId="124">ERR</definedName>
    <definedName name="reinicio_6" localSheetId="125">ERR</definedName>
    <definedName name="reinicio_6" localSheetId="126">ERR</definedName>
    <definedName name="reinicio_6" localSheetId="127">ERR</definedName>
    <definedName name="reinicio_6" localSheetId="128">ERR</definedName>
    <definedName name="reinicio_6" localSheetId="129">ERR</definedName>
    <definedName name="reinicio_6" localSheetId="130">ERR</definedName>
    <definedName name="reinicio_6" localSheetId="131">ERR</definedName>
    <definedName name="reinicio_6" localSheetId="9">ERR</definedName>
    <definedName name="reinicio_6" localSheetId="38">ERR</definedName>
    <definedName name="reinicio_6" localSheetId="2">ERR</definedName>
    <definedName name="reinicio_6">ERR</definedName>
    <definedName name="reinicio_7" localSheetId="20">ERR</definedName>
    <definedName name="reinicio_7" localSheetId="22">ERR</definedName>
    <definedName name="reinicio_7" localSheetId="33">ERR</definedName>
    <definedName name="reinicio_7" localSheetId="36">ERR</definedName>
    <definedName name="reinicio_7" localSheetId="47">ERR</definedName>
    <definedName name="reinicio_7" localSheetId="48">ERR</definedName>
    <definedName name="reinicio_7" localSheetId="51">ERR</definedName>
    <definedName name="reinicio_7" localSheetId="52">ERR</definedName>
    <definedName name="reinicio_7" localSheetId="53">ERR</definedName>
    <definedName name="reinicio_7" localSheetId="54">ERR</definedName>
    <definedName name="reinicio_7" localSheetId="62">ERR</definedName>
    <definedName name="reinicio_7" localSheetId="63">ERR</definedName>
    <definedName name="reinicio_7" localSheetId="64">ERR</definedName>
    <definedName name="reinicio_7" localSheetId="65">ERR</definedName>
    <definedName name="reinicio_7" localSheetId="66">ERR</definedName>
    <definedName name="reinicio_7" localSheetId="67">ERR</definedName>
    <definedName name="reinicio_7" localSheetId="68">ERR</definedName>
    <definedName name="reinicio_7" localSheetId="55">ERR</definedName>
    <definedName name="reinicio_7" localSheetId="56">ERR</definedName>
    <definedName name="reinicio_7" localSheetId="57">ERR</definedName>
    <definedName name="reinicio_7" localSheetId="58">ERR</definedName>
    <definedName name="reinicio_7" localSheetId="59">ERR</definedName>
    <definedName name="reinicio_7" localSheetId="60">ERR</definedName>
    <definedName name="reinicio_7" localSheetId="61">ERR</definedName>
    <definedName name="reinicio_7" localSheetId="69">ERR</definedName>
    <definedName name="reinicio_7" localSheetId="78">ERR</definedName>
    <definedName name="reinicio_7" localSheetId="79">ERR</definedName>
    <definedName name="reinicio_7" localSheetId="80">ERR</definedName>
    <definedName name="reinicio_7" localSheetId="70">ERR</definedName>
    <definedName name="reinicio_7" localSheetId="71">ERR</definedName>
    <definedName name="reinicio_7" localSheetId="72">ERR</definedName>
    <definedName name="reinicio_7" localSheetId="73">ERR</definedName>
    <definedName name="reinicio_7" localSheetId="74">ERR</definedName>
    <definedName name="reinicio_7" localSheetId="75">ERR</definedName>
    <definedName name="reinicio_7" localSheetId="76">ERR</definedName>
    <definedName name="reinicio_7" localSheetId="77">ERR</definedName>
    <definedName name="reinicio_7" localSheetId="81">ERR</definedName>
    <definedName name="reinicio_7" localSheetId="89">ERR</definedName>
    <definedName name="reinicio_7" localSheetId="90">ERR</definedName>
    <definedName name="reinicio_7" localSheetId="91">ERR</definedName>
    <definedName name="reinicio_7" localSheetId="92">ERR</definedName>
    <definedName name="reinicio_7" localSheetId="93">ERR</definedName>
    <definedName name="reinicio_7" localSheetId="94">ERR</definedName>
    <definedName name="reinicio_7" localSheetId="95">ERR</definedName>
    <definedName name="reinicio_7" localSheetId="96">ERR</definedName>
    <definedName name="reinicio_7" localSheetId="82">ERR</definedName>
    <definedName name="reinicio_7" localSheetId="83">ERR</definedName>
    <definedName name="reinicio_7" localSheetId="84">ERR</definedName>
    <definedName name="reinicio_7" localSheetId="85">ERR</definedName>
    <definedName name="reinicio_7" localSheetId="86">ERR</definedName>
    <definedName name="reinicio_7" localSheetId="87">ERR</definedName>
    <definedName name="reinicio_7" localSheetId="88">ERR</definedName>
    <definedName name="reinicio_7" localSheetId="97">ERR</definedName>
    <definedName name="reinicio_7" localSheetId="105">ERR</definedName>
    <definedName name="reinicio_7" localSheetId="106">ERR</definedName>
    <definedName name="reinicio_7" localSheetId="107">ERR</definedName>
    <definedName name="reinicio_7" localSheetId="108">ERR</definedName>
    <definedName name="reinicio_7" localSheetId="109">ERR</definedName>
    <definedName name="reinicio_7" localSheetId="110">ERR</definedName>
    <definedName name="reinicio_7" localSheetId="111">ERR</definedName>
    <definedName name="reinicio_7" localSheetId="112">ERR</definedName>
    <definedName name="reinicio_7" localSheetId="113">ERR</definedName>
    <definedName name="reinicio_7" localSheetId="114">ERR</definedName>
    <definedName name="reinicio_7" localSheetId="98">ERR</definedName>
    <definedName name="reinicio_7" localSheetId="115">ERR</definedName>
    <definedName name="reinicio_7" localSheetId="116">ERR</definedName>
    <definedName name="reinicio_7" localSheetId="117">ERR</definedName>
    <definedName name="reinicio_7" localSheetId="118">ERR</definedName>
    <definedName name="reinicio_7" localSheetId="119">ERR</definedName>
    <definedName name="reinicio_7" localSheetId="99">ERR</definedName>
    <definedName name="reinicio_7" localSheetId="100">ERR</definedName>
    <definedName name="reinicio_7" localSheetId="101">ERR</definedName>
    <definedName name="reinicio_7" localSheetId="102">ERR</definedName>
    <definedName name="reinicio_7" localSheetId="103">ERR</definedName>
    <definedName name="reinicio_7" localSheetId="104">ERR</definedName>
    <definedName name="reinicio_7" localSheetId="120">ERR</definedName>
    <definedName name="reinicio_7" localSheetId="121">ERR</definedName>
    <definedName name="reinicio_7" localSheetId="122">ERR</definedName>
    <definedName name="reinicio_7" localSheetId="123">ERR</definedName>
    <definedName name="reinicio_7" localSheetId="124">ERR</definedName>
    <definedName name="reinicio_7" localSheetId="125">ERR</definedName>
    <definedName name="reinicio_7" localSheetId="126">ERR</definedName>
    <definedName name="reinicio_7" localSheetId="127">ERR</definedName>
    <definedName name="reinicio_7" localSheetId="128">ERR</definedName>
    <definedName name="reinicio_7" localSheetId="129">ERR</definedName>
    <definedName name="reinicio_7" localSheetId="130">ERR</definedName>
    <definedName name="reinicio_7" localSheetId="131">ERR</definedName>
    <definedName name="reinicio_7" localSheetId="9">ERR</definedName>
    <definedName name="reinicio_7" localSheetId="38">ERR</definedName>
    <definedName name="reinicio_7" localSheetId="2">ERR</definedName>
    <definedName name="reinicio_7">ERR</definedName>
    <definedName name="reinicio_8" localSheetId="20">ERR</definedName>
    <definedName name="reinicio_8" localSheetId="22">ERR</definedName>
    <definedName name="reinicio_8" localSheetId="33">ERR</definedName>
    <definedName name="reinicio_8" localSheetId="36">ERR</definedName>
    <definedName name="reinicio_8" localSheetId="47">ERR</definedName>
    <definedName name="reinicio_8" localSheetId="48">ERR</definedName>
    <definedName name="reinicio_8" localSheetId="51">ERR</definedName>
    <definedName name="reinicio_8" localSheetId="52">ERR</definedName>
    <definedName name="reinicio_8" localSheetId="53">ERR</definedName>
    <definedName name="reinicio_8" localSheetId="54">ERR</definedName>
    <definedName name="reinicio_8" localSheetId="62">ERR</definedName>
    <definedName name="reinicio_8" localSheetId="63">ERR</definedName>
    <definedName name="reinicio_8" localSheetId="64">ERR</definedName>
    <definedName name="reinicio_8" localSheetId="65">ERR</definedName>
    <definedName name="reinicio_8" localSheetId="66">ERR</definedName>
    <definedName name="reinicio_8" localSheetId="67">ERR</definedName>
    <definedName name="reinicio_8" localSheetId="68">ERR</definedName>
    <definedName name="reinicio_8" localSheetId="55">ERR</definedName>
    <definedName name="reinicio_8" localSheetId="56">ERR</definedName>
    <definedName name="reinicio_8" localSheetId="57">ERR</definedName>
    <definedName name="reinicio_8" localSheetId="58">ERR</definedName>
    <definedName name="reinicio_8" localSheetId="59">ERR</definedName>
    <definedName name="reinicio_8" localSheetId="60">ERR</definedName>
    <definedName name="reinicio_8" localSheetId="61">ERR</definedName>
    <definedName name="reinicio_8" localSheetId="69">ERR</definedName>
    <definedName name="reinicio_8" localSheetId="78">ERR</definedName>
    <definedName name="reinicio_8" localSheetId="79">ERR</definedName>
    <definedName name="reinicio_8" localSheetId="80">ERR</definedName>
    <definedName name="reinicio_8" localSheetId="70">ERR</definedName>
    <definedName name="reinicio_8" localSheetId="71">ERR</definedName>
    <definedName name="reinicio_8" localSheetId="72">ERR</definedName>
    <definedName name="reinicio_8" localSheetId="73">ERR</definedName>
    <definedName name="reinicio_8" localSheetId="74">ERR</definedName>
    <definedName name="reinicio_8" localSheetId="75">ERR</definedName>
    <definedName name="reinicio_8" localSheetId="76">ERR</definedName>
    <definedName name="reinicio_8" localSheetId="77">ERR</definedName>
    <definedName name="reinicio_8" localSheetId="81">ERR</definedName>
    <definedName name="reinicio_8" localSheetId="89">ERR</definedName>
    <definedName name="reinicio_8" localSheetId="90">ERR</definedName>
    <definedName name="reinicio_8" localSheetId="91">ERR</definedName>
    <definedName name="reinicio_8" localSheetId="92">ERR</definedName>
    <definedName name="reinicio_8" localSheetId="93">ERR</definedName>
    <definedName name="reinicio_8" localSheetId="94">ERR</definedName>
    <definedName name="reinicio_8" localSheetId="95">ERR</definedName>
    <definedName name="reinicio_8" localSheetId="96">ERR</definedName>
    <definedName name="reinicio_8" localSheetId="82">ERR</definedName>
    <definedName name="reinicio_8" localSheetId="83">ERR</definedName>
    <definedName name="reinicio_8" localSheetId="84">ERR</definedName>
    <definedName name="reinicio_8" localSheetId="85">ERR</definedName>
    <definedName name="reinicio_8" localSheetId="86">ERR</definedName>
    <definedName name="reinicio_8" localSheetId="87">ERR</definedName>
    <definedName name="reinicio_8" localSheetId="88">ERR</definedName>
    <definedName name="reinicio_8" localSheetId="97">ERR</definedName>
    <definedName name="reinicio_8" localSheetId="105">ERR</definedName>
    <definedName name="reinicio_8" localSheetId="106">ERR</definedName>
    <definedName name="reinicio_8" localSheetId="107">ERR</definedName>
    <definedName name="reinicio_8" localSheetId="108">ERR</definedName>
    <definedName name="reinicio_8" localSheetId="109">ERR</definedName>
    <definedName name="reinicio_8" localSheetId="110">ERR</definedName>
    <definedName name="reinicio_8" localSheetId="111">ERR</definedName>
    <definedName name="reinicio_8" localSheetId="112">ERR</definedName>
    <definedName name="reinicio_8" localSheetId="113">ERR</definedName>
    <definedName name="reinicio_8" localSheetId="114">ERR</definedName>
    <definedName name="reinicio_8" localSheetId="98">ERR</definedName>
    <definedName name="reinicio_8" localSheetId="115">ERR</definedName>
    <definedName name="reinicio_8" localSheetId="116">ERR</definedName>
    <definedName name="reinicio_8" localSheetId="117">ERR</definedName>
    <definedName name="reinicio_8" localSheetId="118">ERR</definedName>
    <definedName name="reinicio_8" localSheetId="119">ERR</definedName>
    <definedName name="reinicio_8" localSheetId="99">ERR</definedName>
    <definedName name="reinicio_8" localSheetId="100">ERR</definedName>
    <definedName name="reinicio_8" localSheetId="101">ERR</definedName>
    <definedName name="reinicio_8" localSheetId="102">ERR</definedName>
    <definedName name="reinicio_8" localSheetId="103">ERR</definedName>
    <definedName name="reinicio_8" localSheetId="104">ERR</definedName>
    <definedName name="reinicio_8" localSheetId="120">ERR</definedName>
    <definedName name="reinicio_8" localSheetId="121">ERR</definedName>
    <definedName name="reinicio_8" localSheetId="122">ERR</definedName>
    <definedName name="reinicio_8" localSheetId="123">ERR</definedName>
    <definedName name="reinicio_8" localSheetId="124">ERR</definedName>
    <definedName name="reinicio_8" localSheetId="125">ERR</definedName>
    <definedName name="reinicio_8" localSheetId="126">ERR</definedName>
    <definedName name="reinicio_8" localSheetId="127">ERR</definedName>
    <definedName name="reinicio_8" localSheetId="128">ERR</definedName>
    <definedName name="reinicio_8" localSheetId="129">ERR</definedName>
    <definedName name="reinicio_8" localSheetId="130">ERR</definedName>
    <definedName name="reinicio_8" localSheetId="131">ERR</definedName>
    <definedName name="reinicio_8" localSheetId="9">ERR</definedName>
    <definedName name="reinicio_8" localSheetId="38">ERR</definedName>
    <definedName name="reinicio_8" localSheetId="2">ERR</definedName>
    <definedName name="reinicio_8">ERR</definedName>
    <definedName name="reinicio_9" localSheetId="20">ERR</definedName>
    <definedName name="reinicio_9" localSheetId="22">ERR</definedName>
    <definedName name="reinicio_9" localSheetId="33">ERR</definedName>
    <definedName name="reinicio_9" localSheetId="36">ERR</definedName>
    <definedName name="reinicio_9" localSheetId="47">ERR</definedName>
    <definedName name="reinicio_9" localSheetId="48">ERR</definedName>
    <definedName name="reinicio_9" localSheetId="51">ERR</definedName>
    <definedName name="reinicio_9" localSheetId="52">ERR</definedName>
    <definedName name="reinicio_9" localSheetId="53">ERR</definedName>
    <definedName name="reinicio_9" localSheetId="54">ERR</definedName>
    <definedName name="reinicio_9" localSheetId="62">ERR</definedName>
    <definedName name="reinicio_9" localSheetId="63">ERR</definedName>
    <definedName name="reinicio_9" localSheetId="64">ERR</definedName>
    <definedName name="reinicio_9" localSheetId="65">ERR</definedName>
    <definedName name="reinicio_9" localSheetId="66">ERR</definedName>
    <definedName name="reinicio_9" localSheetId="67">ERR</definedName>
    <definedName name="reinicio_9" localSheetId="68">ERR</definedName>
    <definedName name="reinicio_9" localSheetId="55">ERR</definedName>
    <definedName name="reinicio_9" localSheetId="56">ERR</definedName>
    <definedName name="reinicio_9" localSheetId="57">ERR</definedName>
    <definedName name="reinicio_9" localSheetId="58">ERR</definedName>
    <definedName name="reinicio_9" localSheetId="59">ERR</definedName>
    <definedName name="reinicio_9" localSheetId="60">ERR</definedName>
    <definedName name="reinicio_9" localSheetId="61">ERR</definedName>
    <definedName name="reinicio_9" localSheetId="69">ERR</definedName>
    <definedName name="reinicio_9" localSheetId="78">ERR</definedName>
    <definedName name="reinicio_9" localSheetId="79">ERR</definedName>
    <definedName name="reinicio_9" localSheetId="80">ERR</definedName>
    <definedName name="reinicio_9" localSheetId="70">ERR</definedName>
    <definedName name="reinicio_9" localSheetId="71">ERR</definedName>
    <definedName name="reinicio_9" localSheetId="72">ERR</definedName>
    <definedName name="reinicio_9" localSheetId="73">ERR</definedName>
    <definedName name="reinicio_9" localSheetId="74">ERR</definedName>
    <definedName name="reinicio_9" localSheetId="75">ERR</definedName>
    <definedName name="reinicio_9" localSheetId="76">ERR</definedName>
    <definedName name="reinicio_9" localSheetId="77">ERR</definedName>
    <definedName name="reinicio_9" localSheetId="81">ERR</definedName>
    <definedName name="reinicio_9" localSheetId="89">ERR</definedName>
    <definedName name="reinicio_9" localSheetId="90">ERR</definedName>
    <definedName name="reinicio_9" localSheetId="91">ERR</definedName>
    <definedName name="reinicio_9" localSheetId="92">ERR</definedName>
    <definedName name="reinicio_9" localSheetId="93">ERR</definedName>
    <definedName name="reinicio_9" localSheetId="94">ERR</definedName>
    <definedName name="reinicio_9" localSheetId="95">ERR</definedName>
    <definedName name="reinicio_9" localSheetId="96">ERR</definedName>
    <definedName name="reinicio_9" localSheetId="82">ERR</definedName>
    <definedName name="reinicio_9" localSheetId="83">ERR</definedName>
    <definedName name="reinicio_9" localSheetId="84">ERR</definedName>
    <definedName name="reinicio_9" localSheetId="85">ERR</definedName>
    <definedName name="reinicio_9" localSheetId="86">ERR</definedName>
    <definedName name="reinicio_9" localSheetId="87">ERR</definedName>
    <definedName name="reinicio_9" localSheetId="88">ERR</definedName>
    <definedName name="reinicio_9" localSheetId="97">ERR</definedName>
    <definedName name="reinicio_9" localSheetId="105">ERR</definedName>
    <definedName name="reinicio_9" localSheetId="106">ERR</definedName>
    <definedName name="reinicio_9" localSheetId="107">ERR</definedName>
    <definedName name="reinicio_9" localSheetId="108">ERR</definedName>
    <definedName name="reinicio_9" localSheetId="109">ERR</definedName>
    <definedName name="reinicio_9" localSheetId="110">ERR</definedName>
    <definedName name="reinicio_9" localSheetId="111">ERR</definedName>
    <definedName name="reinicio_9" localSheetId="112">ERR</definedName>
    <definedName name="reinicio_9" localSheetId="113">ERR</definedName>
    <definedName name="reinicio_9" localSheetId="114">ERR</definedName>
    <definedName name="reinicio_9" localSheetId="98">ERR</definedName>
    <definedName name="reinicio_9" localSheetId="115">ERR</definedName>
    <definedName name="reinicio_9" localSheetId="116">ERR</definedName>
    <definedName name="reinicio_9" localSheetId="117">ERR</definedName>
    <definedName name="reinicio_9" localSheetId="118">ERR</definedName>
    <definedName name="reinicio_9" localSheetId="119">ERR</definedName>
    <definedName name="reinicio_9" localSheetId="99">ERR</definedName>
    <definedName name="reinicio_9" localSheetId="100">ERR</definedName>
    <definedName name="reinicio_9" localSheetId="101">ERR</definedName>
    <definedName name="reinicio_9" localSheetId="102">ERR</definedName>
    <definedName name="reinicio_9" localSheetId="103">ERR</definedName>
    <definedName name="reinicio_9" localSheetId="104">ERR</definedName>
    <definedName name="reinicio_9" localSheetId="120">ERR</definedName>
    <definedName name="reinicio_9" localSheetId="121">ERR</definedName>
    <definedName name="reinicio_9" localSheetId="122">ERR</definedName>
    <definedName name="reinicio_9" localSheetId="123">ERR</definedName>
    <definedName name="reinicio_9" localSheetId="124">ERR</definedName>
    <definedName name="reinicio_9" localSheetId="125">ERR</definedName>
    <definedName name="reinicio_9" localSheetId="126">ERR</definedName>
    <definedName name="reinicio_9" localSheetId="127">ERR</definedName>
    <definedName name="reinicio_9" localSheetId="128">ERR</definedName>
    <definedName name="reinicio_9" localSheetId="129">ERR</definedName>
    <definedName name="reinicio_9" localSheetId="130">ERR</definedName>
    <definedName name="reinicio_9" localSheetId="131">ERR</definedName>
    <definedName name="reinicio_9" localSheetId="9">ERR</definedName>
    <definedName name="reinicio_9" localSheetId="38">ERR</definedName>
    <definedName name="reinicio_9" localSheetId="2">ERR</definedName>
    <definedName name="reinicio_9">ERR</definedName>
    <definedName name="REP.PAV">'[6]factores A.N.'!$F$15:$F$69</definedName>
    <definedName name="rr" localSheetId="20">[0]!ERR</definedName>
    <definedName name="rr" localSheetId="22">[0]!ERR</definedName>
    <definedName name="rr" localSheetId="33">[0]!ERR</definedName>
    <definedName name="rr" localSheetId="36">[0]!ERR</definedName>
    <definedName name="rr" localSheetId="47">[0]!ERR</definedName>
    <definedName name="rr" localSheetId="48">[0]!ERR</definedName>
    <definedName name="rr" localSheetId="51">[0]!ERR</definedName>
    <definedName name="rr" localSheetId="52">[0]!ERR</definedName>
    <definedName name="rr" localSheetId="53">[0]!ERR</definedName>
    <definedName name="rr" localSheetId="54">[0]!ERR</definedName>
    <definedName name="rr" localSheetId="62">[0]!ERR</definedName>
    <definedName name="rr" localSheetId="63">[0]!ERR</definedName>
    <definedName name="rr" localSheetId="64">[0]!ERR</definedName>
    <definedName name="rr" localSheetId="65">[0]!ERR</definedName>
    <definedName name="rr" localSheetId="66">[0]!ERR</definedName>
    <definedName name="rr" localSheetId="67">[0]!ERR</definedName>
    <definedName name="rr" localSheetId="68">[0]!ERR</definedName>
    <definedName name="rr" localSheetId="55">[0]!ERR</definedName>
    <definedName name="rr" localSheetId="56">[0]!ERR</definedName>
    <definedName name="rr" localSheetId="57">[0]!ERR</definedName>
    <definedName name="rr" localSheetId="58">[0]!ERR</definedName>
    <definedName name="rr" localSheetId="59">[0]!ERR</definedName>
    <definedName name="rr" localSheetId="60">[0]!ERR</definedName>
    <definedName name="rr" localSheetId="61">[0]!ERR</definedName>
    <definedName name="rr" localSheetId="69">[0]!ERR</definedName>
    <definedName name="rr" localSheetId="78">[0]!ERR</definedName>
    <definedName name="rr" localSheetId="79">[0]!ERR</definedName>
    <definedName name="rr" localSheetId="80">[0]!ERR</definedName>
    <definedName name="rr" localSheetId="70">[0]!ERR</definedName>
    <definedName name="rr" localSheetId="71">[0]!ERR</definedName>
    <definedName name="rr" localSheetId="72">[0]!ERR</definedName>
    <definedName name="rr" localSheetId="73">[0]!ERR</definedName>
    <definedName name="rr" localSheetId="74">[0]!ERR</definedName>
    <definedName name="rr" localSheetId="75">[0]!ERR</definedName>
    <definedName name="rr" localSheetId="76">[0]!ERR</definedName>
    <definedName name="rr" localSheetId="77">[0]!ERR</definedName>
    <definedName name="rr" localSheetId="81">[0]!ERR</definedName>
    <definedName name="rr" localSheetId="89">[0]!ERR</definedName>
    <definedName name="rr" localSheetId="90">[0]!ERR</definedName>
    <definedName name="rr" localSheetId="91">[0]!ERR</definedName>
    <definedName name="rr" localSheetId="92">[0]!ERR</definedName>
    <definedName name="rr" localSheetId="93">[0]!ERR</definedName>
    <definedName name="rr" localSheetId="94">[0]!ERR</definedName>
    <definedName name="rr" localSheetId="95">[0]!ERR</definedName>
    <definedName name="rr" localSheetId="96">[0]!ERR</definedName>
    <definedName name="rr" localSheetId="82">[0]!ERR</definedName>
    <definedName name="rr" localSheetId="83">[0]!ERR</definedName>
    <definedName name="rr" localSheetId="84">[0]!ERR</definedName>
    <definedName name="rr" localSheetId="85">[0]!ERR</definedName>
    <definedName name="rr" localSheetId="86">[0]!ERR</definedName>
    <definedName name="rr" localSheetId="87">[0]!ERR</definedName>
    <definedName name="rr" localSheetId="88">[0]!ERR</definedName>
    <definedName name="rr" localSheetId="97">[0]!ERR</definedName>
    <definedName name="rr" localSheetId="105">[0]!ERR</definedName>
    <definedName name="rr" localSheetId="106">[0]!ERR</definedName>
    <definedName name="rr" localSheetId="107">[0]!ERR</definedName>
    <definedName name="rr" localSheetId="108">[0]!ERR</definedName>
    <definedName name="rr" localSheetId="109">[0]!ERR</definedName>
    <definedName name="rr" localSheetId="110">[0]!ERR</definedName>
    <definedName name="rr" localSheetId="111">[0]!ERR</definedName>
    <definedName name="rr" localSheetId="112">[0]!ERR</definedName>
    <definedName name="rr" localSheetId="113">[0]!ERR</definedName>
    <definedName name="rr" localSheetId="114">[0]!ERR</definedName>
    <definedName name="rr" localSheetId="98">[0]!ERR</definedName>
    <definedName name="rr" localSheetId="115">[0]!ERR</definedName>
    <definedName name="rr" localSheetId="116">[0]!ERR</definedName>
    <definedName name="rr" localSheetId="117">[0]!ERR</definedName>
    <definedName name="rr" localSheetId="118">[0]!ERR</definedName>
    <definedName name="rr" localSheetId="119">[0]!ERR</definedName>
    <definedName name="rr" localSheetId="99">[0]!ERR</definedName>
    <definedName name="rr" localSheetId="100">[0]!ERR</definedName>
    <definedName name="rr" localSheetId="101">[0]!ERR</definedName>
    <definedName name="rr" localSheetId="102">[0]!ERR</definedName>
    <definedName name="rr" localSheetId="103">[0]!ERR</definedName>
    <definedName name="rr" localSheetId="104">[0]!ERR</definedName>
    <definedName name="rr" localSheetId="120">[0]!ERR</definedName>
    <definedName name="rr" localSheetId="121">[0]!ERR</definedName>
    <definedName name="rr" localSheetId="122">[0]!ERR</definedName>
    <definedName name="rr" localSheetId="123">[0]!ERR</definedName>
    <definedName name="rr" localSheetId="124">[0]!ERR</definedName>
    <definedName name="rr" localSheetId="125">[0]!ERR</definedName>
    <definedName name="rr" localSheetId="126">[0]!ERR</definedName>
    <definedName name="rr" localSheetId="127">[0]!ERR</definedName>
    <definedName name="rr" localSheetId="128">[0]!ERR</definedName>
    <definedName name="rr" localSheetId="129">[0]!ERR</definedName>
    <definedName name="rr" localSheetId="130">[0]!ERR</definedName>
    <definedName name="rr" localSheetId="131">[0]!ERR</definedName>
    <definedName name="rr" localSheetId="38">[0]!ERR</definedName>
    <definedName name="rr" localSheetId="2">[0]!ERR</definedName>
    <definedName name="rr">[0]!ERR</definedName>
    <definedName name="rr_10" localSheetId="20">ERR</definedName>
    <definedName name="rr_10" localSheetId="22">ERR</definedName>
    <definedName name="rr_10" localSheetId="33">ERR</definedName>
    <definedName name="rr_10" localSheetId="36">ERR</definedName>
    <definedName name="rr_10" localSheetId="47">ERR</definedName>
    <definedName name="rr_10" localSheetId="48">ERR</definedName>
    <definedName name="rr_10" localSheetId="51">ERR</definedName>
    <definedName name="rr_10" localSheetId="52">ERR</definedName>
    <definedName name="rr_10" localSheetId="53">ERR</definedName>
    <definedName name="rr_10" localSheetId="54">ERR</definedName>
    <definedName name="rr_10" localSheetId="62">ERR</definedName>
    <definedName name="rr_10" localSheetId="63">ERR</definedName>
    <definedName name="rr_10" localSheetId="64">ERR</definedName>
    <definedName name="rr_10" localSheetId="65">ERR</definedName>
    <definedName name="rr_10" localSheetId="66">ERR</definedName>
    <definedName name="rr_10" localSheetId="67">ERR</definedName>
    <definedName name="rr_10" localSheetId="68">ERR</definedName>
    <definedName name="rr_10" localSheetId="55">ERR</definedName>
    <definedName name="rr_10" localSheetId="56">ERR</definedName>
    <definedName name="rr_10" localSheetId="57">ERR</definedName>
    <definedName name="rr_10" localSheetId="58">ERR</definedName>
    <definedName name="rr_10" localSheetId="59">ERR</definedName>
    <definedName name="rr_10" localSheetId="60">ERR</definedName>
    <definedName name="rr_10" localSheetId="61">ERR</definedName>
    <definedName name="rr_10" localSheetId="69">ERR</definedName>
    <definedName name="rr_10" localSheetId="78">ERR</definedName>
    <definedName name="rr_10" localSheetId="79">ERR</definedName>
    <definedName name="rr_10" localSheetId="80">ERR</definedName>
    <definedName name="rr_10" localSheetId="70">ERR</definedName>
    <definedName name="rr_10" localSheetId="71">ERR</definedName>
    <definedName name="rr_10" localSheetId="72">ERR</definedName>
    <definedName name="rr_10" localSheetId="73">ERR</definedName>
    <definedName name="rr_10" localSheetId="74">ERR</definedName>
    <definedName name="rr_10" localSheetId="75">ERR</definedName>
    <definedName name="rr_10" localSheetId="76">ERR</definedName>
    <definedName name="rr_10" localSheetId="77">ERR</definedName>
    <definedName name="rr_10" localSheetId="81">ERR</definedName>
    <definedName name="rr_10" localSheetId="89">ERR</definedName>
    <definedName name="rr_10" localSheetId="90">ERR</definedName>
    <definedName name="rr_10" localSheetId="91">ERR</definedName>
    <definedName name="rr_10" localSheetId="92">ERR</definedName>
    <definedName name="rr_10" localSheetId="93">ERR</definedName>
    <definedName name="rr_10" localSheetId="94">ERR</definedName>
    <definedName name="rr_10" localSheetId="95">ERR</definedName>
    <definedName name="rr_10" localSheetId="96">ERR</definedName>
    <definedName name="rr_10" localSheetId="82">ERR</definedName>
    <definedName name="rr_10" localSheetId="83">ERR</definedName>
    <definedName name="rr_10" localSheetId="84">ERR</definedName>
    <definedName name="rr_10" localSheetId="85">ERR</definedName>
    <definedName name="rr_10" localSheetId="86">ERR</definedName>
    <definedName name="rr_10" localSheetId="87">ERR</definedName>
    <definedName name="rr_10" localSheetId="88">ERR</definedName>
    <definedName name="rr_10" localSheetId="97">ERR</definedName>
    <definedName name="rr_10" localSheetId="105">ERR</definedName>
    <definedName name="rr_10" localSheetId="106">ERR</definedName>
    <definedName name="rr_10" localSheetId="107">ERR</definedName>
    <definedName name="rr_10" localSheetId="108">ERR</definedName>
    <definedName name="rr_10" localSheetId="109">ERR</definedName>
    <definedName name="rr_10" localSheetId="110">ERR</definedName>
    <definedName name="rr_10" localSheetId="111">ERR</definedName>
    <definedName name="rr_10" localSheetId="112">ERR</definedName>
    <definedName name="rr_10" localSheetId="113">ERR</definedName>
    <definedName name="rr_10" localSheetId="114">ERR</definedName>
    <definedName name="rr_10" localSheetId="98">ERR</definedName>
    <definedName name="rr_10" localSheetId="115">ERR</definedName>
    <definedName name="rr_10" localSheetId="116">ERR</definedName>
    <definedName name="rr_10" localSheetId="117">ERR</definedName>
    <definedName name="rr_10" localSheetId="118">ERR</definedName>
    <definedName name="rr_10" localSheetId="119">ERR</definedName>
    <definedName name="rr_10" localSheetId="99">ERR</definedName>
    <definedName name="rr_10" localSheetId="100">ERR</definedName>
    <definedName name="rr_10" localSheetId="101">ERR</definedName>
    <definedName name="rr_10" localSheetId="102">ERR</definedName>
    <definedName name="rr_10" localSheetId="103">ERR</definedName>
    <definedName name="rr_10" localSheetId="104">ERR</definedName>
    <definedName name="rr_10" localSheetId="120">ERR</definedName>
    <definedName name="rr_10" localSheetId="121">ERR</definedName>
    <definedName name="rr_10" localSheetId="122">ERR</definedName>
    <definedName name="rr_10" localSheetId="123">ERR</definedName>
    <definedName name="rr_10" localSheetId="124">ERR</definedName>
    <definedName name="rr_10" localSheetId="125">ERR</definedName>
    <definedName name="rr_10" localSheetId="126">ERR</definedName>
    <definedName name="rr_10" localSheetId="127">ERR</definedName>
    <definedName name="rr_10" localSheetId="128">ERR</definedName>
    <definedName name="rr_10" localSheetId="129">ERR</definedName>
    <definedName name="rr_10" localSheetId="130">ERR</definedName>
    <definedName name="rr_10" localSheetId="131">ERR</definedName>
    <definedName name="rr_10" localSheetId="9">ERR</definedName>
    <definedName name="rr_10" localSheetId="38">ERR</definedName>
    <definedName name="rr_10" localSheetId="2">ERR</definedName>
    <definedName name="rr_10">ERR</definedName>
    <definedName name="rr_3" localSheetId="20">ERR</definedName>
    <definedName name="rr_3" localSheetId="22">ERR</definedName>
    <definedName name="rr_3" localSheetId="33">ERR</definedName>
    <definedName name="rr_3" localSheetId="36">ERR</definedName>
    <definedName name="rr_3" localSheetId="47">ERR</definedName>
    <definedName name="rr_3" localSheetId="48">ERR</definedName>
    <definedName name="rr_3" localSheetId="51">ERR</definedName>
    <definedName name="rr_3" localSheetId="52">ERR</definedName>
    <definedName name="rr_3" localSheetId="53">ERR</definedName>
    <definedName name="rr_3" localSheetId="54">ERR</definedName>
    <definedName name="rr_3" localSheetId="62">ERR</definedName>
    <definedName name="rr_3" localSheetId="63">ERR</definedName>
    <definedName name="rr_3" localSheetId="64">ERR</definedName>
    <definedName name="rr_3" localSheetId="65">ERR</definedName>
    <definedName name="rr_3" localSheetId="66">ERR</definedName>
    <definedName name="rr_3" localSheetId="67">ERR</definedName>
    <definedName name="rr_3" localSheetId="68">ERR</definedName>
    <definedName name="rr_3" localSheetId="55">ERR</definedName>
    <definedName name="rr_3" localSheetId="56">ERR</definedName>
    <definedName name="rr_3" localSheetId="57">ERR</definedName>
    <definedName name="rr_3" localSheetId="58">ERR</definedName>
    <definedName name="rr_3" localSheetId="59">ERR</definedName>
    <definedName name="rr_3" localSheetId="60">ERR</definedName>
    <definedName name="rr_3" localSheetId="61">ERR</definedName>
    <definedName name="rr_3" localSheetId="69">ERR</definedName>
    <definedName name="rr_3" localSheetId="78">ERR</definedName>
    <definedName name="rr_3" localSheetId="79">ERR</definedName>
    <definedName name="rr_3" localSheetId="80">ERR</definedName>
    <definedName name="rr_3" localSheetId="70">ERR</definedName>
    <definedName name="rr_3" localSheetId="71">ERR</definedName>
    <definedName name="rr_3" localSheetId="72">ERR</definedName>
    <definedName name="rr_3" localSheetId="73">ERR</definedName>
    <definedName name="rr_3" localSheetId="74">ERR</definedName>
    <definedName name="rr_3" localSheetId="75">ERR</definedName>
    <definedName name="rr_3" localSheetId="76">ERR</definedName>
    <definedName name="rr_3" localSheetId="77">ERR</definedName>
    <definedName name="rr_3" localSheetId="81">ERR</definedName>
    <definedName name="rr_3" localSheetId="89">ERR</definedName>
    <definedName name="rr_3" localSheetId="90">ERR</definedName>
    <definedName name="rr_3" localSheetId="91">ERR</definedName>
    <definedName name="rr_3" localSheetId="92">ERR</definedName>
    <definedName name="rr_3" localSheetId="93">ERR</definedName>
    <definedName name="rr_3" localSheetId="94">ERR</definedName>
    <definedName name="rr_3" localSheetId="95">ERR</definedName>
    <definedName name="rr_3" localSheetId="96">ERR</definedName>
    <definedName name="rr_3" localSheetId="82">ERR</definedName>
    <definedName name="rr_3" localSheetId="83">ERR</definedName>
    <definedName name="rr_3" localSheetId="84">ERR</definedName>
    <definedName name="rr_3" localSheetId="85">ERR</definedName>
    <definedName name="rr_3" localSheetId="86">ERR</definedName>
    <definedName name="rr_3" localSheetId="87">ERR</definedName>
    <definedName name="rr_3" localSheetId="88">ERR</definedName>
    <definedName name="rr_3" localSheetId="97">ERR</definedName>
    <definedName name="rr_3" localSheetId="105">ERR</definedName>
    <definedName name="rr_3" localSheetId="106">ERR</definedName>
    <definedName name="rr_3" localSheetId="107">ERR</definedName>
    <definedName name="rr_3" localSheetId="108">ERR</definedName>
    <definedName name="rr_3" localSheetId="109">ERR</definedName>
    <definedName name="rr_3" localSheetId="110">ERR</definedName>
    <definedName name="rr_3" localSheetId="111">ERR</definedName>
    <definedName name="rr_3" localSheetId="112">ERR</definedName>
    <definedName name="rr_3" localSheetId="113">ERR</definedName>
    <definedName name="rr_3" localSheetId="114">ERR</definedName>
    <definedName name="rr_3" localSheetId="98">ERR</definedName>
    <definedName name="rr_3" localSheetId="115">ERR</definedName>
    <definedName name="rr_3" localSheetId="116">ERR</definedName>
    <definedName name="rr_3" localSheetId="117">ERR</definedName>
    <definedName name="rr_3" localSheetId="118">ERR</definedName>
    <definedName name="rr_3" localSheetId="119">ERR</definedName>
    <definedName name="rr_3" localSheetId="99">ERR</definedName>
    <definedName name="rr_3" localSheetId="100">ERR</definedName>
    <definedName name="rr_3" localSheetId="101">ERR</definedName>
    <definedName name="rr_3" localSheetId="102">ERR</definedName>
    <definedName name="rr_3" localSheetId="103">ERR</definedName>
    <definedName name="rr_3" localSheetId="104">ERR</definedName>
    <definedName name="rr_3" localSheetId="120">ERR</definedName>
    <definedName name="rr_3" localSheetId="121">ERR</definedName>
    <definedName name="rr_3" localSheetId="122">ERR</definedName>
    <definedName name="rr_3" localSheetId="123">ERR</definedName>
    <definedName name="rr_3" localSheetId="124">ERR</definedName>
    <definedName name="rr_3" localSheetId="125">ERR</definedName>
    <definedName name="rr_3" localSheetId="126">ERR</definedName>
    <definedName name="rr_3" localSheetId="127">ERR</definedName>
    <definedName name="rr_3" localSheetId="128">ERR</definedName>
    <definedName name="rr_3" localSheetId="129">ERR</definedName>
    <definedName name="rr_3" localSheetId="130">ERR</definedName>
    <definedName name="rr_3" localSheetId="131">ERR</definedName>
    <definedName name="rr_3" localSheetId="9">ERR</definedName>
    <definedName name="rr_3" localSheetId="38">ERR</definedName>
    <definedName name="rr_3" localSheetId="2">ERR</definedName>
    <definedName name="rr_3">ERR</definedName>
    <definedName name="rr_4" localSheetId="20">ERR</definedName>
    <definedName name="rr_4" localSheetId="22">ERR</definedName>
    <definedName name="rr_4" localSheetId="33">ERR</definedName>
    <definedName name="rr_4" localSheetId="36">ERR</definedName>
    <definedName name="rr_4" localSheetId="47">ERR</definedName>
    <definedName name="rr_4" localSheetId="48">ERR</definedName>
    <definedName name="rr_4" localSheetId="51">ERR</definedName>
    <definedName name="rr_4" localSheetId="52">ERR</definedName>
    <definedName name="rr_4" localSheetId="53">ERR</definedName>
    <definedName name="rr_4" localSheetId="54">ERR</definedName>
    <definedName name="rr_4" localSheetId="62">ERR</definedName>
    <definedName name="rr_4" localSheetId="63">ERR</definedName>
    <definedName name="rr_4" localSheetId="64">ERR</definedName>
    <definedName name="rr_4" localSheetId="65">ERR</definedName>
    <definedName name="rr_4" localSheetId="66">ERR</definedName>
    <definedName name="rr_4" localSheetId="67">ERR</definedName>
    <definedName name="rr_4" localSheetId="68">ERR</definedName>
    <definedName name="rr_4" localSheetId="55">ERR</definedName>
    <definedName name="rr_4" localSheetId="56">ERR</definedName>
    <definedName name="rr_4" localSheetId="57">ERR</definedName>
    <definedName name="rr_4" localSheetId="58">ERR</definedName>
    <definedName name="rr_4" localSheetId="59">ERR</definedName>
    <definedName name="rr_4" localSheetId="60">ERR</definedName>
    <definedName name="rr_4" localSheetId="61">ERR</definedName>
    <definedName name="rr_4" localSheetId="69">ERR</definedName>
    <definedName name="rr_4" localSheetId="78">ERR</definedName>
    <definedName name="rr_4" localSheetId="79">ERR</definedName>
    <definedName name="rr_4" localSheetId="80">ERR</definedName>
    <definedName name="rr_4" localSheetId="70">ERR</definedName>
    <definedName name="rr_4" localSheetId="71">ERR</definedName>
    <definedName name="rr_4" localSheetId="72">ERR</definedName>
    <definedName name="rr_4" localSheetId="73">ERR</definedName>
    <definedName name="rr_4" localSheetId="74">ERR</definedName>
    <definedName name="rr_4" localSheetId="75">ERR</definedName>
    <definedName name="rr_4" localSheetId="76">ERR</definedName>
    <definedName name="rr_4" localSheetId="77">ERR</definedName>
    <definedName name="rr_4" localSheetId="81">ERR</definedName>
    <definedName name="rr_4" localSheetId="89">ERR</definedName>
    <definedName name="rr_4" localSheetId="90">ERR</definedName>
    <definedName name="rr_4" localSheetId="91">ERR</definedName>
    <definedName name="rr_4" localSheetId="92">ERR</definedName>
    <definedName name="rr_4" localSheetId="93">ERR</definedName>
    <definedName name="rr_4" localSheetId="94">ERR</definedName>
    <definedName name="rr_4" localSheetId="95">ERR</definedName>
    <definedName name="rr_4" localSheetId="96">ERR</definedName>
    <definedName name="rr_4" localSheetId="82">ERR</definedName>
    <definedName name="rr_4" localSheetId="83">ERR</definedName>
    <definedName name="rr_4" localSheetId="84">ERR</definedName>
    <definedName name="rr_4" localSheetId="85">ERR</definedName>
    <definedName name="rr_4" localSheetId="86">ERR</definedName>
    <definedName name="rr_4" localSheetId="87">ERR</definedName>
    <definedName name="rr_4" localSheetId="88">ERR</definedName>
    <definedName name="rr_4" localSheetId="97">ERR</definedName>
    <definedName name="rr_4" localSheetId="105">ERR</definedName>
    <definedName name="rr_4" localSheetId="106">ERR</definedName>
    <definedName name="rr_4" localSheetId="107">ERR</definedName>
    <definedName name="rr_4" localSheetId="108">ERR</definedName>
    <definedName name="rr_4" localSheetId="109">ERR</definedName>
    <definedName name="rr_4" localSheetId="110">ERR</definedName>
    <definedName name="rr_4" localSheetId="111">ERR</definedName>
    <definedName name="rr_4" localSheetId="112">ERR</definedName>
    <definedName name="rr_4" localSheetId="113">ERR</definedName>
    <definedName name="rr_4" localSheetId="114">ERR</definedName>
    <definedName name="rr_4" localSheetId="98">ERR</definedName>
    <definedName name="rr_4" localSheetId="115">ERR</definedName>
    <definedName name="rr_4" localSheetId="116">ERR</definedName>
    <definedName name="rr_4" localSheetId="117">ERR</definedName>
    <definedName name="rr_4" localSheetId="118">ERR</definedName>
    <definedName name="rr_4" localSheetId="119">ERR</definedName>
    <definedName name="rr_4" localSheetId="99">ERR</definedName>
    <definedName name="rr_4" localSheetId="100">ERR</definedName>
    <definedName name="rr_4" localSheetId="101">ERR</definedName>
    <definedName name="rr_4" localSheetId="102">ERR</definedName>
    <definedName name="rr_4" localSheetId="103">ERR</definedName>
    <definedName name="rr_4" localSheetId="104">ERR</definedName>
    <definedName name="rr_4" localSheetId="120">ERR</definedName>
    <definedName name="rr_4" localSheetId="121">ERR</definedName>
    <definedName name="rr_4" localSheetId="122">ERR</definedName>
    <definedName name="rr_4" localSheetId="123">ERR</definedName>
    <definedName name="rr_4" localSheetId="124">ERR</definedName>
    <definedName name="rr_4" localSheetId="125">ERR</definedName>
    <definedName name="rr_4" localSheetId="126">ERR</definedName>
    <definedName name="rr_4" localSheetId="127">ERR</definedName>
    <definedName name="rr_4" localSheetId="128">ERR</definedName>
    <definedName name="rr_4" localSheetId="129">ERR</definedName>
    <definedName name="rr_4" localSheetId="130">ERR</definedName>
    <definedName name="rr_4" localSheetId="131">ERR</definedName>
    <definedName name="rr_4" localSheetId="9">ERR</definedName>
    <definedName name="rr_4" localSheetId="38">ERR</definedName>
    <definedName name="rr_4" localSheetId="2">ERR</definedName>
    <definedName name="rr_4">ERR</definedName>
    <definedName name="rr_5" localSheetId="20">ERR</definedName>
    <definedName name="rr_5" localSheetId="22">ERR</definedName>
    <definedName name="rr_5" localSheetId="33">ERR</definedName>
    <definedName name="rr_5" localSheetId="36">ERR</definedName>
    <definedName name="rr_5" localSheetId="47">ERR</definedName>
    <definedName name="rr_5" localSheetId="48">ERR</definedName>
    <definedName name="rr_5" localSheetId="51">ERR</definedName>
    <definedName name="rr_5" localSheetId="52">ERR</definedName>
    <definedName name="rr_5" localSheetId="53">ERR</definedName>
    <definedName name="rr_5" localSheetId="54">ERR</definedName>
    <definedName name="rr_5" localSheetId="62">ERR</definedName>
    <definedName name="rr_5" localSheetId="63">ERR</definedName>
    <definedName name="rr_5" localSheetId="64">ERR</definedName>
    <definedName name="rr_5" localSheetId="65">ERR</definedName>
    <definedName name="rr_5" localSheetId="66">ERR</definedName>
    <definedName name="rr_5" localSheetId="67">ERR</definedName>
    <definedName name="rr_5" localSheetId="68">ERR</definedName>
    <definedName name="rr_5" localSheetId="55">ERR</definedName>
    <definedName name="rr_5" localSheetId="56">ERR</definedName>
    <definedName name="rr_5" localSheetId="57">ERR</definedName>
    <definedName name="rr_5" localSheetId="58">ERR</definedName>
    <definedName name="rr_5" localSheetId="59">ERR</definedName>
    <definedName name="rr_5" localSheetId="60">ERR</definedName>
    <definedName name="rr_5" localSheetId="61">ERR</definedName>
    <definedName name="rr_5" localSheetId="69">ERR</definedName>
    <definedName name="rr_5" localSheetId="78">ERR</definedName>
    <definedName name="rr_5" localSheetId="79">ERR</definedName>
    <definedName name="rr_5" localSheetId="80">ERR</definedName>
    <definedName name="rr_5" localSheetId="70">ERR</definedName>
    <definedName name="rr_5" localSheetId="71">ERR</definedName>
    <definedName name="rr_5" localSheetId="72">ERR</definedName>
    <definedName name="rr_5" localSheetId="73">ERR</definedName>
    <definedName name="rr_5" localSheetId="74">ERR</definedName>
    <definedName name="rr_5" localSheetId="75">ERR</definedName>
    <definedName name="rr_5" localSheetId="76">ERR</definedName>
    <definedName name="rr_5" localSheetId="77">ERR</definedName>
    <definedName name="rr_5" localSheetId="81">ERR</definedName>
    <definedName name="rr_5" localSheetId="89">ERR</definedName>
    <definedName name="rr_5" localSheetId="90">ERR</definedName>
    <definedName name="rr_5" localSheetId="91">ERR</definedName>
    <definedName name="rr_5" localSheetId="92">ERR</definedName>
    <definedName name="rr_5" localSheetId="93">ERR</definedName>
    <definedName name="rr_5" localSheetId="94">ERR</definedName>
    <definedName name="rr_5" localSheetId="95">ERR</definedName>
    <definedName name="rr_5" localSheetId="96">ERR</definedName>
    <definedName name="rr_5" localSheetId="82">ERR</definedName>
    <definedName name="rr_5" localSheetId="83">ERR</definedName>
    <definedName name="rr_5" localSheetId="84">ERR</definedName>
    <definedName name="rr_5" localSheetId="85">ERR</definedName>
    <definedName name="rr_5" localSheetId="86">ERR</definedName>
    <definedName name="rr_5" localSheetId="87">ERR</definedName>
    <definedName name="rr_5" localSheetId="88">ERR</definedName>
    <definedName name="rr_5" localSheetId="97">ERR</definedName>
    <definedName name="rr_5" localSheetId="105">ERR</definedName>
    <definedName name="rr_5" localSheetId="106">ERR</definedName>
    <definedName name="rr_5" localSheetId="107">ERR</definedName>
    <definedName name="rr_5" localSheetId="108">ERR</definedName>
    <definedName name="rr_5" localSheetId="109">ERR</definedName>
    <definedName name="rr_5" localSheetId="110">ERR</definedName>
    <definedName name="rr_5" localSheetId="111">ERR</definedName>
    <definedName name="rr_5" localSheetId="112">ERR</definedName>
    <definedName name="rr_5" localSheetId="113">ERR</definedName>
    <definedName name="rr_5" localSheetId="114">ERR</definedName>
    <definedName name="rr_5" localSheetId="98">ERR</definedName>
    <definedName name="rr_5" localSheetId="115">ERR</definedName>
    <definedName name="rr_5" localSheetId="116">ERR</definedName>
    <definedName name="rr_5" localSheetId="117">ERR</definedName>
    <definedName name="rr_5" localSheetId="118">ERR</definedName>
    <definedName name="rr_5" localSheetId="119">ERR</definedName>
    <definedName name="rr_5" localSheetId="99">ERR</definedName>
    <definedName name="rr_5" localSheetId="100">ERR</definedName>
    <definedName name="rr_5" localSheetId="101">ERR</definedName>
    <definedName name="rr_5" localSheetId="102">ERR</definedName>
    <definedName name="rr_5" localSheetId="103">ERR</definedName>
    <definedName name="rr_5" localSheetId="104">ERR</definedName>
    <definedName name="rr_5" localSheetId="120">ERR</definedName>
    <definedName name="rr_5" localSheetId="121">ERR</definedName>
    <definedName name="rr_5" localSheetId="122">ERR</definedName>
    <definedName name="rr_5" localSheetId="123">ERR</definedName>
    <definedName name="rr_5" localSheetId="124">ERR</definedName>
    <definedName name="rr_5" localSheetId="125">ERR</definedName>
    <definedName name="rr_5" localSheetId="126">ERR</definedName>
    <definedName name="rr_5" localSheetId="127">ERR</definedName>
    <definedName name="rr_5" localSheetId="128">ERR</definedName>
    <definedName name="rr_5" localSheetId="129">ERR</definedName>
    <definedName name="rr_5" localSheetId="130">ERR</definedName>
    <definedName name="rr_5" localSheetId="131">ERR</definedName>
    <definedName name="rr_5" localSheetId="9">ERR</definedName>
    <definedName name="rr_5" localSheetId="38">ERR</definedName>
    <definedName name="rr_5" localSheetId="2">ERR</definedName>
    <definedName name="rr_5">ERR</definedName>
    <definedName name="rr_6" localSheetId="20">ERR</definedName>
    <definedName name="rr_6" localSheetId="22">ERR</definedName>
    <definedName name="rr_6" localSheetId="33">ERR</definedName>
    <definedName name="rr_6" localSheetId="36">ERR</definedName>
    <definedName name="rr_6" localSheetId="47">ERR</definedName>
    <definedName name="rr_6" localSheetId="48">ERR</definedName>
    <definedName name="rr_6" localSheetId="51">ERR</definedName>
    <definedName name="rr_6" localSheetId="52">ERR</definedName>
    <definedName name="rr_6" localSheetId="53">ERR</definedName>
    <definedName name="rr_6" localSheetId="54">ERR</definedName>
    <definedName name="rr_6" localSheetId="62">ERR</definedName>
    <definedName name="rr_6" localSheetId="63">ERR</definedName>
    <definedName name="rr_6" localSheetId="64">ERR</definedName>
    <definedName name="rr_6" localSheetId="65">ERR</definedName>
    <definedName name="rr_6" localSheetId="66">ERR</definedName>
    <definedName name="rr_6" localSheetId="67">ERR</definedName>
    <definedName name="rr_6" localSheetId="68">ERR</definedName>
    <definedName name="rr_6" localSheetId="55">ERR</definedName>
    <definedName name="rr_6" localSheetId="56">ERR</definedName>
    <definedName name="rr_6" localSheetId="57">ERR</definedName>
    <definedName name="rr_6" localSheetId="58">ERR</definedName>
    <definedName name="rr_6" localSheetId="59">ERR</definedName>
    <definedName name="rr_6" localSheetId="60">ERR</definedName>
    <definedName name="rr_6" localSheetId="61">ERR</definedName>
    <definedName name="rr_6" localSheetId="69">ERR</definedName>
    <definedName name="rr_6" localSheetId="78">ERR</definedName>
    <definedName name="rr_6" localSheetId="79">ERR</definedName>
    <definedName name="rr_6" localSheetId="80">ERR</definedName>
    <definedName name="rr_6" localSheetId="70">ERR</definedName>
    <definedName name="rr_6" localSheetId="71">ERR</definedName>
    <definedName name="rr_6" localSheetId="72">ERR</definedName>
    <definedName name="rr_6" localSheetId="73">ERR</definedName>
    <definedName name="rr_6" localSheetId="74">ERR</definedName>
    <definedName name="rr_6" localSheetId="75">ERR</definedName>
    <definedName name="rr_6" localSheetId="76">ERR</definedName>
    <definedName name="rr_6" localSheetId="77">ERR</definedName>
    <definedName name="rr_6" localSheetId="81">ERR</definedName>
    <definedName name="rr_6" localSheetId="89">ERR</definedName>
    <definedName name="rr_6" localSheetId="90">ERR</definedName>
    <definedName name="rr_6" localSheetId="91">ERR</definedName>
    <definedName name="rr_6" localSheetId="92">ERR</definedName>
    <definedName name="rr_6" localSheetId="93">ERR</definedName>
    <definedName name="rr_6" localSheetId="94">ERR</definedName>
    <definedName name="rr_6" localSheetId="95">ERR</definedName>
    <definedName name="rr_6" localSheetId="96">ERR</definedName>
    <definedName name="rr_6" localSheetId="82">ERR</definedName>
    <definedName name="rr_6" localSheetId="83">ERR</definedName>
    <definedName name="rr_6" localSheetId="84">ERR</definedName>
    <definedName name="rr_6" localSheetId="85">ERR</definedName>
    <definedName name="rr_6" localSheetId="86">ERR</definedName>
    <definedName name="rr_6" localSheetId="87">ERR</definedName>
    <definedName name="rr_6" localSheetId="88">ERR</definedName>
    <definedName name="rr_6" localSheetId="97">ERR</definedName>
    <definedName name="rr_6" localSheetId="105">ERR</definedName>
    <definedName name="rr_6" localSheetId="106">ERR</definedName>
    <definedName name="rr_6" localSheetId="107">ERR</definedName>
    <definedName name="rr_6" localSheetId="108">ERR</definedName>
    <definedName name="rr_6" localSheetId="109">ERR</definedName>
    <definedName name="rr_6" localSheetId="110">ERR</definedName>
    <definedName name="rr_6" localSheetId="111">ERR</definedName>
    <definedName name="rr_6" localSheetId="112">ERR</definedName>
    <definedName name="rr_6" localSheetId="113">ERR</definedName>
    <definedName name="rr_6" localSheetId="114">ERR</definedName>
    <definedName name="rr_6" localSheetId="98">ERR</definedName>
    <definedName name="rr_6" localSheetId="115">ERR</definedName>
    <definedName name="rr_6" localSheetId="116">ERR</definedName>
    <definedName name="rr_6" localSheetId="117">ERR</definedName>
    <definedName name="rr_6" localSheetId="118">ERR</definedName>
    <definedName name="rr_6" localSheetId="119">ERR</definedName>
    <definedName name="rr_6" localSheetId="99">ERR</definedName>
    <definedName name="rr_6" localSheetId="100">ERR</definedName>
    <definedName name="rr_6" localSheetId="101">ERR</definedName>
    <definedName name="rr_6" localSheetId="102">ERR</definedName>
    <definedName name="rr_6" localSheetId="103">ERR</definedName>
    <definedName name="rr_6" localSheetId="104">ERR</definedName>
    <definedName name="rr_6" localSheetId="120">ERR</definedName>
    <definedName name="rr_6" localSheetId="121">ERR</definedName>
    <definedName name="rr_6" localSheetId="122">ERR</definedName>
    <definedName name="rr_6" localSheetId="123">ERR</definedName>
    <definedName name="rr_6" localSheetId="124">ERR</definedName>
    <definedName name="rr_6" localSheetId="125">ERR</definedName>
    <definedName name="rr_6" localSheetId="126">ERR</definedName>
    <definedName name="rr_6" localSheetId="127">ERR</definedName>
    <definedName name="rr_6" localSheetId="128">ERR</definedName>
    <definedName name="rr_6" localSheetId="129">ERR</definedName>
    <definedName name="rr_6" localSheetId="130">ERR</definedName>
    <definedName name="rr_6" localSheetId="131">ERR</definedName>
    <definedName name="rr_6" localSheetId="9">ERR</definedName>
    <definedName name="rr_6" localSheetId="38">ERR</definedName>
    <definedName name="rr_6" localSheetId="2">ERR</definedName>
    <definedName name="rr_6">ERR</definedName>
    <definedName name="rr_7" localSheetId="20">ERR</definedName>
    <definedName name="rr_7" localSheetId="22">ERR</definedName>
    <definedName name="rr_7" localSheetId="33">ERR</definedName>
    <definedName name="rr_7" localSheetId="36">ERR</definedName>
    <definedName name="rr_7" localSheetId="47">ERR</definedName>
    <definedName name="rr_7" localSheetId="48">ERR</definedName>
    <definedName name="rr_7" localSheetId="51">ERR</definedName>
    <definedName name="rr_7" localSheetId="52">ERR</definedName>
    <definedName name="rr_7" localSheetId="53">ERR</definedName>
    <definedName name="rr_7" localSheetId="54">ERR</definedName>
    <definedName name="rr_7" localSheetId="62">ERR</definedName>
    <definedName name="rr_7" localSheetId="63">ERR</definedName>
    <definedName name="rr_7" localSheetId="64">ERR</definedName>
    <definedName name="rr_7" localSheetId="65">ERR</definedName>
    <definedName name="rr_7" localSheetId="66">ERR</definedName>
    <definedName name="rr_7" localSheetId="67">ERR</definedName>
    <definedName name="rr_7" localSheetId="68">ERR</definedName>
    <definedName name="rr_7" localSheetId="55">ERR</definedName>
    <definedName name="rr_7" localSheetId="56">ERR</definedName>
    <definedName name="rr_7" localSheetId="57">ERR</definedName>
    <definedName name="rr_7" localSheetId="58">ERR</definedName>
    <definedName name="rr_7" localSheetId="59">ERR</definedName>
    <definedName name="rr_7" localSheetId="60">ERR</definedName>
    <definedName name="rr_7" localSheetId="61">ERR</definedName>
    <definedName name="rr_7" localSheetId="69">ERR</definedName>
    <definedName name="rr_7" localSheetId="78">ERR</definedName>
    <definedName name="rr_7" localSheetId="79">ERR</definedName>
    <definedName name="rr_7" localSheetId="80">ERR</definedName>
    <definedName name="rr_7" localSheetId="70">ERR</definedName>
    <definedName name="rr_7" localSheetId="71">ERR</definedName>
    <definedName name="rr_7" localSheetId="72">ERR</definedName>
    <definedName name="rr_7" localSheetId="73">ERR</definedName>
    <definedName name="rr_7" localSheetId="74">ERR</definedName>
    <definedName name="rr_7" localSheetId="75">ERR</definedName>
    <definedName name="rr_7" localSheetId="76">ERR</definedName>
    <definedName name="rr_7" localSheetId="77">ERR</definedName>
    <definedName name="rr_7" localSheetId="81">ERR</definedName>
    <definedName name="rr_7" localSheetId="89">ERR</definedName>
    <definedName name="rr_7" localSheetId="90">ERR</definedName>
    <definedName name="rr_7" localSheetId="91">ERR</definedName>
    <definedName name="rr_7" localSheetId="92">ERR</definedName>
    <definedName name="rr_7" localSheetId="93">ERR</definedName>
    <definedName name="rr_7" localSheetId="94">ERR</definedName>
    <definedName name="rr_7" localSheetId="95">ERR</definedName>
    <definedName name="rr_7" localSheetId="96">ERR</definedName>
    <definedName name="rr_7" localSheetId="82">ERR</definedName>
    <definedName name="rr_7" localSheetId="83">ERR</definedName>
    <definedName name="rr_7" localSheetId="84">ERR</definedName>
    <definedName name="rr_7" localSheetId="85">ERR</definedName>
    <definedName name="rr_7" localSheetId="86">ERR</definedName>
    <definedName name="rr_7" localSheetId="87">ERR</definedName>
    <definedName name="rr_7" localSheetId="88">ERR</definedName>
    <definedName name="rr_7" localSheetId="97">ERR</definedName>
    <definedName name="rr_7" localSheetId="105">ERR</definedName>
    <definedName name="rr_7" localSheetId="106">ERR</definedName>
    <definedName name="rr_7" localSheetId="107">ERR</definedName>
    <definedName name="rr_7" localSheetId="108">ERR</definedName>
    <definedName name="rr_7" localSheetId="109">ERR</definedName>
    <definedName name="rr_7" localSheetId="110">ERR</definedName>
    <definedName name="rr_7" localSheetId="111">ERR</definedName>
    <definedName name="rr_7" localSheetId="112">ERR</definedName>
    <definedName name="rr_7" localSheetId="113">ERR</definedName>
    <definedName name="rr_7" localSheetId="114">ERR</definedName>
    <definedName name="rr_7" localSheetId="98">ERR</definedName>
    <definedName name="rr_7" localSheetId="115">ERR</definedName>
    <definedName name="rr_7" localSheetId="116">ERR</definedName>
    <definedName name="rr_7" localSheetId="117">ERR</definedName>
    <definedName name="rr_7" localSheetId="118">ERR</definedName>
    <definedName name="rr_7" localSheetId="119">ERR</definedName>
    <definedName name="rr_7" localSheetId="99">ERR</definedName>
    <definedName name="rr_7" localSheetId="100">ERR</definedName>
    <definedName name="rr_7" localSheetId="101">ERR</definedName>
    <definedName name="rr_7" localSheetId="102">ERR</definedName>
    <definedName name="rr_7" localSheetId="103">ERR</definedName>
    <definedName name="rr_7" localSheetId="104">ERR</definedName>
    <definedName name="rr_7" localSheetId="120">ERR</definedName>
    <definedName name="rr_7" localSheetId="121">ERR</definedName>
    <definedName name="rr_7" localSheetId="122">ERR</definedName>
    <definedName name="rr_7" localSheetId="123">ERR</definedName>
    <definedName name="rr_7" localSheetId="124">ERR</definedName>
    <definedName name="rr_7" localSheetId="125">ERR</definedName>
    <definedName name="rr_7" localSheetId="126">ERR</definedName>
    <definedName name="rr_7" localSheetId="127">ERR</definedName>
    <definedName name="rr_7" localSheetId="128">ERR</definedName>
    <definedName name="rr_7" localSheetId="129">ERR</definedName>
    <definedName name="rr_7" localSheetId="130">ERR</definedName>
    <definedName name="rr_7" localSheetId="131">ERR</definedName>
    <definedName name="rr_7" localSheetId="9">ERR</definedName>
    <definedName name="rr_7" localSheetId="38">ERR</definedName>
    <definedName name="rr_7" localSheetId="2">ERR</definedName>
    <definedName name="rr_7">ERR</definedName>
    <definedName name="rr_8" localSheetId="20">ERR</definedName>
    <definedName name="rr_8" localSheetId="22">ERR</definedName>
    <definedName name="rr_8" localSheetId="33">ERR</definedName>
    <definedName name="rr_8" localSheetId="36">ERR</definedName>
    <definedName name="rr_8" localSheetId="47">ERR</definedName>
    <definedName name="rr_8" localSheetId="48">ERR</definedName>
    <definedName name="rr_8" localSheetId="51">ERR</definedName>
    <definedName name="rr_8" localSheetId="52">ERR</definedName>
    <definedName name="rr_8" localSheetId="53">ERR</definedName>
    <definedName name="rr_8" localSheetId="54">ERR</definedName>
    <definedName name="rr_8" localSheetId="62">ERR</definedName>
    <definedName name="rr_8" localSheetId="63">ERR</definedName>
    <definedName name="rr_8" localSheetId="64">ERR</definedName>
    <definedName name="rr_8" localSheetId="65">ERR</definedName>
    <definedName name="rr_8" localSheetId="66">ERR</definedName>
    <definedName name="rr_8" localSheetId="67">ERR</definedName>
    <definedName name="rr_8" localSheetId="68">ERR</definedName>
    <definedName name="rr_8" localSheetId="55">ERR</definedName>
    <definedName name="rr_8" localSheetId="56">ERR</definedName>
    <definedName name="rr_8" localSheetId="57">ERR</definedName>
    <definedName name="rr_8" localSheetId="58">ERR</definedName>
    <definedName name="rr_8" localSheetId="59">ERR</definedName>
    <definedName name="rr_8" localSheetId="60">ERR</definedName>
    <definedName name="rr_8" localSheetId="61">ERR</definedName>
    <definedName name="rr_8" localSheetId="69">ERR</definedName>
    <definedName name="rr_8" localSheetId="78">ERR</definedName>
    <definedName name="rr_8" localSheetId="79">ERR</definedName>
    <definedName name="rr_8" localSheetId="80">ERR</definedName>
    <definedName name="rr_8" localSheetId="70">ERR</definedName>
    <definedName name="rr_8" localSheetId="71">ERR</definedName>
    <definedName name="rr_8" localSheetId="72">ERR</definedName>
    <definedName name="rr_8" localSheetId="73">ERR</definedName>
    <definedName name="rr_8" localSheetId="74">ERR</definedName>
    <definedName name="rr_8" localSheetId="75">ERR</definedName>
    <definedName name="rr_8" localSheetId="76">ERR</definedName>
    <definedName name="rr_8" localSheetId="77">ERR</definedName>
    <definedName name="rr_8" localSheetId="81">ERR</definedName>
    <definedName name="rr_8" localSheetId="89">ERR</definedName>
    <definedName name="rr_8" localSheetId="90">ERR</definedName>
    <definedName name="rr_8" localSheetId="91">ERR</definedName>
    <definedName name="rr_8" localSheetId="92">ERR</definedName>
    <definedName name="rr_8" localSheetId="93">ERR</definedName>
    <definedName name="rr_8" localSheetId="94">ERR</definedName>
    <definedName name="rr_8" localSheetId="95">ERR</definedName>
    <definedName name="rr_8" localSheetId="96">ERR</definedName>
    <definedName name="rr_8" localSheetId="82">ERR</definedName>
    <definedName name="rr_8" localSheetId="83">ERR</definedName>
    <definedName name="rr_8" localSheetId="84">ERR</definedName>
    <definedName name="rr_8" localSheetId="85">ERR</definedName>
    <definedName name="rr_8" localSheetId="86">ERR</definedName>
    <definedName name="rr_8" localSheetId="87">ERR</definedName>
    <definedName name="rr_8" localSheetId="88">ERR</definedName>
    <definedName name="rr_8" localSheetId="97">ERR</definedName>
    <definedName name="rr_8" localSheetId="105">ERR</definedName>
    <definedName name="rr_8" localSheetId="106">ERR</definedName>
    <definedName name="rr_8" localSheetId="107">ERR</definedName>
    <definedName name="rr_8" localSheetId="108">ERR</definedName>
    <definedName name="rr_8" localSheetId="109">ERR</definedName>
    <definedName name="rr_8" localSheetId="110">ERR</definedName>
    <definedName name="rr_8" localSheetId="111">ERR</definedName>
    <definedName name="rr_8" localSheetId="112">ERR</definedName>
    <definedName name="rr_8" localSheetId="113">ERR</definedName>
    <definedName name="rr_8" localSheetId="114">ERR</definedName>
    <definedName name="rr_8" localSheetId="98">ERR</definedName>
    <definedName name="rr_8" localSheetId="115">ERR</definedName>
    <definedName name="rr_8" localSheetId="116">ERR</definedName>
    <definedName name="rr_8" localSheetId="117">ERR</definedName>
    <definedName name="rr_8" localSheetId="118">ERR</definedName>
    <definedName name="rr_8" localSheetId="119">ERR</definedName>
    <definedName name="rr_8" localSheetId="99">ERR</definedName>
    <definedName name="rr_8" localSheetId="100">ERR</definedName>
    <definedName name="rr_8" localSheetId="101">ERR</definedName>
    <definedName name="rr_8" localSheetId="102">ERR</definedName>
    <definedName name="rr_8" localSheetId="103">ERR</definedName>
    <definedName name="rr_8" localSheetId="104">ERR</definedName>
    <definedName name="rr_8" localSheetId="120">ERR</definedName>
    <definedName name="rr_8" localSheetId="121">ERR</definedName>
    <definedName name="rr_8" localSheetId="122">ERR</definedName>
    <definedName name="rr_8" localSheetId="123">ERR</definedName>
    <definedName name="rr_8" localSheetId="124">ERR</definedName>
    <definedName name="rr_8" localSheetId="125">ERR</definedName>
    <definedName name="rr_8" localSheetId="126">ERR</definedName>
    <definedName name="rr_8" localSheetId="127">ERR</definedName>
    <definedName name="rr_8" localSheetId="128">ERR</definedName>
    <definedName name="rr_8" localSheetId="129">ERR</definedName>
    <definedName name="rr_8" localSheetId="130">ERR</definedName>
    <definedName name="rr_8" localSheetId="131">ERR</definedName>
    <definedName name="rr_8" localSheetId="9">ERR</definedName>
    <definedName name="rr_8" localSheetId="38">ERR</definedName>
    <definedName name="rr_8" localSheetId="2">ERR</definedName>
    <definedName name="rr_8">ERR</definedName>
    <definedName name="rr_9" localSheetId="20">ERR</definedName>
    <definedName name="rr_9" localSheetId="22">ERR</definedName>
    <definedName name="rr_9" localSheetId="33">ERR</definedName>
    <definedName name="rr_9" localSheetId="36">ERR</definedName>
    <definedName name="rr_9" localSheetId="47">ERR</definedName>
    <definedName name="rr_9" localSheetId="48">ERR</definedName>
    <definedName name="rr_9" localSheetId="51">ERR</definedName>
    <definedName name="rr_9" localSheetId="52">ERR</definedName>
    <definedName name="rr_9" localSheetId="53">ERR</definedName>
    <definedName name="rr_9" localSheetId="54">ERR</definedName>
    <definedName name="rr_9" localSheetId="62">ERR</definedName>
    <definedName name="rr_9" localSheetId="63">ERR</definedName>
    <definedName name="rr_9" localSheetId="64">ERR</definedName>
    <definedName name="rr_9" localSheetId="65">ERR</definedName>
    <definedName name="rr_9" localSheetId="66">ERR</definedName>
    <definedName name="rr_9" localSheetId="67">ERR</definedName>
    <definedName name="rr_9" localSheetId="68">ERR</definedName>
    <definedName name="rr_9" localSheetId="55">ERR</definedName>
    <definedName name="rr_9" localSheetId="56">ERR</definedName>
    <definedName name="rr_9" localSheetId="57">ERR</definedName>
    <definedName name="rr_9" localSheetId="58">ERR</definedName>
    <definedName name="rr_9" localSheetId="59">ERR</definedName>
    <definedName name="rr_9" localSheetId="60">ERR</definedName>
    <definedName name="rr_9" localSheetId="61">ERR</definedName>
    <definedName name="rr_9" localSheetId="69">ERR</definedName>
    <definedName name="rr_9" localSheetId="78">ERR</definedName>
    <definedName name="rr_9" localSheetId="79">ERR</definedName>
    <definedName name="rr_9" localSheetId="80">ERR</definedName>
    <definedName name="rr_9" localSheetId="70">ERR</definedName>
    <definedName name="rr_9" localSheetId="71">ERR</definedName>
    <definedName name="rr_9" localSheetId="72">ERR</definedName>
    <definedName name="rr_9" localSheetId="73">ERR</definedName>
    <definedName name="rr_9" localSheetId="74">ERR</definedName>
    <definedName name="rr_9" localSheetId="75">ERR</definedName>
    <definedName name="rr_9" localSheetId="76">ERR</definedName>
    <definedName name="rr_9" localSheetId="77">ERR</definedName>
    <definedName name="rr_9" localSheetId="81">ERR</definedName>
    <definedName name="rr_9" localSheetId="89">ERR</definedName>
    <definedName name="rr_9" localSheetId="90">ERR</definedName>
    <definedName name="rr_9" localSheetId="91">ERR</definedName>
    <definedName name="rr_9" localSheetId="92">ERR</definedName>
    <definedName name="rr_9" localSheetId="93">ERR</definedName>
    <definedName name="rr_9" localSheetId="94">ERR</definedName>
    <definedName name="rr_9" localSheetId="95">ERR</definedName>
    <definedName name="rr_9" localSheetId="96">ERR</definedName>
    <definedName name="rr_9" localSheetId="82">ERR</definedName>
    <definedName name="rr_9" localSheetId="83">ERR</definedName>
    <definedName name="rr_9" localSheetId="84">ERR</definedName>
    <definedName name="rr_9" localSheetId="85">ERR</definedName>
    <definedName name="rr_9" localSheetId="86">ERR</definedName>
    <definedName name="rr_9" localSheetId="87">ERR</definedName>
    <definedName name="rr_9" localSheetId="88">ERR</definedName>
    <definedName name="rr_9" localSheetId="97">ERR</definedName>
    <definedName name="rr_9" localSheetId="105">ERR</definedName>
    <definedName name="rr_9" localSheetId="106">ERR</definedName>
    <definedName name="rr_9" localSheetId="107">ERR</definedName>
    <definedName name="rr_9" localSheetId="108">ERR</definedName>
    <definedName name="rr_9" localSheetId="109">ERR</definedName>
    <definedName name="rr_9" localSheetId="110">ERR</definedName>
    <definedName name="rr_9" localSheetId="111">ERR</definedName>
    <definedName name="rr_9" localSheetId="112">ERR</definedName>
    <definedName name="rr_9" localSheetId="113">ERR</definedName>
    <definedName name="rr_9" localSheetId="114">ERR</definedName>
    <definedName name="rr_9" localSheetId="98">ERR</definedName>
    <definedName name="rr_9" localSheetId="115">ERR</definedName>
    <definedName name="rr_9" localSheetId="116">ERR</definedName>
    <definedName name="rr_9" localSheetId="117">ERR</definedName>
    <definedName name="rr_9" localSheetId="118">ERR</definedName>
    <definedName name="rr_9" localSheetId="119">ERR</definedName>
    <definedName name="rr_9" localSheetId="99">ERR</definedName>
    <definedName name="rr_9" localSheetId="100">ERR</definedName>
    <definedName name="rr_9" localSheetId="101">ERR</definedName>
    <definedName name="rr_9" localSheetId="102">ERR</definedName>
    <definedName name="rr_9" localSheetId="103">ERR</definedName>
    <definedName name="rr_9" localSheetId="104">ERR</definedName>
    <definedName name="rr_9" localSheetId="120">ERR</definedName>
    <definedName name="rr_9" localSheetId="121">ERR</definedName>
    <definedName name="rr_9" localSheetId="122">ERR</definedName>
    <definedName name="rr_9" localSheetId="123">ERR</definedName>
    <definedName name="rr_9" localSheetId="124">ERR</definedName>
    <definedName name="rr_9" localSheetId="125">ERR</definedName>
    <definedName name="rr_9" localSheetId="126">ERR</definedName>
    <definedName name="rr_9" localSheetId="127">ERR</definedName>
    <definedName name="rr_9" localSheetId="128">ERR</definedName>
    <definedName name="rr_9" localSheetId="129">ERR</definedName>
    <definedName name="rr_9" localSheetId="130">ERR</definedName>
    <definedName name="rr_9" localSheetId="131">ERR</definedName>
    <definedName name="rr_9" localSheetId="9">ERR</definedName>
    <definedName name="rr_9" localSheetId="38">ERR</definedName>
    <definedName name="rr_9" localSheetId="2">ERR</definedName>
    <definedName name="rr_9">ERR</definedName>
    <definedName name="S" localSheetId="18">#REF!</definedName>
    <definedName name="S" localSheetId="21">#REF!</definedName>
    <definedName name="S" localSheetId="22">#REF!</definedName>
    <definedName name="S" localSheetId="51">#REF!</definedName>
    <definedName name="S" localSheetId="69">#REF!</definedName>
    <definedName name="S" localSheetId="81">#REF!</definedName>
    <definedName name="S" localSheetId="97">#REF!</definedName>
    <definedName name="S" localSheetId="13">#REF!</definedName>
    <definedName name="S" localSheetId="2">#REF!</definedName>
    <definedName name="S">#REF!</definedName>
    <definedName name="SERO" localSheetId="20">[0]!ERR</definedName>
    <definedName name="SERO" localSheetId="22">[0]!ERR</definedName>
    <definedName name="SERO" localSheetId="33">[0]!ERR</definedName>
    <definedName name="SERO" localSheetId="36">[0]!ERR</definedName>
    <definedName name="SERO" localSheetId="47">[0]!ERR</definedName>
    <definedName name="SERO" localSheetId="48">[0]!ERR</definedName>
    <definedName name="SERO" localSheetId="51">[0]!ERR</definedName>
    <definedName name="SERO" localSheetId="52">[0]!ERR</definedName>
    <definedName name="SERO" localSheetId="53">[0]!ERR</definedName>
    <definedName name="SERO" localSheetId="54">[0]!ERR</definedName>
    <definedName name="SERO" localSheetId="62">[0]!ERR</definedName>
    <definedName name="SERO" localSheetId="63">[0]!ERR</definedName>
    <definedName name="SERO" localSheetId="64">[0]!ERR</definedName>
    <definedName name="SERO" localSheetId="65">[0]!ERR</definedName>
    <definedName name="SERO" localSheetId="66">[0]!ERR</definedName>
    <definedName name="SERO" localSheetId="67">[0]!ERR</definedName>
    <definedName name="SERO" localSheetId="68">[0]!ERR</definedName>
    <definedName name="SERO" localSheetId="55">[0]!ERR</definedName>
    <definedName name="SERO" localSheetId="56">[0]!ERR</definedName>
    <definedName name="SERO" localSheetId="57">[0]!ERR</definedName>
    <definedName name="SERO" localSheetId="58">[0]!ERR</definedName>
    <definedName name="SERO" localSheetId="59">[0]!ERR</definedName>
    <definedName name="SERO" localSheetId="60">[0]!ERR</definedName>
    <definedName name="SERO" localSheetId="61">[0]!ERR</definedName>
    <definedName name="SERO" localSheetId="69">[0]!ERR</definedName>
    <definedName name="SERO" localSheetId="78">[0]!ERR</definedName>
    <definedName name="SERO" localSheetId="79">[0]!ERR</definedName>
    <definedName name="SERO" localSheetId="80">[0]!ERR</definedName>
    <definedName name="SERO" localSheetId="70">[0]!ERR</definedName>
    <definedName name="SERO" localSheetId="71">[0]!ERR</definedName>
    <definedName name="SERO" localSheetId="72">[0]!ERR</definedName>
    <definedName name="SERO" localSheetId="73">[0]!ERR</definedName>
    <definedName name="SERO" localSheetId="74">[0]!ERR</definedName>
    <definedName name="SERO" localSheetId="75">[0]!ERR</definedName>
    <definedName name="SERO" localSheetId="76">[0]!ERR</definedName>
    <definedName name="SERO" localSheetId="77">[0]!ERR</definedName>
    <definedName name="SERO" localSheetId="81">[0]!ERR</definedName>
    <definedName name="SERO" localSheetId="89">[0]!ERR</definedName>
    <definedName name="SERO" localSheetId="90">[0]!ERR</definedName>
    <definedName name="SERO" localSheetId="91">[0]!ERR</definedName>
    <definedName name="SERO" localSheetId="92">[0]!ERR</definedName>
    <definedName name="SERO" localSheetId="93">[0]!ERR</definedName>
    <definedName name="SERO" localSheetId="94">[0]!ERR</definedName>
    <definedName name="SERO" localSheetId="95">[0]!ERR</definedName>
    <definedName name="SERO" localSheetId="96">[0]!ERR</definedName>
    <definedName name="SERO" localSheetId="82">[0]!ERR</definedName>
    <definedName name="SERO" localSheetId="83">[0]!ERR</definedName>
    <definedName name="SERO" localSheetId="84">[0]!ERR</definedName>
    <definedName name="SERO" localSheetId="85">[0]!ERR</definedName>
    <definedName name="SERO" localSheetId="86">[0]!ERR</definedName>
    <definedName name="SERO" localSheetId="87">[0]!ERR</definedName>
    <definedName name="SERO" localSheetId="88">[0]!ERR</definedName>
    <definedName name="SERO" localSheetId="97">[0]!ERR</definedName>
    <definedName name="SERO" localSheetId="105">[0]!ERR</definedName>
    <definedName name="SERO" localSheetId="106">[0]!ERR</definedName>
    <definedName name="SERO" localSheetId="107">[0]!ERR</definedName>
    <definedName name="SERO" localSheetId="108">[0]!ERR</definedName>
    <definedName name="SERO" localSheetId="109">[0]!ERR</definedName>
    <definedName name="SERO" localSheetId="110">[0]!ERR</definedName>
    <definedName name="SERO" localSheetId="111">[0]!ERR</definedName>
    <definedName name="SERO" localSheetId="112">[0]!ERR</definedName>
    <definedName name="SERO" localSheetId="113">[0]!ERR</definedName>
    <definedName name="SERO" localSheetId="114">[0]!ERR</definedName>
    <definedName name="SERO" localSheetId="98">[0]!ERR</definedName>
    <definedName name="SERO" localSheetId="115">[0]!ERR</definedName>
    <definedName name="SERO" localSheetId="116">[0]!ERR</definedName>
    <definedName name="SERO" localSheetId="117">[0]!ERR</definedName>
    <definedName name="SERO" localSheetId="118">[0]!ERR</definedName>
    <definedName name="SERO" localSheetId="119">[0]!ERR</definedName>
    <definedName name="SERO" localSheetId="99">[0]!ERR</definedName>
    <definedName name="SERO" localSheetId="100">[0]!ERR</definedName>
    <definedName name="SERO" localSheetId="101">[0]!ERR</definedName>
    <definedName name="SERO" localSheetId="102">[0]!ERR</definedName>
    <definedName name="SERO" localSheetId="103">[0]!ERR</definedName>
    <definedName name="SERO" localSheetId="104">[0]!ERR</definedName>
    <definedName name="SERO" localSheetId="120">[0]!ERR</definedName>
    <definedName name="SERO" localSheetId="121">[0]!ERR</definedName>
    <definedName name="SERO" localSheetId="122">[0]!ERR</definedName>
    <definedName name="SERO" localSheetId="123">[0]!ERR</definedName>
    <definedName name="SERO" localSheetId="124">[0]!ERR</definedName>
    <definedName name="SERO" localSheetId="125">[0]!ERR</definedName>
    <definedName name="SERO" localSheetId="126">[0]!ERR</definedName>
    <definedName name="SERO" localSheetId="127">[0]!ERR</definedName>
    <definedName name="SERO" localSheetId="128">[0]!ERR</definedName>
    <definedName name="SERO" localSheetId="129">[0]!ERR</definedName>
    <definedName name="SERO" localSheetId="130">[0]!ERR</definedName>
    <definedName name="SERO" localSheetId="131">[0]!ERR</definedName>
    <definedName name="SERO" localSheetId="38">[0]!ERR</definedName>
    <definedName name="SERO" localSheetId="2">[0]!ERR</definedName>
    <definedName name="SERO">[0]!ERR</definedName>
    <definedName name="SERO_10" localSheetId="20">ERR</definedName>
    <definedName name="SERO_10" localSheetId="22">ERR</definedName>
    <definedName name="SERO_10" localSheetId="33">ERR</definedName>
    <definedName name="SERO_10" localSheetId="36">ERR</definedName>
    <definedName name="SERO_10" localSheetId="47">ERR</definedName>
    <definedName name="SERO_10" localSheetId="48">ERR</definedName>
    <definedName name="SERO_10" localSheetId="51">ERR</definedName>
    <definedName name="SERO_10" localSheetId="52">ERR</definedName>
    <definedName name="SERO_10" localSheetId="53">ERR</definedName>
    <definedName name="SERO_10" localSheetId="54">ERR</definedName>
    <definedName name="SERO_10" localSheetId="62">ERR</definedName>
    <definedName name="SERO_10" localSheetId="63">ERR</definedName>
    <definedName name="SERO_10" localSheetId="64">ERR</definedName>
    <definedName name="SERO_10" localSheetId="65">ERR</definedName>
    <definedName name="SERO_10" localSheetId="66">ERR</definedName>
    <definedName name="SERO_10" localSheetId="67">ERR</definedName>
    <definedName name="SERO_10" localSheetId="68">ERR</definedName>
    <definedName name="SERO_10" localSheetId="55">ERR</definedName>
    <definedName name="SERO_10" localSheetId="56">ERR</definedName>
    <definedName name="SERO_10" localSheetId="57">ERR</definedName>
    <definedName name="SERO_10" localSheetId="58">ERR</definedName>
    <definedName name="SERO_10" localSheetId="59">ERR</definedName>
    <definedName name="SERO_10" localSheetId="60">ERR</definedName>
    <definedName name="SERO_10" localSheetId="61">ERR</definedName>
    <definedName name="SERO_10" localSheetId="69">ERR</definedName>
    <definedName name="SERO_10" localSheetId="78">ERR</definedName>
    <definedName name="SERO_10" localSheetId="79">ERR</definedName>
    <definedName name="SERO_10" localSheetId="80">ERR</definedName>
    <definedName name="SERO_10" localSheetId="70">ERR</definedName>
    <definedName name="SERO_10" localSheetId="71">ERR</definedName>
    <definedName name="SERO_10" localSheetId="72">ERR</definedName>
    <definedName name="SERO_10" localSheetId="73">ERR</definedName>
    <definedName name="SERO_10" localSheetId="74">ERR</definedName>
    <definedName name="SERO_10" localSheetId="75">ERR</definedName>
    <definedName name="SERO_10" localSheetId="76">ERR</definedName>
    <definedName name="SERO_10" localSheetId="77">ERR</definedName>
    <definedName name="SERO_10" localSheetId="81">ERR</definedName>
    <definedName name="SERO_10" localSheetId="89">ERR</definedName>
    <definedName name="SERO_10" localSheetId="90">ERR</definedName>
    <definedName name="SERO_10" localSheetId="91">ERR</definedName>
    <definedName name="SERO_10" localSheetId="92">ERR</definedName>
    <definedName name="SERO_10" localSheetId="93">ERR</definedName>
    <definedName name="SERO_10" localSheetId="94">ERR</definedName>
    <definedName name="SERO_10" localSheetId="95">ERR</definedName>
    <definedName name="SERO_10" localSheetId="96">ERR</definedName>
    <definedName name="SERO_10" localSheetId="82">ERR</definedName>
    <definedName name="SERO_10" localSheetId="83">ERR</definedName>
    <definedName name="SERO_10" localSheetId="84">ERR</definedName>
    <definedName name="SERO_10" localSheetId="85">ERR</definedName>
    <definedName name="SERO_10" localSheetId="86">ERR</definedName>
    <definedName name="SERO_10" localSheetId="87">ERR</definedName>
    <definedName name="SERO_10" localSheetId="88">ERR</definedName>
    <definedName name="SERO_10" localSheetId="97">ERR</definedName>
    <definedName name="SERO_10" localSheetId="105">ERR</definedName>
    <definedName name="SERO_10" localSheetId="106">ERR</definedName>
    <definedName name="SERO_10" localSheetId="107">ERR</definedName>
    <definedName name="SERO_10" localSheetId="108">ERR</definedName>
    <definedName name="SERO_10" localSheetId="109">ERR</definedName>
    <definedName name="SERO_10" localSheetId="110">ERR</definedName>
    <definedName name="SERO_10" localSheetId="111">ERR</definedName>
    <definedName name="SERO_10" localSheetId="112">ERR</definedName>
    <definedName name="SERO_10" localSheetId="113">ERR</definedName>
    <definedName name="SERO_10" localSheetId="114">ERR</definedName>
    <definedName name="SERO_10" localSheetId="98">ERR</definedName>
    <definedName name="SERO_10" localSheetId="115">ERR</definedName>
    <definedName name="SERO_10" localSheetId="116">ERR</definedName>
    <definedName name="SERO_10" localSheetId="117">ERR</definedName>
    <definedName name="SERO_10" localSheetId="118">ERR</definedName>
    <definedName name="SERO_10" localSheetId="119">ERR</definedName>
    <definedName name="SERO_10" localSheetId="99">ERR</definedName>
    <definedName name="SERO_10" localSheetId="100">ERR</definedName>
    <definedName name="SERO_10" localSheetId="101">ERR</definedName>
    <definedName name="SERO_10" localSheetId="102">ERR</definedName>
    <definedName name="SERO_10" localSheetId="103">ERR</definedName>
    <definedName name="SERO_10" localSheetId="104">ERR</definedName>
    <definedName name="SERO_10" localSheetId="120">ERR</definedName>
    <definedName name="SERO_10" localSheetId="121">ERR</definedName>
    <definedName name="SERO_10" localSheetId="122">ERR</definedName>
    <definedName name="SERO_10" localSheetId="123">ERR</definedName>
    <definedName name="SERO_10" localSheetId="124">ERR</definedName>
    <definedName name="SERO_10" localSheetId="125">ERR</definedName>
    <definedName name="SERO_10" localSheetId="126">ERR</definedName>
    <definedName name="SERO_10" localSheetId="127">ERR</definedName>
    <definedName name="SERO_10" localSheetId="128">ERR</definedName>
    <definedName name="SERO_10" localSheetId="129">ERR</definedName>
    <definedName name="SERO_10" localSheetId="130">ERR</definedName>
    <definedName name="SERO_10" localSheetId="131">ERR</definedName>
    <definedName name="SERO_10" localSheetId="9">ERR</definedName>
    <definedName name="SERO_10" localSheetId="38">ERR</definedName>
    <definedName name="SERO_10" localSheetId="2">ERR</definedName>
    <definedName name="SERO_10">ERR</definedName>
    <definedName name="SERO_3" localSheetId="20">ERR</definedName>
    <definedName name="SERO_3" localSheetId="22">ERR</definedName>
    <definedName name="SERO_3" localSheetId="33">ERR</definedName>
    <definedName name="SERO_3" localSheetId="36">ERR</definedName>
    <definedName name="SERO_3" localSheetId="47">ERR</definedName>
    <definedName name="SERO_3" localSheetId="48">ERR</definedName>
    <definedName name="SERO_3" localSheetId="51">ERR</definedName>
    <definedName name="SERO_3" localSheetId="52">ERR</definedName>
    <definedName name="SERO_3" localSheetId="53">ERR</definedName>
    <definedName name="SERO_3" localSheetId="54">ERR</definedName>
    <definedName name="SERO_3" localSheetId="62">ERR</definedName>
    <definedName name="SERO_3" localSheetId="63">ERR</definedName>
    <definedName name="SERO_3" localSheetId="64">ERR</definedName>
    <definedName name="SERO_3" localSheetId="65">ERR</definedName>
    <definedName name="SERO_3" localSheetId="66">ERR</definedName>
    <definedName name="SERO_3" localSheetId="67">ERR</definedName>
    <definedName name="SERO_3" localSheetId="68">ERR</definedName>
    <definedName name="SERO_3" localSheetId="55">ERR</definedName>
    <definedName name="SERO_3" localSheetId="56">ERR</definedName>
    <definedName name="SERO_3" localSheetId="57">ERR</definedName>
    <definedName name="SERO_3" localSheetId="58">ERR</definedName>
    <definedName name="SERO_3" localSheetId="59">ERR</definedName>
    <definedName name="SERO_3" localSheetId="60">ERR</definedName>
    <definedName name="SERO_3" localSheetId="61">ERR</definedName>
    <definedName name="SERO_3" localSheetId="69">ERR</definedName>
    <definedName name="SERO_3" localSheetId="78">ERR</definedName>
    <definedName name="SERO_3" localSheetId="79">ERR</definedName>
    <definedName name="SERO_3" localSheetId="80">ERR</definedName>
    <definedName name="SERO_3" localSheetId="70">ERR</definedName>
    <definedName name="SERO_3" localSheetId="71">ERR</definedName>
    <definedName name="SERO_3" localSheetId="72">ERR</definedName>
    <definedName name="SERO_3" localSheetId="73">ERR</definedName>
    <definedName name="SERO_3" localSheetId="74">ERR</definedName>
    <definedName name="SERO_3" localSheetId="75">ERR</definedName>
    <definedName name="SERO_3" localSheetId="76">ERR</definedName>
    <definedName name="SERO_3" localSheetId="77">ERR</definedName>
    <definedName name="SERO_3" localSheetId="81">ERR</definedName>
    <definedName name="SERO_3" localSheetId="89">ERR</definedName>
    <definedName name="SERO_3" localSheetId="90">ERR</definedName>
    <definedName name="SERO_3" localSheetId="91">ERR</definedName>
    <definedName name="SERO_3" localSheetId="92">ERR</definedName>
    <definedName name="SERO_3" localSheetId="93">ERR</definedName>
    <definedName name="SERO_3" localSheetId="94">ERR</definedName>
    <definedName name="SERO_3" localSheetId="95">ERR</definedName>
    <definedName name="SERO_3" localSheetId="96">ERR</definedName>
    <definedName name="SERO_3" localSheetId="82">ERR</definedName>
    <definedName name="SERO_3" localSheetId="83">ERR</definedName>
    <definedName name="SERO_3" localSheetId="84">ERR</definedName>
    <definedName name="SERO_3" localSheetId="85">ERR</definedName>
    <definedName name="SERO_3" localSheetId="86">ERR</definedName>
    <definedName name="SERO_3" localSheetId="87">ERR</definedName>
    <definedName name="SERO_3" localSheetId="88">ERR</definedName>
    <definedName name="SERO_3" localSheetId="97">ERR</definedName>
    <definedName name="SERO_3" localSheetId="105">ERR</definedName>
    <definedName name="SERO_3" localSheetId="106">ERR</definedName>
    <definedName name="SERO_3" localSheetId="107">ERR</definedName>
    <definedName name="SERO_3" localSheetId="108">ERR</definedName>
    <definedName name="SERO_3" localSheetId="109">ERR</definedName>
    <definedName name="SERO_3" localSheetId="110">ERR</definedName>
    <definedName name="SERO_3" localSheetId="111">ERR</definedName>
    <definedName name="SERO_3" localSheetId="112">ERR</definedName>
    <definedName name="SERO_3" localSheetId="113">ERR</definedName>
    <definedName name="SERO_3" localSheetId="114">ERR</definedName>
    <definedName name="SERO_3" localSheetId="98">ERR</definedName>
    <definedName name="SERO_3" localSheetId="115">ERR</definedName>
    <definedName name="SERO_3" localSheetId="116">ERR</definedName>
    <definedName name="SERO_3" localSheetId="117">ERR</definedName>
    <definedName name="SERO_3" localSheetId="118">ERR</definedName>
    <definedName name="SERO_3" localSheetId="119">ERR</definedName>
    <definedName name="SERO_3" localSheetId="99">ERR</definedName>
    <definedName name="SERO_3" localSheetId="100">ERR</definedName>
    <definedName name="SERO_3" localSheetId="101">ERR</definedName>
    <definedName name="SERO_3" localSheetId="102">ERR</definedName>
    <definedName name="SERO_3" localSheetId="103">ERR</definedName>
    <definedName name="SERO_3" localSheetId="104">ERR</definedName>
    <definedName name="SERO_3" localSheetId="120">ERR</definedName>
    <definedName name="SERO_3" localSheetId="121">ERR</definedName>
    <definedName name="SERO_3" localSheetId="122">ERR</definedName>
    <definedName name="SERO_3" localSheetId="123">ERR</definedName>
    <definedName name="SERO_3" localSheetId="124">ERR</definedName>
    <definedName name="SERO_3" localSheetId="125">ERR</definedName>
    <definedName name="SERO_3" localSheetId="126">ERR</definedName>
    <definedName name="SERO_3" localSheetId="127">ERR</definedName>
    <definedName name="SERO_3" localSheetId="128">ERR</definedName>
    <definedName name="SERO_3" localSheetId="129">ERR</definedName>
    <definedName name="SERO_3" localSheetId="130">ERR</definedName>
    <definedName name="SERO_3" localSheetId="131">ERR</definedName>
    <definedName name="SERO_3" localSheetId="9">ERR</definedName>
    <definedName name="SERO_3" localSheetId="38">ERR</definedName>
    <definedName name="SERO_3" localSheetId="2">ERR</definedName>
    <definedName name="SERO_3">ERR</definedName>
    <definedName name="SERO_4" localSheetId="20">ERR</definedName>
    <definedName name="SERO_4" localSheetId="22">ERR</definedName>
    <definedName name="SERO_4" localSheetId="33">ERR</definedName>
    <definedName name="SERO_4" localSheetId="36">ERR</definedName>
    <definedName name="SERO_4" localSheetId="47">ERR</definedName>
    <definedName name="SERO_4" localSheetId="48">ERR</definedName>
    <definedName name="SERO_4" localSheetId="51">ERR</definedName>
    <definedName name="SERO_4" localSheetId="52">ERR</definedName>
    <definedName name="SERO_4" localSheetId="53">ERR</definedName>
    <definedName name="SERO_4" localSheetId="54">ERR</definedName>
    <definedName name="SERO_4" localSheetId="62">ERR</definedName>
    <definedName name="SERO_4" localSheetId="63">ERR</definedName>
    <definedName name="SERO_4" localSheetId="64">ERR</definedName>
    <definedName name="SERO_4" localSheetId="65">ERR</definedName>
    <definedName name="SERO_4" localSheetId="66">ERR</definedName>
    <definedName name="SERO_4" localSheetId="67">ERR</definedName>
    <definedName name="SERO_4" localSheetId="68">ERR</definedName>
    <definedName name="SERO_4" localSheetId="55">ERR</definedName>
    <definedName name="SERO_4" localSheetId="56">ERR</definedName>
    <definedName name="SERO_4" localSheetId="57">ERR</definedName>
    <definedName name="SERO_4" localSheetId="58">ERR</definedName>
    <definedName name="SERO_4" localSheetId="59">ERR</definedName>
    <definedName name="SERO_4" localSheetId="60">ERR</definedName>
    <definedName name="SERO_4" localSheetId="61">ERR</definedName>
    <definedName name="SERO_4" localSheetId="69">ERR</definedName>
    <definedName name="SERO_4" localSheetId="78">ERR</definedName>
    <definedName name="SERO_4" localSheetId="79">ERR</definedName>
    <definedName name="SERO_4" localSheetId="80">ERR</definedName>
    <definedName name="SERO_4" localSheetId="70">ERR</definedName>
    <definedName name="SERO_4" localSheetId="71">ERR</definedName>
    <definedName name="SERO_4" localSheetId="72">ERR</definedName>
    <definedName name="SERO_4" localSheetId="73">ERR</definedName>
    <definedName name="SERO_4" localSheetId="74">ERR</definedName>
    <definedName name="SERO_4" localSheetId="75">ERR</definedName>
    <definedName name="SERO_4" localSheetId="76">ERR</definedName>
    <definedName name="SERO_4" localSheetId="77">ERR</definedName>
    <definedName name="SERO_4" localSheetId="81">ERR</definedName>
    <definedName name="SERO_4" localSheetId="89">ERR</definedName>
    <definedName name="SERO_4" localSheetId="90">ERR</definedName>
    <definedName name="SERO_4" localSheetId="91">ERR</definedName>
    <definedName name="SERO_4" localSheetId="92">ERR</definedName>
    <definedName name="SERO_4" localSheetId="93">ERR</definedName>
    <definedName name="SERO_4" localSheetId="94">ERR</definedName>
    <definedName name="SERO_4" localSheetId="95">ERR</definedName>
    <definedName name="SERO_4" localSheetId="96">ERR</definedName>
    <definedName name="SERO_4" localSheetId="82">ERR</definedName>
    <definedName name="SERO_4" localSheetId="83">ERR</definedName>
    <definedName name="SERO_4" localSheetId="84">ERR</definedName>
    <definedName name="SERO_4" localSheetId="85">ERR</definedName>
    <definedName name="SERO_4" localSheetId="86">ERR</definedName>
    <definedName name="SERO_4" localSheetId="87">ERR</definedName>
    <definedName name="SERO_4" localSheetId="88">ERR</definedName>
    <definedName name="SERO_4" localSheetId="97">ERR</definedName>
    <definedName name="SERO_4" localSheetId="105">ERR</definedName>
    <definedName name="SERO_4" localSheetId="106">ERR</definedName>
    <definedName name="SERO_4" localSheetId="107">ERR</definedName>
    <definedName name="SERO_4" localSheetId="108">ERR</definedName>
    <definedName name="SERO_4" localSheetId="109">ERR</definedName>
    <definedName name="SERO_4" localSheetId="110">ERR</definedName>
    <definedName name="SERO_4" localSheetId="111">ERR</definedName>
    <definedName name="SERO_4" localSheetId="112">ERR</definedName>
    <definedName name="SERO_4" localSheetId="113">ERR</definedName>
    <definedName name="SERO_4" localSheetId="114">ERR</definedName>
    <definedName name="SERO_4" localSheetId="98">ERR</definedName>
    <definedName name="SERO_4" localSheetId="115">ERR</definedName>
    <definedName name="SERO_4" localSheetId="116">ERR</definedName>
    <definedName name="SERO_4" localSheetId="117">ERR</definedName>
    <definedName name="SERO_4" localSheetId="118">ERR</definedName>
    <definedName name="SERO_4" localSheetId="119">ERR</definedName>
    <definedName name="SERO_4" localSheetId="99">ERR</definedName>
    <definedName name="SERO_4" localSheetId="100">ERR</definedName>
    <definedName name="SERO_4" localSheetId="101">ERR</definedName>
    <definedName name="SERO_4" localSheetId="102">ERR</definedName>
    <definedName name="SERO_4" localSheetId="103">ERR</definedName>
    <definedName name="SERO_4" localSheetId="104">ERR</definedName>
    <definedName name="SERO_4" localSheetId="120">ERR</definedName>
    <definedName name="SERO_4" localSheetId="121">ERR</definedName>
    <definedName name="SERO_4" localSheetId="122">ERR</definedName>
    <definedName name="SERO_4" localSheetId="123">ERR</definedName>
    <definedName name="SERO_4" localSheetId="124">ERR</definedName>
    <definedName name="SERO_4" localSheetId="125">ERR</definedName>
    <definedName name="SERO_4" localSheetId="126">ERR</definedName>
    <definedName name="SERO_4" localSheetId="127">ERR</definedName>
    <definedName name="SERO_4" localSheetId="128">ERR</definedName>
    <definedName name="SERO_4" localSheetId="129">ERR</definedName>
    <definedName name="SERO_4" localSheetId="130">ERR</definedName>
    <definedName name="SERO_4" localSheetId="131">ERR</definedName>
    <definedName name="SERO_4" localSheetId="9">ERR</definedName>
    <definedName name="SERO_4" localSheetId="38">ERR</definedName>
    <definedName name="SERO_4" localSheetId="2">ERR</definedName>
    <definedName name="SERO_4">ERR</definedName>
    <definedName name="SERO_5" localSheetId="20">ERR</definedName>
    <definedName name="SERO_5" localSheetId="22">ERR</definedName>
    <definedName name="SERO_5" localSheetId="33">ERR</definedName>
    <definedName name="SERO_5" localSheetId="36">ERR</definedName>
    <definedName name="SERO_5" localSheetId="47">ERR</definedName>
    <definedName name="SERO_5" localSheetId="48">ERR</definedName>
    <definedName name="SERO_5" localSheetId="51">ERR</definedName>
    <definedName name="SERO_5" localSheetId="52">ERR</definedName>
    <definedName name="SERO_5" localSheetId="53">ERR</definedName>
    <definedName name="SERO_5" localSheetId="54">ERR</definedName>
    <definedName name="SERO_5" localSheetId="62">ERR</definedName>
    <definedName name="SERO_5" localSheetId="63">ERR</definedName>
    <definedName name="SERO_5" localSheetId="64">ERR</definedName>
    <definedName name="SERO_5" localSheetId="65">ERR</definedName>
    <definedName name="SERO_5" localSheetId="66">ERR</definedName>
    <definedName name="SERO_5" localSheetId="67">ERR</definedName>
    <definedName name="SERO_5" localSheetId="68">ERR</definedName>
    <definedName name="SERO_5" localSheetId="55">ERR</definedName>
    <definedName name="SERO_5" localSheetId="56">ERR</definedName>
    <definedName name="SERO_5" localSheetId="57">ERR</definedName>
    <definedName name="SERO_5" localSheetId="58">ERR</definedName>
    <definedName name="SERO_5" localSheetId="59">ERR</definedName>
    <definedName name="SERO_5" localSheetId="60">ERR</definedName>
    <definedName name="SERO_5" localSheetId="61">ERR</definedName>
    <definedName name="SERO_5" localSheetId="69">ERR</definedName>
    <definedName name="SERO_5" localSheetId="78">ERR</definedName>
    <definedName name="SERO_5" localSheetId="79">ERR</definedName>
    <definedName name="SERO_5" localSheetId="80">ERR</definedName>
    <definedName name="SERO_5" localSheetId="70">ERR</definedName>
    <definedName name="SERO_5" localSheetId="71">ERR</definedName>
    <definedName name="SERO_5" localSheetId="72">ERR</definedName>
    <definedName name="SERO_5" localSheetId="73">ERR</definedName>
    <definedName name="SERO_5" localSheetId="74">ERR</definedName>
    <definedName name="SERO_5" localSheetId="75">ERR</definedName>
    <definedName name="SERO_5" localSheetId="76">ERR</definedName>
    <definedName name="SERO_5" localSheetId="77">ERR</definedName>
    <definedName name="SERO_5" localSheetId="81">ERR</definedName>
    <definedName name="SERO_5" localSheetId="89">ERR</definedName>
    <definedName name="SERO_5" localSheetId="90">ERR</definedName>
    <definedName name="SERO_5" localSheetId="91">ERR</definedName>
    <definedName name="SERO_5" localSheetId="92">ERR</definedName>
    <definedName name="SERO_5" localSheetId="93">ERR</definedName>
    <definedName name="SERO_5" localSheetId="94">ERR</definedName>
    <definedName name="SERO_5" localSheetId="95">ERR</definedName>
    <definedName name="SERO_5" localSheetId="96">ERR</definedName>
    <definedName name="SERO_5" localSheetId="82">ERR</definedName>
    <definedName name="SERO_5" localSheetId="83">ERR</definedName>
    <definedName name="SERO_5" localSheetId="84">ERR</definedName>
    <definedName name="SERO_5" localSheetId="85">ERR</definedName>
    <definedName name="SERO_5" localSheetId="86">ERR</definedName>
    <definedName name="SERO_5" localSheetId="87">ERR</definedName>
    <definedName name="SERO_5" localSheetId="88">ERR</definedName>
    <definedName name="SERO_5" localSheetId="97">ERR</definedName>
    <definedName name="SERO_5" localSheetId="105">ERR</definedName>
    <definedName name="SERO_5" localSheetId="106">ERR</definedName>
    <definedName name="SERO_5" localSheetId="107">ERR</definedName>
    <definedName name="SERO_5" localSheetId="108">ERR</definedName>
    <definedName name="SERO_5" localSheetId="109">ERR</definedName>
    <definedName name="SERO_5" localSheetId="110">ERR</definedName>
    <definedName name="SERO_5" localSheetId="111">ERR</definedName>
    <definedName name="SERO_5" localSheetId="112">ERR</definedName>
    <definedName name="SERO_5" localSheetId="113">ERR</definedName>
    <definedName name="SERO_5" localSheetId="114">ERR</definedName>
    <definedName name="SERO_5" localSheetId="98">ERR</definedName>
    <definedName name="SERO_5" localSheetId="115">ERR</definedName>
    <definedName name="SERO_5" localSheetId="116">ERR</definedName>
    <definedName name="SERO_5" localSheetId="117">ERR</definedName>
    <definedName name="SERO_5" localSheetId="118">ERR</definedName>
    <definedName name="SERO_5" localSheetId="119">ERR</definedName>
    <definedName name="SERO_5" localSheetId="99">ERR</definedName>
    <definedName name="SERO_5" localSheetId="100">ERR</definedName>
    <definedName name="SERO_5" localSheetId="101">ERR</definedName>
    <definedName name="SERO_5" localSheetId="102">ERR</definedName>
    <definedName name="SERO_5" localSheetId="103">ERR</definedName>
    <definedName name="SERO_5" localSheetId="104">ERR</definedName>
    <definedName name="SERO_5" localSheetId="120">ERR</definedName>
    <definedName name="SERO_5" localSheetId="121">ERR</definedName>
    <definedName name="SERO_5" localSheetId="122">ERR</definedName>
    <definedName name="SERO_5" localSheetId="123">ERR</definedName>
    <definedName name="SERO_5" localSheetId="124">ERR</definedName>
    <definedName name="SERO_5" localSheetId="125">ERR</definedName>
    <definedName name="SERO_5" localSheetId="126">ERR</definedName>
    <definedName name="SERO_5" localSheetId="127">ERR</definedName>
    <definedName name="SERO_5" localSheetId="128">ERR</definedName>
    <definedName name="SERO_5" localSheetId="129">ERR</definedName>
    <definedName name="SERO_5" localSheetId="130">ERR</definedName>
    <definedName name="SERO_5" localSheetId="131">ERR</definedName>
    <definedName name="SERO_5" localSheetId="9">ERR</definedName>
    <definedName name="SERO_5" localSheetId="38">ERR</definedName>
    <definedName name="SERO_5" localSheetId="2">ERR</definedName>
    <definedName name="SERO_5">ERR</definedName>
    <definedName name="SERO_6" localSheetId="20">ERR</definedName>
    <definedName name="SERO_6" localSheetId="22">ERR</definedName>
    <definedName name="SERO_6" localSheetId="33">ERR</definedName>
    <definedName name="SERO_6" localSheetId="36">ERR</definedName>
    <definedName name="SERO_6" localSheetId="47">ERR</definedName>
    <definedName name="SERO_6" localSheetId="48">ERR</definedName>
    <definedName name="SERO_6" localSheetId="51">ERR</definedName>
    <definedName name="SERO_6" localSheetId="52">ERR</definedName>
    <definedName name="SERO_6" localSheetId="53">ERR</definedName>
    <definedName name="SERO_6" localSheetId="54">ERR</definedName>
    <definedName name="SERO_6" localSheetId="62">ERR</definedName>
    <definedName name="SERO_6" localSheetId="63">ERR</definedName>
    <definedName name="SERO_6" localSheetId="64">ERR</definedName>
    <definedName name="SERO_6" localSheetId="65">ERR</definedName>
    <definedName name="SERO_6" localSheetId="66">ERR</definedName>
    <definedName name="SERO_6" localSheetId="67">ERR</definedName>
    <definedName name="SERO_6" localSheetId="68">ERR</definedName>
    <definedName name="SERO_6" localSheetId="55">ERR</definedName>
    <definedName name="SERO_6" localSheetId="56">ERR</definedName>
    <definedName name="SERO_6" localSheetId="57">ERR</definedName>
    <definedName name="SERO_6" localSheetId="58">ERR</definedName>
    <definedName name="SERO_6" localSheetId="59">ERR</definedName>
    <definedName name="SERO_6" localSheetId="60">ERR</definedName>
    <definedName name="SERO_6" localSheetId="61">ERR</definedName>
    <definedName name="SERO_6" localSheetId="69">ERR</definedName>
    <definedName name="SERO_6" localSheetId="78">ERR</definedName>
    <definedName name="SERO_6" localSheetId="79">ERR</definedName>
    <definedName name="SERO_6" localSheetId="80">ERR</definedName>
    <definedName name="SERO_6" localSheetId="70">ERR</definedName>
    <definedName name="SERO_6" localSheetId="71">ERR</definedName>
    <definedName name="SERO_6" localSheetId="72">ERR</definedName>
    <definedName name="SERO_6" localSheetId="73">ERR</definedName>
    <definedName name="SERO_6" localSheetId="74">ERR</definedName>
    <definedName name="SERO_6" localSheetId="75">ERR</definedName>
    <definedName name="SERO_6" localSheetId="76">ERR</definedName>
    <definedName name="SERO_6" localSheetId="77">ERR</definedName>
    <definedName name="SERO_6" localSheetId="81">ERR</definedName>
    <definedName name="SERO_6" localSheetId="89">ERR</definedName>
    <definedName name="SERO_6" localSheetId="90">ERR</definedName>
    <definedName name="SERO_6" localSheetId="91">ERR</definedName>
    <definedName name="SERO_6" localSheetId="92">ERR</definedName>
    <definedName name="SERO_6" localSheetId="93">ERR</definedName>
    <definedName name="SERO_6" localSheetId="94">ERR</definedName>
    <definedName name="SERO_6" localSheetId="95">ERR</definedName>
    <definedName name="SERO_6" localSheetId="96">ERR</definedName>
    <definedName name="SERO_6" localSheetId="82">ERR</definedName>
    <definedName name="SERO_6" localSheetId="83">ERR</definedName>
    <definedName name="SERO_6" localSheetId="84">ERR</definedName>
    <definedName name="SERO_6" localSheetId="85">ERR</definedName>
    <definedName name="SERO_6" localSheetId="86">ERR</definedName>
    <definedName name="SERO_6" localSheetId="87">ERR</definedName>
    <definedName name="SERO_6" localSheetId="88">ERR</definedName>
    <definedName name="SERO_6" localSheetId="97">ERR</definedName>
    <definedName name="SERO_6" localSheetId="105">ERR</definedName>
    <definedName name="SERO_6" localSheetId="106">ERR</definedName>
    <definedName name="SERO_6" localSheetId="107">ERR</definedName>
    <definedName name="SERO_6" localSheetId="108">ERR</definedName>
    <definedName name="SERO_6" localSheetId="109">ERR</definedName>
    <definedName name="SERO_6" localSheetId="110">ERR</definedName>
    <definedName name="SERO_6" localSheetId="111">ERR</definedName>
    <definedName name="SERO_6" localSheetId="112">ERR</definedName>
    <definedName name="SERO_6" localSheetId="113">ERR</definedName>
    <definedName name="SERO_6" localSheetId="114">ERR</definedName>
    <definedName name="SERO_6" localSheetId="98">ERR</definedName>
    <definedName name="SERO_6" localSheetId="115">ERR</definedName>
    <definedName name="SERO_6" localSheetId="116">ERR</definedName>
    <definedName name="SERO_6" localSheetId="117">ERR</definedName>
    <definedName name="SERO_6" localSheetId="118">ERR</definedName>
    <definedName name="SERO_6" localSheetId="119">ERR</definedName>
    <definedName name="SERO_6" localSheetId="99">ERR</definedName>
    <definedName name="SERO_6" localSheetId="100">ERR</definedName>
    <definedName name="SERO_6" localSheetId="101">ERR</definedName>
    <definedName name="SERO_6" localSheetId="102">ERR</definedName>
    <definedName name="SERO_6" localSheetId="103">ERR</definedName>
    <definedName name="SERO_6" localSheetId="104">ERR</definedName>
    <definedName name="SERO_6" localSheetId="120">ERR</definedName>
    <definedName name="SERO_6" localSheetId="121">ERR</definedName>
    <definedName name="SERO_6" localSheetId="122">ERR</definedName>
    <definedName name="SERO_6" localSheetId="123">ERR</definedName>
    <definedName name="SERO_6" localSheetId="124">ERR</definedName>
    <definedName name="SERO_6" localSheetId="125">ERR</definedName>
    <definedName name="SERO_6" localSheetId="126">ERR</definedName>
    <definedName name="SERO_6" localSheetId="127">ERR</definedName>
    <definedName name="SERO_6" localSheetId="128">ERR</definedName>
    <definedName name="SERO_6" localSheetId="129">ERR</definedName>
    <definedName name="SERO_6" localSheetId="130">ERR</definedName>
    <definedName name="SERO_6" localSheetId="131">ERR</definedName>
    <definedName name="SERO_6" localSheetId="9">ERR</definedName>
    <definedName name="SERO_6" localSheetId="38">ERR</definedName>
    <definedName name="SERO_6" localSheetId="2">ERR</definedName>
    <definedName name="SERO_6">ERR</definedName>
    <definedName name="SERO_7" localSheetId="20">ERR</definedName>
    <definedName name="SERO_7" localSheetId="22">ERR</definedName>
    <definedName name="SERO_7" localSheetId="33">ERR</definedName>
    <definedName name="SERO_7" localSheetId="36">ERR</definedName>
    <definedName name="SERO_7" localSheetId="47">ERR</definedName>
    <definedName name="SERO_7" localSheetId="48">ERR</definedName>
    <definedName name="SERO_7" localSheetId="51">ERR</definedName>
    <definedName name="SERO_7" localSheetId="52">ERR</definedName>
    <definedName name="SERO_7" localSheetId="53">ERR</definedName>
    <definedName name="SERO_7" localSheetId="54">ERR</definedName>
    <definedName name="SERO_7" localSheetId="62">ERR</definedName>
    <definedName name="SERO_7" localSheetId="63">ERR</definedName>
    <definedName name="SERO_7" localSheetId="64">ERR</definedName>
    <definedName name="SERO_7" localSheetId="65">ERR</definedName>
    <definedName name="SERO_7" localSheetId="66">ERR</definedName>
    <definedName name="SERO_7" localSheetId="67">ERR</definedName>
    <definedName name="SERO_7" localSheetId="68">ERR</definedName>
    <definedName name="SERO_7" localSheetId="55">ERR</definedName>
    <definedName name="SERO_7" localSheetId="56">ERR</definedName>
    <definedName name="SERO_7" localSheetId="57">ERR</definedName>
    <definedName name="SERO_7" localSheetId="58">ERR</definedName>
    <definedName name="SERO_7" localSheetId="59">ERR</definedName>
    <definedName name="SERO_7" localSheetId="60">ERR</definedName>
    <definedName name="SERO_7" localSheetId="61">ERR</definedName>
    <definedName name="SERO_7" localSheetId="69">ERR</definedName>
    <definedName name="SERO_7" localSheetId="78">ERR</definedName>
    <definedName name="SERO_7" localSheetId="79">ERR</definedName>
    <definedName name="SERO_7" localSheetId="80">ERR</definedName>
    <definedName name="SERO_7" localSheetId="70">ERR</definedName>
    <definedName name="SERO_7" localSheetId="71">ERR</definedName>
    <definedName name="SERO_7" localSheetId="72">ERR</definedName>
    <definedName name="SERO_7" localSheetId="73">ERR</definedName>
    <definedName name="SERO_7" localSheetId="74">ERR</definedName>
    <definedName name="SERO_7" localSheetId="75">ERR</definedName>
    <definedName name="SERO_7" localSheetId="76">ERR</definedName>
    <definedName name="SERO_7" localSheetId="77">ERR</definedName>
    <definedName name="SERO_7" localSheetId="81">ERR</definedName>
    <definedName name="SERO_7" localSheetId="89">ERR</definedName>
    <definedName name="SERO_7" localSheetId="90">ERR</definedName>
    <definedName name="SERO_7" localSheetId="91">ERR</definedName>
    <definedName name="SERO_7" localSheetId="92">ERR</definedName>
    <definedName name="SERO_7" localSheetId="93">ERR</definedName>
    <definedName name="SERO_7" localSheetId="94">ERR</definedName>
    <definedName name="SERO_7" localSheetId="95">ERR</definedName>
    <definedName name="SERO_7" localSheetId="96">ERR</definedName>
    <definedName name="SERO_7" localSheetId="82">ERR</definedName>
    <definedName name="SERO_7" localSheetId="83">ERR</definedName>
    <definedName name="SERO_7" localSheetId="84">ERR</definedName>
    <definedName name="SERO_7" localSheetId="85">ERR</definedName>
    <definedName name="SERO_7" localSheetId="86">ERR</definedName>
    <definedName name="SERO_7" localSheetId="87">ERR</definedName>
    <definedName name="SERO_7" localSheetId="88">ERR</definedName>
    <definedName name="SERO_7" localSheetId="97">ERR</definedName>
    <definedName name="SERO_7" localSheetId="105">ERR</definedName>
    <definedName name="SERO_7" localSheetId="106">ERR</definedName>
    <definedName name="SERO_7" localSheetId="107">ERR</definedName>
    <definedName name="SERO_7" localSheetId="108">ERR</definedName>
    <definedName name="SERO_7" localSheetId="109">ERR</definedName>
    <definedName name="SERO_7" localSheetId="110">ERR</definedName>
    <definedName name="SERO_7" localSheetId="111">ERR</definedName>
    <definedName name="SERO_7" localSheetId="112">ERR</definedName>
    <definedName name="SERO_7" localSheetId="113">ERR</definedName>
    <definedName name="SERO_7" localSheetId="114">ERR</definedName>
    <definedName name="SERO_7" localSheetId="98">ERR</definedName>
    <definedName name="SERO_7" localSheetId="115">ERR</definedName>
    <definedName name="SERO_7" localSheetId="116">ERR</definedName>
    <definedName name="SERO_7" localSheetId="117">ERR</definedName>
    <definedName name="SERO_7" localSheetId="118">ERR</definedName>
    <definedName name="SERO_7" localSheetId="119">ERR</definedName>
    <definedName name="SERO_7" localSheetId="99">ERR</definedName>
    <definedName name="SERO_7" localSheetId="100">ERR</definedName>
    <definedName name="SERO_7" localSheetId="101">ERR</definedName>
    <definedName name="SERO_7" localSheetId="102">ERR</definedName>
    <definedName name="SERO_7" localSheetId="103">ERR</definedName>
    <definedName name="SERO_7" localSheetId="104">ERR</definedName>
    <definedName name="SERO_7" localSheetId="120">ERR</definedName>
    <definedName name="SERO_7" localSheetId="121">ERR</definedName>
    <definedName name="SERO_7" localSheetId="122">ERR</definedName>
    <definedName name="SERO_7" localSheetId="123">ERR</definedName>
    <definedName name="SERO_7" localSheetId="124">ERR</definedName>
    <definedName name="SERO_7" localSheetId="125">ERR</definedName>
    <definedName name="SERO_7" localSheetId="126">ERR</definedName>
    <definedName name="SERO_7" localSheetId="127">ERR</definedName>
    <definedName name="SERO_7" localSheetId="128">ERR</definedName>
    <definedName name="SERO_7" localSheetId="129">ERR</definedName>
    <definedName name="SERO_7" localSheetId="130">ERR</definedName>
    <definedName name="SERO_7" localSheetId="131">ERR</definedName>
    <definedName name="SERO_7" localSheetId="9">ERR</definedName>
    <definedName name="SERO_7" localSheetId="38">ERR</definedName>
    <definedName name="SERO_7" localSheetId="2">ERR</definedName>
    <definedName name="SERO_7">ERR</definedName>
    <definedName name="SERO_8" localSheetId="20">ERR</definedName>
    <definedName name="SERO_8" localSheetId="22">ERR</definedName>
    <definedName name="SERO_8" localSheetId="33">ERR</definedName>
    <definedName name="SERO_8" localSheetId="36">ERR</definedName>
    <definedName name="SERO_8" localSheetId="47">ERR</definedName>
    <definedName name="SERO_8" localSheetId="48">ERR</definedName>
    <definedName name="SERO_8" localSheetId="51">ERR</definedName>
    <definedName name="SERO_8" localSheetId="52">ERR</definedName>
    <definedName name="SERO_8" localSheetId="53">ERR</definedName>
    <definedName name="SERO_8" localSheetId="54">ERR</definedName>
    <definedName name="SERO_8" localSheetId="62">ERR</definedName>
    <definedName name="SERO_8" localSheetId="63">ERR</definedName>
    <definedName name="SERO_8" localSheetId="64">ERR</definedName>
    <definedName name="SERO_8" localSheetId="65">ERR</definedName>
    <definedName name="SERO_8" localSheetId="66">ERR</definedName>
    <definedName name="SERO_8" localSheetId="67">ERR</definedName>
    <definedName name="SERO_8" localSheetId="68">ERR</definedName>
    <definedName name="SERO_8" localSheetId="55">ERR</definedName>
    <definedName name="SERO_8" localSheetId="56">ERR</definedName>
    <definedName name="SERO_8" localSheetId="57">ERR</definedName>
    <definedName name="SERO_8" localSheetId="58">ERR</definedName>
    <definedName name="SERO_8" localSheetId="59">ERR</definedName>
    <definedName name="SERO_8" localSheetId="60">ERR</definedName>
    <definedName name="SERO_8" localSheetId="61">ERR</definedName>
    <definedName name="SERO_8" localSheetId="69">ERR</definedName>
    <definedName name="SERO_8" localSheetId="78">ERR</definedName>
    <definedName name="SERO_8" localSheetId="79">ERR</definedName>
    <definedName name="SERO_8" localSheetId="80">ERR</definedName>
    <definedName name="SERO_8" localSheetId="70">ERR</definedName>
    <definedName name="SERO_8" localSheetId="71">ERR</definedName>
    <definedName name="SERO_8" localSheetId="72">ERR</definedName>
    <definedName name="SERO_8" localSheetId="73">ERR</definedName>
    <definedName name="SERO_8" localSheetId="74">ERR</definedName>
    <definedName name="SERO_8" localSheetId="75">ERR</definedName>
    <definedName name="SERO_8" localSheetId="76">ERR</definedName>
    <definedName name="SERO_8" localSheetId="77">ERR</definedName>
    <definedName name="SERO_8" localSheetId="81">ERR</definedName>
    <definedName name="SERO_8" localSheetId="89">ERR</definedName>
    <definedName name="SERO_8" localSheetId="90">ERR</definedName>
    <definedName name="SERO_8" localSheetId="91">ERR</definedName>
    <definedName name="SERO_8" localSheetId="92">ERR</definedName>
    <definedName name="SERO_8" localSheetId="93">ERR</definedName>
    <definedName name="SERO_8" localSheetId="94">ERR</definedName>
    <definedName name="SERO_8" localSheetId="95">ERR</definedName>
    <definedName name="SERO_8" localSheetId="96">ERR</definedName>
    <definedName name="SERO_8" localSheetId="82">ERR</definedName>
    <definedName name="SERO_8" localSheetId="83">ERR</definedName>
    <definedName name="SERO_8" localSheetId="84">ERR</definedName>
    <definedName name="SERO_8" localSheetId="85">ERR</definedName>
    <definedName name="SERO_8" localSheetId="86">ERR</definedName>
    <definedName name="SERO_8" localSheetId="87">ERR</definedName>
    <definedName name="SERO_8" localSheetId="88">ERR</definedName>
    <definedName name="SERO_8" localSheetId="97">ERR</definedName>
    <definedName name="SERO_8" localSheetId="105">ERR</definedName>
    <definedName name="SERO_8" localSheetId="106">ERR</definedName>
    <definedName name="SERO_8" localSheetId="107">ERR</definedName>
    <definedName name="SERO_8" localSheetId="108">ERR</definedName>
    <definedName name="SERO_8" localSheetId="109">ERR</definedName>
    <definedName name="SERO_8" localSheetId="110">ERR</definedName>
    <definedName name="SERO_8" localSheetId="111">ERR</definedName>
    <definedName name="SERO_8" localSheetId="112">ERR</definedName>
    <definedName name="SERO_8" localSheetId="113">ERR</definedName>
    <definedName name="SERO_8" localSheetId="114">ERR</definedName>
    <definedName name="SERO_8" localSheetId="98">ERR</definedName>
    <definedName name="SERO_8" localSheetId="115">ERR</definedName>
    <definedName name="SERO_8" localSheetId="116">ERR</definedName>
    <definedName name="SERO_8" localSheetId="117">ERR</definedName>
    <definedName name="SERO_8" localSheetId="118">ERR</definedName>
    <definedName name="SERO_8" localSheetId="119">ERR</definedName>
    <definedName name="SERO_8" localSheetId="99">ERR</definedName>
    <definedName name="SERO_8" localSheetId="100">ERR</definedName>
    <definedName name="SERO_8" localSheetId="101">ERR</definedName>
    <definedName name="SERO_8" localSheetId="102">ERR</definedName>
    <definedName name="SERO_8" localSheetId="103">ERR</definedName>
    <definedName name="SERO_8" localSheetId="104">ERR</definedName>
    <definedName name="SERO_8" localSheetId="120">ERR</definedName>
    <definedName name="SERO_8" localSheetId="121">ERR</definedName>
    <definedName name="SERO_8" localSheetId="122">ERR</definedName>
    <definedName name="SERO_8" localSheetId="123">ERR</definedName>
    <definedName name="SERO_8" localSheetId="124">ERR</definedName>
    <definedName name="SERO_8" localSheetId="125">ERR</definedName>
    <definedName name="SERO_8" localSheetId="126">ERR</definedName>
    <definedName name="SERO_8" localSheetId="127">ERR</definedName>
    <definedName name="SERO_8" localSheetId="128">ERR</definedName>
    <definedName name="SERO_8" localSheetId="129">ERR</definedName>
    <definedName name="SERO_8" localSheetId="130">ERR</definedName>
    <definedName name="SERO_8" localSheetId="131">ERR</definedName>
    <definedName name="SERO_8" localSheetId="9">ERR</definedName>
    <definedName name="SERO_8" localSheetId="38">ERR</definedName>
    <definedName name="SERO_8" localSheetId="2">ERR</definedName>
    <definedName name="SERO_8">ERR</definedName>
    <definedName name="SERO_9" localSheetId="20">ERR</definedName>
    <definedName name="SERO_9" localSheetId="22">ERR</definedName>
    <definedName name="SERO_9" localSheetId="33">ERR</definedName>
    <definedName name="SERO_9" localSheetId="36">ERR</definedName>
    <definedName name="SERO_9" localSheetId="47">ERR</definedName>
    <definedName name="SERO_9" localSheetId="48">ERR</definedName>
    <definedName name="SERO_9" localSheetId="51">ERR</definedName>
    <definedName name="SERO_9" localSheetId="52">ERR</definedName>
    <definedName name="SERO_9" localSheetId="53">ERR</definedName>
    <definedName name="SERO_9" localSheetId="54">ERR</definedName>
    <definedName name="SERO_9" localSheetId="62">ERR</definedName>
    <definedName name="SERO_9" localSheetId="63">ERR</definedName>
    <definedName name="SERO_9" localSheetId="64">ERR</definedName>
    <definedName name="SERO_9" localSheetId="65">ERR</definedName>
    <definedName name="SERO_9" localSheetId="66">ERR</definedName>
    <definedName name="SERO_9" localSheetId="67">ERR</definedName>
    <definedName name="SERO_9" localSheetId="68">ERR</definedName>
    <definedName name="SERO_9" localSheetId="55">ERR</definedName>
    <definedName name="SERO_9" localSheetId="56">ERR</definedName>
    <definedName name="SERO_9" localSheetId="57">ERR</definedName>
    <definedName name="SERO_9" localSheetId="58">ERR</definedName>
    <definedName name="SERO_9" localSheetId="59">ERR</definedName>
    <definedName name="SERO_9" localSheetId="60">ERR</definedName>
    <definedName name="SERO_9" localSheetId="61">ERR</definedName>
    <definedName name="SERO_9" localSheetId="69">ERR</definedName>
    <definedName name="SERO_9" localSheetId="78">ERR</definedName>
    <definedName name="SERO_9" localSheetId="79">ERR</definedName>
    <definedName name="SERO_9" localSheetId="80">ERR</definedName>
    <definedName name="SERO_9" localSheetId="70">ERR</definedName>
    <definedName name="SERO_9" localSheetId="71">ERR</definedName>
    <definedName name="SERO_9" localSheetId="72">ERR</definedName>
    <definedName name="SERO_9" localSheetId="73">ERR</definedName>
    <definedName name="SERO_9" localSheetId="74">ERR</definedName>
    <definedName name="SERO_9" localSheetId="75">ERR</definedName>
    <definedName name="SERO_9" localSheetId="76">ERR</definedName>
    <definedName name="SERO_9" localSheetId="77">ERR</definedName>
    <definedName name="SERO_9" localSheetId="81">ERR</definedName>
    <definedName name="SERO_9" localSheetId="89">ERR</definedName>
    <definedName name="SERO_9" localSheetId="90">ERR</definedName>
    <definedName name="SERO_9" localSheetId="91">ERR</definedName>
    <definedName name="SERO_9" localSheetId="92">ERR</definedName>
    <definedName name="SERO_9" localSheetId="93">ERR</definedName>
    <definedName name="SERO_9" localSheetId="94">ERR</definedName>
    <definedName name="SERO_9" localSheetId="95">ERR</definedName>
    <definedName name="SERO_9" localSheetId="96">ERR</definedName>
    <definedName name="SERO_9" localSheetId="82">ERR</definedName>
    <definedName name="SERO_9" localSheetId="83">ERR</definedName>
    <definedName name="SERO_9" localSheetId="84">ERR</definedName>
    <definedName name="SERO_9" localSheetId="85">ERR</definedName>
    <definedName name="SERO_9" localSheetId="86">ERR</definedName>
    <definedName name="SERO_9" localSheetId="87">ERR</definedName>
    <definedName name="SERO_9" localSheetId="88">ERR</definedName>
    <definedName name="SERO_9" localSheetId="97">ERR</definedName>
    <definedName name="SERO_9" localSheetId="105">ERR</definedName>
    <definedName name="SERO_9" localSheetId="106">ERR</definedName>
    <definedName name="SERO_9" localSheetId="107">ERR</definedName>
    <definedName name="SERO_9" localSheetId="108">ERR</definedName>
    <definedName name="SERO_9" localSheetId="109">ERR</definedName>
    <definedName name="SERO_9" localSheetId="110">ERR</definedName>
    <definedName name="SERO_9" localSheetId="111">ERR</definedName>
    <definedName name="SERO_9" localSheetId="112">ERR</definedName>
    <definedName name="SERO_9" localSheetId="113">ERR</definedName>
    <definedName name="SERO_9" localSheetId="114">ERR</definedName>
    <definedName name="SERO_9" localSheetId="98">ERR</definedName>
    <definedName name="SERO_9" localSheetId="115">ERR</definedName>
    <definedName name="SERO_9" localSheetId="116">ERR</definedName>
    <definedName name="SERO_9" localSheetId="117">ERR</definedName>
    <definedName name="SERO_9" localSheetId="118">ERR</definedName>
    <definedName name="SERO_9" localSheetId="119">ERR</definedName>
    <definedName name="SERO_9" localSheetId="99">ERR</definedName>
    <definedName name="SERO_9" localSheetId="100">ERR</definedName>
    <definedName name="SERO_9" localSheetId="101">ERR</definedName>
    <definedName name="SERO_9" localSheetId="102">ERR</definedName>
    <definedName name="SERO_9" localSheetId="103">ERR</definedName>
    <definedName name="SERO_9" localSheetId="104">ERR</definedName>
    <definedName name="SERO_9" localSheetId="120">ERR</definedName>
    <definedName name="SERO_9" localSheetId="121">ERR</definedName>
    <definedName name="SERO_9" localSheetId="122">ERR</definedName>
    <definedName name="SERO_9" localSheetId="123">ERR</definedName>
    <definedName name="SERO_9" localSheetId="124">ERR</definedName>
    <definedName name="SERO_9" localSheetId="125">ERR</definedName>
    <definedName name="SERO_9" localSheetId="126">ERR</definedName>
    <definedName name="SERO_9" localSheetId="127">ERR</definedName>
    <definedName name="SERO_9" localSheetId="128">ERR</definedName>
    <definedName name="SERO_9" localSheetId="129">ERR</definedName>
    <definedName name="SERO_9" localSheetId="130">ERR</definedName>
    <definedName name="SERO_9" localSheetId="131">ERR</definedName>
    <definedName name="SERO_9" localSheetId="9">ERR</definedName>
    <definedName name="SERO_9" localSheetId="38">ERR</definedName>
    <definedName name="SERO_9" localSheetId="2">ERR</definedName>
    <definedName name="SERO_9">ERR</definedName>
    <definedName name="SI" localSheetId="20">[0]!ERR</definedName>
    <definedName name="SI" localSheetId="22">[0]!ERR</definedName>
    <definedName name="SI" localSheetId="33">[0]!ERR</definedName>
    <definedName name="SI" localSheetId="36">[0]!ERR</definedName>
    <definedName name="SI" localSheetId="47">[0]!ERR</definedName>
    <definedName name="SI" localSheetId="48">[0]!ERR</definedName>
    <definedName name="SI" localSheetId="51">[0]!ERR</definedName>
    <definedName name="SI" localSheetId="52">[0]!ERR</definedName>
    <definedName name="SI" localSheetId="53">[0]!ERR</definedName>
    <definedName name="SI" localSheetId="54">[0]!ERR</definedName>
    <definedName name="SI" localSheetId="62">[0]!ERR</definedName>
    <definedName name="SI" localSheetId="63">[0]!ERR</definedName>
    <definedName name="SI" localSheetId="64">[0]!ERR</definedName>
    <definedName name="SI" localSheetId="65">[0]!ERR</definedName>
    <definedName name="SI" localSheetId="66">[0]!ERR</definedName>
    <definedName name="SI" localSheetId="67">[0]!ERR</definedName>
    <definedName name="SI" localSheetId="68">[0]!ERR</definedName>
    <definedName name="SI" localSheetId="55">[0]!ERR</definedName>
    <definedName name="SI" localSheetId="56">[0]!ERR</definedName>
    <definedName name="SI" localSheetId="57">[0]!ERR</definedName>
    <definedName name="SI" localSheetId="58">[0]!ERR</definedName>
    <definedName name="SI" localSheetId="59">[0]!ERR</definedName>
    <definedName name="SI" localSheetId="60">[0]!ERR</definedName>
    <definedName name="SI" localSheetId="61">[0]!ERR</definedName>
    <definedName name="SI" localSheetId="69">[0]!ERR</definedName>
    <definedName name="SI" localSheetId="78">[0]!ERR</definedName>
    <definedName name="SI" localSheetId="79">[0]!ERR</definedName>
    <definedName name="SI" localSheetId="80">[0]!ERR</definedName>
    <definedName name="SI" localSheetId="70">[0]!ERR</definedName>
    <definedName name="SI" localSheetId="71">[0]!ERR</definedName>
    <definedName name="SI" localSheetId="72">[0]!ERR</definedName>
    <definedName name="SI" localSheetId="73">[0]!ERR</definedName>
    <definedName name="SI" localSheetId="74">[0]!ERR</definedName>
    <definedName name="SI" localSheetId="75">[0]!ERR</definedName>
    <definedName name="SI" localSheetId="76">[0]!ERR</definedName>
    <definedName name="SI" localSheetId="77">[0]!ERR</definedName>
    <definedName name="SI" localSheetId="81">[0]!ERR</definedName>
    <definedName name="SI" localSheetId="89">[0]!ERR</definedName>
    <definedName name="SI" localSheetId="90">[0]!ERR</definedName>
    <definedName name="SI" localSheetId="91">[0]!ERR</definedName>
    <definedName name="SI" localSheetId="92">[0]!ERR</definedName>
    <definedName name="SI" localSheetId="93">[0]!ERR</definedName>
    <definedName name="SI" localSheetId="94">[0]!ERR</definedName>
    <definedName name="SI" localSheetId="95">[0]!ERR</definedName>
    <definedName name="SI" localSheetId="96">[0]!ERR</definedName>
    <definedName name="SI" localSheetId="82">[0]!ERR</definedName>
    <definedName name="SI" localSheetId="83">[0]!ERR</definedName>
    <definedName name="SI" localSheetId="84">[0]!ERR</definedName>
    <definedName name="SI" localSheetId="85">[0]!ERR</definedName>
    <definedName name="SI" localSheetId="86">[0]!ERR</definedName>
    <definedName name="SI" localSheetId="87">[0]!ERR</definedName>
    <definedName name="SI" localSheetId="88">[0]!ERR</definedName>
    <definedName name="SI" localSheetId="97">[0]!ERR</definedName>
    <definedName name="SI" localSheetId="105">[0]!ERR</definedName>
    <definedName name="SI" localSheetId="106">[0]!ERR</definedName>
    <definedName name="SI" localSheetId="107">[0]!ERR</definedName>
    <definedName name="SI" localSheetId="108">[0]!ERR</definedName>
    <definedName name="SI" localSheetId="109">[0]!ERR</definedName>
    <definedName name="SI" localSheetId="110">[0]!ERR</definedName>
    <definedName name="SI" localSheetId="111">[0]!ERR</definedName>
    <definedName name="SI" localSheetId="112">[0]!ERR</definedName>
    <definedName name="SI" localSheetId="113">[0]!ERR</definedName>
    <definedName name="SI" localSheetId="114">[0]!ERR</definedName>
    <definedName name="SI" localSheetId="98">[0]!ERR</definedName>
    <definedName name="SI" localSheetId="115">[0]!ERR</definedName>
    <definedName name="SI" localSheetId="116">[0]!ERR</definedName>
    <definedName name="SI" localSheetId="117">[0]!ERR</definedName>
    <definedName name="SI" localSheetId="118">[0]!ERR</definedName>
    <definedName name="SI" localSheetId="119">[0]!ERR</definedName>
    <definedName name="SI" localSheetId="99">[0]!ERR</definedName>
    <definedName name="SI" localSheetId="100">[0]!ERR</definedName>
    <definedName name="SI" localSheetId="101">[0]!ERR</definedName>
    <definedName name="SI" localSheetId="102">[0]!ERR</definedName>
    <definedName name="SI" localSheetId="103">[0]!ERR</definedName>
    <definedName name="SI" localSheetId="104">[0]!ERR</definedName>
    <definedName name="SI" localSheetId="120">[0]!ERR</definedName>
    <definedName name="SI" localSheetId="121">[0]!ERR</definedName>
    <definedName name="SI" localSheetId="122">[0]!ERR</definedName>
    <definedName name="SI" localSheetId="123">[0]!ERR</definedName>
    <definedName name="SI" localSheetId="124">[0]!ERR</definedName>
    <definedName name="SI" localSheetId="125">[0]!ERR</definedName>
    <definedName name="SI" localSheetId="126">[0]!ERR</definedName>
    <definedName name="SI" localSheetId="127">[0]!ERR</definedName>
    <definedName name="SI" localSheetId="128">[0]!ERR</definedName>
    <definedName name="SI" localSheetId="129">[0]!ERR</definedName>
    <definedName name="SI" localSheetId="130">[0]!ERR</definedName>
    <definedName name="SI" localSheetId="131">[0]!ERR</definedName>
    <definedName name="SI" localSheetId="38">[0]!ERR</definedName>
    <definedName name="SI" localSheetId="2">[0]!ERR</definedName>
    <definedName name="SI">[0]!ERR</definedName>
    <definedName name="SI_10" localSheetId="20">ERR</definedName>
    <definedName name="SI_10" localSheetId="22">ERR</definedName>
    <definedName name="SI_10" localSheetId="33">ERR</definedName>
    <definedName name="SI_10" localSheetId="36">ERR</definedName>
    <definedName name="SI_10" localSheetId="47">ERR</definedName>
    <definedName name="SI_10" localSheetId="48">ERR</definedName>
    <definedName name="SI_10" localSheetId="51">ERR</definedName>
    <definedName name="SI_10" localSheetId="52">ERR</definedName>
    <definedName name="SI_10" localSheetId="53">ERR</definedName>
    <definedName name="SI_10" localSheetId="54">ERR</definedName>
    <definedName name="SI_10" localSheetId="62">ERR</definedName>
    <definedName name="SI_10" localSheetId="63">ERR</definedName>
    <definedName name="SI_10" localSheetId="64">ERR</definedName>
    <definedName name="SI_10" localSheetId="65">ERR</definedName>
    <definedName name="SI_10" localSheetId="66">ERR</definedName>
    <definedName name="SI_10" localSheetId="67">ERR</definedName>
    <definedName name="SI_10" localSheetId="68">ERR</definedName>
    <definedName name="SI_10" localSheetId="55">ERR</definedName>
    <definedName name="SI_10" localSheetId="56">ERR</definedName>
    <definedName name="SI_10" localSheetId="57">ERR</definedName>
    <definedName name="SI_10" localSheetId="58">ERR</definedName>
    <definedName name="SI_10" localSheetId="59">ERR</definedName>
    <definedName name="SI_10" localSheetId="60">ERR</definedName>
    <definedName name="SI_10" localSheetId="61">ERR</definedName>
    <definedName name="SI_10" localSheetId="69">ERR</definedName>
    <definedName name="SI_10" localSheetId="78">ERR</definedName>
    <definedName name="SI_10" localSheetId="79">ERR</definedName>
    <definedName name="SI_10" localSheetId="80">ERR</definedName>
    <definedName name="SI_10" localSheetId="70">ERR</definedName>
    <definedName name="SI_10" localSheetId="71">ERR</definedName>
    <definedName name="SI_10" localSheetId="72">ERR</definedName>
    <definedName name="SI_10" localSheetId="73">ERR</definedName>
    <definedName name="SI_10" localSheetId="74">ERR</definedName>
    <definedName name="SI_10" localSheetId="75">ERR</definedName>
    <definedName name="SI_10" localSheetId="76">ERR</definedName>
    <definedName name="SI_10" localSheetId="77">ERR</definedName>
    <definedName name="SI_10" localSheetId="81">ERR</definedName>
    <definedName name="SI_10" localSheetId="89">ERR</definedName>
    <definedName name="SI_10" localSheetId="90">ERR</definedName>
    <definedName name="SI_10" localSheetId="91">ERR</definedName>
    <definedName name="SI_10" localSheetId="92">ERR</definedName>
    <definedName name="SI_10" localSheetId="93">ERR</definedName>
    <definedName name="SI_10" localSheetId="94">ERR</definedName>
    <definedName name="SI_10" localSheetId="95">ERR</definedName>
    <definedName name="SI_10" localSheetId="96">ERR</definedName>
    <definedName name="SI_10" localSheetId="82">ERR</definedName>
    <definedName name="SI_10" localSheetId="83">ERR</definedName>
    <definedName name="SI_10" localSheetId="84">ERR</definedName>
    <definedName name="SI_10" localSheetId="85">ERR</definedName>
    <definedName name="SI_10" localSheetId="86">ERR</definedName>
    <definedName name="SI_10" localSheetId="87">ERR</definedName>
    <definedName name="SI_10" localSheetId="88">ERR</definedName>
    <definedName name="SI_10" localSheetId="97">ERR</definedName>
    <definedName name="SI_10" localSheetId="105">ERR</definedName>
    <definedName name="SI_10" localSheetId="106">ERR</definedName>
    <definedName name="SI_10" localSheetId="107">ERR</definedName>
    <definedName name="SI_10" localSheetId="108">ERR</definedName>
    <definedName name="SI_10" localSheetId="109">ERR</definedName>
    <definedName name="SI_10" localSheetId="110">ERR</definedName>
    <definedName name="SI_10" localSheetId="111">ERR</definedName>
    <definedName name="SI_10" localSheetId="112">ERR</definedName>
    <definedName name="SI_10" localSheetId="113">ERR</definedName>
    <definedName name="SI_10" localSheetId="114">ERR</definedName>
    <definedName name="SI_10" localSheetId="98">ERR</definedName>
    <definedName name="SI_10" localSheetId="115">ERR</definedName>
    <definedName name="SI_10" localSheetId="116">ERR</definedName>
    <definedName name="SI_10" localSheetId="117">ERR</definedName>
    <definedName name="SI_10" localSheetId="118">ERR</definedName>
    <definedName name="SI_10" localSheetId="119">ERR</definedName>
    <definedName name="SI_10" localSheetId="99">ERR</definedName>
    <definedName name="SI_10" localSheetId="100">ERR</definedName>
    <definedName name="SI_10" localSheetId="101">ERR</definedName>
    <definedName name="SI_10" localSheetId="102">ERR</definedName>
    <definedName name="SI_10" localSheetId="103">ERR</definedName>
    <definedName name="SI_10" localSheetId="104">ERR</definedName>
    <definedName name="SI_10" localSheetId="120">ERR</definedName>
    <definedName name="SI_10" localSheetId="121">ERR</definedName>
    <definedName name="SI_10" localSheetId="122">ERR</definedName>
    <definedName name="SI_10" localSheetId="123">ERR</definedName>
    <definedName name="SI_10" localSheetId="124">ERR</definedName>
    <definedName name="SI_10" localSheetId="125">ERR</definedName>
    <definedName name="SI_10" localSheetId="126">ERR</definedName>
    <definedName name="SI_10" localSheetId="127">ERR</definedName>
    <definedName name="SI_10" localSheetId="128">ERR</definedName>
    <definedName name="SI_10" localSheetId="129">ERR</definedName>
    <definedName name="SI_10" localSheetId="130">ERR</definedName>
    <definedName name="SI_10" localSheetId="131">ERR</definedName>
    <definedName name="SI_10" localSheetId="9">ERR</definedName>
    <definedName name="SI_10" localSheetId="38">ERR</definedName>
    <definedName name="SI_10" localSheetId="2">ERR</definedName>
    <definedName name="SI_10">ERR</definedName>
    <definedName name="SI_3" localSheetId="20">ERR</definedName>
    <definedName name="SI_3" localSheetId="22">ERR</definedName>
    <definedName name="SI_3" localSheetId="33">ERR</definedName>
    <definedName name="SI_3" localSheetId="36">ERR</definedName>
    <definedName name="SI_3" localSheetId="47">ERR</definedName>
    <definedName name="SI_3" localSheetId="48">ERR</definedName>
    <definedName name="SI_3" localSheetId="51">ERR</definedName>
    <definedName name="SI_3" localSheetId="52">ERR</definedName>
    <definedName name="SI_3" localSheetId="53">ERR</definedName>
    <definedName name="SI_3" localSheetId="54">ERR</definedName>
    <definedName name="SI_3" localSheetId="62">ERR</definedName>
    <definedName name="SI_3" localSheetId="63">ERR</definedName>
    <definedName name="SI_3" localSheetId="64">ERR</definedName>
    <definedName name="SI_3" localSheetId="65">ERR</definedName>
    <definedName name="SI_3" localSheetId="66">ERR</definedName>
    <definedName name="SI_3" localSheetId="67">ERR</definedName>
    <definedName name="SI_3" localSheetId="68">ERR</definedName>
    <definedName name="SI_3" localSheetId="55">ERR</definedName>
    <definedName name="SI_3" localSheetId="56">ERR</definedName>
    <definedName name="SI_3" localSheetId="57">ERR</definedName>
    <definedName name="SI_3" localSheetId="58">ERR</definedName>
    <definedName name="SI_3" localSheetId="59">ERR</definedName>
    <definedName name="SI_3" localSheetId="60">ERR</definedName>
    <definedName name="SI_3" localSheetId="61">ERR</definedName>
    <definedName name="SI_3" localSheetId="69">ERR</definedName>
    <definedName name="SI_3" localSheetId="78">ERR</definedName>
    <definedName name="SI_3" localSheetId="79">ERR</definedName>
    <definedName name="SI_3" localSheetId="80">ERR</definedName>
    <definedName name="SI_3" localSheetId="70">ERR</definedName>
    <definedName name="SI_3" localSheetId="71">ERR</definedName>
    <definedName name="SI_3" localSheetId="72">ERR</definedName>
    <definedName name="SI_3" localSheetId="73">ERR</definedName>
    <definedName name="SI_3" localSheetId="74">ERR</definedName>
    <definedName name="SI_3" localSheetId="75">ERR</definedName>
    <definedName name="SI_3" localSheetId="76">ERR</definedName>
    <definedName name="SI_3" localSheetId="77">ERR</definedName>
    <definedName name="SI_3" localSheetId="81">ERR</definedName>
    <definedName name="SI_3" localSheetId="89">ERR</definedName>
    <definedName name="SI_3" localSheetId="90">ERR</definedName>
    <definedName name="SI_3" localSheetId="91">ERR</definedName>
    <definedName name="SI_3" localSheetId="92">ERR</definedName>
    <definedName name="SI_3" localSheetId="93">ERR</definedName>
    <definedName name="SI_3" localSheetId="94">ERR</definedName>
    <definedName name="SI_3" localSheetId="95">ERR</definedName>
    <definedName name="SI_3" localSheetId="96">ERR</definedName>
    <definedName name="SI_3" localSheetId="82">ERR</definedName>
    <definedName name="SI_3" localSheetId="83">ERR</definedName>
    <definedName name="SI_3" localSheetId="84">ERR</definedName>
    <definedName name="SI_3" localSheetId="85">ERR</definedName>
    <definedName name="SI_3" localSheetId="86">ERR</definedName>
    <definedName name="SI_3" localSheetId="87">ERR</definedName>
    <definedName name="SI_3" localSheetId="88">ERR</definedName>
    <definedName name="SI_3" localSheetId="97">ERR</definedName>
    <definedName name="SI_3" localSheetId="105">ERR</definedName>
    <definedName name="SI_3" localSheetId="106">ERR</definedName>
    <definedName name="SI_3" localSheetId="107">ERR</definedName>
    <definedName name="SI_3" localSheetId="108">ERR</definedName>
    <definedName name="SI_3" localSheetId="109">ERR</definedName>
    <definedName name="SI_3" localSheetId="110">ERR</definedName>
    <definedName name="SI_3" localSheetId="111">ERR</definedName>
    <definedName name="SI_3" localSheetId="112">ERR</definedName>
    <definedName name="SI_3" localSheetId="113">ERR</definedName>
    <definedName name="SI_3" localSheetId="114">ERR</definedName>
    <definedName name="SI_3" localSheetId="98">ERR</definedName>
    <definedName name="SI_3" localSheetId="115">ERR</definedName>
    <definedName name="SI_3" localSheetId="116">ERR</definedName>
    <definedName name="SI_3" localSheetId="117">ERR</definedName>
    <definedName name="SI_3" localSheetId="118">ERR</definedName>
    <definedName name="SI_3" localSheetId="119">ERR</definedName>
    <definedName name="SI_3" localSheetId="99">ERR</definedName>
    <definedName name="SI_3" localSheetId="100">ERR</definedName>
    <definedName name="SI_3" localSheetId="101">ERR</definedName>
    <definedName name="SI_3" localSheetId="102">ERR</definedName>
    <definedName name="SI_3" localSheetId="103">ERR</definedName>
    <definedName name="SI_3" localSheetId="104">ERR</definedName>
    <definedName name="SI_3" localSheetId="120">ERR</definedName>
    <definedName name="SI_3" localSheetId="121">ERR</definedName>
    <definedName name="SI_3" localSheetId="122">ERR</definedName>
    <definedName name="SI_3" localSheetId="123">ERR</definedName>
    <definedName name="SI_3" localSheetId="124">ERR</definedName>
    <definedName name="SI_3" localSheetId="125">ERR</definedName>
    <definedName name="SI_3" localSheetId="126">ERR</definedName>
    <definedName name="SI_3" localSheetId="127">ERR</definedName>
    <definedName name="SI_3" localSheetId="128">ERR</definedName>
    <definedName name="SI_3" localSheetId="129">ERR</definedName>
    <definedName name="SI_3" localSheetId="130">ERR</definedName>
    <definedName name="SI_3" localSheetId="131">ERR</definedName>
    <definedName name="SI_3" localSheetId="9">ERR</definedName>
    <definedName name="SI_3" localSheetId="38">ERR</definedName>
    <definedName name="SI_3" localSheetId="2">ERR</definedName>
    <definedName name="SI_3">ERR</definedName>
    <definedName name="SI_4" localSheetId="20">ERR</definedName>
    <definedName name="SI_4" localSheetId="22">ERR</definedName>
    <definedName name="SI_4" localSheetId="33">ERR</definedName>
    <definedName name="SI_4" localSheetId="36">ERR</definedName>
    <definedName name="SI_4" localSheetId="47">ERR</definedName>
    <definedName name="SI_4" localSheetId="48">ERR</definedName>
    <definedName name="SI_4" localSheetId="51">ERR</definedName>
    <definedName name="SI_4" localSheetId="52">ERR</definedName>
    <definedName name="SI_4" localSheetId="53">ERR</definedName>
    <definedName name="SI_4" localSheetId="54">ERR</definedName>
    <definedName name="SI_4" localSheetId="62">ERR</definedName>
    <definedName name="SI_4" localSheetId="63">ERR</definedName>
    <definedName name="SI_4" localSheetId="64">ERR</definedName>
    <definedName name="SI_4" localSheetId="65">ERR</definedName>
    <definedName name="SI_4" localSheetId="66">ERR</definedName>
    <definedName name="SI_4" localSheetId="67">ERR</definedName>
    <definedName name="SI_4" localSheetId="68">ERR</definedName>
    <definedName name="SI_4" localSheetId="55">ERR</definedName>
    <definedName name="SI_4" localSheetId="56">ERR</definedName>
    <definedName name="SI_4" localSheetId="57">ERR</definedName>
    <definedName name="SI_4" localSheetId="58">ERR</definedName>
    <definedName name="SI_4" localSheetId="59">ERR</definedName>
    <definedName name="SI_4" localSheetId="60">ERR</definedName>
    <definedName name="SI_4" localSheetId="61">ERR</definedName>
    <definedName name="SI_4" localSheetId="69">ERR</definedName>
    <definedName name="SI_4" localSheetId="78">ERR</definedName>
    <definedName name="SI_4" localSheetId="79">ERR</definedName>
    <definedName name="SI_4" localSheetId="80">ERR</definedName>
    <definedName name="SI_4" localSheetId="70">ERR</definedName>
    <definedName name="SI_4" localSheetId="71">ERR</definedName>
    <definedName name="SI_4" localSheetId="72">ERR</definedName>
    <definedName name="SI_4" localSheetId="73">ERR</definedName>
    <definedName name="SI_4" localSheetId="74">ERR</definedName>
    <definedName name="SI_4" localSheetId="75">ERR</definedName>
    <definedName name="SI_4" localSheetId="76">ERR</definedName>
    <definedName name="SI_4" localSheetId="77">ERR</definedName>
    <definedName name="SI_4" localSheetId="81">ERR</definedName>
    <definedName name="SI_4" localSheetId="89">ERR</definedName>
    <definedName name="SI_4" localSheetId="90">ERR</definedName>
    <definedName name="SI_4" localSheetId="91">ERR</definedName>
    <definedName name="SI_4" localSheetId="92">ERR</definedName>
    <definedName name="SI_4" localSheetId="93">ERR</definedName>
    <definedName name="SI_4" localSheetId="94">ERR</definedName>
    <definedName name="SI_4" localSheetId="95">ERR</definedName>
    <definedName name="SI_4" localSheetId="96">ERR</definedName>
    <definedName name="SI_4" localSheetId="82">ERR</definedName>
    <definedName name="SI_4" localSheetId="83">ERR</definedName>
    <definedName name="SI_4" localSheetId="84">ERR</definedName>
    <definedName name="SI_4" localSheetId="85">ERR</definedName>
    <definedName name="SI_4" localSheetId="86">ERR</definedName>
    <definedName name="SI_4" localSheetId="87">ERR</definedName>
    <definedName name="SI_4" localSheetId="88">ERR</definedName>
    <definedName name="SI_4" localSheetId="97">ERR</definedName>
    <definedName name="SI_4" localSheetId="105">ERR</definedName>
    <definedName name="SI_4" localSheetId="106">ERR</definedName>
    <definedName name="SI_4" localSheetId="107">ERR</definedName>
    <definedName name="SI_4" localSheetId="108">ERR</definedName>
    <definedName name="SI_4" localSheetId="109">ERR</definedName>
    <definedName name="SI_4" localSheetId="110">ERR</definedName>
    <definedName name="SI_4" localSheetId="111">ERR</definedName>
    <definedName name="SI_4" localSheetId="112">ERR</definedName>
    <definedName name="SI_4" localSheetId="113">ERR</definedName>
    <definedName name="SI_4" localSheetId="114">ERR</definedName>
    <definedName name="SI_4" localSheetId="98">ERR</definedName>
    <definedName name="SI_4" localSheetId="115">ERR</definedName>
    <definedName name="SI_4" localSheetId="116">ERR</definedName>
    <definedName name="SI_4" localSheetId="117">ERR</definedName>
    <definedName name="SI_4" localSheetId="118">ERR</definedName>
    <definedName name="SI_4" localSheetId="119">ERR</definedName>
    <definedName name="SI_4" localSheetId="99">ERR</definedName>
    <definedName name="SI_4" localSheetId="100">ERR</definedName>
    <definedName name="SI_4" localSheetId="101">ERR</definedName>
    <definedName name="SI_4" localSheetId="102">ERR</definedName>
    <definedName name="SI_4" localSheetId="103">ERR</definedName>
    <definedName name="SI_4" localSheetId="104">ERR</definedName>
    <definedName name="SI_4" localSheetId="120">ERR</definedName>
    <definedName name="SI_4" localSheetId="121">ERR</definedName>
    <definedName name="SI_4" localSheetId="122">ERR</definedName>
    <definedName name="SI_4" localSheetId="123">ERR</definedName>
    <definedName name="SI_4" localSheetId="124">ERR</definedName>
    <definedName name="SI_4" localSheetId="125">ERR</definedName>
    <definedName name="SI_4" localSheetId="126">ERR</definedName>
    <definedName name="SI_4" localSheetId="127">ERR</definedName>
    <definedName name="SI_4" localSheetId="128">ERR</definedName>
    <definedName name="SI_4" localSheetId="129">ERR</definedName>
    <definedName name="SI_4" localSheetId="130">ERR</definedName>
    <definedName name="SI_4" localSheetId="131">ERR</definedName>
    <definedName name="SI_4" localSheetId="9">ERR</definedName>
    <definedName name="SI_4" localSheetId="38">ERR</definedName>
    <definedName name="SI_4" localSheetId="2">ERR</definedName>
    <definedName name="SI_4">ERR</definedName>
    <definedName name="SI_5" localSheetId="20">ERR</definedName>
    <definedName name="SI_5" localSheetId="22">ERR</definedName>
    <definedName name="SI_5" localSheetId="33">ERR</definedName>
    <definedName name="SI_5" localSheetId="36">ERR</definedName>
    <definedName name="SI_5" localSheetId="47">ERR</definedName>
    <definedName name="SI_5" localSheetId="48">ERR</definedName>
    <definedName name="SI_5" localSheetId="51">ERR</definedName>
    <definedName name="SI_5" localSheetId="52">ERR</definedName>
    <definedName name="SI_5" localSheetId="53">ERR</definedName>
    <definedName name="SI_5" localSheetId="54">ERR</definedName>
    <definedName name="SI_5" localSheetId="62">ERR</definedName>
    <definedName name="SI_5" localSheetId="63">ERR</definedName>
    <definedName name="SI_5" localSheetId="64">ERR</definedName>
    <definedName name="SI_5" localSheetId="65">ERR</definedName>
    <definedName name="SI_5" localSheetId="66">ERR</definedName>
    <definedName name="SI_5" localSheetId="67">ERR</definedName>
    <definedName name="SI_5" localSheetId="68">ERR</definedName>
    <definedName name="SI_5" localSheetId="55">ERR</definedName>
    <definedName name="SI_5" localSheetId="56">ERR</definedName>
    <definedName name="SI_5" localSheetId="57">ERR</definedName>
    <definedName name="SI_5" localSheetId="58">ERR</definedName>
    <definedName name="SI_5" localSheetId="59">ERR</definedName>
    <definedName name="SI_5" localSheetId="60">ERR</definedName>
    <definedName name="SI_5" localSheetId="61">ERR</definedName>
    <definedName name="SI_5" localSheetId="69">ERR</definedName>
    <definedName name="SI_5" localSheetId="78">ERR</definedName>
    <definedName name="SI_5" localSheetId="79">ERR</definedName>
    <definedName name="SI_5" localSheetId="80">ERR</definedName>
    <definedName name="SI_5" localSheetId="70">ERR</definedName>
    <definedName name="SI_5" localSheetId="71">ERR</definedName>
    <definedName name="SI_5" localSheetId="72">ERR</definedName>
    <definedName name="SI_5" localSheetId="73">ERR</definedName>
    <definedName name="SI_5" localSheetId="74">ERR</definedName>
    <definedName name="SI_5" localSheetId="75">ERR</definedName>
    <definedName name="SI_5" localSheetId="76">ERR</definedName>
    <definedName name="SI_5" localSheetId="77">ERR</definedName>
    <definedName name="SI_5" localSheetId="81">ERR</definedName>
    <definedName name="SI_5" localSheetId="89">ERR</definedName>
    <definedName name="SI_5" localSheetId="90">ERR</definedName>
    <definedName name="SI_5" localSheetId="91">ERR</definedName>
    <definedName name="SI_5" localSheetId="92">ERR</definedName>
    <definedName name="SI_5" localSheetId="93">ERR</definedName>
    <definedName name="SI_5" localSheetId="94">ERR</definedName>
    <definedName name="SI_5" localSheetId="95">ERR</definedName>
    <definedName name="SI_5" localSheetId="96">ERR</definedName>
    <definedName name="SI_5" localSheetId="82">ERR</definedName>
    <definedName name="SI_5" localSheetId="83">ERR</definedName>
    <definedName name="SI_5" localSheetId="84">ERR</definedName>
    <definedName name="SI_5" localSheetId="85">ERR</definedName>
    <definedName name="SI_5" localSheetId="86">ERR</definedName>
    <definedName name="SI_5" localSheetId="87">ERR</definedName>
    <definedName name="SI_5" localSheetId="88">ERR</definedName>
    <definedName name="SI_5" localSheetId="97">ERR</definedName>
    <definedName name="SI_5" localSheetId="105">ERR</definedName>
    <definedName name="SI_5" localSheetId="106">ERR</definedName>
    <definedName name="SI_5" localSheetId="107">ERR</definedName>
    <definedName name="SI_5" localSheetId="108">ERR</definedName>
    <definedName name="SI_5" localSheetId="109">ERR</definedName>
    <definedName name="SI_5" localSheetId="110">ERR</definedName>
    <definedName name="SI_5" localSheetId="111">ERR</definedName>
    <definedName name="SI_5" localSheetId="112">ERR</definedName>
    <definedName name="SI_5" localSheetId="113">ERR</definedName>
    <definedName name="SI_5" localSheetId="114">ERR</definedName>
    <definedName name="SI_5" localSheetId="98">ERR</definedName>
    <definedName name="SI_5" localSheetId="115">ERR</definedName>
    <definedName name="SI_5" localSheetId="116">ERR</definedName>
    <definedName name="SI_5" localSheetId="117">ERR</definedName>
    <definedName name="SI_5" localSheetId="118">ERR</definedName>
    <definedName name="SI_5" localSheetId="119">ERR</definedName>
    <definedName name="SI_5" localSheetId="99">ERR</definedName>
    <definedName name="SI_5" localSheetId="100">ERR</definedName>
    <definedName name="SI_5" localSheetId="101">ERR</definedName>
    <definedName name="SI_5" localSheetId="102">ERR</definedName>
    <definedName name="SI_5" localSheetId="103">ERR</definedName>
    <definedName name="SI_5" localSheetId="104">ERR</definedName>
    <definedName name="SI_5" localSheetId="120">ERR</definedName>
    <definedName name="SI_5" localSheetId="121">ERR</definedName>
    <definedName name="SI_5" localSheetId="122">ERR</definedName>
    <definedName name="SI_5" localSheetId="123">ERR</definedName>
    <definedName name="SI_5" localSheetId="124">ERR</definedName>
    <definedName name="SI_5" localSheetId="125">ERR</definedName>
    <definedName name="SI_5" localSheetId="126">ERR</definedName>
    <definedName name="SI_5" localSheetId="127">ERR</definedName>
    <definedName name="SI_5" localSheetId="128">ERR</definedName>
    <definedName name="SI_5" localSheetId="129">ERR</definedName>
    <definedName name="SI_5" localSheetId="130">ERR</definedName>
    <definedName name="SI_5" localSheetId="131">ERR</definedName>
    <definedName name="SI_5" localSheetId="9">ERR</definedName>
    <definedName name="SI_5" localSheetId="38">ERR</definedName>
    <definedName name="SI_5" localSheetId="2">ERR</definedName>
    <definedName name="SI_5">ERR</definedName>
    <definedName name="SI_6" localSheetId="20">ERR</definedName>
    <definedName name="SI_6" localSheetId="22">ERR</definedName>
    <definedName name="SI_6" localSheetId="33">ERR</definedName>
    <definedName name="SI_6" localSheetId="36">ERR</definedName>
    <definedName name="SI_6" localSheetId="47">ERR</definedName>
    <definedName name="SI_6" localSheetId="48">ERR</definedName>
    <definedName name="SI_6" localSheetId="51">ERR</definedName>
    <definedName name="SI_6" localSheetId="52">ERR</definedName>
    <definedName name="SI_6" localSheetId="53">ERR</definedName>
    <definedName name="SI_6" localSheetId="54">ERR</definedName>
    <definedName name="SI_6" localSheetId="62">ERR</definedName>
    <definedName name="SI_6" localSheetId="63">ERR</definedName>
    <definedName name="SI_6" localSheetId="64">ERR</definedName>
    <definedName name="SI_6" localSheetId="65">ERR</definedName>
    <definedName name="SI_6" localSheetId="66">ERR</definedName>
    <definedName name="SI_6" localSheetId="67">ERR</definedName>
    <definedName name="SI_6" localSheetId="68">ERR</definedName>
    <definedName name="SI_6" localSheetId="55">ERR</definedName>
    <definedName name="SI_6" localSheetId="56">ERR</definedName>
    <definedName name="SI_6" localSheetId="57">ERR</definedName>
    <definedName name="SI_6" localSheetId="58">ERR</definedName>
    <definedName name="SI_6" localSheetId="59">ERR</definedName>
    <definedName name="SI_6" localSheetId="60">ERR</definedName>
    <definedName name="SI_6" localSheetId="61">ERR</definedName>
    <definedName name="SI_6" localSheetId="69">ERR</definedName>
    <definedName name="SI_6" localSheetId="78">ERR</definedName>
    <definedName name="SI_6" localSheetId="79">ERR</definedName>
    <definedName name="SI_6" localSheetId="80">ERR</definedName>
    <definedName name="SI_6" localSheetId="70">ERR</definedName>
    <definedName name="SI_6" localSheetId="71">ERR</definedName>
    <definedName name="SI_6" localSheetId="72">ERR</definedName>
    <definedName name="SI_6" localSheetId="73">ERR</definedName>
    <definedName name="SI_6" localSheetId="74">ERR</definedName>
    <definedName name="SI_6" localSheetId="75">ERR</definedName>
    <definedName name="SI_6" localSheetId="76">ERR</definedName>
    <definedName name="SI_6" localSheetId="77">ERR</definedName>
    <definedName name="SI_6" localSheetId="81">ERR</definedName>
    <definedName name="SI_6" localSheetId="89">ERR</definedName>
    <definedName name="SI_6" localSheetId="90">ERR</definedName>
    <definedName name="SI_6" localSheetId="91">ERR</definedName>
    <definedName name="SI_6" localSheetId="92">ERR</definedName>
    <definedName name="SI_6" localSheetId="93">ERR</definedName>
    <definedName name="SI_6" localSheetId="94">ERR</definedName>
    <definedName name="SI_6" localSheetId="95">ERR</definedName>
    <definedName name="SI_6" localSheetId="96">ERR</definedName>
    <definedName name="SI_6" localSheetId="82">ERR</definedName>
    <definedName name="SI_6" localSheetId="83">ERR</definedName>
    <definedName name="SI_6" localSheetId="84">ERR</definedName>
    <definedName name="SI_6" localSheetId="85">ERR</definedName>
    <definedName name="SI_6" localSheetId="86">ERR</definedName>
    <definedName name="SI_6" localSheetId="87">ERR</definedName>
    <definedName name="SI_6" localSheetId="88">ERR</definedName>
    <definedName name="SI_6" localSheetId="97">ERR</definedName>
    <definedName name="SI_6" localSheetId="105">ERR</definedName>
    <definedName name="SI_6" localSheetId="106">ERR</definedName>
    <definedName name="SI_6" localSheetId="107">ERR</definedName>
    <definedName name="SI_6" localSheetId="108">ERR</definedName>
    <definedName name="SI_6" localSheetId="109">ERR</definedName>
    <definedName name="SI_6" localSheetId="110">ERR</definedName>
    <definedName name="SI_6" localSheetId="111">ERR</definedName>
    <definedName name="SI_6" localSheetId="112">ERR</definedName>
    <definedName name="SI_6" localSheetId="113">ERR</definedName>
    <definedName name="SI_6" localSheetId="114">ERR</definedName>
    <definedName name="SI_6" localSheetId="98">ERR</definedName>
    <definedName name="SI_6" localSheetId="115">ERR</definedName>
    <definedName name="SI_6" localSheetId="116">ERR</definedName>
    <definedName name="SI_6" localSheetId="117">ERR</definedName>
    <definedName name="SI_6" localSheetId="118">ERR</definedName>
    <definedName name="SI_6" localSheetId="119">ERR</definedName>
    <definedName name="SI_6" localSheetId="99">ERR</definedName>
    <definedName name="SI_6" localSheetId="100">ERR</definedName>
    <definedName name="SI_6" localSheetId="101">ERR</definedName>
    <definedName name="SI_6" localSheetId="102">ERR</definedName>
    <definedName name="SI_6" localSheetId="103">ERR</definedName>
    <definedName name="SI_6" localSheetId="104">ERR</definedName>
    <definedName name="SI_6" localSheetId="120">ERR</definedName>
    <definedName name="SI_6" localSheetId="121">ERR</definedName>
    <definedName name="SI_6" localSheetId="122">ERR</definedName>
    <definedName name="SI_6" localSheetId="123">ERR</definedName>
    <definedName name="SI_6" localSheetId="124">ERR</definedName>
    <definedName name="SI_6" localSheetId="125">ERR</definedName>
    <definedName name="SI_6" localSheetId="126">ERR</definedName>
    <definedName name="SI_6" localSheetId="127">ERR</definedName>
    <definedName name="SI_6" localSheetId="128">ERR</definedName>
    <definedName name="SI_6" localSheetId="129">ERR</definedName>
    <definedName name="SI_6" localSheetId="130">ERR</definedName>
    <definedName name="SI_6" localSheetId="131">ERR</definedName>
    <definedName name="SI_6" localSheetId="9">ERR</definedName>
    <definedName name="SI_6" localSheetId="38">ERR</definedName>
    <definedName name="SI_6" localSheetId="2">ERR</definedName>
    <definedName name="SI_6">ERR</definedName>
    <definedName name="SI_7" localSheetId="20">ERR</definedName>
    <definedName name="SI_7" localSheetId="22">ERR</definedName>
    <definedName name="SI_7" localSheetId="33">ERR</definedName>
    <definedName name="SI_7" localSheetId="36">ERR</definedName>
    <definedName name="SI_7" localSheetId="47">ERR</definedName>
    <definedName name="SI_7" localSheetId="48">ERR</definedName>
    <definedName name="SI_7" localSheetId="51">ERR</definedName>
    <definedName name="SI_7" localSheetId="52">ERR</definedName>
    <definedName name="SI_7" localSheetId="53">ERR</definedName>
    <definedName name="SI_7" localSheetId="54">ERR</definedName>
    <definedName name="SI_7" localSheetId="62">ERR</definedName>
    <definedName name="SI_7" localSheetId="63">ERR</definedName>
    <definedName name="SI_7" localSheetId="64">ERR</definedName>
    <definedName name="SI_7" localSheetId="65">ERR</definedName>
    <definedName name="SI_7" localSheetId="66">ERR</definedName>
    <definedName name="SI_7" localSheetId="67">ERR</definedName>
    <definedName name="SI_7" localSheetId="68">ERR</definedName>
    <definedName name="SI_7" localSheetId="55">ERR</definedName>
    <definedName name="SI_7" localSheetId="56">ERR</definedName>
    <definedName name="SI_7" localSheetId="57">ERR</definedName>
    <definedName name="SI_7" localSheetId="58">ERR</definedName>
    <definedName name="SI_7" localSheetId="59">ERR</definedName>
    <definedName name="SI_7" localSheetId="60">ERR</definedName>
    <definedName name="SI_7" localSheetId="61">ERR</definedName>
    <definedName name="SI_7" localSheetId="69">ERR</definedName>
    <definedName name="SI_7" localSheetId="78">ERR</definedName>
    <definedName name="SI_7" localSheetId="79">ERR</definedName>
    <definedName name="SI_7" localSheetId="80">ERR</definedName>
    <definedName name="SI_7" localSheetId="70">ERR</definedName>
    <definedName name="SI_7" localSheetId="71">ERR</definedName>
    <definedName name="SI_7" localSheetId="72">ERR</definedName>
    <definedName name="SI_7" localSheetId="73">ERR</definedName>
    <definedName name="SI_7" localSheetId="74">ERR</definedName>
    <definedName name="SI_7" localSheetId="75">ERR</definedName>
    <definedName name="SI_7" localSheetId="76">ERR</definedName>
    <definedName name="SI_7" localSheetId="77">ERR</definedName>
    <definedName name="SI_7" localSheetId="81">ERR</definedName>
    <definedName name="SI_7" localSheetId="89">ERR</definedName>
    <definedName name="SI_7" localSheetId="90">ERR</definedName>
    <definedName name="SI_7" localSheetId="91">ERR</definedName>
    <definedName name="SI_7" localSheetId="92">ERR</definedName>
    <definedName name="SI_7" localSheetId="93">ERR</definedName>
    <definedName name="SI_7" localSheetId="94">ERR</definedName>
    <definedName name="SI_7" localSheetId="95">ERR</definedName>
    <definedName name="SI_7" localSheetId="96">ERR</definedName>
    <definedName name="SI_7" localSheetId="82">ERR</definedName>
    <definedName name="SI_7" localSheetId="83">ERR</definedName>
    <definedName name="SI_7" localSheetId="84">ERR</definedName>
    <definedName name="SI_7" localSheetId="85">ERR</definedName>
    <definedName name="SI_7" localSheetId="86">ERR</definedName>
    <definedName name="SI_7" localSheetId="87">ERR</definedName>
    <definedName name="SI_7" localSheetId="88">ERR</definedName>
    <definedName name="SI_7" localSheetId="97">ERR</definedName>
    <definedName name="SI_7" localSheetId="105">ERR</definedName>
    <definedName name="SI_7" localSheetId="106">ERR</definedName>
    <definedName name="SI_7" localSheetId="107">ERR</definedName>
    <definedName name="SI_7" localSheetId="108">ERR</definedName>
    <definedName name="SI_7" localSheetId="109">ERR</definedName>
    <definedName name="SI_7" localSheetId="110">ERR</definedName>
    <definedName name="SI_7" localSheetId="111">ERR</definedName>
    <definedName name="SI_7" localSheetId="112">ERR</definedName>
    <definedName name="SI_7" localSheetId="113">ERR</definedName>
    <definedName name="SI_7" localSheetId="114">ERR</definedName>
    <definedName name="SI_7" localSheetId="98">ERR</definedName>
    <definedName name="SI_7" localSheetId="115">ERR</definedName>
    <definedName name="SI_7" localSheetId="116">ERR</definedName>
    <definedName name="SI_7" localSheetId="117">ERR</definedName>
    <definedName name="SI_7" localSheetId="118">ERR</definedName>
    <definedName name="SI_7" localSheetId="119">ERR</definedName>
    <definedName name="SI_7" localSheetId="99">ERR</definedName>
    <definedName name="SI_7" localSheetId="100">ERR</definedName>
    <definedName name="SI_7" localSheetId="101">ERR</definedName>
    <definedName name="SI_7" localSheetId="102">ERR</definedName>
    <definedName name="SI_7" localSheetId="103">ERR</definedName>
    <definedName name="SI_7" localSheetId="104">ERR</definedName>
    <definedName name="SI_7" localSheetId="120">ERR</definedName>
    <definedName name="SI_7" localSheetId="121">ERR</definedName>
    <definedName name="SI_7" localSheetId="122">ERR</definedName>
    <definedName name="SI_7" localSheetId="123">ERR</definedName>
    <definedName name="SI_7" localSheetId="124">ERR</definedName>
    <definedName name="SI_7" localSheetId="125">ERR</definedName>
    <definedName name="SI_7" localSheetId="126">ERR</definedName>
    <definedName name="SI_7" localSheetId="127">ERR</definedName>
    <definedName name="SI_7" localSheetId="128">ERR</definedName>
    <definedName name="SI_7" localSheetId="129">ERR</definedName>
    <definedName name="SI_7" localSheetId="130">ERR</definedName>
    <definedName name="SI_7" localSheetId="131">ERR</definedName>
    <definedName name="SI_7" localSheetId="9">ERR</definedName>
    <definedName name="SI_7" localSheetId="38">ERR</definedName>
    <definedName name="SI_7" localSheetId="2">ERR</definedName>
    <definedName name="SI_7">ERR</definedName>
    <definedName name="SI_8" localSheetId="20">ERR</definedName>
    <definedName name="SI_8" localSheetId="22">ERR</definedName>
    <definedName name="SI_8" localSheetId="33">ERR</definedName>
    <definedName name="SI_8" localSheetId="36">ERR</definedName>
    <definedName name="SI_8" localSheetId="47">ERR</definedName>
    <definedName name="SI_8" localSheetId="48">ERR</definedName>
    <definedName name="SI_8" localSheetId="51">ERR</definedName>
    <definedName name="SI_8" localSheetId="52">ERR</definedName>
    <definedName name="SI_8" localSheetId="53">ERR</definedName>
    <definedName name="SI_8" localSheetId="54">ERR</definedName>
    <definedName name="SI_8" localSheetId="62">ERR</definedName>
    <definedName name="SI_8" localSheetId="63">ERR</definedName>
    <definedName name="SI_8" localSheetId="64">ERR</definedName>
    <definedName name="SI_8" localSheetId="65">ERR</definedName>
    <definedName name="SI_8" localSheetId="66">ERR</definedName>
    <definedName name="SI_8" localSheetId="67">ERR</definedName>
    <definedName name="SI_8" localSheetId="68">ERR</definedName>
    <definedName name="SI_8" localSheetId="55">ERR</definedName>
    <definedName name="SI_8" localSheetId="56">ERR</definedName>
    <definedName name="SI_8" localSheetId="57">ERR</definedName>
    <definedName name="SI_8" localSheetId="58">ERR</definedName>
    <definedName name="SI_8" localSheetId="59">ERR</definedName>
    <definedName name="SI_8" localSheetId="60">ERR</definedName>
    <definedName name="SI_8" localSheetId="61">ERR</definedName>
    <definedName name="SI_8" localSheetId="69">ERR</definedName>
    <definedName name="SI_8" localSheetId="78">ERR</definedName>
    <definedName name="SI_8" localSheetId="79">ERR</definedName>
    <definedName name="SI_8" localSheetId="80">ERR</definedName>
    <definedName name="SI_8" localSheetId="70">ERR</definedName>
    <definedName name="SI_8" localSheetId="71">ERR</definedName>
    <definedName name="SI_8" localSheetId="72">ERR</definedName>
    <definedName name="SI_8" localSheetId="73">ERR</definedName>
    <definedName name="SI_8" localSheetId="74">ERR</definedName>
    <definedName name="SI_8" localSheetId="75">ERR</definedName>
    <definedName name="SI_8" localSheetId="76">ERR</definedName>
    <definedName name="SI_8" localSheetId="77">ERR</definedName>
    <definedName name="SI_8" localSheetId="81">ERR</definedName>
    <definedName name="SI_8" localSheetId="89">ERR</definedName>
    <definedName name="SI_8" localSheetId="90">ERR</definedName>
    <definedName name="SI_8" localSheetId="91">ERR</definedName>
    <definedName name="SI_8" localSheetId="92">ERR</definedName>
    <definedName name="SI_8" localSheetId="93">ERR</definedName>
    <definedName name="SI_8" localSheetId="94">ERR</definedName>
    <definedName name="SI_8" localSheetId="95">ERR</definedName>
    <definedName name="SI_8" localSheetId="96">ERR</definedName>
    <definedName name="SI_8" localSheetId="82">ERR</definedName>
    <definedName name="SI_8" localSheetId="83">ERR</definedName>
    <definedName name="SI_8" localSheetId="84">ERR</definedName>
    <definedName name="SI_8" localSheetId="85">ERR</definedName>
    <definedName name="SI_8" localSheetId="86">ERR</definedName>
    <definedName name="SI_8" localSheetId="87">ERR</definedName>
    <definedName name="SI_8" localSheetId="88">ERR</definedName>
    <definedName name="SI_8" localSheetId="97">ERR</definedName>
    <definedName name="SI_8" localSheetId="105">ERR</definedName>
    <definedName name="SI_8" localSheetId="106">ERR</definedName>
    <definedName name="SI_8" localSheetId="107">ERR</definedName>
    <definedName name="SI_8" localSheetId="108">ERR</definedName>
    <definedName name="SI_8" localSheetId="109">ERR</definedName>
    <definedName name="SI_8" localSheetId="110">ERR</definedName>
    <definedName name="SI_8" localSheetId="111">ERR</definedName>
    <definedName name="SI_8" localSheetId="112">ERR</definedName>
    <definedName name="SI_8" localSheetId="113">ERR</definedName>
    <definedName name="SI_8" localSheetId="114">ERR</definedName>
    <definedName name="SI_8" localSheetId="98">ERR</definedName>
    <definedName name="SI_8" localSheetId="115">ERR</definedName>
    <definedName name="SI_8" localSheetId="116">ERR</definedName>
    <definedName name="SI_8" localSheetId="117">ERR</definedName>
    <definedName name="SI_8" localSheetId="118">ERR</definedName>
    <definedName name="SI_8" localSheetId="119">ERR</definedName>
    <definedName name="SI_8" localSheetId="99">ERR</definedName>
    <definedName name="SI_8" localSheetId="100">ERR</definedName>
    <definedName name="SI_8" localSheetId="101">ERR</definedName>
    <definedName name="SI_8" localSheetId="102">ERR</definedName>
    <definedName name="SI_8" localSheetId="103">ERR</definedName>
    <definedName name="SI_8" localSheetId="104">ERR</definedName>
    <definedName name="SI_8" localSheetId="120">ERR</definedName>
    <definedName name="SI_8" localSheetId="121">ERR</definedName>
    <definedName name="SI_8" localSheetId="122">ERR</definedName>
    <definedName name="SI_8" localSheetId="123">ERR</definedName>
    <definedName name="SI_8" localSheetId="124">ERR</definedName>
    <definedName name="SI_8" localSheetId="125">ERR</definedName>
    <definedName name="SI_8" localSheetId="126">ERR</definedName>
    <definedName name="SI_8" localSheetId="127">ERR</definedName>
    <definedName name="SI_8" localSheetId="128">ERR</definedName>
    <definedName name="SI_8" localSheetId="129">ERR</definedName>
    <definedName name="SI_8" localSheetId="130">ERR</definedName>
    <definedName name="SI_8" localSheetId="131">ERR</definedName>
    <definedName name="SI_8" localSheetId="9">ERR</definedName>
    <definedName name="SI_8" localSheetId="38">ERR</definedName>
    <definedName name="SI_8" localSheetId="2">ERR</definedName>
    <definedName name="SI_8">ERR</definedName>
    <definedName name="SI_9" localSheetId="20">ERR</definedName>
    <definedName name="SI_9" localSheetId="22">ERR</definedName>
    <definedName name="SI_9" localSheetId="33">ERR</definedName>
    <definedName name="SI_9" localSheetId="36">ERR</definedName>
    <definedName name="SI_9" localSheetId="47">ERR</definedName>
    <definedName name="SI_9" localSheetId="48">ERR</definedName>
    <definedName name="SI_9" localSheetId="51">ERR</definedName>
    <definedName name="SI_9" localSheetId="52">ERR</definedName>
    <definedName name="SI_9" localSheetId="53">ERR</definedName>
    <definedName name="SI_9" localSheetId="54">ERR</definedName>
    <definedName name="SI_9" localSheetId="62">ERR</definedName>
    <definedName name="SI_9" localSheetId="63">ERR</definedName>
    <definedName name="SI_9" localSheetId="64">ERR</definedName>
    <definedName name="SI_9" localSheetId="65">ERR</definedName>
    <definedName name="SI_9" localSheetId="66">ERR</definedName>
    <definedName name="SI_9" localSheetId="67">ERR</definedName>
    <definedName name="SI_9" localSheetId="68">ERR</definedName>
    <definedName name="SI_9" localSheetId="55">ERR</definedName>
    <definedName name="SI_9" localSheetId="56">ERR</definedName>
    <definedName name="SI_9" localSheetId="57">ERR</definedName>
    <definedName name="SI_9" localSheetId="58">ERR</definedName>
    <definedName name="SI_9" localSheetId="59">ERR</definedName>
    <definedName name="SI_9" localSheetId="60">ERR</definedName>
    <definedName name="SI_9" localSheetId="61">ERR</definedName>
    <definedName name="SI_9" localSheetId="69">ERR</definedName>
    <definedName name="SI_9" localSheetId="78">ERR</definedName>
    <definedName name="SI_9" localSheetId="79">ERR</definedName>
    <definedName name="SI_9" localSheetId="80">ERR</definedName>
    <definedName name="SI_9" localSheetId="70">ERR</definedName>
    <definedName name="SI_9" localSheetId="71">ERR</definedName>
    <definedName name="SI_9" localSheetId="72">ERR</definedName>
    <definedName name="SI_9" localSheetId="73">ERR</definedName>
    <definedName name="SI_9" localSheetId="74">ERR</definedName>
    <definedName name="SI_9" localSheetId="75">ERR</definedName>
    <definedName name="SI_9" localSheetId="76">ERR</definedName>
    <definedName name="SI_9" localSheetId="77">ERR</definedName>
    <definedName name="SI_9" localSheetId="81">ERR</definedName>
    <definedName name="SI_9" localSheetId="89">ERR</definedName>
    <definedName name="SI_9" localSheetId="90">ERR</definedName>
    <definedName name="SI_9" localSheetId="91">ERR</definedName>
    <definedName name="SI_9" localSheetId="92">ERR</definedName>
    <definedName name="SI_9" localSheetId="93">ERR</definedName>
    <definedName name="SI_9" localSheetId="94">ERR</definedName>
    <definedName name="SI_9" localSheetId="95">ERR</definedName>
    <definedName name="SI_9" localSheetId="96">ERR</definedName>
    <definedName name="SI_9" localSheetId="82">ERR</definedName>
    <definedName name="SI_9" localSheetId="83">ERR</definedName>
    <definedName name="SI_9" localSheetId="84">ERR</definedName>
    <definedName name="SI_9" localSheetId="85">ERR</definedName>
    <definedName name="SI_9" localSheetId="86">ERR</definedName>
    <definedName name="SI_9" localSheetId="87">ERR</definedName>
    <definedName name="SI_9" localSheetId="88">ERR</definedName>
    <definedName name="SI_9" localSheetId="97">ERR</definedName>
    <definedName name="SI_9" localSheetId="105">ERR</definedName>
    <definedName name="SI_9" localSheetId="106">ERR</definedName>
    <definedName name="SI_9" localSheetId="107">ERR</definedName>
    <definedName name="SI_9" localSheetId="108">ERR</definedName>
    <definedName name="SI_9" localSheetId="109">ERR</definedName>
    <definedName name="SI_9" localSheetId="110">ERR</definedName>
    <definedName name="SI_9" localSheetId="111">ERR</definedName>
    <definedName name="SI_9" localSheetId="112">ERR</definedName>
    <definedName name="SI_9" localSheetId="113">ERR</definedName>
    <definedName name="SI_9" localSheetId="114">ERR</definedName>
    <definedName name="SI_9" localSheetId="98">ERR</definedName>
    <definedName name="SI_9" localSheetId="115">ERR</definedName>
    <definedName name="SI_9" localSheetId="116">ERR</definedName>
    <definedName name="SI_9" localSheetId="117">ERR</definedName>
    <definedName name="SI_9" localSheetId="118">ERR</definedName>
    <definedName name="SI_9" localSheetId="119">ERR</definedName>
    <definedName name="SI_9" localSheetId="99">ERR</definedName>
    <definedName name="SI_9" localSheetId="100">ERR</definedName>
    <definedName name="SI_9" localSheetId="101">ERR</definedName>
    <definedName name="SI_9" localSheetId="102">ERR</definedName>
    <definedName name="SI_9" localSheetId="103">ERR</definedName>
    <definedName name="SI_9" localSheetId="104">ERR</definedName>
    <definedName name="SI_9" localSheetId="120">ERR</definedName>
    <definedName name="SI_9" localSheetId="121">ERR</definedName>
    <definedName name="SI_9" localSheetId="122">ERR</definedName>
    <definedName name="SI_9" localSheetId="123">ERR</definedName>
    <definedName name="SI_9" localSheetId="124">ERR</definedName>
    <definedName name="SI_9" localSheetId="125">ERR</definedName>
    <definedName name="SI_9" localSheetId="126">ERR</definedName>
    <definedName name="SI_9" localSheetId="127">ERR</definedName>
    <definedName name="SI_9" localSheetId="128">ERR</definedName>
    <definedName name="SI_9" localSheetId="129">ERR</definedName>
    <definedName name="SI_9" localSheetId="130">ERR</definedName>
    <definedName name="SI_9" localSheetId="131">ERR</definedName>
    <definedName name="SI_9" localSheetId="9">ERR</definedName>
    <definedName name="SI_9" localSheetId="38">ERR</definedName>
    <definedName name="SI_9" localSheetId="2">ERR</definedName>
    <definedName name="SI_9">ERR</definedName>
    <definedName name="SISISIS" localSheetId="20">[0]!ERR</definedName>
    <definedName name="SISISIS" localSheetId="22">[0]!ERR</definedName>
    <definedName name="SISISIS" localSheetId="33">[0]!ERR</definedName>
    <definedName name="SISISIS" localSheetId="36">[0]!ERR</definedName>
    <definedName name="SISISIS" localSheetId="47">[0]!ERR</definedName>
    <definedName name="SISISIS" localSheetId="48">[0]!ERR</definedName>
    <definedName name="SISISIS" localSheetId="51">[0]!ERR</definedName>
    <definedName name="SISISIS" localSheetId="52">[0]!ERR</definedName>
    <definedName name="SISISIS" localSheetId="53">[0]!ERR</definedName>
    <definedName name="SISISIS" localSheetId="54">[0]!ERR</definedName>
    <definedName name="SISISIS" localSheetId="62">[0]!ERR</definedName>
    <definedName name="SISISIS" localSheetId="63">[0]!ERR</definedName>
    <definedName name="SISISIS" localSheetId="64">[0]!ERR</definedName>
    <definedName name="SISISIS" localSheetId="65">[0]!ERR</definedName>
    <definedName name="SISISIS" localSheetId="66">[0]!ERR</definedName>
    <definedName name="SISISIS" localSheetId="67">[0]!ERR</definedName>
    <definedName name="SISISIS" localSheetId="68">[0]!ERR</definedName>
    <definedName name="SISISIS" localSheetId="55">[0]!ERR</definedName>
    <definedName name="SISISIS" localSheetId="56">[0]!ERR</definedName>
    <definedName name="SISISIS" localSheetId="57">[0]!ERR</definedName>
    <definedName name="SISISIS" localSheetId="58">[0]!ERR</definedName>
    <definedName name="SISISIS" localSheetId="59">[0]!ERR</definedName>
    <definedName name="SISISIS" localSheetId="60">[0]!ERR</definedName>
    <definedName name="SISISIS" localSheetId="61">[0]!ERR</definedName>
    <definedName name="SISISIS" localSheetId="69">[0]!ERR</definedName>
    <definedName name="SISISIS" localSheetId="78">[0]!ERR</definedName>
    <definedName name="SISISIS" localSheetId="79">[0]!ERR</definedName>
    <definedName name="SISISIS" localSheetId="80">[0]!ERR</definedName>
    <definedName name="SISISIS" localSheetId="70">[0]!ERR</definedName>
    <definedName name="SISISIS" localSheetId="71">[0]!ERR</definedName>
    <definedName name="SISISIS" localSheetId="72">[0]!ERR</definedName>
    <definedName name="SISISIS" localSheetId="73">[0]!ERR</definedName>
    <definedName name="SISISIS" localSheetId="74">[0]!ERR</definedName>
    <definedName name="SISISIS" localSheetId="75">[0]!ERR</definedName>
    <definedName name="SISISIS" localSheetId="76">[0]!ERR</definedName>
    <definedName name="SISISIS" localSheetId="77">[0]!ERR</definedName>
    <definedName name="SISISIS" localSheetId="81">[0]!ERR</definedName>
    <definedName name="SISISIS" localSheetId="89">[0]!ERR</definedName>
    <definedName name="SISISIS" localSheetId="90">[0]!ERR</definedName>
    <definedName name="SISISIS" localSheetId="91">[0]!ERR</definedName>
    <definedName name="SISISIS" localSheetId="92">[0]!ERR</definedName>
    <definedName name="SISISIS" localSheetId="93">[0]!ERR</definedName>
    <definedName name="SISISIS" localSheetId="94">[0]!ERR</definedName>
    <definedName name="SISISIS" localSheetId="95">[0]!ERR</definedName>
    <definedName name="SISISIS" localSheetId="96">[0]!ERR</definedName>
    <definedName name="SISISIS" localSheetId="82">[0]!ERR</definedName>
    <definedName name="SISISIS" localSheetId="83">[0]!ERR</definedName>
    <definedName name="SISISIS" localSheetId="84">[0]!ERR</definedName>
    <definedName name="SISISIS" localSheetId="85">[0]!ERR</definedName>
    <definedName name="SISISIS" localSheetId="86">[0]!ERR</definedName>
    <definedName name="SISISIS" localSheetId="87">[0]!ERR</definedName>
    <definedName name="SISISIS" localSheetId="88">[0]!ERR</definedName>
    <definedName name="SISISIS" localSheetId="97">[0]!ERR</definedName>
    <definedName name="SISISIS" localSheetId="105">[0]!ERR</definedName>
    <definedName name="SISISIS" localSheetId="106">[0]!ERR</definedName>
    <definedName name="SISISIS" localSheetId="107">[0]!ERR</definedName>
    <definedName name="SISISIS" localSheetId="108">[0]!ERR</definedName>
    <definedName name="SISISIS" localSheetId="109">[0]!ERR</definedName>
    <definedName name="SISISIS" localSheetId="110">[0]!ERR</definedName>
    <definedName name="SISISIS" localSheetId="111">[0]!ERR</definedName>
    <definedName name="SISISIS" localSheetId="112">[0]!ERR</definedName>
    <definedName name="SISISIS" localSheetId="113">[0]!ERR</definedName>
    <definedName name="SISISIS" localSheetId="114">[0]!ERR</definedName>
    <definedName name="SISISIS" localSheetId="98">[0]!ERR</definedName>
    <definedName name="SISISIS" localSheetId="115">[0]!ERR</definedName>
    <definedName name="SISISIS" localSheetId="116">[0]!ERR</definedName>
    <definedName name="SISISIS" localSheetId="117">[0]!ERR</definedName>
    <definedName name="SISISIS" localSheetId="118">[0]!ERR</definedName>
    <definedName name="SISISIS" localSheetId="119">[0]!ERR</definedName>
    <definedName name="SISISIS" localSheetId="99">[0]!ERR</definedName>
    <definedName name="SISISIS" localSheetId="100">[0]!ERR</definedName>
    <definedName name="SISISIS" localSheetId="101">[0]!ERR</definedName>
    <definedName name="SISISIS" localSheetId="102">[0]!ERR</definedName>
    <definedName name="SISISIS" localSheetId="103">[0]!ERR</definedName>
    <definedName name="SISISIS" localSheetId="104">[0]!ERR</definedName>
    <definedName name="SISISIS" localSheetId="120">[0]!ERR</definedName>
    <definedName name="SISISIS" localSheetId="121">[0]!ERR</definedName>
    <definedName name="SISISIS" localSheetId="122">[0]!ERR</definedName>
    <definedName name="SISISIS" localSheetId="123">[0]!ERR</definedName>
    <definedName name="SISISIS" localSheetId="124">[0]!ERR</definedName>
    <definedName name="SISISIS" localSheetId="125">[0]!ERR</definedName>
    <definedName name="SISISIS" localSheetId="126">[0]!ERR</definedName>
    <definedName name="SISISIS" localSheetId="127">[0]!ERR</definedName>
    <definedName name="SISISIS" localSheetId="128">[0]!ERR</definedName>
    <definedName name="SISISIS" localSheetId="129">[0]!ERR</definedName>
    <definedName name="SISISIS" localSheetId="130">[0]!ERR</definedName>
    <definedName name="SISISIS" localSheetId="131">[0]!ERR</definedName>
    <definedName name="SISISIS" localSheetId="38">[0]!ERR</definedName>
    <definedName name="SISISIS" localSheetId="2">[0]!ERR</definedName>
    <definedName name="SISISIS">[0]!ERR</definedName>
    <definedName name="SISISIS_10" localSheetId="20">ERR</definedName>
    <definedName name="SISISIS_10" localSheetId="22">ERR</definedName>
    <definedName name="SISISIS_10" localSheetId="33">ERR</definedName>
    <definedName name="SISISIS_10" localSheetId="36">ERR</definedName>
    <definedName name="SISISIS_10" localSheetId="47">ERR</definedName>
    <definedName name="SISISIS_10" localSheetId="48">ERR</definedName>
    <definedName name="SISISIS_10" localSheetId="51">ERR</definedName>
    <definedName name="SISISIS_10" localSheetId="52">ERR</definedName>
    <definedName name="SISISIS_10" localSheetId="53">ERR</definedName>
    <definedName name="SISISIS_10" localSheetId="54">ERR</definedName>
    <definedName name="SISISIS_10" localSheetId="62">ERR</definedName>
    <definedName name="SISISIS_10" localSheetId="63">ERR</definedName>
    <definedName name="SISISIS_10" localSheetId="64">ERR</definedName>
    <definedName name="SISISIS_10" localSheetId="65">ERR</definedName>
    <definedName name="SISISIS_10" localSheetId="66">ERR</definedName>
    <definedName name="SISISIS_10" localSheetId="67">ERR</definedName>
    <definedName name="SISISIS_10" localSheetId="68">ERR</definedName>
    <definedName name="SISISIS_10" localSheetId="55">ERR</definedName>
    <definedName name="SISISIS_10" localSheetId="56">ERR</definedName>
    <definedName name="SISISIS_10" localSheetId="57">ERR</definedName>
    <definedName name="SISISIS_10" localSheetId="58">ERR</definedName>
    <definedName name="SISISIS_10" localSheetId="59">ERR</definedName>
    <definedName name="SISISIS_10" localSheetId="60">ERR</definedName>
    <definedName name="SISISIS_10" localSheetId="61">ERR</definedName>
    <definedName name="SISISIS_10" localSheetId="69">ERR</definedName>
    <definedName name="SISISIS_10" localSheetId="78">ERR</definedName>
    <definedName name="SISISIS_10" localSheetId="79">ERR</definedName>
    <definedName name="SISISIS_10" localSheetId="80">ERR</definedName>
    <definedName name="SISISIS_10" localSheetId="70">ERR</definedName>
    <definedName name="SISISIS_10" localSheetId="71">ERR</definedName>
    <definedName name="SISISIS_10" localSheetId="72">ERR</definedName>
    <definedName name="SISISIS_10" localSheetId="73">ERR</definedName>
    <definedName name="SISISIS_10" localSheetId="74">ERR</definedName>
    <definedName name="SISISIS_10" localSheetId="75">ERR</definedName>
    <definedName name="SISISIS_10" localSheetId="76">ERR</definedName>
    <definedName name="SISISIS_10" localSheetId="77">ERR</definedName>
    <definedName name="SISISIS_10" localSheetId="81">ERR</definedName>
    <definedName name="SISISIS_10" localSheetId="89">ERR</definedName>
    <definedName name="SISISIS_10" localSheetId="90">ERR</definedName>
    <definedName name="SISISIS_10" localSheetId="91">ERR</definedName>
    <definedName name="SISISIS_10" localSheetId="92">ERR</definedName>
    <definedName name="SISISIS_10" localSheetId="93">ERR</definedName>
    <definedName name="SISISIS_10" localSheetId="94">ERR</definedName>
    <definedName name="SISISIS_10" localSheetId="95">ERR</definedName>
    <definedName name="SISISIS_10" localSheetId="96">ERR</definedName>
    <definedName name="SISISIS_10" localSheetId="82">ERR</definedName>
    <definedName name="SISISIS_10" localSheetId="83">ERR</definedName>
    <definedName name="SISISIS_10" localSheetId="84">ERR</definedName>
    <definedName name="SISISIS_10" localSheetId="85">ERR</definedName>
    <definedName name="SISISIS_10" localSheetId="86">ERR</definedName>
    <definedName name="SISISIS_10" localSheetId="87">ERR</definedName>
    <definedName name="SISISIS_10" localSheetId="88">ERR</definedName>
    <definedName name="SISISIS_10" localSheetId="97">ERR</definedName>
    <definedName name="SISISIS_10" localSheetId="105">ERR</definedName>
    <definedName name="SISISIS_10" localSheetId="106">ERR</definedName>
    <definedName name="SISISIS_10" localSheetId="107">ERR</definedName>
    <definedName name="SISISIS_10" localSheetId="108">ERR</definedName>
    <definedName name="SISISIS_10" localSheetId="109">ERR</definedName>
    <definedName name="SISISIS_10" localSheetId="110">ERR</definedName>
    <definedName name="SISISIS_10" localSheetId="111">ERR</definedName>
    <definedName name="SISISIS_10" localSheetId="112">ERR</definedName>
    <definedName name="SISISIS_10" localSheetId="113">ERR</definedName>
    <definedName name="SISISIS_10" localSheetId="114">ERR</definedName>
    <definedName name="SISISIS_10" localSheetId="98">ERR</definedName>
    <definedName name="SISISIS_10" localSheetId="115">ERR</definedName>
    <definedName name="SISISIS_10" localSheetId="116">ERR</definedName>
    <definedName name="SISISIS_10" localSheetId="117">ERR</definedName>
    <definedName name="SISISIS_10" localSheetId="118">ERR</definedName>
    <definedName name="SISISIS_10" localSheetId="119">ERR</definedName>
    <definedName name="SISISIS_10" localSheetId="99">ERR</definedName>
    <definedName name="SISISIS_10" localSheetId="100">ERR</definedName>
    <definedName name="SISISIS_10" localSheetId="101">ERR</definedName>
    <definedName name="SISISIS_10" localSheetId="102">ERR</definedName>
    <definedName name="SISISIS_10" localSheetId="103">ERR</definedName>
    <definedName name="SISISIS_10" localSheetId="104">ERR</definedName>
    <definedName name="SISISIS_10" localSheetId="120">ERR</definedName>
    <definedName name="SISISIS_10" localSheetId="121">ERR</definedName>
    <definedName name="SISISIS_10" localSheetId="122">ERR</definedName>
    <definedName name="SISISIS_10" localSheetId="123">ERR</definedName>
    <definedName name="SISISIS_10" localSheetId="124">ERR</definedName>
    <definedName name="SISISIS_10" localSheetId="125">ERR</definedName>
    <definedName name="SISISIS_10" localSheetId="126">ERR</definedName>
    <definedName name="SISISIS_10" localSheetId="127">ERR</definedName>
    <definedName name="SISISIS_10" localSheetId="128">ERR</definedName>
    <definedName name="SISISIS_10" localSheetId="129">ERR</definedName>
    <definedName name="SISISIS_10" localSheetId="130">ERR</definedName>
    <definedName name="SISISIS_10" localSheetId="131">ERR</definedName>
    <definedName name="SISISIS_10" localSheetId="9">ERR</definedName>
    <definedName name="SISISIS_10" localSheetId="38">ERR</definedName>
    <definedName name="SISISIS_10" localSheetId="2">ERR</definedName>
    <definedName name="SISISIS_10">ERR</definedName>
    <definedName name="SISISIS_3" localSheetId="20">ERR</definedName>
    <definedName name="SISISIS_3" localSheetId="22">ERR</definedName>
    <definedName name="SISISIS_3" localSheetId="33">ERR</definedName>
    <definedName name="SISISIS_3" localSheetId="36">ERR</definedName>
    <definedName name="SISISIS_3" localSheetId="47">ERR</definedName>
    <definedName name="SISISIS_3" localSheetId="48">ERR</definedName>
    <definedName name="SISISIS_3" localSheetId="51">ERR</definedName>
    <definedName name="SISISIS_3" localSheetId="52">ERR</definedName>
    <definedName name="SISISIS_3" localSheetId="53">ERR</definedName>
    <definedName name="SISISIS_3" localSheetId="54">ERR</definedName>
    <definedName name="SISISIS_3" localSheetId="62">ERR</definedName>
    <definedName name="SISISIS_3" localSheetId="63">ERR</definedName>
    <definedName name="SISISIS_3" localSheetId="64">ERR</definedName>
    <definedName name="SISISIS_3" localSheetId="65">ERR</definedName>
    <definedName name="SISISIS_3" localSheetId="66">ERR</definedName>
    <definedName name="SISISIS_3" localSheetId="67">ERR</definedName>
    <definedName name="SISISIS_3" localSheetId="68">ERR</definedName>
    <definedName name="SISISIS_3" localSheetId="55">ERR</definedName>
    <definedName name="SISISIS_3" localSheetId="56">ERR</definedName>
    <definedName name="SISISIS_3" localSheetId="57">ERR</definedName>
    <definedName name="SISISIS_3" localSheetId="58">ERR</definedName>
    <definedName name="SISISIS_3" localSheetId="59">ERR</definedName>
    <definedName name="SISISIS_3" localSheetId="60">ERR</definedName>
    <definedName name="SISISIS_3" localSheetId="61">ERR</definedName>
    <definedName name="SISISIS_3" localSheetId="69">ERR</definedName>
    <definedName name="SISISIS_3" localSheetId="78">ERR</definedName>
    <definedName name="SISISIS_3" localSheetId="79">ERR</definedName>
    <definedName name="SISISIS_3" localSheetId="80">ERR</definedName>
    <definedName name="SISISIS_3" localSheetId="70">ERR</definedName>
    <definedName name="SISISIS_3" localSheetId="71">ERR</definedName>
    <definedName name="SISISIS_3" localSheetId="72">ERR</definedName>
    <definedName name="SISISIS_3" localSheetId="73">ERR</definedName>
    <definedName name="SISISIS_3" localSheetId="74">ERR</definedName>
    <definedName name="SISISIS_3" localSheetId="75">ERR</definedName>
    <definedName name="SISISIS_3" localSheetId="76">ERR</definedName>
    <definedName name="SISISIS_3" localSheetId="77">ERR</definedName>
    <definedName name="SISISIS_3" localSheetId="81">ERR</definedName>
    <definedName name="SISISIS_3" localSheetId="89">ERR</definedName>
    <definedName name="SISISIS_3" localSheetId="90">ERR</definedName>
    <definedName name="SISISIS_3" localSheetId="91">ERR</definedName>
    <definedName name="SISISIS_3" localSheetId="92">ERR</definedName>
    <definedName name="SISISIS_3" localSheetId="93">ERR</definedName>
    <definedName name="SISISIS_3" localSheetId="94">ERR</definedName>
    <definedName name="SISISIS_3" localSheetId="95">ERR</definedName>
    <definedName name="SISISIS_3" localSheetId="96">ERR</definedName>
    <definedName name="SISISIS_3" localSheetId="82">ERR</definedName>
    <definedName name="SISISIS_3" localSheetId="83">ERR</definedName>
    <definedName name="SISISIS_3" localSheetId="84">ERR</definedName>
    <definedName name="SISISIS_3" localSheetId="85">ERR</definedName>
    <definedName name="SISISIS_3" localSheetId="86">ERR</definedName>
    <definedName name="SISISIS_3" localSheetId="87">ERR</definedName>
    <definedName name="SISISIS_3" localSheetId="88">ERR</definedName>
    <definedName name="SISISIS_3" localSheetId="97">ERR</definedName>
    <definedName name="SISISIS_3" localSheetId="105">ERR</definedName>
    <definedName name="SISISIS_3" localSheetId="106">ERR</definedName>
    <definedName name="SISISIS_3" localSheetId="107">ERR</definedName>
    <definedName name="SISISIS_3" localSheetId="108">ERR</definedName>
    <definedName name="SISISIS_3" localSheetId="109">ERR</definedName>
    <definedName name="SISISIS_3" localSheetId="110">ERR</definedName>
    <definedName name="SISISIS_3" localSheetId="111">ERR</definedName>
    <definedName name="SISISIS_3" localSheetId="112">ERR</definedName>
    <definedName name="SISISIS_3" localSheetId="113">ERR</definedName>
    <definedName name="SISISIS_3" localSheetId="114">ERR</definedName>
    <definedName name="SISISIS_3" localSheetId="98">ERR</definedName>
    <definedName name="SISISIS_3" localSheetId="115">ERR</definedName>
    <definedName name="SISISIS_3" localSheetId="116">ERR</definedName>
    <definedName name="SISISIS_3" localSheetId="117">ERR</definedName>
    <definedName name="SISISIS_3" localSheetId="118">ERR</definedName>
    <definedName name="SISISIS_3" localSheetId="119">ERR</definedName>
    <definedName name="SISISIS_3" localSheetId="99">ERR</definedName>
    <definedName name="SISISIS_3" localSheetId="100">ERR</definedName>
    <definedName name="SISISIS_3" localSheetId="101">ERR</definedName>
    <definedName name="SISISIS_3" localSheetId="102">ERR</definedName>
    <definedName name="SISISIS_3" localSheetId="103">ERR</definedName>
    <definedName name="SISISIS_3" localSheetId="104">ERR</definedName>
    <definedName name="SISISIS_3" localSheetId="120">ERR</definedName>
    <definedName name="SISISIS_3" localSheetId="121">ERR</definedName>
    <definedName name="SISISIS_3" localSheetId="122">ERR</definedName>
    <definedName name="SISISIS_3" localSheetId="123">ERR</definedName>
    <definedName name="SISISIS_3" localSheetId="124">ERR</definedName>
    <definedName name="SISISIS_3" localSheetId="125">ERR</definedName>
    <definedName name="SISISIS_3" localSheetId="126">ERR</definedName>
    <definedName name="SISISIS_3" localSheetId="127">ERR</definedName>
    <definedName name="SISISIS_3" localSheetId="128">ERR</definedName>
    <definedName name="SISISIS_3" localSheetId="129">ERR</definedName>
    <definedName name="SISISIS_3" localSheetId="130">ERR</definedName>
    <definedName name="SISISIS_3" localSheetId="131">ERR</definedName>
    <definedName name="SISISIS_3" localSheetId="9">ERR</definedName>
    <definedName name="SISISIS_3" localSheetId="38">ERR</definedName>
    <definedName name="SISISIS_3" localSheetId="2">ERR</definedName>
    <definedName name="SISISIS_3">ERR</definedName>
    <definedName name="SISISIS_4" localSheetId="20">ERR</definedName>
    <definedName name="SISISIS_4" localSheetId="22">ERR</definedName>
    <definedName name="SISISIS_4" localSheetId="33">ERR</definedName>
    <definedName name="SISISIS_4" localSheetId="36">ERR</definedName>
    <definedName name="SISISIS_4" localSheetId="47">ERR</definedName>
    <definedName name="SISISIS_4" localSheetId="48">ERR</definedName>
    <definedName name="SISISIS_4" localSheetId="51">ERR</definedName>
    <definedName name="SISISIS_4" localSheetId="52">ERR</definedName>
    <definedName name="SISISIS_4" localSheetId="53">ERR</definedName>
    <definedName name="SISISIS_4" localSheetId="54">ERR</definedName>
    <definedName name="SISISIS_4" localSheetId="62">ERR</definedName>
    <definedName name="SISISIS_4" localSheetId="63">ERR</definedName>
    <definedName name="SISISIS_4" localSheetId="64">ERR</definedName>
    <definedName name="SISISIS_4" localSheetId="65">ERR</definedName>
    <definedName name="SISISIS_4" localSheetId="66">ERR</definedName>
    <definedName name="SISISIS_4" localSheetId="67">ERR</definedName>
    <definedName name="SISISIS_4" localSheetId="68">ERR</definedName>
    <definedName name="SISISIS_4" localSheetId="55">ERR</definedName>
    <definedName name="SISISIS_4" localSheetId="56">ERR</definedName>
    <definedName name="SISISIS_4" localSheetId="57">ERR</definedName>
    <definedName name="SISISIS_4" localSheetId="58">ERR</definedName>
    <definedName name="SISISIS_4" localSheetId="59">ERR</definedName>
    <definedName name="SISISIS_4" localSheetId="60">ERR</definedName>
    <definedName name="SISISIS_4" localSheetId="61">ERR</definedName>
    <definedName name="SISISIS_4" localSheetId="69">ERR</definedName>
    <definedName name="SISISIS_4" localSheetId="78">ERR</definedName>
    <definedName name="SISISIS_4" localSheetId="79">ERR</definedName>
    <definedName name="SISISIS_4" localSheetId="80">ERR</definedName>
    <definedName name="SISISIS_4" localSheetId="70">ERR</definedName>
    <definedName name="SISISIS_4" localSheetId="71">ERR</definedName>
    <definedName name="SISISIS_4" localSheetId="72">ERR</definedName>
    <definedName name="SISISIS_4" localSheetId="73">ERR</definedName>
    <definedName name="SISISIS_4" localSheetId="74">ERR</definedName>
    <definedName name="SISISIS_4" localSheetId="75">ERR</definedName>
    <definedName name="SISISIS_4" localSheetId="76">ERR</definedName>
    <definedName name="SISISIS_4" localSheetId="77">ERR</definedName>
    <definedName name="SISISIS_4" localSheetId="81">ERR</definedName>
    <definedName name="SISISIS_4" localSheetId="89">ERR</definedName>
    <definedName name="SISISIS_4" localSheetId="90">ERR</definedName>
    <definedName name="SISISIS_4" localSheetId="91">ERR</definedName>
    <definedName name="SISISIS_4" localSheetId="92">ERR</definedName>
    <definedName name="SISISIS_4" localSheetId="93">ERR</definedName>
    <definedName name="SISISIS_4" localSheetId="94">ERR</definedName>
    <definedName name="SISISIS_4" localSheetId="95">ERR</definedName>
    <definedName name="SISISIS_4" localSheetId="96">ERR</definedName>
    <definedName name="SISISIS_4" localSheetId="82">ERR</definedName>
    <definedName name="SISISIS_4" localSheetId="83">ERR</definedName>
    <definedName name="SISISIS_4" localSheetId="84">ERR</definedName>
    <definedName name="SISISIS_4" localSheetId="85">ERR</definedName>
    <definedName name="SISISIS_4" localSheetId="86">ERR</definedName>
    <definedName name="SISISIS_4" localSheetId="87">ERR</definedName>
    <definedName name="SISISIS_4" localSheetId="88">ERR</definedName>
    <definedName name="SISISIS_4" localSheetId="97">ERR</definedName>
    <definedName name="SISISIS_4" localSheetId="105">ERR</definedName>
    <definedName name="SISISIS_4" localSheetId="106">ERR</definedName>
    <definedName name="SISISIS_4" localSheetId="107">ERR</definedName>
    <definedName name="SISISIS_4" localSheetId="108">ERR</definedName>
    <definedName name="SISISIS_4" localSheetId="109">ERR</definedName>
    <definedName name="SISISIS_4" localSheetId="110">ERR</definedName>
    <definedName name="SISISIS_4" localSheetId="111">ERR</definedName>
    <definedName name="SISISIS_4" localSheetId="112">ERR</definedName>
    <definedName name="SISISIS_4" localSheetId="113">ERR</definedName>
    <definedName name="SISISIS_4" localSheetId="114">ERR</definedName>
    <definedName name="SISISIS_4" localSheetId="98">ERR</definedName>
    <definedName name="SISISIS_4" localSheetId="115">ERR</definedName>
    <definedName name="SISISIS_4" localSheetId="116">ERR</definedName>
    <definedName name="SISISIS_4" localSheetId="117">ERR</definedName>
    <definedName name="SISISIS_4" localSheetId="118">ERR</definedName>
    <definedName name="SISISIS_4" localSheetId="119">ERR</definedName>
    <definedName name="SISISIS_4" localSheetId="99">ERR</definedName>
    <definedName name="SISISIS_4" localSheetId="100">ERR</definedName>
    <definedName name="SISISIS_4" localSheetId="101">ERR</definedName>
    <definedName name="SISISIS_4" localSheetId="102">ERR</definedName>
    <definedName name="SISISIS_4" localSheetId="103">ERR</definedName>
    <definedName name="SISISIS_4" localSheetId="104">ERR</definedName>
    <definedName name="SISISIS_4" localSheetId="120">ERR</definedName>
    <definedName name="SISISIS_4" localSheetId="121">ERR</definedName>
    <definedName name="SISISIS_4" localSheetId="122">ERR</definedName>
    <definedName name="SISISIS_4" localSheetId="123">ERR</definedName>
    <definedName name="SISISIS_4" localSheetId="124">ERR</definedName>
    <definedName name="SISISIS_4" localSheetId="125">ERR</definedName>
    <definedName name="SISISIS_4" localSheetId="126">ERR</definedName>
    <definedName name="SISISIS_4" localSheetId="127">ERR</definedName>
    <definedName name="SISISIS_4" localSheetId="128">ERR</definedName>
    <definedName name="SISISIS_4" localSheetId="129">ERR</definedName>
    <definedName name="SISISIS_4" localSheetId="130">ERR</definedName>
    <definedName name="SISISIS_4" localSheetId="131">ERR</definedName>
    <definedName name="SISISIS_4" localSheetId="9">ERR</definedName>
    <definedName name="SISISIS_4" localSheetId="38">ERR</definedName>
    <definedName name="SISISIS_4" localSheetId="2">ERR</definedName>
    <definedName name="SISISIS_4">ERR</definedName>
    <definedName name="SISISIS_5" localSheetId="20">ERR</definedName>
    <definedName name="SISISIS_5" localSheetId="22">ERR</definedName>
    <definedName name="SISISIS_5" localSheetId="33">ERR</definedName>
    <definedName name="SISISIS_5" localSheetId="36">ERR</definedName>
    <definedName name="SISISIS_5" localSheetId="47">ERR</definedName>
    <definedName name="SISISIS_5" localSheetId="48">ERR</definedName>
    <definedName name="SISISIS_5" localSheetId="51">ERR</definedName>
    <definedName name="SISISIS_5" localSheetId="52">ERR</definedName>
    <definedName name="SISISIS_5" localSheetId="53">ERR</definedName>
    <definedName name="SISISIS_5" localSheetId="54">ERR</definedName>
    <definedName name="SISISIS_5" localSheetId="62">ERR</definedName>
    <definedName name="SISISIS_5" localSheetId="63">ERR</definedName>
    <definedName name="SISISIS_5" localSheetId="64">ERR</definedName>
    <definedName name="SISISIS_5" localSheetId="65">ERR</definedName>
    <definedName name="SISISIS_5" localSheetId="66">ERR</definedName>
    <definedName name="SISISIS_5" localSheetId="67">ERR</definedName>
    <definedName name="SISISIS_5" localSheetId="68">ERR</definedName>
    <definedName name="SISISIS_5" localSheetId="55">ERR</definedName>
    <definedName name="SISISIS_5" localSheetId="56">ERR</definedName>
    <definedName name="SISISIS_5" localSheetId="57">ERR</definedName>
    <definedName name="SISISIS_5" localSheetId="58">ERR</definedName>
    <definedName name="SISISIS_5" localSheetId="59">ERR</definedName>
    <definedName name="SISISIS_5" localSheetId="60">ERR</definedName>
    <definedName name="SISISIS_5" localSheetId="61">ERR</definedName>
    <definedName name="SISISIS_5" localSheetId="69">ERR</definedName>
    <definedName name="SISISIS_5" localSheetId="78">ERR</definedName>
    <definedName name="SISISIS_5" localSheetId="79">ERR</definedName>
    <definedName name="SISISIS_5" localSheetId="80">ERR</definedName>
    <definedName name="SISISIS_5" localSheetId="70">ERR</definedName>
    <definedName name="SISISIS_5" localSheetId="71">ERR</definedName>
    <definedName name="SISISIS_5" localSheetId="72">ERR</definedName>
    <definedName name="SISISIS_5" localSheetId="73">ERR</definedName>
    <definedName name="SISISIS_5" localSheetId="74">ERR</definedName>
    <definedName name="SISISIS_5" localSheetId="75">ERR</definedName>
    <definedName name="SISISIS_5" localSheetId="76">ERR</definedName>
    <definedName name="SISISIS_5" localSheetId="77">ERR</definedName>
    <definedName name="SISISIS_5" localSheetId="81">ERR</definedName>
    <definedName name="SISISIS_5" localSheetId="89">ERR</definedName>
    <definedName name="SISISIS_5" localSheetId="90">ERR</definedName>
    <definedName name="SISISIS_5" localSheetId="91">ERR</definedName>
    <definedName name="SISISIS_5" localSheetId="92">ERR</definedName>
    <definedName name="SISISIS_5" localSheetId="93">ERR</definedName>
    <definedName name="SISISIS_5" localSheetId="94">ERR</definedName>
    <definedName name="SISISIS_5" localSheetId="95">ERR</definedName>
    <definedName name="SISISIS_5" localSheetId="96">ERR</definedName>
    <definedName name="SISISIS_5" localSheetId="82">ERR</definedName>
    <definedName name="SISISIS_5" localSheetId="83">ERR</definedName>
    <definedName name="SISISIS_5" localSheetId="84">ERR</definedName>
    <definedName name="SISISIS_5" localSheetId="85">ERR</definedName>
    <definedName name="SISISIS_5" localSheetId="86">ERR</definedName>
    <definedName name="SISISIS_5" localSheetId="87">ERR</definedName>
    <definedName name="SISISIS_5" localSheetId="88">ERR</definedName>
    <definedName name="SISISIS_5" localSheetId="97">ERR</definedName>
    <definedName name="SISISIS_5" localSheetId="105">ERR</definedName>
    <definedName name="SISISIS_5" localSheetId="106">ERR</definedName>
    <definedName name="SISISIS_5" localSheetId="107">ERR</definedName>
    <definedName name="SISISIS_5" localSheetId="108">ERR</definedName>
    <definedName name="SISISIS_5" localSheetId="109">ERR</definedName>
    <definedName name="SISISIS_5" localSheetId="110">ERR</definedName>
    <definedName name="SISISIS_5" localSheetId="111">ERR</definedName>
    <definedName name="SISISIS_5" localSheetId="112">ERR</definedName>
    <definedName name="SISISIS_5" localSheetId="113">ERR</definedName>
    <definedName name="SISISIS_5" localSheetId="114">ERR</definedName>
    <definedName name="SISISIS_5" localSheetId="98">ERR</definedName>
    <definedName name="SISISIS_5" localSheetId="115">ERR</definedName>
    <definedName name="SISISIS_5" localSheetId="116">ERR</definedName>
    <definedName name="SISISIS_5" localSheetId="117">ERR</definedName>
    <definedName name="SISISIS_5" localSheetId="118">ERR</definedName>
    <definedName name="SISISIS_5" localSheetId="119">ERR</definedName>
    <definedName name="SISISIS_5" localSheetId="99">ERR</definedName>
    <definedName name="SISISIS_5" localSheetId="100">ERR</definedName>
    <definedName name="SISISIS_5" localSheetId="101">ERR</definedName>
    <definedName name="SISISIS_5" localSheetId="102">ERR</definedName>
    <definedName name="SISISIS_5" localSheetId="103">ERR</definedName>
    <definedName name="SISISIS_5" localSheetId="104">ERR</definedName>
    <definedName name="SISISIS_5" localSheetId="120">ERR</definedName>
    <definedName name="SISISIS_5" localSheetId="121">ERR</definedName>
    <definedName name="SISISIS_5" localSheetId="122">ERR</definedName>
    <definedName name="SISISIS_5" localSheetId="123">ERR</definedName>
    <definedName name="SISISIS_5" localSheetId="124">ERR</definedName>
    <definedName name="SISISIS_5" localSheetId="125">ERR</definedName>
    <definedName name="SISISIS_5" localSheetId="126">ERR</definedName>
    <definedName name="SISISIS_5" localSheetId="127">ERR</definedName>
    <definedName name="SISISIS_5" localSheetId="128">ERR</definedName>
    <definedName name="SISISIS_5" localSheetId="129">ERR</definedName>
    <definedName name="SISISIS_5" localSheetId="130">ERR</definedName>
    <definedName name="SISISIS_5" localSheetId="131">ERR</definedName>
    <definedName name="SISISIS_5" localSheetId="9">ERR</definedName>
    <definedName name="SISISIS_5" localSheetId="38">ERR</definedName>
    <definedName name="SISISIS_5" localSheetId="2">ERR</definedName>
    <definedName name="SISISIS_5">ERR</definedName>
    <definedName name="SISISIS_6" localSheetId="20">ERR</definedName>
    <definedName name="SISISIS_6" localSheetId="22">ERR</definedName>
    <definedName name="SISISIS_6" localSheetId="33">ERR</definedName>
    <definedName name="SISISIS_6" localSheetId="36">ERR</definedName>
    <definedName name="SISISIS_6" localSheetId="47">ERR</definedName>
    <definedName name="SISISIS_6" localSheetId="48">ERR</definedName>
    <definedName name="SISISIS_6" localSheetId="51">ERR</definedName>
    <definedName name="SISISIS_6" localSheetId="52">ERR</definedName>
    <definedName name="SISISIS_6" localSheetId="53">ERR</definedName>
    <definedName name="SISISIS_6" localSheetId="54">ERR</definedName>
    <definedName name="SISISIS_6" localSheetId="62">ERR</definedName>
    <definedName name="SISISIS_6" localSheetId="63">ERR</definedName>
    <definedName name="SISISIS_6" localSheetId="64">ERR</definedName>
    <definedName name="SISISIS_6" localSheetId="65">ERR</definedName>
    <definedName name="SISISIS_6" localSheetId="66">ERR</definedName>
    <definedName name="SISISIS_6" localSheetId="67">ERR</definedName>
    <definedName name="SISISIS_6" localSheetId="68">ERR</definedName>
    <definedName name="SISISIS_6" localSheetId="55">ERR</definedName>
    <definedName name="SISISIS_6" localSheetId="56">ERR</definedName>
    <definedName name="SISISIS_6" localSheetId="57">ERR</definedName>
    <definedName name="SISISIS_6" localSheetId="58">ERR</definedName>
    <definedName name="SISISIS_6" localSheetId="59">ERR</definedName>
    <definedName name="SISISIS_6" localSheetId="60">ERR</definedName>
    <definedName name="SISISIS_6" localSheetId="61">ERR</definedName>
    <definedName name="SISISIS_6" localSheetId="69">ERR</definedName>
    <definedName name="SISISIS_6" localSheetId="78">ERR</definedName>
    <definedName name="SISISIS_6" localSheetId="79">ERR</definedName>
    <definedName name="SISISIS_6" localSheetId="80">ERR</definedName>
    <definedName name="SISISIS_6" localSheetId="70">ERR</definedName>
    <definedName name="SISISIS_6" localSheetId="71">ERR</definedName>
    <definedName name="SISISIS_6" localSheetId="72">ERR</definedName>
    <definedName name="SISISIS_6" localSheetId="73">ERR</definedName>
    <definedName name="SISISIS_6" localSheetId="74">ERR</definedName>
    <definedName name="SISISIS_6" localSheetId="75">ERR</definedName>
    <definedName name="SISISIS_6" localSheetId="76">ERR</definedName>
    <definedName name="SISISIS_6" localSheetId="77">ERR</definedName>
    <definedName name="SISISIS_6" localSheetId="81">ERR</definedName>
    <definedName name="SISISIS_6" localSheetId="89">ERR</definedName>
    <definedName name="SISISIS_6" localSheetId="90">ERR</definedName>
    <definedName name="SISISIS_6" localSheetId="91">ERR</definedName>
    <definedName name="SISISIS_6" localSheetId="92">ERR</definedName>
    <definedName name="SISISIS_6" localSheetId="93">ERR</definedName>
    <definedName name="SISISIS_6" localSheetId="94">ERR</definedName>
    <definedName name="SISISIS_6" localSheetId="95">ERR</definedName>
    <definedName name="SISISIS_6" localSheetId="96">ERR</definedName>
    <definedName name="SISISIS_6" localSheetId="82">ERR</definedName>
    <definedName name="SISISIS_6" localSheetId="83">ERR</definedName>
    <definedName name="SISISIS_6" localSheetId="84">ERR</definedName>
    <definedName name="SISISIS_6" localSheetId="85">ERR</definedName>
    <definedName name="SISISIS_6" localSheetId="86">ERR</definedName>
    <definedName name="SISISIS_6" localSheetId="87">ERR</definedName>
    <definedName name="SISISIS_6" localSheetId="88">ERR</definedName>
    <definedName name="SISISIS_6" localSheetId="97">ERR</definedName>
    <definedName name="SISISIS_6" localSheetId="105">ERR</definedName>
    <definedName name="SISISIS_6" localSheetId="106">ERR</definedName>
    <definedName name="SISISIS_6" localSheetId="107">ERR</definedName>
    <definedName name="SISISIS_6" localSheetId="108">ERR</definedName>
    <definedName name="SISISIS_6" localSheetId="109">ERR</definedName>
    <definedName name="SISISIS_6" localSheetId="110">ERR</definedName>
    <definedName name="SISISIS_6" localSheetId="111">ERR</definedName>
    <definedName name="SISISIS_6" localSheetId="112">ERR</definedName>
    <definedName name="SISISIS_6" localSheetId="113">ERR</definedName>
    <definedName name="SISISIS_6" localSheetId="114">ERR</definedName>
    <definedName name="SISISIS_6" localSheetId="98">ERR</definedName>
    <definedName name="SISISIS_6" localSheetId="115">ERR</definedName>
    <definedName name="SISISIS_6" localSheetId="116">ERR</definedName>
    <definedName name="SISISIS_6" localSheetId="117">ERR</definedName>
    <definedName name="SISISIS_6" localSheetId="118">ERR</definedName>
    <definedName name="SISISIS_6" localSheetId="119">ERR</definedName>
    <definedName name="SISISIS_6" localSheetId="99">ERR</definedName>
    <definedName name="SISISIS_6" localSheetId="100">ERR</definedName>
    <definedName name="SISISIS_6" localSheetId="101">ERR</definedName>
    <definedName name="SISISIS_6" localSheetId="102">ERR</definedName>
    <definedName name="SISISIS_6" localSheetId="103">ERR</definedName>
    <definedName name="SISISIS_6" localSheetId="104">ERR</definedName>
    <definedName name="SISISIS_6" localSheetId="120">ERR</definedName>
    <definedName name="SISISIS_6" localSheetId="121">ERR</definedName>
    <definedName name="SISISIS_6" localSheetId="122">ERR</definedName>
    <definedName name="SISISIS_6" localSheetId="123">ERR</definedName>
    <definedName name="SISISIS_6" localSheetId="124">ERR</definedName>
    <definedName name="SISISIS_6" localSheetId="125">ERR</definedName>
    <definedName name="SISISIS_6" localSheetId="126">ERR</definedName>
    <definedName name="SISISIS_6" localSheetId="127">ERR</definedName>
    <definedName name="SISISIS_6" localSheetId="128">ERR</definedName>
    <definedName name="SISISIS_6" localSheetId="129">ERR</definedName>
    <definedName name="SISISIS_6" localSheetId="130">ERR</definedName>
    <definedName name="SISISIS_6" localSheetId="131">ERR</definedName>
    <definedName name="SISISIS_6" localSheetId="9">ERR</definedName>
    <definedName name="SISISIS_6" localSheetId="38">ERR</definedName>
    <definedName name="SISISIS_6" localSheetId="2">ERR</definedName>
    <definedName name="SISISIS_6">ERR</definedName>
    <definedName name="SISISIS_7" localSheetId="20">ERR</definedName>
    <definedName name="SISISIS_7" localSheetId="22">ERR</definedName>
    <definedName name="SISISIS_7" localSheetId="33">ERR</definedName>
    <definedName name="SISISIS_7" localSheetId="36">ERR</definedName>
    <definedName name="SISISIS_7" localSheetId="47">ERR</definedName>
    <definedName name="SISISIS_7" localSheetId="48">ERR</definedName>
    <definedName name="SISISIS_7" localSheetId="51">ERR</definedName>
    <definedName name="SISISIS_7" localSheetId="52">ERR</definedName>
    <definedName name="SISISIS_7" localSheetId="53">ERR</definedName>
    <definedName name="SISISIS_7" localSheetId="54">ERR</definedName>
    <definedName name="SISISIS_7" localSheetId="62">ERR</definedName>
    <definedName name="SISISIS_7" localSheetId="63">ERR</definedName>
    <definedName name="SISISIS_7" localSheetId="64">ERR</definedName>
    <definedName name="SISISIS_7" localSheetId="65">ERR</definedName>
    <definedName name="SISISIS_7" localSheetId="66">ERR</definedName>
    <definedName name="SISISIS_7" localSheetId="67">ERR</definedName>
    <definedName name="SISISIS_7" localSheetId="68">ERR</definedName>
    <definedName name="SISISIS_7" localSheetId="55">ERR</definedName>
    <definedName name="SISISIS_7" localSheetId="56">ERR</definedName>
    <definedName name="SISISIS_7" localSheetId="57">ERR</definedName>
    <definedName name="SISISIS_7" localSheetId="58">ERR</definedName>
    <definedName name="SISISIS_7" localSheetId="59">ERR</definedName>
    <definedName name="SISISIS_7" localSheetId="60">ERR</definedName>
    <definedName name="SISISIS_7" localSheetId="61">ERR</definedName>
    <definedName name="SISISIS_7" localSheetId="69">ERR</definedName>
    <definedName name="SISISIS_7" localSheetId="78">ERR</definedName>
    <definedName name="SISISIS_7" localSheetId="79">ERR</definedName>
    <definedName name="SISISIS_7" localSheetId="80">ERR</definedName>
    <definedName name="SISISIS_7" localSheetId="70">ERR</definedName>
    <definedName name="SISISIS_7" localSheetId="71">ERR</definedName>
    <definedName name="SISISIS_7" localSheetId="72">ERR</definedName>
    <definedName name="SISISIS_7" localSheetId="73">ERR</definedName>
    <definedName name="SISISIS_7" localSheetId="74">ERR</definedName>
    <definedName name="SISISIS_7" localSheetId="75">ERR</definedName>
    <definedName name="SISISIS_7" localSheetId="76">ERR</definedName>
    <definedName name="SISISIS_7" localSheetId="77">ERR</definedName>
    <definedName name="SISISIS_7" localSheetId="81">ERR</definedName>
    <definedName name="SISISIS_7" localSheetId="89">ERR</definedName>
    <definedName name="SISISIS_7" localSheetId="90">ERR</definedName>
    <definedName name="SISISIS_7" localSheetId="91">ERR</definedName>
    <definedName name="SISISIS_7" localSheetId="92">ERR</definedName>
    <definedName name="SISISIS_7" localSheetId="93">ERR</definedName>
    <definedName name="SISISIS_7" localSheetId="94">ERR</definedName>
    <definedName name="SISISIS_7" localSheetId="95">ERR</definedName>
    <definedName name="SISISIS_7" localSheetId="96">ERR</definedName>
    <definedName name="SISISIS_7" localSheetId="82">ERR</definedName>
    <definedName name="SISISIS_7" localSheetId="83">ERR</definedName>
    <definedName name="SISISIS_7" localSheetId="84">ERR</definedName>
    <definedName name="SISISIS_7" localSheetId="85">ERR</definedName>
    <definedName name="SISISIS_7" localSheetId="86">ERR</definedName>
    <definedName name="SISISIS_7" localSheetId="87">ERR</definedName>
    <definedName name="SISISIS_7" localSheetId="88">ERR</definedName>
    <definedName name="SISISIS_7" localSheetId="97">ERR</definedName>
    <definedName name="SISISIS_7" localSheetId="105">ERR</definedName>
    <definedName name="SISISIS_7" localSheetId="106">ERR</definedName>
    <definedName name="SISISIS_7" localSheetId="107">ERR</definedName>
    <definedName name="SISISIS_7" localSheetId="108">ERR</definedName>
    <definedName name="SISISIS_7" localSheetId="109">ERR</definedName>
    <definedName name="SISISIS_7" localSheetId="110">ERR</definedName>
    <definedName name="SISISIS_7" localSheetId="111">ERR</definedName>
    <definedName name="SISISIS_7" localSheetId="112">ERR</definedName>
    <definedName name="SISISIS_7" localSheetId="113">ERR</definedName>
    <definedName name="SISISIS_7" localSheetId="114">ERR</definedName>
    <definedName name="SISISIS_7" localSheetId="98">ERR</definedName>
    <definedName name="SISISIS_7" localSheetId="115">ERR</definedName>
    <definedName name="SISISIS_7" localSheetId="116">ERR</definedName>
    <definedName name="SISISIS_7" localSheetId="117">ERR</definedName>
    <definedName name="SISISIS_7" localSheetId="118">ERR</definedName>
    <definedName name="SISISIS_7" localSheetId="119">ERR</definedName>
    <definedName name="SISISIS_7" localSheetId="99">ERR</definedName>
    <definedName name="SISISIS_7" localSheetId="100">ERR</definedName>
    <definedName name="SISISIS_7" localSheetId="101">ERR</definedName>
    <definedName name="SISISIS_7" localSheetId="102">ERR</definedName>
    <definedName name="SISISIS_7" localSheetId="103">ERR</definedName>
    <definedName name="SISISIS_7" localSheetId="104">ERR</definedName>
    <definedName name="SISISIS_7" localSheetId="120">ERR</definedName>
    <definedName name="SISISIS_7" localSheetId="121">ERR</definedName>
    <definedName name="SISISIS_7" localSheetId="122">ERR</definedName>
    <definedName name="SISISIS_7" localSheetId="123">ERR</definedName>
    <definedName name="SISISIS_7" localSheetId="124">ERR</definedName>
    <definedName name="SISISIS_7" localSheetId="125">ERR</definedName>
    <definedName name="SISISIS_7" localSheetId="126">ERR</definedName>
    <definedName name="SISISIS_7" localSheetId="127">ERR</definedName>
    <definedName name="SISISIS_7" localSheetId="128">ERR</definedName>
    <definedName name="SISISIS_7" localSheetId="129">ERR</definedName>
    <definedName name="SISISIS_7" localSheetId="130">ERR</definedName>
    <definedName name="SISISIS_7" localSheetId="131">ERR</definedName>
    <definedName name="SISISIS_7" localSheetId="9">ERR</definedName>
    <definedName name="SISISIS_7" localSheetId="38">ERR</definedName>
    <definedName name="SISISIS_7" localSheetId="2">ERR</definedName>
    <definedName name="SISISIS_7">ERR</definedName>
    <definedName name="SISISIS_8" localSheetId="20">ERR</definedName>
    <definedName name="SISISIS_8" localSheetId="22">ERR</definedName>
    <definedName name="SISISIS_8" localSheetId="33">ERR</definedName>
    <definedName name="SISISIS_8" localSheetId="36">ERR</definedName>
    <definedName name="SISISIS_8" localSheetId="47">ERR</definedName>
    <definedName name="SISISIS_8" localSheetId="48">ERR</definedName>
    <definedName name="SISISIS_8" localSheetId="51">ERR</definedName>
    <definedName name="SISISIS_8" localSheetId="52">ERR</definedName>
    <definedName name="SISISIS_8" localSheetId="53">ERR</definedName>
    <definedName name="SISISIS_8" localSheetId="54">ERR</definedName>
    <definedName name="SISISIS_8" localSheetId="62">ERR</definedName>
    <definedName name="SISISIS_8" localSheetId="63">ERR</definedName>
    <definedName name="SISISIS_8" localSheetId="64">ERR</definedName>
    <definedName name="SISISIS_8" localSheetId="65">ERR</definedName>
    <definedName name="SISISIS_8" localSheetId="66">ERR</definedName>
    <definedName name="SISISIS_8" localSheetId="67">ERR</definedName>
    <definedName name="SISISIS_8" localSheetId="68">ERR</definedName>
    <definedName name="SISISIS_8" localSheetId="55">ERR</definedName>
    <definedName name="SISISIS_8" localSheetId="56">ERR</definedName>
    <definedName name="SISISIS_8" localSheetId="57">ERR</definedName>
    <definedName name="SISISIS_8" localSheetId="58">ERR</definedName>
    <definedName name="SISISIS_8" localSheetId="59">ERR</definedName>
    <definedName name="SISISIS_8" localSheetId="60">ERR</definedName>
    <definedName name="SISISIS_8" localSheetId="61">ERR</definedName>
    <definedName name="SISISIS_8" localSheetId="69">ERR</definedName>
    <definedName name="SISISIS_8" localSheetId="78">ERR</definedName>
    <definedName name="SISISIS_8" localSheetId="79">ERR</definedName>
    <definedName name="SISISIS_8" localSheetId="80">ERR</definedName>
    <definedName name="SISISIS_8" localSheetId="70">ERR</definedName>
    <definedName name="SISISIS_8" localSheetId="71">ERR</definedName>
    <definedName name="SISISIS_8" localSheetId="72">ERR</definedName>
    <definedName name="SISISIS_8" localSheetId="73">ERR</definedName>
    <definedName name="SISISIS_8" localSheetId="74">ERR</definedName>
    <definedName name="SISISIS_8" localSheetId="75">ERR</definedName>
    <definedName name="SISISIS_8" localSheetId="76">ERR</definedName>
    <definedName name="SISISIS_8" localSheetId="77">ERR</definedName>
    <definedName name="SISISIS_8" localSheetId="81">ERR</definedName>
    <definedName name="SISISIS_8" localSheetId="89">ERR</definedName>
    <definedName name="SISISIS_8" localSheetId="90">ERR</definedName>
    <definedName name="SISISIS_8" localSheetId="91">ERR</definedName>
    <definedName name="SISISIS_8" localSheetId="92">ERR</definedName>
    <definedName name="SISISIS_8" localSheetId="93">ERR</definedName>
    <definedName name="SISISIS_8" localSheetId="94">ERR</definedName>
    <definedName name="SISISIS_8" localSheetId="95">ERR</definedName>
    <definedName name="SISISIS_8" localSheetId="96">ERR</definedName>
    <definedName name="SISISIS_8" localSheetId="82">ERR</definedName>
    <definedName name="SISISIS_8" localSheetId="83">ERR</definedName>
    <definedName name="SISISIS_8" localSheetId="84">ERR</definedName>
    <definedName name="SISISIS_8" localSheetId="85">ERR</definedName>
    <definedName name="SISISIS_8" localSheetId="86">ERR</definedName>
    <definedName name="SISISIS_8" localSheetId="87">ERR</definedName>
    <definedName name="SISISIS_8" localSheetId="88">ERR</definedName>
    <definedName name="SISISIS_8" localSheetId="97">ERR</definedName>
    <definedName name="SISISIS_8" localSheetId="105">ERR</definedName>
    <definedName name="SISISIS_8" localSheetId="106">ERR</definedName>
    <definedName name="SISISIS_8" localSheetId="107">ERR</definedName>
    <definedName name="SISISIS_8" localSheetId="108">ERR</definedName>
    <definedName name="SISISIS_8" localSheetId="109">ERR</definedName>
    <definedName name="SISISIS_8" localSheetId="110">ERR</definedName>
    <definedName name="SISISIS_8" localSheetId="111">ERR</definedName>
    <definedName name="SISISIS_8" localSheetId="112">ERR</definedName>
    <definedName name="SISISIS_8" localSheetId="113">ERR</definedName>
    <definedName name="SISISIS_8" localSheetId="114">ERR</definedName>
    <definedName name="SISISIS_8" localSheetId="98">ERR</definedName>
    <definedName name="SISISIS_8" localSheetId="115">ERR</definedName>
    <definedName name="SISISIS_8" localSheetId="116">ERR</definedName>
    <definedName name="SISISIS_8" localSheetId="117">ERR</definedName>
    <definedName name="SISISIS_8" localSheetId="118">ERR</definedName>
    <definedName name="SISISIS_8" localSheetId="119">ERR</definedName>
    <definedName name="SISISIS_8" localSheetId="99">ERR</definedName>
    <definedName name="SISISIS_8" localSheetId="100">ERR</definedName>
    <definedName name="SISISIS_8" localSheetId="101">ERR</definedName>
    <definedName name="SISISIS_8" localSheetId="102">ERR</definedName>
    <definedName name="SISISIS_8" localSheetId="103">ERR</definedName>
    <definedName name="SISISIS_8" localSheetId="104">ERR</definedName>
    <definedName name="SISISIS_8" localSheetId="120">ERR</definedName>
    <definedName name="SISISIS_8" localSheetId="121">ERR</definedName>
    <definedName name="SISISIS_8" localSheetId="122">ERR</definedName>
    <definedName name="SISISIS_8" localSheetId="123">ERR</definedName>
    <definedName name="SISISIS_8" localSheetId="124">ERR</definedName>
    <definedName name="SISISIS_8" localSheetId="125">ERR</definedName>
    <definedName name="SISISIS_8" localSheetId="126">ERR</definedName>
    <definedName name="SISISIS_8" localSheetId="127">ERR</definedName>
    <definedName name="SISISIS_8" localSheetId="128">ERR</definedName>
    <definedName name="SISISIS_8" localSheetId="129">ERR</definedName>
    <definedName name="SISISIS_8" localSheetId="130">ERR</definedName>
    <definedName name="SISISIS_8" localSheetId="131">ERR</definedName>
    <definedName name="SISISIS_8" localSheetId="9">ERR</definedName>
    <definedName name="SISISIS_8" localSheetId="38">ERR</definedName>
    <definedName name="SISISIS_8" localSheetId="2">ERR</definedName>
    <definedName name="SISISIS_8">ERR</definedName>
    <definedName name="SISISIS_9" localSheetId="20">ERR</definedName>
    <definedName name="SISISIS_9" localSheetId="22">ERR</definedName>
    <definedName name="SISISIS_9" localSheetId="33">ERR</definedName>
    <definedName name="SISISIS_9" localSheetId="36">ERR</definedName>
    <definedName name="SISISIS_9" localSheetId="47">ERR</definedName>
    <definedName name="SISISIS_9" localSheetId="48">ERR</definedName>
    <definedName name="SISISIS_9" localSheetId="51">ERR</definedName>
    <definedName name="SISISIS_9" localSheetId="52">ERR</definedName>
    <definedName name="SISISIS_9" localSheetId="53">ERR</definedName>
    <definedName name="SISISIS_9" localSheetId="54">ERR</definedName>
    <definedName name="SISISIS_9" localSheetId="62">ERR</definedName>
    <definedName name="SISISIS_9" localSheetId="63">ERR</definedName>
    <definedName name="SISISIS_9" localSheetId="64">ERR</definedName>
    <definedName name="SISISIS_9" localSheetId="65">ERR</definedName>
    <definedName name="SISISIS_9" localSheetId="66">ERR</definedName>
    <definedName name="SISISIS_9" localSheetId="67">ERR</definedName>
    <definedName name="SISISIS_9" localSheetId="68">ERR</definedName>
    <definedName name="SISISIS_9" localSheetId="55">ERR</definedName>
    <definedName name="SISISIS_9" localSheetId="56">ERR</definedName>
    <definedName name="SISISIS_9" localSheetId="57">ERR</definedName>
    <definedName name="SISISIS_9" localSheetId="58">ERR</definedName>
    <definedName name="SISISIS_9" localSheetId="59">ERR</definedName>
    <definedName name="SISISIS_9" localSheetId="60">ERR</definedName>
    <definedName name="SISISIS_9" localSheetId="61">ERR</definedName>
    <definedName name="SISISIS_9" localSheetId="69">ERR</definedName>
    <definedName name="SISISIS_9" localSheetId="78">ERR</definedName>
    <definedName name="SISISIS_9" localSheetId="79">ERR</definedName>
    <definedName name="SISISIS_9" localSheetId="80">ERR</definedName>
    <definedName name="SISISIS_9" localSheetId="70">ERR</definedName>
    <definedName name="SISISIS_9" localSheetId="71">ERR</definedName>
    <definedName name="SISISIS_9" localSheetId="72">ERR</definedName>
    <definedName name="SISISIS_9" localSheetId="73">ERR</definedName>
    <definedName name="SISISIS_9" localSheetId="74">ERR</definedName>
    <definedName name="SISISIS_9" localSheetId="75">ERR</definedName>
    <definedName name="SISISIS_9" localSheetId="76">ERR</definedName>
    <definedName name="SISISIS_9" localSheetId="77">ERR</definedName>
    <definedName name="SISISIS_9" localSheetId="81">ERR</definedName>
    <definedName name="SISISIS_9" localSheetId="89">ERR</definedName>
    <definedName name="SISISIS_9" localSheetId="90">ERR</definedName>
    <definedName name="SISISIS_9" localSheetId="91">ERR</definedName>
    <definedName name="SISISIS_9" localSheetId="92">ERR</definedName>
    <definedName name="SISISIS_9" localSheetId="93">ERR</definedName>
    <definedName name="SISISIS_9" localSheetId="94">ERR</definedName>
    <definedName name="SISISIS_9" localSheetId="95">ERR</definedName>
    <definedName name="SISISIS_9" localSheetId="96">ERR</definedName>
    <definedName name="SISISIS_9" localSheetId="82">ERR</definedName>
    <definedName name="SISISIS_9" localSheetId="83">ERR</definedName>
    <definedName name="SISISIS_9" localSheetId="84">ERR</definedName>
    <definedName name="SISISIS_9" localSheetId="85">ERR</definedName>
    <definedName name="SISISIS_9" localSheetId="86">ERR</definedName>
    <definedName name="SISISIS_9" localSheetId="87">ERR</definedName>
    <definedName name="SISISIS_9" localSheetId="88">ERR</definedName>
    <definedName name="SISISIS_9" localSheetId="97">ERR</definedName>
    <definedName name="SISISIS_9" localSheetId="105">ERR</definedName>
    <definedName name="SISISIS_9" localSheetId="106">ERR</definedName>
    <definedName name="SISISIS_9" localSheetId="107">ERR</definedName>
    <definedName name="SISISIS_9" localSheetId="108">ERR</definedName>
    <definedName name="SISISIS_9" localSheetId="109">ERR</definedName>
    <definedName name="SISISIS_9" localSheetId="110">ERR</definedName>
    <definedName name="SISISIS_9" localSheetId="111">ERR</definedName>
    <definedName name="SISISIS_9" localSheetId="112">ERR</definedName>
    <definedName name="SISISIS_9" localSheetId="113">ERR</definedName>
    <definedName name="SISISIS_9" localSheetId="114">ERR</definedName>
    <definedName name="SISISIS_9" localSheetId="98">ERR</definedName>
    <definedName name="SISISIS_9" localSheetId="115">ERR</definedName>
    <definedName name="SISISIS_9" localSheetId="116">ERR</definedName>
    <definedName name="SISISIS_9" localSheetId="117">ERR</definedName>
    <definedName name="SISISIS_9" localSheetId="118">ERR</definedName>
    <definedName name="SISISIS_9" localSheetId="119">ERR</definedName>
    <definedName name="SISISIS_9" localSheetId="99">ERR</definedName>
    <definedName name="SISISIS_9" localSheetId="100">ERR</definedName>
    <definedName name="SISISIS_9" localSheetId="101">ERR</definedName>
    <definedName name="SISISIS_9" localSheetId="102">ERR</definedName>
    <definedName name="SISISIS_9" localSheetId="103">ERR</definedName>
    <definedName name="SISISIS_9" localSheetId="104">ERR</definedName>
    <definedName name="SISISIS_9" localSheetId="120">ERR</definedName>
    <definedName name="SISISIS_9" localSheetId="121">ERR</definedName>
    <definedName name="SISISIS_9" localSheetId="122">ERR</definedName>
    <definedName name="SISISIS_9" localSheetId="123">ERR</definedName>
    <definedName name="SISISIS_9" localSheetId="124">ERR</definedName>
    <definedName name="SISISIS_9" localSheetId="125">ERR</definedName>
    <definedName name="SISISIS_9" localSheetId="126">ERR</definedName>
    <definedName name="SISISIS_9" localSheetId="127">ERR</definedName>
    <definedName name="SISISIS_9" localSheetId="128">ERR</definedName>
    <definedName name="SISISIS_9" localSheetId="129">ERR</definedName>
    <definedName name="SISISIS_9" localSheetId="130">ERR</definedName>
    <definedName name="SISISIS_9" localSheetId="131">ERR</definedName>
    <definedName name="SISISIS_9" localSheetId="9">ERR</definedName>
    <definedName name="SISISIS_9" localSheetId="38">ERR</definedName>
    <definedName name="SISISIS_9" localSheetId="2">ERR</definedName>
    <definedName name="SISISIS_9">ERR</definedName>
    <definedName name="Summary" localSheetId="51">#REF!</definedName>
    <definedName name="Summary" localSheetId="9">#REF!</definedName>
    <definedName name="Summary" localSheetId="2">#REF!</definedName>
    <definedName name="Summary">#REF!</definedName>
    <definedName name="T">[10]Hoja1!$G$9</definedName>
    <definedName name="T.1_POZ">[20]TUBERIA!$AB$10:$AB$84</definedName>
    <definedName name="T.VIA">'[6]factores A.N.'!$H$15:$H$306</definedName>
    <definedName name="T___2_.3_FC_2.2" localSheetId="18">#REF!</definedName>
    <definedName name="T___2_.3_FC_2.2" localSheetId="21">#REF!</definedName>
    <definedName name="T___2_.3_FC_2.2" localSheetId="22">#REF!</definedName>
    <definedName name="T___2_.3_FC_2.2" localSheetId="51">#REF!</definedName>
    <definedName name="T___2_.3_FC_2.2" localSheetId="69">#REF!</definedName>
    <definedName name="T___2_.3_FC_2.2" localSheetId="81">#REF!</definedName>
    <definedName name="T___2_.3_FC_2.2" localSheetId="97">#REF!</definedName>
    <definedName name="T___2_.3_FC_2.2" localSheetId="13">#REF!</definedName>
    <definedName name="T___2_.3_FC_2.2" localSheetId="2">#REF!</definedName>
    <definedName name="T___2_.3_FC_2.2">#REF!</definedName>
    <definedName name="T1_" localSheetId="18">#REF!</definedName>
    <definedName name="T1_" localSheetId="21">#REF!</definedName>
    <definedName name="T1_" localSheetId="22">#REF!</definedName>
    <definedName name="T1_" localSheetId="51">#REF!</definedName>
    <definedName name="T1_" localSheetId="69">#REF!</definedName>
    <definedName name="T1_" localSheetId="81">#REF!</definedName>
    <definedName name="T1_" localSheetId="97">#REF!</definedName>
    <definedName name="T1_" localSheetId="13">#REF!</definedName>
    <definedName name="T1_" localSheetId="2">#REF!</definedName>
    <definedName name="T1_">#REF!</definedName>
    <definedName name="T1__2_FC1_5" localSheetId="18">#REF!</definedName>
    <definedName name="T1__2_FC1_5" localSheetId="21">#REF!</definedName>
    <definedName name="T1__2_FC1_5" localSheetId="22">#REF!</definedName>
    <definedName name="T1__2_FC1_5" localSheetId="51">#REF!</definedName>
    <definedName name="T1__2_FC1_5" localSheetId="69">#REF!</definedName>
    <definedName name="T1__2_FC1_5" localSheetId="81">#REF!</definedName>
    <definedName name="T1__2_FC1_5" localSheetId="97">#REF!</definedName>
    <definedName name="T1__2_FC1_5" localSheetId="13">#REF!</definedName>
    <definedName name="T1__2_FC1_5" localSheetId="2">#REF!</definedName>
    <definedName name="T1__2_FC1_5">#REF!</definedName>
    <definedName name="T1__2_FC1_9" localSheetId="18">#REF!</definedName>
    <definedName name="T1__2_FC1_9" localSheetId="21">#REF!</definedName>
    <definedName name="T1__2_FC1_9" localSheetId="22">#REF!</definedName>
    <definedName name="T1__2_FC1_9" localSheetId="51">#REF!</definedName>
    <definedName name="T1__2_FC1_9" localSheetId="69">#REF!</definedName>
    <definedName name="T1__2_FC1_9" localSheetId="81">#REF!</definedName>
    <definedName name="T1__2_FC1_9" localSheetId="97">#REF!</definedName>
    <definedName name="T1__2_FC1_9">#REF!</definedName>
    <definedName name="T1__3__2_FC1_9" localSheetId="18">#REF!</definedName>
    <definedName name="T1__3__2_FC1_9" localSheetId="21">#REF!</definedName>
    <definedName name="T1__3__2_FC1_9" localSheetId="22">#REF!</definedName>
    <definedName name="T1__3__2_FC1_9" localSheetId="51">#REF!</definedName>
    <definedName name="T1__3__2_FC1_9" localSheetId="69">#REF!</definedName>
    <definedName name="T1__3__2_FC1_9" localSheetId="81">#REF!</definedName>
    <definedName name="T1__3__2_FC1_9" localSheetId="97">#REF!</definedName>
    <definedName name="T1__3__2_FC1_9">#REF!</definedName>
    <definedName name="T1_FC_1.5__.2" localSheetId="18">#REF!</definedName>
    <definedName name="T1_FC_1.5__.2" localSheetId="21">#REF!</definedName>
    <definedName name="T1_FC_1.5__.2" localSheetId="22">#REF!</definedName>
    <definedName name="T1_FC_1.5__.2" localSheetId="51">#REF!</definedName>
    <definedName name="T1_FC_1.5__.2" localSheetId="69">#REF!</definedName>
    <definedName name="T1_FC_1.5__.2" localSheetId="81">#REF!</definedName>
    <definedName name="T1_FC_1.5__.2" localSheetId="97">#REF!</definedName>
    <definedName name="T1_FC_1.5__.2">#REF!</definedName>
    <definedName name="T1_FC_1.9__.2" localSheetId="18">#REF!</definedName>
    <definedName name="T1_FC_1.9__.2" localSheetId="21">#REF!</definedName>
    <definedName name="T1_FC_1.9__.2" localSheetId="22">#REF!</definedName>
    <definedName name="T1_FC_1.9__.2" localSheetId="51">#REF!</definedName>
    <definedName name="T1_FC_1.9__.2" localSheetId="69">#REF!</definedName>
    <definedName name="T1_FC_1.9__.2" localSheetId="81">#REF!</definedName>
    <definedName name="T1_FC_1.9__.2" localSheetId="97">#REF!</definedName>
    <definedName name="T1_FC_1.9__.2">#REF!</definedName>
    <definedName name="T1_FC1_5">'[6]factores A.N.'!$H$8:$H$33</definedName>
    <definedName name="T1_FC1_9">'[6]factores A.N.'!$J$8:$J$33</definedName>
    <definedName name="T1_FC2.2">[21]FACTORES!$M$8:$M$23</definedName>
    <definedName name="T11SF15" localSheetId="18">#REF!</definedName>
    <definedName name="T11SF15" localSheetId="21">#REF!</definedName>
    <definedName name="T11SF15" localSheetId="22">#REF!</definedName>
    <definedName name="T11SF15" localSheetId="51">#REF!</definedName>
    <definedName name="T11SF15" localSheetId="69">#REF!</definedName>
    <definedName name="T11SF15" localSheetId="81">#REF!</definedName>
    <definedName name="T11SF15" localSheetId="97">#REF!</definedName>
    <definedName name="T11SF15" localSheetId="13">#REF!</definedName>
    <definedName name="T11SF15" localSheetId="2">#REF!</definedName>
    <definedName name="T11SF15">#REF!</definedName>
    <definedName name="T11SF19" localSheetId="18">#REF!</definedName>
    <definedName name="T11SF19" localSheetId="21">#REF!</definedName>
    <definedName name="T11SF19" localSheetId="22">#REF!</definedName>
    <definedName name="T11SF19" localSheetId="51">#REF!</definedName>
    <definedName name="T11SF19" localSheetId="69">#REF!</definedName>
    <definedName name="T11SF19" localSheetId="81">#REF!</definedName>
    <definedName name="T11SF19" localSheetId="97">#REF!</definedName>
    <definedName name="T11SF19" localSheetId="13">#REF!</definedName>
    <definedName name="T11SF19">#REF!</definedName>
    <definedName name="T2.PVC">'[6]factores A.N.'!$P$8:$P$19</definedName>
    <definedName name="T2_.3" localSheetId="18">#REF!</definedName>
    <definedName name="T2_.3" localSheetId="21">#REF!</definedName>
    <definedName name="T2_.3" localSheetId="22">#REF!</definedName>
    <definedName name="T2_.3" localSheetId="51">#REF!</definedName>
    <definedName name="T2_.3" localSheetId="69">#REF!</definedName>
    <definedName name="T2_.3" localSheetId="81">#REF!</definedName>
    <definedName name="T2_.3" localSheetId="97">#REF!</definedName>
    <definedName name="T2_.3" localSheetId="13">#REF!</definedName>
    <definedName name="T2_.3" localSheetId="2">#REF!</definedName>
    <definedName name="T2_.3">#REF!</definedName>
    <definedName name="T2__2_FC1_5" localSheetId="18">#REF!</definedName>
    <definedName name="T2__2_FC1_5" localSheetId="21">#REF!</definedName>
    <definedName name="T2__2_FC1_5" localSheetId="22">#REF!</definedName>
    <definedName name="T2__2_FC1_5" localSheetId="51">#REF!</definedName>
    <definedName name="T2__2_FC1_5" localSheetId="69">#REF!</definedName>
    <definedName name="T2__2_FC1_5" localSheetId="81">#REF!</definedName>
    <definedName name="T2__2_FC1_5" localSheetId="97">#REF!</definedName>
    <definedName name="T2__2_FC1_5" localSheetId="13">#REF!</definedName>
    <definedName name="T2__2_FC1_5" localSheetId="2">#REF!</definedName>
    <definedName name="T2__2_FC1_5">#REF!</definedName>
    <definedName name="T2__3_FC1_9" localSheetId="18">#REF!</definedName>
    <definedName name="T2__3_FC1_9" localSheetId="21">#REF!</definedName>
    <definedName name="T2__3_FC1_9" localSheetId="22">#REF!</definedName>
    <definedName name="T2__3_FC1_9" localSheetId="51">#REF!</definedName>
    <definedName name="T2__3_FC1_9" localSheetId="69">#REF!</definedName>
    <definedName name="T2__3_FC1_9" localSheetId="81">#REF!</definedName>
    <definedName name="T2__3_FC1_9" localSheetId="97">#REF!</definedName>
    <definedName name="T2__3_FC1_9" localSheetId="13">#REF!</definedName>
    <definedName name="T2__3_FC1_9" localSheetId="2">#REF!</definedName>
    <definedName name="T2__3_FC1_9">#REF!</definedName>
    <definedName name="T2_FC_1.5__.3" localSheetId="18">#REF!</definedName>
    <definedName name="T2_FC_1.5__.3" localSheetId="21">#REF!</definedName>
    <definedName name="T2_FC_1.5__.3" localSheetId="22">#REF!</definedName>
    <definedName name="T2_FC_1.5__.3" localSheetId="51">#REF!</definedName>
    <definedName name="T2_FC_1.5__.3" localSheetId="69">#REF!</definedName>
    <definedName name="T2_FC_1.5__.3" localSheetId="81">#REF!</definedName>
    <definedName name="T2_FC_1.5__.3" localSheetId="97">#REF!</definedName>
    <definedName name="T2_FC_1.5__.3">#REF!</definedName>
    <definedName name="T2_FC_1.5__.3_.2" localSheetId="18">#REF!</definedName>
    <definedName name="T2_FC_1.5__.3_.2" localSheetId="21">#REF!</definedName>
    <definedName name="T2_FC_1.5__.3_.2" localSheetId="22">#REF!</definedName>
    <definedName name="T2_FC_1.5__.3_.2" localSheetId="51">#REF!</definedName>
    <definedName name="T2_FC_1.5__.3_.2" localSheetId="69">#REF!</definedName>
    <definedName name="T2_FC_1.5__.3_.2" localSheetId="81">#REF!</definedName>
    <definedName name="T2_FC_1.5__.3_.2" localSheetId="97">#REF!</definedName>
    <definedName name="T2_FC_1.5__.3_.2">#REF!</definedName>
    <definedName name="T2_FC_1.9__.3" localSheetId="18">#REF!</definedName>
    <definedName name="T2_FC_1.9__.3" localSheetId="21">#REF!</definedName>
    <definedName name="T2_FC_1.9__.3" localSheetId="22">#REF!</definedName>
    <definedName name="T2_FC_1.9__.3" localSheetId="51">#REF!</definedName>
    <definedName name="T2_FC_1.9__.3" localSheetId="69">#REF!</definedName>
    <definedName name="T2_FC_1.9__.3" localSheetId="81">#REF!</definedName>
    <definedName name="T2_FC_1.9__.3" localSheetId="97">#REF!</definedName>
    <definedName name="T2_FC_1.9__.3">#REF!</definedName>
    <definedName name="T2_FC_1.9__.3_.2" localSheetId="18">#REF!</definedName>
    <definedName name="T2_FC_1.9__.3_.2" localSheetId="21">#REF!</definedName>
    <definedName name="T2_FC_1.9__.3_.2" localSheetId="22">#REF!</definedName>
    <definedName name="T2_FC_1.9__.3_.2" localSheetId="51">#REF!</definedName>
    <definedName name="T2_FC_1.9__.3_.2" localSheetId="69">#REF!</definedName>
    <definedName name="T2_FC_1.9__.3_.2" localSheetId="81">#REF!</definedName>
    <definedName name="T2_FC_1.9__.3_.2" localSheetId="97">#REF!</definedName>
    <definedName name="T2_FC_1.9__.3_.2">#REF!</definedName>
    <definedName name="T2_FC1_5">'[6]factores A.N.'!$I$8:$I$33</definedName>
    <definedName name="T2_FC1_9">'[6]factores A.N.'!$K$8:$K$33</definedName>
    <definedName name="T2_POZ" localSheetId="18">#REF!</definedName>
    <definedName name="T2_POZ" localSheetId="21">#REF!</definedName>
    <definedName name="T2_POZ" localSheetId="22">#REF!</definedName>
    <definedName name="T2_POZ" localSheetId="51">#REF!</definedName>
    <definedName name="T2_POZ" localSheetId="69">#REF!</definedName>
    <definedName name="T2_POZ" localSheetId="81">#REF!</definedName>
    <definedName name="T2_POZ" localSheetId="97">#REF!</definedName>
    <definedName name="T2_POZ" localSheetId="13">#REF!</definedName>
    <definedName name="T2_POZ" localSheetId="2">#REF!</definedName>
    <definedName name="T2_POZ">#REF!</definedName>
    <definedName name="T2_RAS" localSheetId="18">#REF!</definedName>
    <definedName name="T2_RAS" localSheetId="21">#REF!</definedName>
    <definedName name="T2_RAS" localSheetId="22">#REF!</definedName>
    <definedName name="T2_RAS" localSheetId="51">#REF!</definedName>
    <definedName name="T2_RAS" localSheetId="69">#REF!</definedName>
    <definedName name="T2_RAS" localSheetId="81">#REF!</definedName>
    <definedName name="T2_RAS" localSheetId="97">#REF!</definedName>
    <definedName name="T2_RAS" localSheetId="13">#REF!</definedName>
    <definedName name="T2_RAS" localSheetId="2">#REF!</definedName>
    <definedName name="T2_RAS">#REF!</definedName>
    <definedName name="T21SF15" localSheetId="18">#REF!</definedName>
    <definedName name="T21SF15" localSheetId="21">#REF!</definedName>
    <definedName name="T21SF15" localSheetId="22">#REF!</definedName>
    <definedName name="T21SF15" localSheetId="51">#REF!</definedName>
    <definedName name="T21SF15" localSheetId="69">#REF!</definedName>
    <definedName name="T21SF15" localSheetId="81">#REF!</definedName>
    <definedName name="T21SF15" localSheetId="97">#REF!</definedName>
    <definedName name="T21SF15" localSheetId="13">#REF!</definedName>
    <definedName name="T21SF15" localSheetId="2">#REF!</definedName>
    <definedName name="T21SF15">#REF!</definedName>
    <definedName name="T21SF19" localSheetId="18">#REF!</definedName>
    <definedName name="T21SF19" localSheetId="21">#REF!</definedName>
    <definedName name="T21SF19" localSheetId="22">#REF!</definedName>
    <definedName name="T21SF19" localSheetId="51">#REF!</definedName>
    <definedName name="T21SF19" localSheetId="69">#REF!</definedName>
    <definedName name="T21SF19" localSheetId="81">#REF!</definedName>
    <definedName name="T21SF19" localSheetId="97">#REF!</definedName>
    <definedName name="T21SF19">#REF!</definedName>
    <definedName name="TARIFAS" localSheetId="9">#REF!</definedName>
    <definedName name="TARIFAS">[22]TARIFAS!$A$1:$F$52</definedName>
    <definedName name="TARIFAS_4" localSheetId="9">#REF!</definedName>
    <definedName name="TARIFAS_4">[23]TARIFAS!$A$1:$F$52</definedName>
    <definedName name="TARIFAS_7" localSheetId="9">#REF!</definedName>
    <definedName name="TARIFAS_7">[23]TARIFAS!$A$1:$F$52</definedName>
    <definedName name="TIPO" localSheetId="18">#REF!</definedName>
    <definedName name="TIPO" localSheetId="21">#REF!</definedName>
    <definedName name="TIPO" localSheetId="22">#REF!</definedName>
    <definedName name="TIPO" localSheetId="51">#REF!</definedName>
    <definedName name="TIPO" localSheetId="69">#REF!</definedName>
    <definedName name="TIPO" localSheetId="81">#REF!</definedName>
    <definedName name="TIPO" localSheetId="97">#REF!</definedName>
    <definedName name="TIPO" localSheetId="2">#REF!</definedName>
    <definedName name="TIPO">#REF!</definedName>
    <definedName name="_xlnm.Print_Titles" localSheetId="16">BASICOS!$2:$5</definedName>
    <definedName name="_xlnm.Print_Titles" localSheetId="13">CRONOGRAMA!$A:$F,CRONOGRAMA!$1:$5</definedName>
    <definedName name="_xlnm.Print_Titles" localSheetId="2">Mem_CALCULO!$2:$10</definedName>
    <definedName name="_xlnm.Print_Titles" localSheetId="14">PRESUPUESTO!$1:$11</definedName>
    <definedName name="TOP" localSheetId="51">[1]PRECIOS!$J$66</definedName>
    <definedName name="TOP">[2]PRECIOS!$J$66</definedName>
    <definedName name="tot" localSheetId="18">#REF!</definedName>
    <definedName name="tot" localSheetId="21">#REF!</definedName>
    <definedName name="tot" localSheetId="22">#REF!</definedName>
    <definedName name="tot" localSheetId="51">#REF!</definedName>
    <definedName name="tot" localSheetId="69">#REF!</definedName>
    <definedName name="tot" localSheetId="81">#REF!</definedName>
    <definedName name="tot" localSheetId="97">#REF!</definedName>
    <definedName name="tot" localSheetId="13">#REF!</definedName>
    <definedName name="tot" localSheetId="2">#REF!</definedName>
    <definedName name="tot">#REF!</definedName>
    <definedName name="TRAMO" localSheetId="18">#REF!</definedName>
    <definedName name="TRAMO" localSheetId="21">#REF!</definedName>
    <definedName name="TRAMO" localSheetId="22">#REF!</definedName>
    <definedName name="TRAMO" localSheetId="51">#REF!</definedName>
    <definedName name="TRAMO" localSheetId="69">#REF!</definedName>
    <definedName name="TRAMO" localSheetId="81">#REF!</definedName>
    <definedName name="TRAMO" localSheetId="97">#REF!</definedName>
    <definedName name="TRAMO" localSheetId="13">#REF!</definedName>
    <definedName name="TRAMO" localSheetId="2">#REF!</definedName>
    <definedName name="TRAMO">#REF!</definedName>
    <definedName name="TramosSewer" localSheetId="9">#REF!</definedName>
    <definedName name="TramosSewer">'[9]Tramos Sewer'!$A:$M</definedName>
    <definedName name="U">[10]Hoja1!$G$3</definedName>
    <definedName name="VIA" localSheetId="18">#REF!</definedName>
    <definedName name="VIA" localSheetId="21">#REF!</definedName>
    <definedName name="VIA" localSheetId="22">#REF!</definedName>
    <definedName name="VIA" localSheetId="51">#REF!</definedName>
    <definedName name="VIA" localSheetId="69">#REF!</definedName>
    <definedName name="VIA" localSheetId="81">#REF!</definedName>
    <definedName name="VIA" localSheetId="97">#REF!</definedName>
    <definedName name="VIA" localSheetId="13">#REF!</definedName>
    <definedName name="VIA" localSheetId="2">#REF!</definedName>
    <definedName name="VIA">#REF!</definedName>
    <definedName name="XYZ_CUND" localSheetId="9">#REF!</definedName>
    <definedName name="XYZ_CUND">[24]coordenadas!$A:$D</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0" i="132" l="1"/>
  <c r="E92" i="256"/>
  <c r="E93" i="256"/>
  <c r="F89" i="256"/>
  <c r="A97" i="256" l="1"/>
  <c r="A96" i="256"/>
  <c r="A94" i="256"/>
  <c r="D79" i="256"/>
  <c r="E74" i="256"/>
  <c r="D74" i="256"/>
  <c r="E73" i="256"/>
  <c r="D73" i="256"/>
  <c r="E72" i="256"/>
  <c r="D72" i="256"/>
  <c r="D68" i="256"/>
  <c r="D67" i="256"/>
  <c r="E66" i="256"/>
  <c r="D66" i="256"/>
  <c r="E62" i="256"/>
  <c r="D62" i="256"/>
  <c r="E61" i="256"/>
  <c r="D61" i="256"/>
  <c r="E60" i="256"/>
  <c r="D60" i="256"/>
  <c r="E59" i="256"/>
  <c r="D59" i="256"/>
  <c r="D52" i="256" s="1"/>
  <c r="E58" i="256"/>
  <c r="D58" i="256"/>
  <c r="D51" i="256" s="1"/>
  <c r="E57" i="256"/>
  <c r="D57" i="256"/>
  <c r="D50" i="256" s="1"/>
  <c r="E53" i="256"/>
  <c r="D53" i="256"/>
  <c r="C53" i="256"/>
  <c r="E52" i="256"/>
  <c r="C52" i="256"/>
  <c r="E51" i="256"/>
  <c r="C51" i="256"/>
  <c r="E50" i="256"/>
  <c r="C50" i="256"/>
  <c r="E46" i="256"/>
  <c r="D46" i="256"/>
  <c r="E45" i="256"/>
  <c r="D45" i="256"/>
  <c r="E44" i="256"/>
  <c r="D44" i="256"/>
  <c r="E40" i="256"/>
  <c r="D40" i="256"/>
  <c r="E39" i="256"/>
  <c r="D39" i="256"/>
  <c r="E35" i="256"/>
  <c r="D35" i="256"/>
  <c r="D28" i="256" s="1"/>
  <c r="E34" i="256"/>
  <c r="D34" i="256"/>
  <c r="D27" i="256" s="1"/>
  <c r="E33" i="256"/>
  <c r="D33" i="256"/>
  <c r="D26" i="256" s="1"/>
  <c r="E32" i="256"/>
  <c r="D32" i="256"/>
  <c r="D25" i="256" s="1"/>
  <c r="E28" i="256"/>
  <c r="E27" i="256"/>
  <c r="E26" i="256"/>
  <c r="E25" i="256"/>
  <c r="E21" i="256"/>
  <c r="D21" i="256"/>
  <c r="D20" i="256"/>
  <c r="E19" i="256"/>
  <c r="D19" i="256"/>
  <c r="E18" i="256"/>
  <c r="D18" i="256"/>
  <c r="E17" i="256"/>
  <c r="D17" i="256"/>
  <c r="D16" i="256"/>
  <c r="I36" i="136"/>
  <c r="F17" i="256" l="1"/>
  <c r="F40" i="256"/>
  <c r="F60" i="256"/>
  <c r="F19" i="256"/>
  <c r="F53" i="256"/>
  <c r="F58" i="256"/>
  <c r="F66" i="256"/>
  <c r="F32" i="256"/>
  <c r="F44" i="256"/>
  <c r="F27" i="256"/>
  <c r="F18" i="256"/>
  <c r="F46" i="256"/>
  <c r="F62" i="256"/>
  <c r="F72" i="256"/>
  <c r="F26" i="256"/>
  <c r="F28" i="256"/>
  <c r="F73" i="256"/>
  <c r="F50" i="256"/>
  <c r="F21" i="256"/>
  <c r="F57" i="256"/>
  <c r="F59" i="256"/>
  <c r="F74" i="256"/>
  <c r="F33" i="256"/>
  <c r="F35" i="256"/>
  <c r="F52" i="256"/>
  <c r="F39" i="256"/>
  <c r="F41" i="256" s="1"/>
  <c r="F45" i="256"/>
  <c r="F61" i="256"/>
  <c r="F25" i="256"/>
  <c r="F51" i="256"/>
  <c r="F34" i="256"/>
  <c r="D21" i="16"/>
  <c r="H23" i="124"/>
  <c r="F75" i="256" l="1"/>
  <c r="F47" i="256"/>
  <c r="F54" i="256"/>
  <c r="F63" i="256"/>
  <c r="F36" i="256"/>
  <c r="F29" i="256"/>
  <c r="AU87" i="240"/>
  <c r="AV87" i="240"/>
  <c r="AW87" i="240"/>
  <c r="AX87" i="240"/>
  <c r="AY87" i="240"/>
  <c r="AZ87" i="240"/>
  <c r="BA87" i="240"/>
  <c r="BB87" i="240"/>
  <c r="BC87" i="240"/>
  <c r="BD87" i="240"/>
  <c r="BE87" i="240"/>
  <c r="BF87" i="240"/>
  <c r="BG87" i="240"/>
  <c r="BH87" i="240"/>
  <c r="BI87" i="240"/>
  <c r="BJ87" i="240"/>
  <c r="B85" i="240"/>
  <c r="F78" i="256" l="1"/>
  <c r="F79" i="256" s="1"/>
  <c r="F80" i="256" s="1"/>
  <c r="AU72" i="240"/>
  <c r="AV72" i="240"/>
  <c r="AW72" i="240"/>
  <c r="AX72" i="240"/>
  <c r="AY72" i="240"/>
  <c r="AZ72" i="240"/>
  <c r="BA72" i="240"/>
  <c r="BB72" i="240"/>
  <c r="BC72" i="240"/>
  <c r="BD72" i="240"/>
  <c r="BE72" i="240"/>
  <c r="BF72" i="240"/>
  <c r="BG72" i="240"/>
  <c r="BH72" i="240"/>
  <c r="BI72" i="240"/>
  <c r="BJ72" i="240"/>
  <c r="O79" i="240"/>
  <c r="O80" i="240" s="1"/>
  <c r="AS79" i="240"/>
  <c r="AS80" i="240" s="1"/>
  <c r="AT79" i="240"/>
  <c r="AT80" i="240" s="1"/>
  <c r="B83" i="240"/>
  <c r="B84" i="240"/>
  <c r="B82" i="240"/>
  <c r="A2" i="240"/>
  <c r="G1" i="240" s="1"/>
  <c r="G24" i="235"/>
  <c r="G24" i="239"/>
  <c r="BI37" i="149" l="1"/>
  <c r="BJ37" i="149"/>
  <c r="BK37" i="149"/>
  <c r="CI37" i="149" s="1"/>
  <c r="BM37" i="149"/>
  <c r="BO37" i="149"/>
  <c r="CD37" i="149"/>
  <c r="CE37" i="149"/>
  <c r="CF37" i="149"/>
  <c r="CS37" i="149"/>
  <c r="CT37" i="149"/>
  <c r="CW37" i="149"/>
  <c r="DD37" i="149"/>
  <c r="DG37" i="149"/>
  <c r="DH37" i="149"/>
  <c r="DI37" i="149"/>
  <c r="DU37" i="149"/>
  <c r="BI38" i="149"/>
  <c r="BJ38" i="149"/>
  <c r="BK38" i="149"/>
  <c r="CI38" i="149" s="1"/>
  <c r="BM38" i="149"/>
  <c r="BO38" i="149"/>
  <c r="BP38" i="149"/>
  <c r="DV38" i="149" s="1"/>
  <c r="DY38" i="149" s="1"/>
  <c r="BQ38" i="149"/>
  <c r="BR38" i="149"/>
  <c r="BU38" i="149" s="1"/>
  <c r="CD38" i="149"/>
  <c r="CE38" i="149"/>
  <c r="CF38" i="149"/>
  <c r="CS38" i="149"/>
  <c r="CT38" i="149"/>
  <c r="CW38" i="149"/>
  <c r="DD38" i="149"/>
  <c r="DG38" i="149"/>
  <c r="DH38" i="149"/>
  <c r="DI38" i="149"/>
  <c r="DU38" i="149"/>
  <c r="CY38" i="149" l="1"/>
  <c r="BV38" i="149"/>
  <c r="BQ37" i="149"/>
  <c r="BP37" i="149"/>
  <c r="DV37" i="149" s="1"/>
  <c r="CJ37" i="149"/>
  <c r="BN37" i="149"/>
  <c r="CL37" i="149"/>
  <c r="BL37" i="149"/>
  <c r="DO37" i="149"/>
  <c r="BN38" i="149"/>
  <c r="BL38" i="149"/>
  <c r="CM38" i="149" s="1"/>
  <c r="DA38" i="149"/>
  <c r="EB38" i="149"/>
  <c r="EC38" i="149" s="1"/>
  <c r="CJ38" i="149"/>
  <c r="CL38" i="149"/>
  <c r="DO38" i="149"/>
  <c r="BI39" i="149"/>
  <c r="BJ39" i="149"/>
  <c r="BK39" i="149"/>
  <c r="BN39" i="149" s="1"/>
  <c r="BM39" i="149"/>
  <c r="BO39" i="149"/>
  <c r="CF39" i="149"/>
  <c r="CS39" i="149"/>
  <c r="CT39" i="149"/>
  <c r="CW39" i="149"/>
  <c r="DI39" i="149"/>
  <c r="DU39" i="149"/>
  <c r="BI40" i="149"/>
  <c r="BJ40" i="149"/>
  <c r="BK40" i="149"/>
  <c r="DD40" i="149" s="1"/>
  <c r="BM40" i="149"/>
  <c r="BO40" i="149"/>
  <c r="BQ40" i="149"/>
  <c r="CE40" i="149"/>
  <c r="CF40" i="149"/>
  <c r="CI40" i="149"/>
  <c r="CJ40" i="149"/>
  <c r="CS40" i="149"/>
  <c r="CT40" i="149"/>
  <c r="CW40" i="149"/>
  <c r="DI40" i="149"/>
  <c r="DU40" i="149"/>
  <c r="BI41" i="149"/>
  <c r="BJ41" i="149"/>
  <c r="BK41" i="149"/>
  <c r="BL41" i="149" s="1"/>
  <c r="BM41" i="149"/>
  <c r="BO41" i="149"/>
  <c r="CF41" i="149"/>
  <c r="CS41" i="149"/>
  <c r="CT41" i="149"/>
  <c r="CW41" i="149"/>
  <c r="DI41" i="149"/>
  <c r="DO41" i="149"/>
  <c r="DU41" i="149"/>
  <c r="BI42" i="149"/>
  <c r="BJ42" i="149"/>
  <c r="BK42" i="149"/>
  <c r="BM42" i="149"/>
  <c r="BN42" i="149"/>
  <c r="BO42" i="149"/>
  <c r="CF42" i="149"/>
  <c r="CS42" i="149"/>
  <c r="CT42" i="149"/>
  <c r="CW42" i="149"/>
  <c r="DI42" i="149"/>
  <c r="DU42" i="149"/>
  <c r="BI43" i="149"/>
  <c r="BJ43" i="149"/>
  <c r="BK43" i="149"/>
  <c r="CE43" i="149" s="1"/>
  <c r="BM43" i="149"/>
  <c r="BO43" i="149"/>
  <c r="CD43" i="149"/>
  <c r="CF43" i="149"/>
  <c r="CS43" i="149"/>
  <c r="CT43" i="149"/>
  <c r="CW43" i="149"/>
  <c r="DI43" i="149"/>
  <c r="DU43" i="149"/>
  <c r="BI44" i="149"/>
  <c r="BJ44" i="149"/>
  <c r="BK44" i="149"/>
  <c r="DO44" i="149" s="1"/>
  <c r="BL44" i="149"/>
  <c r="BM44" i="149"/>
  <c r="BN44" i="149"/>
  <c r="BO44" i="149"/>
  <c r="CF44" i="149"/>
  <c r="CJ44" i="149"/>
  <c r="CL44" i="149"/>
  <c r="CM44" i="149"/>
  <c r="CS44" i="149"/>
  <c r="CT44" i="149"/>
  <c r="CW44" i="149"/>
  <c r="DI44" i="149"/>
  <c r="DU44" i="149"/>
  <c r="BI45" i="149"/>
  <c r="BJ45" i="149"/>
  <c r="BK45" i="149"/>
  <c r="CY45" i="149" s="1"/>
  <c r="BL45" i="149"/>
  <c r="BM45" i="149"/>
  <c r="BN45" i="149"/>
  <c r="BO45" i="149"/>
  <c r="CB45" i="149" s="1"/>
  <c r="BP45" i="149"/>
  <c r="BQ45" i="149"/>
  <c r="BR45" i="149"/>
  <c r="BS45" i="149"/>
  <c r="BT45" i="149"/>
  <c r="BU45" i="149"/>
  <c r="BV45" i="149"/>
  <c r="BW45" i="149"/>
  <c r="CA45" i="149"/>
  <c r="CD45" i="149"/>
  <c r="CE45" i="149"/>
  <c r="CF45" i="149"/>
  <c r="CS45" i="149"/>
  <c r="CT45" i="149"/>
  <c r="CW45" i="149"/>
  <c r="DG45" i="149"/>
  <c r="DH45" i="149"/>
  <c r="DI45" i="149"/>
  <c r="DO45" i="149"/>
  <c r="DU45" i="149"/>
  <c r="DV45" i="149"/>
  <c r="DY45" i="149"/>
  <c r="EB45" i="149"/>
  <c r="CX45" i="149" l="1"/>
  <c r="CZ45" i="149" s="1"/>
  <c r="DA45" i="149"/>
  <c r="DO42" i="149"/>
  <c r="BL42" i="149"/>
  <c r="CA42" i="149"/>
  <c r="DD43" i="149"/>
  <c r="CG45" i="149"/>
  <c r="BZ45" i="149"/>
  <c r="BQ39" i="149"/>
  <c r="DH43" i="149"/>
  <c r="DO40" i="149"/>
  <c r="CL43" i="149"/>
  <c r="BP39" i="149"/>
  <c r="DV39" i="149" s="1"/>
  <c r="DY39" i="149" s="1"/>
  <c r="EB37" i="149"/>
  <c r="DY37" i="149"/>
  <c r="BL43" i="149"/>
  <c r="DO39" i="149"/>
  <c r="BX45" i="149"/>
  <c r="DG43" i="149"/>
  <c r="CL42" i="149"/>
  <c r="CJ43" i="149"/>
  <c r="BQ42" i="149"/>
  <c r="BR42" i="149" s="1"/>
  <c r="BR37" i="149"/>
  <c r="DG42" i="149"/>
  <c r="DO43" i="149"/>
  <c r="CL45" i="149"/>
  <c r="CJ45" i="149"/>
  <c r="CI43" i="149"/>
  <c r="BP42" i="149"/>
  <c r="DV42" i="149" s="1"/>
  <c r="EC45" i="149"/>
  <c r="EE45" i="149" s="1"/>
  <c r="CI45" i="149"/>
  <c r="CX38" i="149"/>
  <c r="DB38" i="149"/>
  <c r="DC38" i="149"/>
  <c r="CA37" i="149"/>
  <c r="CB37" i="149"/>
  <c r="CG37" i="149" s="1"/>
  <c r="BT37" i="149"/>
  <c r="CM37" i="149"/>
  <c r="BS37" i="149"/>
  <c r="BZ37" i="149" s="1"/>
  <c r="ED38" i="149"/>
  <c r="EF38" i="149" s="1"/>
  <c r="EE38" i="149"/>
  <c r="CB38" i="149"/>
  <c r="CG38" i="149" s="1"/>
  <c r="BT38" i="149"/>
  <c r="BS38" i="149"/>
  <c r="BZ38" i="149" s="1"/>
  <c r="CA38" i="149"/>
  <c r="DE45" i="149"/>
  <c r="EB42" i="149"/>
  <c r="DY42" i="149"/>
  <c r="CI41" i="149"/>
  <c r="CG41" i="149"/>
  <c r="CI44" i="149"/>
  <c r="CE41" i="149"/>
  <c r="CL39" i="149"/>
  <c r="BL39" i="149"/>
  <c r="CB39" i="149" s="1"/>
  <c r="CG39" i="149" s="1"/>
  <c r="DH41" i="149"/>
  <c r="CD41" i="149"/>
  <c r="DG41" i="149"/>
  <c r="CB41" i="149"/>
  <c r="CJ39" i="149"/>
  <c r="CE44" i="149"/>
  <c r="CA41" i="149"/>
  <c r="CI39" i="149"/>
  <c r="DH44" i="149"/>
  <c r="CD44" i="149"/>
  <c r="DD41" i="149"/>
  <c r="CM45" i="149"/>
  <c r="CK45" i="149" s="1"/>
  <c r="DG44" i="149"/>
  <c r="CB44" i="149"/>
  <c r="CG44" i="149" s="1"/>
  <c r="CJ42" i="149"/>
  <c r="BP40" i="149"/>
  <c r="CA44" i="149"/>
  <c r="CI42" i="149"/>
  <c r="CE39" i="149"/>
  <c r="DD44" i="149"/>
  <c r="BQ43" i="149"/>
  <c r="BN40" i="149"/>
  <c r="DH39" i="149"/>
  <c r="CD39" i="149"/>
  <c r="BP43" i="149"/>
  <c r="DV43" i="149" s="1"/>
  <c r="DG39" i="149"/>
  <c r="CE42" i="149"/>
  <c r="CL40" i="149"/>
  <c r="BL40" i="149"/>
  <c r="CM40" i="149" s="1"/>
  <c r="BN43" i="149"/>
  <c r="DH42" i="149"/>
  <c r="CD42" i="149"/>
  <c r="DD39" i="149"/>
  <c r="CB42" i="149"/>
  <c r="CG42" i="149" s="1"/>
  <c r="DD42" i="149"/>
  <c r="BQ41" i="149"/>
  <c r="BR41" i="149" s="1"/>
  <c r="BP41" i="149"/>
  <c r="DV41" i="149" s="1"/>
  <c r="DD45" i="149"/>
  <c r="BQ44" i="149"/>
  <c r="BN41" i="149"/>
  <c r="DH40" i="149"/>
  <c r="CD40" i="149"/>
  <c r="DC45" i="149"/>
  <c r="BY45" i="149"/>
  <c r="BP44" i="149"/>
  <c r="DV44" i="149" s="1"/>
  <c r="CM41" i="149"/>
  <c r="DG40" i="149"/>
  <c r="EB39" i="149"/>
  <c r="EC39" i="149" s="1"/>
  <c r="CJ41" i="149"/>
  <c r="DB45" i="149"/>
  <c r="CL41" i="149"/>
  <c r="BU42" i="149" l="1"/>
  <c r="BT42" i="149"/>
  <c r="BS42" i="149"/>
  <c r="CY42" i="149"/>
  <c r="BV42" i="149"/>
  <c r="CA39" i="149"/>
  <c r="ED45" i="149"/>
  <c r="EF45" i="149" s="1"/>
  <c r="CM43" i="149"/>
  <c r="CA43" i="149"/>
  <c r="CB43" i="149"/>
  <c r="CG43" i="149" s="1"/>
  <c r="BR39" i="149"/>
  <c r="BZ42" i="149"/>
  <c r="CM42" i="149"/>
  <c r="EC37" i="149"/>
  <c r="CZ38" i="149"/>
  <c r="DE38" i="149"/>
  <c r="BR43" i="149"/>
  <c r="CY43" i="149" s="1"/>
  <c r="CY37" i="149"/>
  <c r="BV37" i="149"/>
  <c r="BU37" i="149"/>
  <c r="BW37" i="149"/>
  <c r="BY37" i="149"/>
  <c r="BX37" i="149"/>
  <c r="CK37" i="149"/>
  <c r="BW38" i="149"/>
  <c r="BX38" i="149"/>
  <c r="BY38" i="149"/>
  <c r="CK38" i="149"/>
  <c r="BT41" i="149"/>
  <c r="BU41" i="149"/>
  <c r="BV41" i="149"/>
  <c r="BS41" i="149"/>
  <c r="CY41" i="149"/>
  <c r="CN45" i="149"/>
  <c r="CO45" i="149"/>
  <c r="DY44" i="149"/>
  <c r="EB44" i="149"/>
  <c r="EC44" i="149" s="1"/>
  <c r="EC42" i="149"/>
  <c r="DJ45" i="149"/>
  <c r="DP45" i="149"/>
  <c r="DY43" i="149"/>
  <c r="EB43" i="149"/>
  <c r="EC43" i="149" s="1"/>
  <c r="DV40" i="149"/>
  <c r="BR40" i="149"/>
  <c r="CA40" i="149"/>
  <c r="ED39" i="149"/>
  <c r="EF39" i="149" s="1"/>
  <c r="EE39" i="149"/>
  <c r="CM39" i="149"/>
  <c r="CB40" i="149"/>
  <c r="CG40" i="149" s="1"/>
  <c r="BR44" i="149"/>
  <c r="DY41" i="149"/>
  <c r="EB41" i="149"/>
  <c r="EC41" i="149" s="1"/>
  <c r="BV43" i="149" l="1"/>
  <c r="DA37" i="149"/>
  <c r="CX37" i="149"/>
  <c r="DB37" i="149"/>
  <c r="DC37" i="149"/>
  <c r="DP38" i="149"/>
  <c r="DJ38" i="149"/>
  <c r="ED37" i="149"/>
  <c r="EF37" i="149" s="1"/>
  <c r="EE37" i="149"/>
  <c r="BU43" i="149"/>
  <c r="BT43" i="149"/>
  <c r="BS43" i="149"/>
  <c r="CK43" i="149" s="1"/>
  <c r="BT39" i="149"/>
  <c r="CY39" i="149"/>
  <c r="BU39" i="149"/>
  <c r="BV39" i="149"/>
  <c r="BS39" i="149"/>
  <c r="DA42" i="149"/>
  <c r="DC42" i="149"/>
  <c r="DB42" i="149"/>
  <c r="CX42" i="149"/>
  <c r="BX42" i="149"/>
  <c r="BY42" i="149"/>
  <c r="CK42" i="149"/>
  <c r="BW42" i="149"/>
  <c r="CO37" i="149"/>
  <c r="CN37" i="149"/>
  <c r="CO38" i="149"/>
  <c r="CN38" i="149"/>
  <c r="ED44" i="149"/>
  <c r="EF44" i="149" s="1"/>
  <c r="EE44" i="149"/>
  <c r="ED42" i="149"/>
  <c r="EF42" i="149" s="1"/>
  <c r="EE42" i="149"/>
  <c r="BT44" i="149"/>
  <c r="BU44" i="149"/>
  <c r="BV44" i="149"/>
  <c r="BS44" i="149"/>
  <c r="CY44" i="149"/>
  <c r="ED41" i="149"/>
  <c r="EF41" i="149" s="1"/>
  <c r="EE41" i="149"/>
  <c r="DL45" i="149"/>
  <c r="DM45" i="149"/>
  <c r="CP45" i="149"/>
  <c r="BS40" i="149"/>
  <c r="BT40" i="149"/>
  <c r="BU40" i="149"/>
  <c r="CY40" i="149"/>
  <c r="BV40" i="149"/>
  <c r="DY40" i="149"/>
  <c r="EB40" i="149"/>
  <c r="EC40" i="149" s="1"/>
  <c r="CX43" i="149"/>
  <c r="DA43" i="149"/>
  <c r="DB43" i="149"/>
  <c r="DC43" i="149"/>
  <c r="ED43" i="149"/>
  <c r="EF43" i="149" s="1"/>
  <c r="EE43" i="149"/>
  <c r="CX41" i="149"/>
  <c r="DC41" i="149"/>
  <c r="DA41" i="149"/>
  <c r="DB41" i="149"/>
  <c r="CK41" i="149"/>
  <c r="BW41" i="149"/>
  <c r="BZ41" i="149"/>
  <c r="BY41" i="149"/>
  <c r="BX41" i="149"/>
  <c r="BW39" i="149" l="1"/>
  <c r="BY39" i="149"/>
  <c r="BX39" i="149"/>
  <c r="BZ39" i="149"/>
  <c r="CX39" i="149"/>
  <c r="DA39" i="149"/>
  <c r="DC39" i="149"/>
  <c r="DB39" i="149"/>
  <c r="CK39" i="149"/>
  <c r="CZ37" i="149"/>
  <c r="DE37" i="149"/>
  <c r="DE42" i="149"/>
  <c r="CZ42" i="149"/>
  <c r="BX43" i="149"/>
  <c r="BZ43" i="149"/>
  <c r="BY43" i="149"/>
  <c r="BW43" i="149"/>
  <c r="CN42" i="149"/>
  <c r="CO42" i="149"/>
  <c r="DM37" i="149"/>
  <c r="DL37" i="149"/>
  <c r="CP37" i="149"/>
  <c r="DM38" i="149"/>
  <c r="DL38" i="149"/>
  <c r="CP38" i="149"/>
  <c r="CN43" i="149"/>
  <c r="CO43" i="149"/>
  <c r="DN45" i="149"/>
  <c r="CK44" i="149"/>
  <c r="BW44" i="149"/>
  <c r="BZ44" i="149"/>
  <c r="BY44" i="149"/>
  <c r="BX44" i="149"/>
  <c r="ED40" i="149"/>
  <c r="EF40" i="149" s="1"/>
  <c r="EE40" i="149"/>
  <c r="CZ43" i="149"/>
  <c r="DE43" i="149"/>
  <c r="CX44" i="149"/>
  <c r="DA44" i="149"/>
  <c r="DC44" i="149"/>
  <c r="DB44" i="149"/>
  <c r="CK40" i="149"/>
  <c r="BY40" i="149"/>
  <c r="BW40" i="149"/>
  <c r="BX40" i="149"/>
  <c r="BZ40" i="149"/>
  <c r="CZ41" i="149"/>
  <c r="DE41" i="149"/>
  <c r="CO41" i="149"/>
  <c r="CN41" i="149"/>
  <c r="DC40" i="149"/>
  <c r="CX40" i="149"/>
  <c r="DA40" i="149"/>
  <c r="DB40" i="149"/>
  <c r="DM42" i="149" l="1"/>
  <c r="CP42" i="149"/>
  <c r="DL42" i="149"/>
  <c r="CZ39" i="149"/>
  <c r="DE39" i="149"/>
  <c r="DP42" i="149"/>
  <c r="DJ42" i="149"/>
  <c r="DN42" i="149" s="1"/>
  <c r="DJ37" i="149"/>
  <c r="DP37" i="149"/>
  <c r="CO39" i="149"/>
  <c r="CN39" i="149"/>
  <c r="DN38" i="149"/>
  <c r="DR38" i="149" s="1"/>
  <c r="DS38" i="149" s="1"/>
  <c r="DN37" i="149"/>
  <c r="DQ37" i="149" s="1"/>
  <c r="CZ40" i="149"/>
  <c r="DE40" i="149"/>
  <c r="DP43" i="149"/>
  <c r="DJ43" i="149"/>
  <c r="CN44" i="149"/>
  <c r="CO44" i="149"/>
  <c r="DP41" i="149"/>
  <c r="DJ41" i="149"/>
  <c r="DL41" i="149"/>
  <c r="DM41" i="149"/>
  <c r="CP41" i="149"/>
  <c r="CN40" i="149"/>
  <c r="CO40" i="149"/>
  <c r="CZ44" i="149"/>
  <c r="DE44" i="149"/>
  <c r="DQ45" i="149"/>
  <c r="DR45" i="149"/>
  <c r="DS45" i="149" s="1"/>
  <c r="DL43" i="149"/>
  <c r="DM43" i="149"/>
  <c r="CP43" i="149"/>
  <c r="DR42" i="149" l="1"/>
  <c r="DS42" i="149" s="1"/>
  <c r="DQ42" i="149"/>
  <c r="DP39" i="149"/>
  <c r="DJ39" i="149"/>
  <c r="DN39" i="149" s="1"/>
  <c r="DL39" i="149"/>
  <c r="DM39" i="149"/>
  <c r="CP39" i="149"/>
  <c r="DQ38" i="149"/>
  <c r="DN41" i="149"/>
  <c r="DR41" i="149" s="1"/>
  <c r="DS41" i="149" s="1"/>
  <c r="DN43" i="149"/>
  <c r="DQ43" i="149" s="1"/>
  <c r="DR37" i="149"/>
  <c r="DS37" i="149" s="1"/>
  <c r="DL40" i="149"/>
  <c r="DM40" i="149"/>
  <c r="CP40" i="149"/>
  <c r="DL44" i="149"/>
  <c r="DM44" i="149"/>
  <c r="CP44" i="149"/>
  <c r="DP44" i="149"/>
  <c r="DJ44" i="149"/>
  <c r="DJ40" i="149"/>
  <c r="DP40" i="149"/>
  <c r="DQ39" i="149" l="1"/>
  <c r="DR39" i="149"/>
  <c r="DS39" i="149" s="1"/>
  <c r="DQ41" i="149"/>
  <c r="DR43" i="149"/>
  <c r="DS43" i="149" s="1"/>
  <c r="DN44" i="149"/>
  <c r="DQ44" i="149" s="1"/>
  <c r="DN40" i="149"/>
  <c r="DQ40" i="149" s="1"/>
  <c r="DR40" i="149" l="1"/>
  <c r="DS40" i="149" s="1"/>
  <c r="DR44" i="149"/>
  <c r="DS44" i="149" s="1"/>
  <c r="A72" i="240" l="1"/>
  <c r="A14" i="240"/>
  <c r="B14" i="240"/>
  <c r="C14" i="240"/>
  <c r="A15" i="240"/>
  <c r="B15" i="240"/>
  <c r="C15" i="240"/>
  <c r="A16" i="240"/>
  <c r="B16" i="240"/>
  <c r="C16" i="240"/>
  <c r="D16" i="240"/>
  <c r="E16" i="240"/>
  <c r="A17" i="240"/>
  <c r="B17" i="240"/>
  <c r="C17" i="240"/>
  <c r="D17" i="240"/>
  <c r="E17" i="240"/>
  <c r="F17" i="240"/>
  <c r="A18" i="240"/>
  <c r="B18" i="240"/>
  <c r="C18" i="240"/>
  <c r="D18" i="240"/>
  <c r="E18" i="240"/>
  <c r="F18" i="240"/>
  <c r="A19" i="240"/>
  <c r="B19" i="240"/>
  <c r="C19" i="240"/>
  <c r="A20" i="240"/>
  <c r="B20" i="240"/>
  <c r="C20" i="240"/>
  <c r="A21" i="240"/>
  <c r="B21" i="240"/>
  <c r="C21" i="240"/>
  <c r="A22" i="240"/>
  <c r="B22" i="240"/>
  <c r="C22" i="240"/>
  <c r="A23" i="240"/>
  <c r="B23" i="240"/>
  <c r="C23" i="240"/>
  <c r="D23" i="240"/>
  <c r="E23" i="240"/>
  <c r="A24" i="240"/>
  <c r="B24" i="240"/>
  <c r="C24" i="240"/>
  <c r="D24" i="240"/>
  <c r="E24" i="240"/>
  <c r="F24" i="240"/>
  <c r="A25" i="240"/>
  <c r="B25" i="240"/>
  <c r="C25" i="240"/>
  <c r="D25" i="240"/>
  <c r="E25" i="240"/>
  <c r="F25" i="240"/>
  <c r="A26" i="240"/>
  <c r="B26" i="240"/>
  <c r="C26" i="240"/>
  <c r="A27" i="240"/>
  <c r="B27" i="240"/>
  <c r="C27" i="240"/>
  <c r="A28" i="240"/>
  <c r="B28" i="240"/>
  <c r="C28" i="240"/>
  <c r="A29" i="240"/>
  <c r="B29" i="240"/>
  <c r="C29" i="240"/>
  <c r="A30" i="240"/>
  <c r="B30" i="240"/>
  <c r="C30" i="240"/>
  <c r="D30" i="240"/>
  <c r="E30" i="240"/>
  <c r="A31" i="240"/>
  <c r="B31" i="240"/>
  <c r="C31" i="240"/>
  <c r="D31" i="240"/>
  <c r="E31" i="240"/>
  <c r="F31" i="240"/>
  <c r="A32" i="240"/>
  <c r="B32" i="240"/>
  <c r="C32" i="240"/>
  <c r="D32" i="240"/>
  <c r="E32" i="240"/>
  <c r="F32" i="240"/>
  <c r="A33" i="240"/>
  <c r="B33" i="240"/>
  <c r="C33" i="240"/>
  <c r="A34" i="240"/>
  <c r="B34" i="240"/>
  <c r="C34" i="240"/>
  <c r="A35" i="240"/>
  <c r="B35" i="240"/>
  <c r="C35" i="240"/>
  <c r="D35" i="240"/>
  <c r="E35" i="240"/>
  <c r="A36" i="240"/>
  <c r="B36" i="240"/>
  <c r="C36" i="240"/>
  <c r="D36" i="240"/>
  <c r="E36" i="240"/>
  <c r="F36" i="240"/>
  <c r="A37" i="240"/>
  <c r="B37" i="240"/>
  <c r="C37" i="240"/>
  <c r="D37" i="240"/>
  <c r="E37" i="240"/>
  <c r="F37" i="240"/>
  <c r="A38" i="240"/>
  <c r="B38" i="240"/>
  <c r="C38" i="240"/>
  <c r="A39" i="240"/>
  <c r="B39" i="240"/>
  <c r="C39" i="240"/>
  <c r="A40" i="240"/>
  <c r="B40" i="240"/>
  <c r="C40" i="240"/>
  <c r="A41" i="240"/>
  <c r="B41" i="240"/>
  <c r="C41" i="240"/>
  <c r="D41" i="240"/>
  <c r="E41" i="240"/>
  <c r="A42" i="240"/>
  <c r="B42" i="240"/>
  <c r="C42" i="240"/>
  <c r="D42" i="240"/>
  <c r="E42" i="240"/>
  <c r="F42" i="240"/>
  <c r="A43" i="240"/>
  <c r="B43" i="240"/>
  <c r="C43" i="240"/>
  <c r="D43" i="240"/>
  <c r="E43" i="240"/>
  <c r="F43" i="240"/>
  <c r="A44" i="240"/>
  <c r="B44" i="240"/>
  <c r="A45" i="240"/>
  <c r="B45" i="240"/>
  <c r="A46" i="240"/>
  <c r="B46" i="240"/>
  <c r="A47" i="240"/>
  <c r="B47" i="240"/>
  <c r="A48" i="240"/>
  <c r="B48" i="240"/>
  <c r="C48" i="240"/>
  <c r="D48" i="240"/>
  <c r="E48" i="240"/>
  <c r="A49" i="240"/>
  <c r="B49" i="240"/>
  <c r="C49" i="240"/>
  <c r="D49" i="240"/>
  <c r="E49" i="240"/>
  <c r="F49" i="240"/>
  <c r="A50" i="240"/>
  <c r="B50" i="240"/>
  <c r="C50" i="240"/>
  <c r="D50" i="240"/>
  <c r="E50" i="240"/>
  <c r="F50" i="240"/>
  <c r="A51" i="240"/>
  <c r="B51" i="240"/>
  <c r="C51" i="240"/>
  <c r="A52" i="240"/>
  <c r="B52" i="240"/>
  <c r="C52" i="240"/>
  <c r="A53" i="240"/>
  <c r="B53" i="240"/>
  <c r="C53" i="240"/>
  <c r="A54" i="240"/>
  <c r="B54" i="240"/>
  <c r="C54" i="240"/>
  <c r="A55" i="240"/>
  <c r="B55" i="240"/>
  <c r="C55" i="240"/>
  <c r="A56" i="240"/>
  <c r="B56" i="240"/>
  <c r="C56" i="240"/>
  <c r="A57" i="240"/>
  <c r="B57" i="240"/>
  <c r="C57" i="240"/>
  <c r="D57" i="240"/>
  <c r="E57" i="240"/>
  <c r="A58" i="240"/>
  <c r="B58" i="240"/>
  <c r="C58" i="240"/>
  <c r="D58" i="240"/>
  <c r="E58" i="240"/>
  <c r="F58" i="240"/>
  <c r="A59" i="240"/>
  <c r="B59" i="240"/>
  <c r="C59" i="240"/>
  <c r="D59" i="240"/>
  <c r="E59" i="240"/>
  <c r="F59" i="240"/>
  <c r="A60" i="240"/>
  <c r="B60" i="240"/>
  <c r="C60" i="240"/>
  <c r="A61" i="240"/>
  <c r="B61" i="240"/>
  <c r="C61" i="240"/>
  <c r="A62" i="240"/>
  <c r="B62" i="240"/>
  <c r="C62" i="240"/>
  <c r="A63" i="240"/>
  <c r="B63" i="240"/>
  <c r="C63" i="240"/>
  <c r="D63" i="240"/>
  <c r="E63" i="240"/>
  <c r="A64" i="240"/>
  <c r="B64" i="240"/>
  <c r="C64" i="240"/>
  <c r="D64" i="240"/>
  <c r="E64" i="240"/>
  <c r="F64" i="240"/>
  <c r="A65" i="240"/>
  <c r="B65" i="240"/>
  <c r="C65" i="240"/>
  <c r="D65" i="240"/>
  <c r="E65" i="240"/>
  <c r="F65" i="240"/>
  <c r="A66" i="240"/>
  <c r="B66" i="240"/>
  <c r="C66" i="240"/>
  <c r="A67" i="240"/>
  <c r="B67" i="240"/>
  <c r="C67" i="240"/>
  <c r="A68" i="240"/>
  <c r="B68" i="240"/>
  <c r="C68" i="240"/>
  <c r="A69" i="240"/>
  <c r="B69" i="240"/>
  <c r="C69" i="240"/>
  <c r="D69" i="240"/>
  <c r="E69" i="240"/>
  <c r="A8" i="240"/>
  <c r="B8" i="240"/>
  <c r="C8" i="240"/>
  <c r="D8" i="240"/>
  <c r="E8" i="240"/>
  <c r="F8" i="240"/>
  <c r="A9" i="240"/>
  <c r="B9" i="240"/>
  <c r="C9" i="240"/>
  <c r="D9" i="240"/>
  <c r="E9" i="240"/>
  <c r="F9" i="240"/>
  <c r="A10" i="240"/>
  <c r="B10" i="240"/>
  <c r="C10" i="240"/>
  <c r="A11" i="240"/>
  <c r="B11" i="240"/>
  <c r="C11" i="240"/>
  <c r="A12" i="240"/>
  <c r="B12" i="240"/>
  <c r="C12" i="240"/>
  <c r="A13" i="240"/>
  <c r="B13" i="240"/>
  <c r="C13" i="240"/>
  <c r="B7" i="240"/>
  <c r="C7" i="240"/>
  <c r="D7" i="240"/>
  <c r="E7" i="240"/>
  <c r="F7" i="240"/>
  <c r="A7" i="240"/>
  <c r="A37" i="254" l="1"/>
  <c r="A61" i="136"/>
  <c r="A56" i="135"/>
  <c r="A31" i="134"/>
  <c r="A29" i="133"/>
  <c r="A27" i="133"/>
  <c r="B1" i="255"/>
  <c r="A42" i="255"/>
  <c r="A40" i="255"/>
  <c r="C32" i="255"/>
  <c r="C28" i="255"/>
  <c r="C21" i="255"/>
  <c r="C34" i="255" l="1"/>
  <c r="D79" i="16" s="1"/>
  <c r="A35" i="254"/>
  <c r="E12" i="254"/>
  <c r="E13" i="254" l="1"/>
  <c r="E14" i="254" s="1"/>
  <c r="D12" i="254"/>
  <c r="G12" i="254"/>
  <c r="G13" i="254"/>
  <c r="D13" i="254"/>
  <c r="G14" i="254" l="1"/>
  <c r="D14" i="254"/>
  <c r="E17" i="254"/>
  <c r="D17" i="254" l="1"/>
  <c r="G17" i="254"/>
  <c r="F23" i="254" l="1"/>
  <c r="D23" i="254"/>
  <c r="I24" i="254" l="1"/>
  <c r="G25" i="144" l="1"/>
  <c r="H25" i="144" s="1"/>
  <c r="E25" i="144"/>
  <c r="G25" i="121"/>
  <c r="H25" i="121" s="1"/>
  <c r="E25" i="121"/>
  <c r="G27" i="144"/>
  <c r="G27" i="121"/>
  <c r="G25" i="120"/>
  <c r="CP163" i="149"/>
  <c r="BI46" i="149"/>
  <c r="BK46" i="149"/>
  <c r="BX46" i="149" s="1"/>
  <c r="BM46" i="149"/>
  <c r="BO46" i="149"/>
  <c r="DI46" i="149"/>
  <c r="BO51" i="149"/>
  <c r="BU51" i="149"/>
  <c r="BW51" i="149"/>
  <c r="BX51" i="149"/>
  <c r="BY51" i="149"/>
  <c r="BZ51" i="149"/>
  <c r="CN51" i="149"/>
  <c r="CO51" i="149"/>
  <c r="DO51" i="149"/>
  <c r="DQ51" i="149"/>
  <c r="DR51" i="149"/>
  <c r="BO58" i="149"/>
  <c r="BU58" i="149"/>
  <c r="BW58" i="149"/>
  <c r="BX58" i="149"/>
  <c r="BY58" i="149"/>
  <c r="BZ58" i="149"/>
  <c r="CN58" i="149"/>
  <c r="CO58" i="149"/>
  <c r="DO58" i="149"/>
  <c r="DQ58" i="149"/>
  <c r="DR58" i="149"/>
  <c r="BI59" i="149"/>
  <c r="BJ59" i="149"/>
  <c r="BK59" i="149"/>
  <c r="BN59" i="149" s="1"/>
  <c r="BM59" i="149"/>
  <c r="BO59" i="149"/>
  <c r="BP59" i="149"/>
  <c r="DV59" i="149" s="1"/>
  <c r="BQ59" i="149"/>
  <c r="CF59" i="149"/>
  <c r="CS59" i="149"/>
  <c r="CT59" i="149"/>
  <c r="CW59" i="149"/>
  <c r="DF59" i="149"/>
  <c r="DI59" i="149" s="1"/>
  <c r="DU59" i="149"/>
  <c r="BI60" i="149"/>
  <c r="BJ60" i="149"/>
  <c r="BK60" i="149"/>
  <c r="BL60" i="149" s="1"/>
  <c r="CM60" i="149" s="1"/>
  <c r="BM60" i="149"/>
  <c r="BO60" i="149"/>
  <c r="CF60" i="149"/>
  <c r="CS60" i="149"/>
  <c r="CT60" i="149"/>
  <c r="CW60" i="149"/>
  <c r="DF60" i="149"/>
  <c r="DI60" i="149"/>
  <c r="DU60" i="149"/>
  <c r="BI61" i="149"/>
  <c r="BJ61" i="149"/>
  <c r="BK61" i="149"/>
  <c r="CI61" i="149" s="1"/>
  <c r="BM61" i="149"/>
  <c r="BO61" i="149"/>
  <c r="CF61" i="149"/>
  <c r="CS61" i="149"/>
  <c r="CT61" i="149"/>
  <c r="CW61" i="149"/>
  <c r="DF61" i="149"/>
  <c r="DI61" i="149"/>
  <c r="DU61" i="149"/>
  <c r="BI62" i="149"/>
  <c r="BJ62" i="149"/>
  <c r="BK62" i="149"/>
  <c r="BQ62" i="149" s="1"/>
  <c r="BL62" i="149"/>
  <c r="BM62" i="149"/>
  <c r="BO62" i="149"/>
  <c r="BP62" i="149"/>
  <c r="DV62" i="149" s="1"/>
  <c r="EB62" i="149" s="1"/>
  <c r="CB62" i="149"/>
  <c r="CF62" i="149"/>
  <c r="CI62" i="149"/>
  <c r="CS62" i="149"/>
  <c r="CT62" i="149"/>
  <c r="CW62" i="149"/>
  <c r="DF62" i="149"/>
  <c r="DI62" i="149" s="1"/>
  <c r="DO62" i="149"/>
  <c r="DU62" i="149"/>
  <c r="BI63" i="149"/>
  <c r="BJ63" i="149"/>
  <c r="BK63" i="149"/>
  <c r="BL63" i="149" s="1"/>
  <c r="BM63" i="149"/>
  <c r="BO63" i="149"/>
  <c r="CF63" i="149"/>
  <c r="CS63" i="149"/>
  <c r="CT63" i="149"/>
  <c r="CW63" i="149"/>
  <c r="DF63" i="149"/>
  <c r="DI63" i="149"/>
  <c r="DU63" i="149"/>
  <c r="BI64" i="149"/>
  <c r="BJ64" i="149"/>
  <c r="BK64" i="149"/>
  <c r="BQ64" i="149" s="1"/>
  <c r="BM64" i="149"/>
  <c r="BO64" i="149"/>
  <c r="CF64" i="149"/>
  <c r="CS64" i="149"/>
  <c r="CT64" i="149"/>
  <c r="CW64" i="149"/>
  <c r="DF64" i="149"/>
  <c r="DI64" i="149"/>
  <c r="DU64" i="149"/>
  <c r="BI65" i="149"/>
  <c r="BJ65" i="149"/>
  <c r="BK65" i="149"/>
  <c r="BL65" i="149" s="1"/>
  <c r="BM65" i="149"/>
  <c r="BO65" i="149"/>
  <c r="CF65" i="149"/>
  <c r="CS65" i="149"/>
  <c r="CT65" i="149"/>
  <c r="CW65" i="149"/>
  <c r="DF65" i="149"/>
  <c r="DI65" i="149" s="1"/>
  <c r="DU65" i="149"/>
  <c r="BI66" i="149"/>
  <c r="BJ66" i="149"/>
  <c r="BK66" i="149"/>
  <c r="BN66" i="149" s="1"/>
  <c r="BM66" i="149"/>
  <c r="BO66" i="149"/>
  <c r="CF66" i="149"/>
  <c r="CS66" i="149"/>
  <c r="CT66" i="149"/>
  <c r="CW66" i="149"/>
  <c r="DF66" i="149"/>
  <c r="DI66" i="149" s="1"/>
  <c r="DU66" i="149"/>
  <c r="BI67" i="149"/>
  <c r="BJ67" i="149"/>
  <c r="BK67" i="149"/>
  <c r="BM67" i="149"/>
  <c r="BO67" i="149"/>
  <c r="CF67" i="149"/>
  <c r="CS67" i="149"/>
  <c r="CT67" i="149"/>
  <c r="CW67" i="149"/>
  <c r="DF67" i="149"/>
  <c r="DI67" i="149" s="1"/>
  <c r="DU67" i="149"/>
  <c r="BI68" i="149"/>
  <c r="BJ68" i="149"/>
  <c r="BK68" i="149"/>
  <c r="CJ68" i="149" s="1"/>
  <c r="BL68" i="149"/>
  <c r="BM68" i="149"/>
  <c r="BN68" i="149"/>
  <c r="BO68" i="149"/>
  <c r="CF68" i="149"/>
  <c r="CS68" i="149"/>
  <c r="CT68" i="149"/>
  <c r="CW68" i="149"/>
  <c r="DF68" i="149"/>
  <c r="DI68" i="149" s="1"/>
  <c r="DU68" i="149"/>
  <c r="BI69" i="149"/>
  <c r="BJ69" i="149"/>
  <c r="BK69" i="149"/>
  <c r="CJ69" i="149" s="1"/>
  <c r="BL69" i="149"/>
  <c r="BM69" i="149"/>
  <c r="BO69" i="149"/>
  <c r="CD69" i="149"/>
  <c r="CF69" i="149"/>
  <c r="CI69" i="149"/>
  <c r="CL69" i="149"/>
  <c r="CS69" i="149"/>
  <c r="CT69" i="149"/>
  <c r="CW69" i="149"/>
  <c r="DF69" i="149"/>
  <c r="DI69" i="149" s="1"/>
  <c r="DU69" i="149"/>
  <c r="BI70" i="149"/>
  <c r="BJ70" i="149"/>
  <c r="BK70" i="149"/>
  <c r="BL70" i="149" s="1"/>
  <c r="CM70" i="149" s="1"/>
  <c r="BM70" i="149"/>
  <c r="BO70" i="149"/>
  <c r="CF70" i="149"/>
  <c r="CJ70" i="149"/>
  <c r="CS70" i="149"/>
  <c r="CT70" i="149"/>
  <c r="CW70" i="149"/>
  <c r="DD70" i="149" s="1"/>
  <c r="DF70" i="149"/>
  <c r="DG70" i="149"/>
  <c r="DH70" i="149"/>
  <c r="DI70" i="149"/>
  <c r="DU70" i="149"/>
  <c r="BI71" i="149"/>
  <c r="BJ71" i="149"/>
  <c r="BK71" i="149"/>
  <c r="CJ71" i="149" s="1"/>
  <c r="BM71" i="149"/>
  <c r="BN71" i="149"/>
  <c r="BO71" i="149"/>
  <c r="BP71" i="149"/>
  <c r="DV71" i="149" s="1"/>
  <c r="CF71" i="149"/>
  <c r="CS71" i="149"/>
  <c r="CT71" i="149"/>
  <c r="CW71" i="149"/>
  <c r="DF71" i="149"/>
  <c r="DI71" i="149" s="1"/>
  <c r="DU71" i="149"/>
  <c r="BI72" i="149"/>
  <c r="BJ72" i="149"/>
  <c r="BK72" i="149"/>
  <c r="CL72" i="149" s="1"/>
  <c r="BL72" i="149"/>
  <c r="BM72" i="149"/>
  <c r="BO72" i="149"/>
  <c r="CF72" i="149"/>
  <c r="CS72" i="149"/>
  <c r="CT72" i="149"/>
  <c r="CW72" i="149"/>
  <c r="DF72" i="149"/>
  <c r="DI72" i="149" s="1"/>
  <c r="DU72" i="149"/>
  <c r="BI73" i="149"/>
  <c r="BJ73" i="149"/>
  <c r="BK73" i="149"/>
  <c r="BL73" i="149" s="1"/>
  <c r="BM73" i="149"/>
  <c r="BN73" i="149"/>
  <c r="BO73" i="149"/>
  <c r="BP73" i="149"/>
  <c r="DV73" i="149" s="1"/>
  <c r="CD73" i="149"/>
  <c r="CE73" i="149"/>
  <c r="CF73" i="149"/>
  <c r="CJ73" i="149"/>
  <c r="CS73" i="149"/>
  <c r="CT73" i="149"/>
  <c r="CW73" i="149"/>
  <c r="DF73" i="149"/>
  <c r="DU73" i="149"/>
  <c r="BI74" i="149"/>
  <c r="BJ74" i="149"/>
  <c r="BK74" i="149"/>
  <c r="BL74" i="149" s="1"/>
  <c r="BM74" i="149"/>
  <c r="BO74" i="149"/>
  <c r="CF74" i="149"/>
  <c r="CS74" i="149"/>
  <c r="CT74" i="149"/>
  <c r="CW74" i="149"/>
  <c r="DF74" i="149"/>
  <c r="DI74" i="149" s="1"/>
  <c r="DU74" i="149"/>
  <c r="BO75" i="149"/>
  <c r="BU75" i="149"/>
  <c r="BW75" i="149"/>
  <c r="BX75" i="149"/>
  <c r="BY75" i="149"/>
  <c r="BZ75" i="149"/>
  <c r="CN75" i="149"/>
  <c r="CO75" i="149"/>
  <c r="DO75" i="149"/>
  <c r="DQ75" i="149"/>
  <c r="DR75" i="149"/>
  <c r="BI76" i="149"/>
  <c r="BJ76" i="149"/>
  <c r="BK76" i="149"/>
  <c r="BL76" i="149" s="1"/>
  <c r="BM76" i="149"/>
  <c r="BO76" i="149"/>
  <c r="CF76" i="149"/>
  <c r="CS76" i="149"/>
  <c r="CT76" i="149"/>
  <c r="CW76" i="149"/>
  <c r="DF76" i="149"/>
  <c r="DI76" i="149"/>
  <c r="DU76" i="149"/>
  <c r="BI77" i="149"/>
  <c r="BJ77" i="149"/>
  <c r="BK77" i="149"/>
  <c r="BL77" i="149" s="1"/>
  <c r="BM77" i="149"/>
  <c r="BN77" i="149"/>
  <c r="BO77" i="149"/>
  <c r="BP77" i="149"/>
  <c r="DV77" i="149" s="1"/>
  <c r="BQ77" i="149"/>
  <c r="BR77" i="149" s="1"/>
  <c r="CA77" i="149"/>
  <c r="CE77" i="149"/>
  <c r="CF77" i="149"/>
  <c r="CS77" i="149"/>
  <c r="CT77" i="149"/>
  <c r="CW77" i="149"/>
  <c r="DF77" i="149"/>
  <c r="DI77" i="149"/>
  <c r="DU77" i="149"/>
  <c r="BI78" i="149"/>
  <c r="BJ78" i="149"/>
  <c r="BK78" i="149"/>
  <c r="BQ78" i="149" s="1"/>
  <c r="BM78" i="149"/>
  <c r="BO78" i="149"/>
  <c r="BP78" i="149"/>
  <c r="DV78" i="149" s="1"/>
  <c r="CD78" i="149"/>
  <c r="CF78" i="149"/>
  <c r="CJ78" i="149"/>
  <c r="CL78" i="149"/>
  <c r="CS78" i="149"/>
  <c r="CT78" i="149"/>
  <c r="CW78" i="149"/>
  <c r="DD78" i="149" s="1"/>
  <c r="DF78" i="149"/>
  <c r="DG78" i="149"/>
  <c r="DI78" i="149"/>
  <c r="DU78" i="149"/>
  <c r="BI79" i="149"/>
  <c r="BJ79" i="149"/>
  <c r="BK79" i="149"/>
  <c r="CI79" i="149" s="1"/>
  <c r="BL79" i="149"/>
  <c r="BM79" i="149"/>
  <c r="BO79" i="149"/>
  <c r="CF79" i="149"/>
  <c r="CS79" i="149"/>
  <c r="CT79" i="149"/>
  <c r="CW79" i="149"/>
  <c r="DF79" i="149"/>
  <c r="DI79" i="149" s="1"/>
  <c r="DU79" i="149"/>
  <c r="BI80" i="149"/>
  <c r="BJ80" i="149"/>
  <c r="BK80" i="149"/>
  <c r="CJ80" i="149" s="1"/>
  <c r="BM80" i="149"/>
  <c r="BO80" i="149"/>
  <c r="CF80" i="149"/>
  <c r="CI80" i="149"/>
  <c r="CS80" i="149"/>
  <c r="CT80" i="149"/>
  <c r="CW80" i="149"/>
  <c r="DF80" i="149"/>
  <c r="DI80" i="149" s="1"/>
  <c r="DU80" i="149"/>
  <c r="BI81" i="149"/>
  <c r="BJ81" i="149"/>
  <c r="BK81" i="149"/>
  <c r="CI81" i="149" s="1"/>
  <c r="BM81" i="149"/>
  <c r="BO81" i="149"/>
  <c r="CF81" i="149"/>
  <c r="CS81" i="149"/>
  <c r="CT81" i="149"/>
  <c r="CW81" i="149"/>
  <c r="DF81" i="149"/>
  <c r="DI81" i="149"/>
  <c r="DU81" i="149"/>
  <c r="DQ34" i="149"/>
  <c r="DR34" i="149"/>
  <c r="DQ35" i="149"/>
  <c r="DR35" i="149"/>
  <c r="DQ82" i="149"/>
  <c r="DR82" i="149"/>
  <c r="DQ101" i="149"/>
  <c r="DR101" i="149"/>
  <c r="DQ115" i="149"/>
  <c r="DR115" i="149"/>
  <c r="DQ124" i="149"/>
  <c r="DR124" i="149"/>
  <c r="DQ130" i="149"/>
  <c r="DR130" i="149"/>
  <c r="DQ137" i="149"/>
  <c r="DR137" i="149"/>
  <c r="DQ141" i="149"/>
  <c r="DR141" i="149"/>
  <c r="DQ144" i="149"/>
  <c r="DR144" i="149"/>
  <c r="DQ147" i="149"/>
  <c r="DR147" i="149"/>
  <c r="DQ150" i="149"/>
  <c r="DR150" i="149"/>
  <c r="DQ157" i="149"/>
  <c r="DR157" i="149"/>
  <c r="DQ158" i="149"/>
  <c r="DR158" i="149"/>
  <c r="DQ159" i="149"/>
  <c r="DR159" i="149"/>
  <c r="CN34" i="149"/>
  <c r="CO34" i="149"/>
  <c r="CN35" i="149"/>
  <c r="CO35" i="149"/>
  <c r="CN82" i="149"/>
  <c r="CO82" i="149"/>
  <c r="CN101" i="149"/>
  <c r="CO101" i="149"/>
  <c r="CN115" i="149"/>
  <c r="CO115" i="149"/>
  <c r="CN124" i="149"/>
  <c r="CO124" i="149"/>
  <c r="CN130" i="149"/>
  <c r="CO130" i="149"/>
  <c r="CN137" i="149"/>
  <c r="CO137" i="149"/>
  <c r="CN141" i="149"/>
  <c r="CO141" i="149"/>
  <c r="CN144" i="149"/>
  <c r="CO144" i="149"/>
  <c r="CN147" i="149"/>
  <c r="CO147" i="149"/>
  <c r="CN150" i="149"/>
  <c r="CO150" i="149"/>
  <c r="CN157" i="149"/>
  <c r="CO157" i="149"/>
  <c r="CN158" i="149"/>
  <c r="CO158" i="149"/>
  <c r="CN159" i="149"/>
  <c r="CO159" i="149"/>
  <c r="BR3" i="149"/>
  <c r="BZ34" i="149"/>
  <c r="BZ35" i="149"/>
  <c r="BZ82" i="149"/>
  <c r="BZ101" i="149"/>
  <c r="BZ115" i="149"/>
  <c r="BZ124" i="149"/>
  <c r="BZ130" i="149"/>
  <c r="BZ137" i="149"/>
  <c r="BZ141" i="149"/>
  <c r="BZ144" i="149"/>
  <c r="BZ147" i="149"/>
  <c r="BZ150" i="149"/>
  <c r="BZ157" i="149"/>
  <c r="BZ158" i="149"/>
  <c r="BZ159" i="149"/>
  <c r="BY34" i="149"/>
  <c r="BY35" i="149"/>
  <c r="BY82" i="149"/>
  <c r="BY101" i="149"/>
  <c r="BY115" i="149"/>
  <c r="BY124" i="149"/>
  <c r="BY130" i="149"/>
  <c r="BY137" i="149"/>
  <c r="BY141" i="149"/>
  <c r="BY144" i="149"/>
  <c r="BY147" i="149"/>
  <c r="BY150" i="149"/>
  <c r="BY157" i="149"/>
  <c r="BY158" i="149"/>
  <c r="BY159" i="149"/>
  <c r="BN5" i="149"/>
  <c r="BX34" i="149"/>
  <c r="BX35" i="149"/>
  <c r="BX82" i="149"/>
  <c r="BX101" i="149"/>
  <c r="BX115" i="149"/>
  <c r="BX124" i="149"/>
  <c r="BX130" i="149"/>
  <c r="BX137" i="149"/>
  <c r="BX141" i="149"/>
  <c r="BX144" i="149"/>
  <c r="BX147" i="149"/>
  <c r="BX150" i="149"/>
  <c r="BX157" i="149"/>
  <c r="BX158" i="149"/>
  <c r="BX159" i="149"/>
  <c r="BW34" i="149"/>
  <c r="BW35" i="149"/>
  <c r="BW82" i="149"/>
  <c r="BW101" i="149"/>
  <c r="BW115" i="149"/>
  <c r="BW124" i="149"/>
  <c r="BW130" i="149"/>
  <c r="BW137" i="149"/>
  <c r="BW141" i="149"/>
  <c r="BW144" i="149"/>
  <c r="BW147" i="149"/>
  <c r="BW150" i="149"/>
  <c r="BW157" i="149"/>
  <c r="BW158" i="149"/>
  <c r="BW159" i="149"/>
  <c r="BL196" i="149"/>
  <c r="D73" i="16" s="1"/>
  <c r="D67" i="240" s="1"/>
  <c r="B6" i="12"/>
  <c r="B5" i="12"/>
  <c r="F49" i="18"/>
  <c r="D49" i="18"/>
  <c r="C49" i="18"/>
  <c r="F48" i="18"/>
  <c r="D48" i="18"/>
  <c r="C48" i="18"/>
  <c r="F47" i="18"/>
  <c r="D47" i="18"/>
  <c r="C47" i="18"/>
  <c r="F46" i="18"/>
  <c r="D46" i="18"/>
  <c r="C46" i="18"/>
  <c r="F45" i="18"/>
  <c r="D45" i="18"/>
  <c r="C45" i="18"/>
  <c r="E755" i="14"/>
  <c r="E753" i="14"/>
  <c r="E751" i="14"/>
  <c r="E730" i="14"/>
  <c r="E731" i="14" s="1"/>
  <c r="E732" i="14" s="1"/>
  <c r="E727" i="14"/>
  <c r="E724" i="14"/>
  <c r="E721" i="14"/>
  <c r="E719" i="14"/>
  <c r="E655" i="14"/>
  <c r="E654" i="14"/>
  <c r="E653" i="14"/>
  <c r="E652" i="14"/>
  <c r="E651" i="14"/>
  <c r="E650" i="14"/>
  <c r="E649" i="14"/>
  <c r="E645" i="14"/>
  <c r="E644" i="14"/>
  <c r="E643" i="14"/>
  <c r="E642" i="14"/>
  <c r="E641" i="14"/>
  <c r="E640" i="14"/>
  <c r="E639" i="14"/>
  <c r="E638" i="14"/>
  <c r="E637" i="14"/>
  <c r="BU26" i="149"/>
  <c r="BU82" i="149"/>
  <c r="BU101" i="149"/>
  <c r="BU115" i="149"/>
  <c r="BU124" i="149"/>
  <c r="BU130" i="149"/>
  <c r="BU137" i="149"/>
  <c r="BU141" i="149"/>
  <c r="BU144" i="149"/>
  <c r="BU147" i="149"/>
  <c r="BU150" i="149"/>
  <c r="F37" i="89"/>
  <c r="F47" i="239"/>
  <c r="F25" i="239"/>
  <c r="F25" i="235"/>
  <c r="F47" i="235"/>
  <c r="CI70" i="149" l="1"/>
  <c r="CE70" i="149"/>
  <c r="CB73" i="149"/>
  <c r="CG73" i="149" s="1"/>
  <c r="CD70" i="149"/>
  <c r="CJ65" i="149"/>
  <c r="CD60" i="149"/>
  <c r="CL71" i="149"/>
  <c r="BQ70" i="149"/>
  <c r="CI65" i="149"/>
  <c r="DD76" i="149"/>
  <c r="CI71" i="149"/>
  <c r="BP70" i="149"/>
  <c r="DV70" i="149" s="1"/>
  <c r="DY70" i="149" s="1"/>
  <c r="CB68" i="149"/>
  <c r="DO72" i="149"/>
  <c r="BN70" i="149"/>
  <c r="DD68" i="149"/>
  <c r="CM65" i="149"/>
  <c r="DD61" i="149"/>
  <c r="CA79" i="149"/>
  <c r="DO77" i="149"/>
  <c r="DG72" i="149"/>
  <c r="CM68" i="149"/>
  <c r="DG59" i="149"/>
  <c r="DD77" i="149"/>
  <c r="CL68" i="149"/>
  <c r="CD61" i="149"/>
  <c r="DO59" i="149"/>
  <c r="CI68" i="149"/>
  <c r="BQ61" i="149"/>
  <c r="DG73" i="149"/>
  <c r="CJ72" i="149"/>
  <c r="DG69" i="149"/>
  <c r="DG62" i="149"/>
  <c r="DO78" i="149"/>
  <c r="DD73" i="149"/>
  <c r="CI72" i="149"/>
  <c r="BP68" i="149"/>
  <c r="DV68" i="149" s="1"/>
  <c r="BN61" i="149"/>
  <c r="DY73" i="149"/>
  <c r="EB73" i="149"/>
  <c r="EC73" i="149" s="1"/>
  <c r="EE73" i="149" s="1"/>
  <c r="CD81" i="149"/>
  <c r="BQ81" i="149"/>
  <c r="DD79" i="149"/>
  <c r="BN79" i="149"/>
  <c r="CD77" i="149"/>
  <c r="DH76" i="149"/>
  <c r="CI73" i="149"/>
  <c r="BQ72" i="149"/>
  <c r="DO69" i="149"/>
  <c r="BQ69" i="149"/>
  <c r="BL66" i="149"/>
  <c r="CM66" i="149" s="1"/>
  <c r="CL65" i="149"/>
  <c r="BP61" i="149"/>
  <c r="DV61" i="149" s="1"/>
  <c r="DY61" i="149" s="1"/>
  <c r="CD59" i="149"/>
  <c r="DQ46" i="149"/>
  <c r="DJ46" i="149"/>
  <c r="DG61" i="149"/>
  <c r="DH46" i="149"/>
  <c r="CL79" i="149"/>
  <c r="CI78" i="149"/>
  <c r="DG77" i="149"/>
  <c r="CB77" i="149"/>
  <c r="CG77" i="149" s="1"/>
  <c r="BQ73" i="149"/>
  <c r="CD66" i="149"/>
  <c r="CD65" i="149"/>
  <c r="DG64" i="149"/>
  <c r="CD62" i="149"/>
  <c r="CE60" i="149"/>
  <c r="DG46" i="149"/>
  <c r="CJ79" i="149"/>
  <c r="BR73" i="149"/>
  <c r="BU73" i="149" s="1"/>
  <c r="DO65" i="149"/>
  <c r="CB65" i="149"/>
  <c r="BL59" i="149"/>
  <c r="CB59" i="149" s="1"/>
  <c r="CG59" i="149" s="1"/>
  <c r="CJ46" i="149"/>
  <c r="CL76" i="149"/>
  <c r="DG65" i="149"/>
  <c r="BQ65" i="149"/>
  <c r="BY46" i="149"/>
  <c r="CL66" i="149"/>
  <c r="DG81" i="149"/>
  <c r="CE79" i="149"/>
  <c r="CJ76" i="149"/>
  <c r="DH66" i="149"/>
  <c r="BQ66" i="149"/>
  <c r="BP65" i="149"/>
  <c r="DV65" i="149" s="1"/>
  <c r="CM59" i="149"/>
  <c r="BW46" i="149"/>
  <c r="CJ81" i="149"/>
  <c r="DO79" i="149"/>
  <c r="CD79" i="149"/>
  <c r="CJ77" i="149"/>
  <c r="BP74" i="149"/>
  <c r="DV74" i="149" s="1"/>
  <c r="DY74" i="149" s="1"/>
  <c r="CA73" i="149"/>
  <c r="DO71" i="149"/>
  <c r="DO68" i="149"/>
  <c r="DG66" i="149"/>
  <c r="BP66" i="149"/>
  <c r="DV66" i="149" s="1"/>
  <c r="CA62" i="149"/>
  <c r="DO60" i="149"/>
  <c r="CL59" i="149"/>
  <c r="CE66" i="149"/>
  <c r="DH79" i="149"/>
  <c r="BQ79" i="149"/>
  <c r="CI77" i="149"/>
  <c r="CA65" i="149"/>
  <c r="CI64" i="149"/>
  <c r="CJ59" i="149"/>
  <c r="CM79" i="149"/>
  <c r="DD74" i="149"/>
  <c r="DG79" i="149"/>
  <c r="BP79" i="149"/>
  <c r="CA74" i="149"/>
  <c r="DD71" i="149"/>
  <c r="CA68" i="149"/>
  <c r="CI59" i="149"/>
  <c r="CB79" i="149"/>
  <c r="CG79" i="149" s="1"/>
  <c r="CL63" i="149"/>
  <c r="CY77" i="149"/>
  <c r="DB77" i="149" s="1"/>
  <c r="BS77" i="149"/>
  <c r="BY77" i="149" s="1"/>
  <c r="BT77" i="149"/>
  <c r="BU77" i="149"/>
  <c r="BV77" i="149"/>
  <c r="EB77" i="149"/>
  <c r="DY77" i="149"/>
  <c r="DY78" i="149"/>
  <c r="EB78" i="149"/>
  <c r="CM76" i="149"/>
  <c r="CM74" i="149"/>
  <c r="DY65" i="149"/>
  <c r="EB65" i="149"/>
  <c r="CA63" i="149"/>
  <c r="BP81" i="149"/>
  <c r="DV81" i="149" s="1"/>
  <c r="DH77" i="149"/>
  <c r="CI76" i="149"/>
  <c r="CJ74" i="149"/>
  <c r="CE72" i="149"/>
  <c r="DH72" i="149"/>
  <c r="CM72" i="149"/>
  <c r="BN72" i="149"/>
  <c r="DD72" i="149"/>
  <c r="CA72" i="149"/>
  <c r="BP72" i="149"/>
  <c r="DV72" i="149" s="1"/>
  <c r="CB72" i="149"/>
  <c r="CG72" i="149" s="1"/>
  <c r="DD66" i="149"/>
  <c r="BN78" i="149"/>
  <c r="DO76" i="149"/>
  <c r="CI74" i="149"/>
  <c r="BN74" i="149"/>
  <c r="DD81" i="149"/>
  <c r="CE80" i="149"/>
  <c r="BN81" i="149"/>
  <c r="DG80" i="149"/>
  <c r="CD80" i="149"/>
  <c r="BQ80" i="149"/>
  <c r="BL78" i="149"/>
  <c r="CB78" i="149" s="1"/>
  <c r="CG78" i="149" s="1"/>
  <c r="CE76" i="149"/>
  <c r="DO74" i="149"/>
  <c r="CB74" i="149"/>
  <c r="CG74" i="149" s="1"/>
  <c r="CD72" i="149"/>
  <c r="DH80" i="149"/>
  <c r="DO81" i="149"/>
  <c r="CL81" i="149"/>
  <c r="BL81" i="149"/>
  <c r="BP80" i="149"/>
  <c r="DV80" i="149" s="1"/>
  <c r="BN76" i="149"/>
  <c r="CA76" i="149"/>
  <c r="BP76" i="149"/>
  <c r="DV76" i="149" s="1"/>
  <c r="CB76" i="149"/>
  <c r="CG76" i="149" s="1"/>
  <c r="BQ76" i="149"/>
  <c r="CD76" i="149"/>
  <c r="DG76" i="149"/>
  <c r="BQ74" i="149"/>
  <c r="CD74" i="149"/>
  <c r="DG74" i="149"/>
  <c r="CE74" i="149"/>
  <c r="DH74" i="149"/>
  <c r="DI73" i="149"/>
  <c r="DH73" i="149"/>
  <c r="CM73" i="149"/>
  <c r="DD80" i="149"/>
  <c r="BN80" i="149"/>
  <c r="CA70" i="149"/>
  <c r="DY71" i="149"/>
  <c r="EB71" i="149"/>
  <c r="CB70" i="149"/>
  <c r="CG70" i="149" s="1"/>
  <c r="DO80" i="149"/>
  <c r="CL80" i="149"/>
  <c r="BL80" i="149"/>
  <c r="CA80" i="149" s="1"/>
  <c r="DY68" i="149"/>
  <c r="EB68" i="149"/>
  <c r="BR78" i="149"/>
  <c r="DH81" i="149"/>
  <c r="CE81" i="149"/>
  <c r="DH78" i="149"/>
  <c r="CE78" i="149"/>
  <c r="CL74" i="149"/>
  <c r="CE67" i="149"/>
  <c r="BL67" i="149"/>
  <c r="CA67" i="149" s="1"/>
  <c r="DD67" i="149"/>
  <c r="BN67" i="149"/>
  <c r="DG67" i="149"/>
  <c r="BP67" i="149"/>
  <c r="DV67" i="149" s="1"/>
  <c r="CD67" i="149"/>
  <c r="DH67" i="149"/>
  <c r="BQ67" i="149"/>
  <c r="CI67" i="149"/>
  <c r="CJ67" i="149"/>
  <c r="CL67" i="149"/>
  <c r="DO67" i="149"/>
  <c r="DC77" i="149"/>
  <c r="CM77" i="149"/>
  <c r="DO73" i="149"/>
  <c r="CL73" i="149"/>
  <c r="DO70" i="149"/>
  <c r="CL70" i="149"/>
  <c r="CB69" i="149"/>
  <c r="CG69" i="149" s="1"/>
  <c r="BP69" i="149"/>
  <c r="DV69" i="149" s="1"/>
  <c r="CG68" i="149"/>
  <c r="BP64" i="149"/>
  <c r="DV64" i="149" s="1"/>
  <c r="CM62" i="149"/>
  <c r="DH60" i="149"/>
  <c r="CL60" i="149"/>
  <c r="CL77" i="149"/>
  <c r="CA69" i="149"/>
  <c r="DO66" i="149"/>
  <c r="CI66" i="149"/>
  <c r="CI63" i="149"/>
  <c r="DY62" i="149"/>
  <c r="EC62" i="149" s="1"/>
  <c r="CL62" i="149"/>
  <c r="EB61" i="149"/>
  <c r="EC61" i="149" s="1"/>
  <c r="DG60" i="149"/>
  <c r="BQ60" i="149"/>
  <c r="DH71" i="149"/>
  <c r="CE71" i="149"/>
  <c r="DD69" i="149"/>
  <c r="BN69" i="149"/>
  <c r="DH68" i="149"/>
  <c r="CE68" i="149"/>
  <c r="BR68" i="149"/>
  <c r="BS68" i="149" s="1"/>
  <c r="CD64" i="149"/>
  <c r="BN64" i="149"/>
  <c r="BQ63" i="149"/>
  <c r="CI60" i="149"/>
  <c r="DG71" i="149"/>
  <c r="CD71" i="149"/>
  <c r="BQ71" i="149"/>
  <c r="BR71" i="149" s="1"/>
  <c r="CM69" i="149"/>
  <c r="DG68" i="149"/>
  <c r="CD68" i="149"/>
  <c r="BQ68" i="149"/>
  <c r="BN65" i="149"/>
  <c r="DD65" i="149"/>
  <c r="CE65" i="149"/>
  <c r="DH65" i="149"/>
  <c r="CG65" i="149"/>
  <c r="CJ62" i="149"/>
  <c r="CE64" i="149"/>
  <c r="DH64" i="149"/>
  <c r="CJ64" i="149"/>
  <c r="BL64" i="149"/>
  <c r="CM64" i="149" s="1"/>
  <c r="CL64" i="149"/>
  <c r="DO64" i="149"/>
  <c r="DO63" i="149"/>
  <c r="CE63" i="149"/>
  <c r="CD63" i="149"/>
  <c r="CJ60" i="149"/>
  <c r="BN60" i="149"/>
  <c r="DD60" i="149"/>
  <c r="CA60" i="149"/>
  <c r="BP60" i="149"/>
  <c r="DV60" i="149" s="1"/>
  <c r="CB60" i="149"/>
  <c r="CG60" i="149" s="1"/>
  <c r="CJ63" i="149"/>
  <c r="BN63" i="149"/>
  <c r="DD63" i="149"/>
  <c r="BP63" i="149"/>
  <c r="DV63" i="149" s="1"/>
  <c r="CB63" i="149"/>
  <c r="CG63" i="149" s="1"/>
  <c r="DY59" i="149"/>
  <c r="EB59" i="149"/>
  <c r="EC59" i="149" s="1"/>
  <c r="BL71" i="149"/>
  <c r="BN62" i="149"/>
  <c r="DD62" i="149"/>
  <c r="BR62" i="149"/>
  <c r="CE62" i="149"/>
  <c r="DH62" i="149"/>
  <c r="CG62" i="149"/>
  <c r="BR61" i="149"/>
  <c r="DH63" i="149"/>
  <c r="DH69" i="149"/>
  <c r="CE69" i="149"/>
  <c r="CJ66" i="149"/>
  <c r="DD64" i="149"/>
  <c r="DG63" i="149"/>
  <c r="CM63" i="149"/>
  <c r="DO61" i="149"/>
  <c r="CL61" i="149"/>
  <c r="BL61" i="149"/>
  <c r="CA61" i="149" s="1"/>
  <c r="CP46" i="149"/>
  <c r="BS46" i="149"/>
  <c r="CO46" i="149"/>
  <c r="DM46" i="149" s="1"/>
  <c r="BR46" i="149"/>
  <c r="BU46" i="149" s="1"/>
  <c r="CJ61" i="149"/>
  <c r="DH59" i="149"/>
  <c r="CE59" i="149"/>
  <c r="BR59" i="149"/>
  <c r="DS46" i="149"/>
  <c r="CN46" i="149"/>
  <c r="BQ46" i="149"/>
  <c r="DR46" i="149"/>
  <c r="CM46" i="149"/>
  <c r="BP46" i="149"/>
  <c r="DO46" i="149"/>
  <c r="CB46" i="149"/>
  <c r="BN46" i="149"/>
  <c r="DH61" i="149"/>
  <c r="CE61" i="149"/>
  <c r="DD59" i="149"/>
  <c r="DN46" i="149"/>
  <c r="CA46" i="149"/>
  <c r="BL46" i="149"/>
  <c r="BZ46" i="149" s="1"/>
  <c r="CM78" i="149" l="1"/>
  <c r="BS73" i="149"/>
  <c r="BR64" i="149"/>
  <c r="CY64" i="149" s="1"/>
  <c r="CY73" i="149"/>
  <c r="DB73" i="149" s="1"/>
  <c r="BR70" i="149"/>
  <c r="ED73" i="149"/>
  <c r="EF73" i="149" s="1"/>
  <c r="CA78" i="149"/>
  <c r="BR65" i="149"/>
  <c r="CB66" i="149"/>
  <c r="CG66" i="149" s="1"/>
  <c r="EB70" i="149"/>
  <c r="EC70" i="149" s="1"/>
  <c r="CB80" i="149"/>
  <c r="CG80" i="149" s="1"/>
  <c r="EC65" i="149"/>
  <c r="ED65" i="149" s="1"/>
  <c r="EF65" i="149" s="1"/>
  <c r="BR74" i="149"/>
  <c r="BS74" i="149" s="1"/>
  <c r="BW74" i="149" s="1"/>
  <c r="CB67" i="149"/>
  <c r="CG67" i="149" s="1"/>
  <c r="BS59" i="149"/>
  <c r="BZ59" i="149" s="1"/>
  <c r="EC78" i="149"/>
  <c r="ED78" i="149" s="1"/>
  <c r="EF78" i="149" s="1"/>
  <c r="BR76" i="149"/>
  <c r="BU76" i="149" s="1"/>
  <c r="BX77" i="149"/>
  <c r="BR72" i="149"/>
  <c r="BS72" i="149" s="1"/>
  <c r="BY72" i="149" s="1"/>
  <c r="BT73" i="149"/>
  <c r="BR81" i="149"/>
  <c r="BV81" i="149" s="1"/>
  <c r="BR60" i="149"/>
  <c r="BT60" i="149" s="1"/>
  <c r="EB74" i="149"/>
  <c r="EC74" i="149" s="1"/>
  <c r="ED74" i="149" s="1"/>
  <c r="EF74" i="149" s="1"/>
  <c r="CA59" i="149"/>
  <c r="BR66" i="149"/>
  <c r="BV73" i="149"/>
  <c r="BR79" i="149"/>
  <c r="DV79" i="149"/>
  <c r="CA66" i="149"/>
  <c r="EB66" i="149"/>
  <c r="DY66" i="149"/>
  <c r="BV71" i="149"/>
  <c r="BT71" i="149"/>
  <c r="BU71" i="149"/>
  <c r="CY71" i="149"/>
  <c r="BS71" i="149"/>
  <c r="BZ71" i="149" s="1"/>
  <c r="CX64" i="149"/>
  <c r="DC64" i="149"/>
  <c r="DA64" i="149"/>
  <c r="DB64" i="149"/>
  <c r="EE62" i="149"/>
  <c r="ED62" i="149"/>
  <c r="EF62" i="149" s="1"/>
  <c r="BZ74" i="149"/>
  <c r="CM71" i="149"/>
  <c r="CB71" i="149"/>
  <c r="CG71" i="149" s="1"/>
  <c r="ED61" i="149"/>
  <c r="EF61" i="149" s="1"/>
  <c r="EE61" i="149"/>
  <c r="BW68" i="149"/>
  <c r="CK68" i="149"/>
  <c r="BX68" i="149"/>
  <c r="BY68" i="149"/>
  <c r="BZ68" i="149"/>
  <c r="DY67" i="149"/>
  <c r="EB67" i="149"/>
  <c r="BT65" i="149"/>
  <c r="BS65" i="149"/>
  <c r="BU65" i="149"/>
  <c r="BV65" i="149"/>
  <c r="CY65" i="149"/>
  <c r="BW73" i="149"/>
  <c r="CK73" i="149"/>
  <c r="BY73" i="149"/>
  <c r="BT62" i="149"/>
  <c r="CY62" i="149"/>
  <c r="BU62" i="149"/>
  <c r="BV62" i="149"/>
  <c r="DY76" i="149"/>
  <c r="EB76" i="149"/>
  <c r="CM81" i="149"/>
  <c r="CA81" i="149"/>
  <c r="EB72" i="149"/>
  <c r="DY72" i="149"/>
  <c r="DA73" i="149"/>
  <c r="DC73" i="149"/>
  <c r="CX73" i="149"/>
  <c r="CB61" i="149"/>
  <c r="CG61" i="149" s="1"/>
  <c r="CM61" i="149"/>
  <c r="DY60" i="149"/>
  <c r="EB60" i="149"/>
  <c r="BR63" i="149"/>
  <c r="BR67" i="149"/>
  <c r="BU78" i="149"/>
  <c r="BS78" i="149"/>
  <c r="BT78" i="149"/>
  <c r="CY78" i="149"/>
  <c r="BV78" i="149"/>
  <c r="EC71" i="149"/>
  <c r="EE59" i="149"/>
  <c r="ED59" i="149"/>
  <c r="EF59" i="149" s="1"/>
  <c r="CA64" i="149"/>
  <c r="CB64" i="149"/>
  <c r="CG64" i="149" s="1"/>
  <c r="BR69" i="149"/>
  <c r="BT59" i="149"/>
  <c r="BU59" i="149"/>
  <c r="BV59" i="149"/>
  <c r="CY59" i="149"/>
  <c r="BS62" i="149"/>
  <c r="EC68" i="149"/>
  <c r="EB63" i="149"/>
  <c r="DY63" i="149"/>
  <c r="DY69" i="149"/>
  <c r="EB69" i="149"/>
  <c r="BR80" i="149"/>
  <c r="BU72" i="149"/>
  <c r="BV68" i="149"/>
  <c r="BT68" i="149"/>
  <c r="CY68" i="149"/>
  <c r="BU68" i="149"/>
  <c r="DY64" i="149"/>
  <c r="EB64" i="149"/>
  <c r="CM80" i="149"/>
  <c r="DY81" i="149"/>
  <c r="EB81" i="149"/>
  <c r="EC81" i="149" s="1"/>
  <c r="CA71" i="149"/>
  <c r="CK77" i="149"/>
  <c r="BW77" i="149"/>
  <c r="BZ77" i="149"/>
  <c r="BX59" i="149"/>
  <c r="BY59" i="149"/>
  <c r="BS64" i="149"/>
  <c r="BV61" i="149"/>
  <c r="CY61" i="149"/>
  <c r="BS61" i="149"/>
  <c r="BT61" i="149"/>
  <c r="BU61" i="149"/>
  <c r="BV64" i="149"/>
  <c r="BT64" i="149"/>
  <c r="BU64" i="149"/>
  <c r="DY80" i="149"/>
  <c r="EB80" i="149"/>
  <c r="CB81" i="149"/>
  <c r="CG81" i="149" s="1"/>
  <c r="CX77" i="149"/>
  <c r="DA77" i="149"/>
  <c r="EC77" i="149"/>
  <c r="CM67" i="149"/>
  <c r="H27" i="253"/>
  <c r="F24" i="253"/>
  <c r="CY81" i="149" l="1"/>
  <c r="BU60" i="149"/>
  <c r="CY60" i="149"/>
  <c r="EE74" i="149"/>
  <c r="EE65" i="149"/>
  <c r="BV74" i="149"/>
  <c r="BS70" i="149"/>
  <c r="BV70" i="149"/>
  <c r="BU70" i="149"/>
  <c r="BT70" i="149"/>
  <c r="CY70" i="149"/>
  <c r="ED70" i="149"/>
  <c r="EF70" i="149" s="1"/>
  <c r="EE70" i="149"/>
  <c r="CK72" i="149"/>
  <c r="BV60" i="149"/>
  <c r="BT81" i="149"/>
  <c r="BW72" i="149"/>
  <c r="BU81" i="149"/>
  <c r="BT76" i="149"/>
  <c r="EC66" i="149"/>
  <c r="ED66" i="149" s="1"/>
  <c r="EF66" i="149" s="1"/>
  <c r="CY72" i="149"/>
  <c r="DB72" i="149" s="1"/>
  <c r="BX73" i="149"/>
  <c r="BZ73" i="149"/>
  <c r="BZ72" i="149"/>
  <c r="BV72" i="149"/>
  <c r="BS66" i="149"/>
  <c r="CY66" i="149"/>
  <c r="CK59" i="149"/>
  <c r="CO59" i="149" s="1"/>
  <c r="BT72" i="149"/>
  <c r="BX72" i="149"/>
  <c r="EC72" i="149"/>
  <c r="ED72" i="149" s="1"/>
  <c r="EF72" i="149" s="1"/>
  <c r="BS81" i="149"/>
  <c r="BZ81" i="149" s="1"/>
  <c r="BW59" i="149"/>
  <c r="CY74" i="149"/>
  <c r="CX74" i="149" s="1"/>
  <c r="EE78" i="149"/>
  <c r="BU74" i="149"/>
  <c r="BU66" i="149"/>
  <c r="BY74" i="149"/>
  <c r="BT74" i="149"/>
  <c r="CK74" i="149"/>
  <c r="CO74" i="149" s="1"/>
  <c r="BV66" i="149"/>
  <c r="BX74" i="149"/>
  <c r="BS76" i="149"/>
  <c r="BW76" i="149" s="1"/>
  <c r="BT66" i="149"/>
  <c r="CY76" i="149"/>
  <c r="DB76" i="149" s="1"/>
  <c r="BS60" i="149"/>
  <c r="BW60" i="149" s="1"/>
  <c r="BV76" i="149"/>
  <c r="DY79" i="149"/>
  <c r="EB79" i="149"/>
  <c r="EC79" i="149" s="1"/>
  <c r="BT79" i="149"/>
  <c r="BU79" i="149"/>
  <c r="CY79" i="149"/>
  <c r="BV79" i="149"/>
  <c r="BS79" i="149"/>
  <c r="EC80" i="149"/>
  <c r="ED80" i="149" s="1"/>
  <c r="EF80" i="149" s="1"/>
  <c r="BY62" i="149"/>
  <c r="BW62" i="149"/>
  <c r="CK62" i="149"/>
  <c r="BZ62" i="149"/>
  <c r="BX62" i="149"/>
  <c r="ED81" i="149"/>
  <c r="EF81" i="149" s="1"/>
  <c r="EE81" i="149"/>
  <c r="CX61" i="149"/>
  <c r="DA61" i="149"/>
  <c r="DC61" i="149"/>
  <c r="DB61" i="149"/>
  <c r="BW64" i="149"/>
  <c r="BY64" i="149"/>
  <c r="CK64" i="149"/>
  <c r="BX64" i="149"/>
  <c r="BW78" i="149"/>
  <c r="CK78" i="149"/>
  <c r="BX78" i="149"/>
  <c r="BY78" i="149"/>
  <c r="CZ77" i="149"/>
  <c r="DE77" i="149"/>
  <c r="BW61" i="149"/>
  <c r="CK61" i="149"/>
  <c r="BY61" i="149"/>
  <c r="BX61" i="149"/>
  <c r="BZ61" i="149"/>
  <c r="CX65" i="149"/>
  <c r="DB65" i="149"/>
  <c r="DC65" i="149"/>
  <c r="DA65" i="149"/>
  <c r="CN68" i="149"/>
  <c r="CO68" i="149"/>
  <c r="BZ64" i="149"/>
  <c r="BT67" i="149"/>
  <c r="BU67" i="149"/>
  <c r="BV67" i="149"/>
  <c r="BS67" i="149"/>
  <c r="CY67" i="149"/>
  <c r="CX81" i="149"/>
  <c r="DA81" i="149"/>
  <c r="DB81" i="149"/>
  <c r="DC81" i="149"/>
  <c r="CN77" i="149"/>
  <c r="CO77" i="149"/>
  <c r="BV63" i="149"/>
  <c r="BU63" i="149"/>
  <c r="BT63" i="149"/>
  <c r="BS63" i="149"/>
  <c r="CY63" i="149"/>
  <c r="CK65" i="149"/>
  <c r="BW65" i="149"/>
  <c r="BX65" i="149"/>
  <c r="BY65" i="149"/>
  <c r="BZ65" i="149"/>
  <c r="CX76" i="149"/>
  <c r="ED77" i="149"/>
  <c r="EF77" i="149" s="1"/>
  <c r="EE77" i="149"/>
  <c r="CN59" i="149"/>
  <c r="EC64" i="149"/>
  <c r="BZ78" i="149"/>
  <c r="BT69" i="149"/>
  <c r="BU69" i="149"/>
  <c r="CY69" i="149"/>
  <c r="BV69" i="149"/>
  <c r="BS69" i="149"/>
  <c r="EC60" i="149"/>
  <c r="CZ64" i="149"/>
  <c r="DE64" i="149"/>
  <c r="CN72" i="149"/>
  <c r="CO72" i="149"/>
  <c r="CX72" i="149"/>
  <c r="DA72" i="149"/>
  <c r="EC69" i="149"/>
  <c r="ED68" i="149"/>
  <c r="EF68" i="149" s="1"/>
  <c r="EE68" i="149"/>
  <c r="EC76" i="149"/>
  <c r="CK81" i="149"/>
  <c r="BX81" i="149"/>
  <c r="BY81" i="149"/>
  <c r="CN73" i="149"/>
  <c r="CO73" i="149"/>
  <c r="EC67" i="149"/>
  <c r="CX60" i="149"/>
  <c r="DA60" i="149"/>
  <c r="DB60" i="149"/>
  <c r="DC60" i="149"/>
  <c r="ED71" i="149"/>
  <c r="EF71" i="149" s="1"/>
  <c r="EE71" i="149"/>
  <c r="CZ73" i="149"/>
  <c r="DE73" i="149"/>
  <c r="DA68" i="149"/>
  <c r="DB68" i="149"/>
  <c r="DC68" i="149"/>
  <c r="CX68" i="149"/>
  <c r="BV80" i="149"/>
  <c r="CY80" i="149"/>
  <c r="BU80" i="149"/>
  <c r="BT80" i="149"/>
  <c r="BS80" i="149"/>
  <c r="CX78" i="149"/>
  <c r="DA78" i="149"/>
  <c r="DB78" i="149"/>
  <c r="DC78" i="149"/>
  <c r="BW71" i="149"/>
  <c r="CK71" i="149"/>
  <c r="BY71" i="149"/>
  <c r="BX71" i="149"/>
  <c r="EC63" i="149"/>
  <c r="DA59" i="149"/>
  <c r="CX59" i="149"/>
  <c r="DB59" i="149"/>
  <c r="DC59" i="149"/>
  <c r="CX62" i="149"/>
  <c r="DA62" i="149"/>
  <c r="DC62" i="149"/>
  <c r="DB62" i="149"/>
  <c r="DA71" i="149"/>
  <c r="DB71" i="149"/>
  <c r="CX71" i="149"/>
  <c r="DC71" i="149"/>
  <c r="B7" i="244"/>
  <c r="A8" i="244"/>
  <c r="A8" i="243"/>
  <c r="D2" i="242"/>
  <c r="A8" i="242"/>
  <c r="F5" i="251"/>
  <c r="D2" i="251"/>
  <c r="F3" i="251"/>
  <c r="F2" i="141"/>
  <c r="F5" i="141"/>
  <c r="F3" i="141"/>
  <c r="F5" i="253"/>
  <c r="F3" i="253"/>
  <c r="DB70" i="149" l="1"/>
  <c r="DC70" i="149"/>
  <c r="CX70" i="149"/>
  <c r="DA70" i="149"/>
  <c r="BY60" i="149"/>
  <c r="CK60" i="149"/>
  <c r="EE66" i="149"/>
  <c r="BX60" i="149"/>
  <c r="CN74" i="149"/>
  <c r="BZ70" i="149"/>
  <c r="BY70" i="149"/>
  <c r="BW70" i="149"/>
  <c r="BX70" i="149"/>
  <c r="CK70" i="149"/>
  <c r="BX76" i="149"/>
  <c r="BY76" i="149"/>
  <c r="DA76" i="149"/>
  <c r="DA74" i="149"/>
  <c r="BZ60" i="149"/>
  <c r="DC74" i="149"/>
  <c r="DC72" i="149"/>
  <c r="DC76" i="149"/>
  <c r="DB74" i="149"/>
  <c r="BW81" i="149"/>
  <c r="EE72" i="149"/>
  <c r="EE80" i="149"/>
  <c r="BW79" i="149"/>
  <c r="CK79" i="149"/>
  <c r="BX79" i="149"/>
  <c r="BY79" i="149"/>
  <c r="BZ79" i="149"/>
  <c r="BZ76" i="149"/>
  <c r="CK76" i="149"/>
  <c r="CO76" i="149" s="1"/>
  <c r="DC79" i="149"/>
  <c r="DA79" i="149"/>
  <c r="CX79" i="149"/>
  <c r="DB79" i="149"/>
  <c r="DB66" i="149"/>
  <c r="DA66" i="149"/>
  <c r="DC66" i="149"/>
  <c r="CX66" i="149"/>
  <c r="ED79" i="149"/>
  <c r="EF79" i="149" s="1"/>
  <c r="EE79" i="149"/>
  <c r="CK66" i="149"/>
  <c r="BZ66" i="149"/>
  <c r="BY66" i="149"/>
  <c r="BW66" i="149"/>
  <c r="BX66" i="149"/>
  <c r="DE59" i="149"/>
  <c r="CZ59" i="149"/>
  <c r="BW69" i="149"/>
  <c r="CK69" i="149"/>
  <c r="BX69" i="149"/>
  <c r="BY69" i="149"/>
  <c r="BZ69" i="149"/>
  <c r="CX63" i="149"/>
  <c r="DA63" i="149"/>
  <c r="DC63" i="149"/>
  <c r="DB63" i="149"/>
  <c r="DL74" i="149"/>
  <c r="DM74" i="149"/>
  <c r="CP74" i="149"/>
  <c r="CN76" i="149"/>
  <c r="BW63" i="149"/>
  <c r="BY63" i="149"/>
  <c r="BX63" i="149"/>
  <c r="CK63" i="149"/>
  <c r="BZ63" i="149"/>
  <c r="DL77" i="149"/>
  <c r="DM77" i="149"/>
  <c r="CP77" i="149"/>
  <c r="CZ78" i="149"/>
  <c r="DE78" i="149"/>
  <c r="CO64" i="149"/>
  <c r="CN64" i="149"/>
  <c r="DA80" i="149"/>
  <c r="DC80" i="149"/>
  <c r="CX80" i="149"/>
  <c r="DB80" i="149"/>
  <c r="EE69" i="149"/>
  <c r="ED69" i="149"/>
  <c r="EF69" i="149" s="1"/>
  <c r="DC67" i="149"/>
  <c r="CX67" i="149"/>
  <c r="DB67" i="149"/>
  <c r="DA67" i="149"/>
  <c r="DE71" i="149"/>
  <c r="CZ71" i="149"/>
  <c r="CN71" i="149"/>
  <c r="CO71" i="149"/>
  <c r="DE68" i="149"/>
  <c r="CZ68" i="149"/>
  <c r="ED64" i="149"/>
  <c r="EF64" i="149" s="1"/>
  <c r="EE64" i="149"/>
  <c r="BX67" i="149"/>
  <c r="CK67" i="149"/>
  <c r="BY67" i="149"/>
  <c r="BW67" i="149"/>
  <c r="BZ67" i="149"/>
  <c r="DM68" i="149"/>
  <c r="DL68" i="149"/>
  <c r="CP68" i="149"/>
  <c r="DM72" i="149"/>
  <c r="DL72" i="149"/>
  <c r="CP72" i="149"/>
  <c r="CZ62" i="149"/>
  <c r="DE62" i="149"/>
  <c r="ED67" i="149"/>
  <c r="EF67" i="149" s="1"/>
  <c r="EE67" i="149"/>
  <c r="CN81" i="149"/>
  <c r="CO81" i="149"/>
  <c r="DP64" i="149"/>
  <c r="DJ64" i="149"/>
  <c r="DL59" i="149"/>
  <c r="DM59" i="149"/>
  <c r="CP59" i="149"/>
  <c r="CO65" i="149"/>
  <c r="CN65" i="149"/>
  <c r="CN78" i="149"/>
  <c r="CO78" i="149"/>
  <c r="CO62" i="149"/>
  <c r="CN62" i="149"/>
  <c r="CZ72" i="149"/>
  <c r="DE72" i="149"/>
  <c r="DE60" i="149"/>
  <c r="CZ60" i="149"/>
  <c r="ED60" i="149"/>
  <c r="EF60" i="149" s="1"/>
  <c r="EE60" i="149"/>
  <c r="DE65" i="149"/>
  <c r="CZ65" i="149"/>
  <c r="CN61" i="149"/>
  <c r="CO61" i="149"/>
  <c r="DE61" i="149"/>
  <c r="CZ61" i="149"/>
  <c r="ED63" i="149"/>
  <c r="EF63" i="149" s="1"/>
  <c r="EE63" i="149"/>
  <c r="DJ73" i="149"/>
  <c r="DP73" i="149"/>
  <c r="CO60" i="149"/>
  <c r="CN60" i="149"/>
  <c r="CX69" i="149"/>
  <c r="DA69" i="149"/>
  <c r="DB69" i="149"/>
  <c r="DC69" i="149"/>
  <c r="CZ81" i="149"/>
  <c r="DE81" i="149"/>
  <c r="DP77" i="149"/>
  <c r="DJ77" i="149"/>
  <c r="DE74" i="149"/>
  <c r="CZ74" i="149"/>
  <c r="ED76" i="149"/>
  <c r="EF76" i="149" s="1"/>
  <c r="EE76" i="149"/>
  <c r="CK80" i="149"/>
  <c r="BW80" i="149"/>
  <c r="BY80" i="149"/>
  <c r="BX80" i="149"/>
  <c r="BZ80" i="149"/>
  <c r="DL73" i="149"/>
  <c r="DM73" i="149"/>
  <c r="CP73" i="149"/>
  <c r="CZ76" i="149"/>
  <c r="DE76" i="149"/>
  <c r="A62" i="253"/>
  <c r="A61" i="253"/>
  <c r="A60" i="253"/>
  <c r="A59" i="253"/>
  <c r="H49" i="253"/>
  <c r="G49" i="253"/>
  <c r="E49" i="253"/>
  <c r="B49" i="253"/>
  <c r="H48" i="253"/>
  <c r="G48" i="253"/>
  <c r="E48" i="253"/>
  <c r="B48" i="253"/>
  <c r="G47" i="253"/>
  <c r="H47" i="253" s="1"/>
  <c r="E47" i="253"/>
  <c r="B47" i="253"/>
  <c r="E46" i="253"/>
  <c r="B46" i="253"/>
  <c r="H41" i="253"/>
  <c r="G41" i="253"/>
  <c r="F41" i="253"/>
  <c r="E41" i="253"/>
  <c r="D41" i="253"/>
  <c r="B41" i="253"/>
  <c r="H40" i="253"/>
  <c r="G40" i="253"/>
  <c r="F40" i="253"/>
  <c r="E40" i="253"/>
  <c r="D40" i="253"/>
  <c r="B40" i="253"/>
  <c r="H39" i="253"/>
  <c r="G39" i="253"/>
  <c r="F39" i="253"/>
  <c r="E39" i="253"/>
  <c r="D39" i="253"/>
  <c r="B39" i="253"/>
  <c r="H38" i="253"/>
  <c r="G38" i="253"/>
  <c r="F38" i="253"/>
  <c r="E38" i="253"/>
  <c r="D38" i="253"/>
  <c r="B38" i="253"/>
  <c r="H32" i="253"/>
  <c r="G32" i="253"/>
  <c r="H26" i="253"/>
  <c r="H25" i="253"/>
  <c r="H24" i="253"/>
  <c r="F23" i="253"/>
  <c r="H23" i="253" s="1"/>
  <c r="F22" i="253"/>
  <c r="H16" i="253"/>
  <c r="H15" i="253"/>
  <c r="G14" i="253"/>
  <c r="H14" i="253" s="1"/>
  <c r="E14" i="253"/>
  <c r="B14" i="253"/>
  <c r="F13" i="253"/>
  <c r="E13" i="253"/>
  <c r="B13" i="253"/>
  <c r="B8" i="253"/>
  <c r="A8" i="253"/>
  <c r="H7" i="253"/>
  <c r="B7" i="253"/>
  <c r="A7" i="253"/>
  <c r="F2" i="253"/>
  <c r="D2" i="253"/>
  <c r="CO70" i="149" l="1"/>
  <c r="CN70" i="149"/>
  <c r="DE70" i="149"/>
  <c r="CZ70" i="149"/>
  <c r="DN73" i="149"/>
  <c r="DQ73" i="149" s="1"/>
  <c r="DN77" i="149"/>
  <c r="CN79" i="149"/>
  <c r="CO79" i="149"/>
  <c r="CN66" i="149"/>
  <c r="CO66" i="149"/>
  <c r="DE79" i="149"/>
  <c r="CZ79" i="149"/>
  <c r="DE66" i="149"/>
  <c r="CZ66" i="149"/>
  <c r="DP74" i="149"/>
  <c r="DJ74" i="149"/>
  <c r="DM61" i="149"/>
  <c r="DL61" i="149"/>
  <c r="CP61" i="149"/>
  <c r="DP60" i="149"/>
  <c r="DJ60" i="149"/>
  <c r="DM71" i="149"/>
  <c r="DL71" i="149"/>
  <c r="CP71" i="149"/>
  <c r="CO63" i="149"/>
  <c r="CN63" i="149"/>
  <c r="DL78" i="149"/>
  <c r="DM78" i="149"/>
  <c r="CP78" i="149"/>
  <c r="DJ78" i="149"/>
  <c r="DP78" i="149"/>
  <c r="DJ65" i="149"/>
  <c r="DP65" i="149"/>
  <c r="CO67" i="149"/>
  <c r="CN67" i="149"/>
  <c r="DM60" i="149"/>
  <c r="DL60" i="149"/>
  <c r="CP60" i="149"/>
  <c r="DJ76" i="149"/>
  <c r="DP76" i="149"/>
  <c r="DL65" i="149"/>
  <c r="DM65" i="149"/>
  <c r="CP65" i="149"/>
  <c r="DL76" i="149"/>
  <c r="DM76" i="149"/>
  <c r="CP76" i="149"/>
  <c r="DJ61" i="149"/>
  <c r="DP61" i="149"/>
  <c r="DP72" i="149"/>
  <c r="DJ72" i="149"/>
  <c r="CO69" i="149"/>
  <c r="CN69" i="149"/>
  <c r="DE80" i="149"/>
  <c r="CZ80" i="149"/>
  <c r="CN80" i="149"/>
  <c r="CO80" i="149"/>
  <c r="DL81" i="149"/>
  <c r="DM81" i="149"/>
  <c r="CP81" i="149"/>
  <c r="DQ77" i="149"/>
  <c r="DR77" i="149"/>
  <c r="DS77" i="149" s="1"/>
  <c r="DE67" i="149"/>
  <c r="CZ67" i="149"/>
  <c r="DM64" i="149"/>
  <c r="DL64" i="149"/>
  <c r="CP64" i="149"/>
  <c r="CZ69" i="149"/>
  <c r="DE69" i="149"/>
  <c r="DL62" i="149"/>
  <c r="DM62" i="149"/>
  <c r="CP62" i="149"/>
  <c r="DP62" i="149"/>
  <c r="DJ62" i="149"/>
  <c r="CZ63" i="149"/>
  <c r="DE63" i="149"/>
  <c r="DP68" i="149"/>
  <c r="DJ68" i="149"/>
  <c r="DN68" i="149" s="1"/>
  <c r="DJ81" i="149"/>
  <c r="DP81" i="149"/>
  <c r="DP71" i="149"/>
  <c r="DJ71" i="149"/>
  <c r="DP59" i="149"/>
  <c r="DJ59" i="149"/>
  <c r="DN59" i="149" s="1"/>
  <c r="H42" i="253"/>
  <c r="H22" i="253"/>
  <c r="H33" i="253" s="1"/>
  <c r="DP70" i="149" l="1"/>
  <c r="DJ70" i="149"/>
  <c r="DN72" i="149"/>
  <c r="DL70" i="149"/>
  <c r="DM70" i="149"/>
  <c r="CP70" i="149"/>
  <c r="DR73" i="149"/>
  <c r="DS73" i="149" s="1"/>
  <c r="DN78" i="149"/>
  <c r="DR78" i="149" s="1"/>
  <c r="DS78" i="149" s="1"/>
  <c r="DN76" i="149"/>
  <c r="DQ76" i="149" s="1"/>
  <c r="DN71" i="149"/>
  <c r="DR71" i="149" s="1"/>
  <c r="DS71" i="149" s="1"/>
  <c r="DN81" i="149"/>
  <c r="DR81" i="149" s="1"/>
  <c r="DS81" i="149" s="1"/>
  <c r="DN64" i="149"/>
  <c r="DR64" i="149" s="1"/>
  <c r="DS64" i="149" s="1"/>
  <c r="DP66" i="149"/>
  <c r="DJ66" i="149"/>
  <c r="DN62" i="149"/>
  <c r="DR62" i="149" s="1"/>
  <c r="DS62" i="149" s="1"/>
  <c r="DN65" i="149"/>
  <c r="DQ65" i="149" s="1"/>
  <c r="DJ79" i="149"/>
  <c r="DP79" i="149"/>
  <c r="DM66" i="149"/>
  <c r="DL66" i="149"/>
  <c r="CP66" i="149"/>
  <c r="DN61" i="149"/>
  <c r="DQ61" i="149" s="1"/>
  <c r="DN60" i="149"/>
  <c r="DQ60" i="149" s="1"/>
  <c r="DN74" i="149"/>
  <c r="DQ74" i="149" s="1"/>
  <c r="DL79" i="149"/>
  <c r="DM79" i="149"/>
  <c r="CP79" i="149"/>
  <c r="DR68" i="149"/>
  <c r="DS68" i="149" s="1"/>
  <c r="DQ68" i="149"/>
  <c r="DM80" i="149"/>
  <c r="DL80" i="149"/>
  <c r="CP80" i="149"/>
  <c r="DP69" i="149"/>
  <c r="DJ69" i="149"/>
  <c r="DJ67" i="149"/>
  <c r="DP67" i="149"/>
  <c r="DR59" i="149"/>
  <c r="DS59" i="149" s="1"/>
  <c r="DQ59" i="149"/>
  <c r="DP80" i="149"/>
  <c r="DJ80" i="149"/>
  <c r="DJ63" i="149"/>
  <c r="DP63" i="149"/>
  <c r="DL69" i="149"/>
  <c r="DM69" i="149"/>
  <c r="CP69" i="149"/>
  <c r="DL67" i="149"/>
  <c r="DM67" i="149"/>
  <c r="CP67" i="149"/>
  <c r="DQ72" i="149"/>
  <c r="DR72" i="149"/>
  <c r="DS72" i="149" s="1"/>
  <c r="DM63" i="149"/>
  <c r="DL63" i="149"/>
  <c r="CP63" i="149"/>
  <c r="H7" i="252"/>
  <c r="B8" i="252"/>
  <c r="A8" i="252"/>
  <c r="A62" i="252"/>
  <c r="A61" i="252"/>
  <c r="A60" i="252"/>
  <c r="A59" i="252"/>
  <c r="H49" i="252"/>
  <c r="G49" i="252"/>
  <c r="E49" i="252"/>
  <c r="B49" i="252"/>
  <c r="H48" i="252"/>
  <c r="G48" i="252"/>
  <c r="E48" i="252"/>
  <c r="B48" i="252"/>
  <c r="H47" i="252"/>
  <c r="G47" i="252"/>
  <c r="E47" i="252"/>
  <c r="B47" i="252"/>
  <c r="E46" i="252"/>
  <c r="B46" i="252"/>
  <c r="H41" i="252"/>
  <c r="G41" i="252"/>
  <c r="F41" i="252"/>
  <c r="E41" i="252"/>
  <c r="D41" i="252"/>
  <c r="B41" i="252"/>
  <c r="H40" i="252"/>
  <c r="G40" i="252"/>
  <c r="F40" i="252"/>
  <c r="E40" i="252"/>
  <c r="D40" i="252"/>
  <c r="B40" i="252"/>
  <c r="H39" i="252"/>
  <c r="G39" i="252"/>
  <c r="F39" i="252"/>
  <c r="E39" i="252"/>
  <c r="D39" i="252"/>
  <c r="B39" i="252"/>
  <c r="H38" i="252"/>
  <c r="G38" i="252"/>
  <c r="F38" i="252"/>
  <c r="E38" i="252"/>
  <c r="D38" i="252"/>
  <c r="B38" i="252"/>
  <c r="F37" i="252"/>
  <c r="A37" i="252"/>
  <c r="G37" i="252" s="1"/>
  <c r="H32" i="252"/>
  <c r="G32" i="252"/>
  <c r="E32" i="252"/>
  <c r="B32" i="252"/>
  <c r="H31" i="252"/>
  <c r="G31" i="252"/>
  <c r="E31" i="252"/>
  <c r="B31" i="252"/>
  <c r="H30" i="252"/>
  <c r="G30" i="252"/>
  <c r="E30" i="252"/>
  <c r="B30" i="252"/>
  <c r="H29" i="252"/>
  <c r="G29" i="252"/>
  <c r="E29" i="252"/>
  <c r="B29" i="252"/>
  <c r="H28" i="252"/>
  <c r="G28" i="252"/>
  <c r="E28" i="252"/>
  <c r="B28" i="252"/>
  <c r="H27" i="252"/>
  <c r="G27" i="252"/>
  <c r="E27" i="252"/>
  <c r="B27" i="252"/>
  <c r="H26" i="252"/>
  <c r="G26" i="252"/>
  <c r="E26" i="252"/>
  <c r="B26" i="252"/>
  <c r="H25" i="252"/>
  <c r="G25" i="252"/>
  <c r="E25" i="252"/>
  <c r="B25" i="252"/>
  <c r="H24" i="252"/>
  <c r="G24" i="252"/>
  <c r="E24" i="252"/>
  <c r="B24" i="252"/>
  <c r="G23" i="252"/>
  <c r="H23" i="252" s="1"/>
  <c r="E23" i="252"/>
  <c r="B23" i="252"/>
  <c r="H18" i="252"/>
  <c r="G18" i="252"/>
  <c r="E18" i="252"/>
  <c r="B18" i="252"/>
  <c r="H17" i="252"/>
  <c r="G17" i="252"/>
  <c r="E17" i="252"/>
  <c r="B17" i="252"/>
  <c r="H16" i="252"/>
  <c r="G16" i="252"/>
  <c r="E16" i="252"/>
  <c r="B16" i="252"/>
  <c r="H15" i="252"/>
  <c r="G15" i="252"/>
  <c r="E15" i="252"/>
  <c r="B15" i="252"/>
  <c r="G14" i="252"/>
  <c r="H14" i="252" s="1"/>
  <c r="E14" i="252"/>
  <c r="F13" i="252"/>
  <c r="E13" i="252"/>
  <c r="B13" i="252"/>
  <c r="B7" i="252"/>
  <c r="A7" i="252"/>
  <c r="F5" i="252"/>
  <c r="F3" i="252"/>
  <c r="F2" i="252"/>
  <c r="D2" i="252"/>
  <c r="DO82" i="149"/>
  <c r="DO101" i="149"/>
  <c r="DO115" i="149"/>
  <c r="DO124" i="149"/>
  <c r="DO130" i="149"/>
  <c r="DO137" i="149"/>
  <c r="DO141" i="149"/>
  <c r="DO144" i="149"/>
  <c r="DO147" i="149"/>
  <c r="DO150" i="149"/>
  <c r="BI26" i="149"/>
  <c r="BJ26" i="149"/>
  <c r="BK26" i="149"/>
  <c r="BM26" i="149"/>
  <c r="BO26" i="149"/>
  <c r="E46" i="251"/>
  <c r="G46" i="251"/>
  <c r="H46" i="251" s="1"/>
  <c r="B46" i="251"/>
  <c r="H15" i="251"/>
  <c r="B14" i="251"/>
  <c r="F13" i="251"/>
  <c r="E13" i="251"/>
  <c r="B13" i="251"/>
  <c r="H7" i="251"/>
  <c r="B8" i="251"/>
  <c r="A8" i="251"/>
  <c r="A62" i="251"/>
  <c r="A61" i="251"/>
  <c r="A60" i="251"/>
  <c r="A59" i="251"/>
  <c r="H49" i="251"/>
  <c r="G49" i="251"/>
  <c r="E49" i="251"/>
  <c r="B49" i="251"/>
  <c r="H48" i="251"/>
  <c r="G48" i="251"/>
  <c r="E48" i="251"/>
  <c r="B48" i="251"/>
  <c r="H47" i="251"/>
  <c r="G47" i="251"/>
  <c r="E47" i="251"/>
  <c r="B47" i="251"/>
  <c r="H41" i="251"/>
  <c r="G41" i="251"/>
  <c r="F41" i="251"/>
  <c r="E41" i="251"/>
  <c r="D41" i="251"/>
  <c r="B41" i="251"/>
  <c r="H40" i="251"/>
  <c r="G40" i="251"/>
  <c r="F40" i="251"/>
  <c r="E40" i="251"/>
  <c r="D40" i="251"/>
  <c r="B40" i="251"/>
  <c r="H39" i="251"/>
  <c r="G39" i="251"/>
  <c r="F39" i="251"/>
  <c r="E39" i="251"/>
  <c r="D39" i="251"/>
  <c r="B39" i="251"/>
  <c r="H38" i="251"/>
  <c r="G38" i="251"/>
  <c r="F38" i="251"/>
  <c r="E38" i="251"/>
  <c r="D38" i="251"/>
  <c r="B38" i="251"/>
  <c r="H37" i="251"/>
  <c r="G37" i="251"/>
  <c r="E37" i="251"/>
  <c r="D37" i="251"/>
  <c r="B37" i="251"/>
  <c r="H32" i="251"/>
  <c r="G32" i="251"/>
  <c r="E32" i="251"/>
  <c r="B32" i="251"/>
  <c r="H31" i="251"/>
  <c r="G31" i="251"/>
  <c r="E31" i="251"/>
  <c r="B31" i="251"/>
  <c r="H30" i="251"/>
  <c r="G30" i="251"/>
  <c r="E30" i="251"/>
  <c r="B30" i="251"/>
  <c r="H29" i="251"/>
  <c r="G29" i="251"/>
  <c r="E29" i="251"/>
  <c r="B29" i="251"/>
  <c r="H28" i="251"/>
  <c r="G28" i="251"/>
  <c r="E28" i="251"/>
  <c r="B28" i="251"/>
  <c r="H27" i="251"/>
  <c r="G27" i="251"/>
  <c r="E27" i="251"/>
  <c r="B27" i="251"/>
  <c r="H26" i="251"/>
  <c r="G26" i="251"/>
  <c r="E26" i="251"/>
  <c r="B26" i="251"/>
  <c r="H25" i="251"/>
  <c r="G25" i="251"/>
  <c r="E25" i="251"/>
  <c r="B25" i="251"/>
  <c r="H24" i="251"/>
  <c r="G24" i="251"/>
  <c r="E24" i="251"/>
  <c r="B24" i="251"/>
  <c r="H23" i="251"/>
  <c r="G23" i="251"/>
  <c r="E23" i="251"/>
  <c r="B23" i="251"/>
  <c r="H18" i="251"/>
  <c r="G18" i="251"/>
  <c r="E18" i="251"/>
  <c r="B18" i="251"/>
  <c r="H17" i="251"/>
  <c r="G17" i="251"/>
  <c r="E17" i="251"/>
  <c r="B17" i="251"/>
  <c r="H16" i="251"/>
  <c r="G16" i="251"/>
  <c r="E16" i="251"/>
  <c r="B16" i="251"/>
  <c r="G14" i="251"/>
  <c r="H14" i="251" s="1"/>
  <c r="E14" i="251"/>
  <c r="B7" i="251"/>
  <c r="A7" i="251"/>
  <c r="F2" i="251"/>
  <c r="DQ71" i="149" l="1"/>
  <c r="DN70" i="149"/>
  <c r="DR76" i="149"/>
  <c r="DS76" i="149" s="1"/>
  <c r="DQ64" i="149"/>
  <c r="DQ78" i="149"/>
  <c r="DN63" i="149"/>
  <c r="DR63" i="149" s="1"/>
  <c r="DS63" i="149" s="1"/>
  <c r="DQ81" i="149"/>
  <c r="DN66" i="149"/>
  <c r="DR66" i="149" s="1"/>
  <c r="DS66" i="149" s="1"/>
  <c r="DR61" i="149"/>
  <c r="DS61" i="149" s="1"/>
  <c r="DQ62" i="149"/>
  <c r="DR74" i="149"/>
  <c r="DS74" i="149" s="1"/>
  <c r="DR60" i="149"/>
  <c r="DS60" i="149" s="1"/>
  <c r="DN80" i="149"/>
  <c r="DR80" i="149" s="1"/>
  <c r="DS80" i="149" s="1"/>
  <c r="DN67" i="149"/>
  <c r="DQ67" i="149" s="1"/>
  <c r="DR65" i="149"/>
  <c r="DS65" i="149" s="1"/>
  <c r="DN69" i="149"/>
  <c r="DR69" i="149" s="1"/>
  <c r="DS69" i="149" s="1"/>
  <c r="DO26" i="149"/>
  <c r="DQ26" i="149"/>
  <c r="CN26" i="149"/>
  <c r="DR26" i="149"/>
  <c r="CO26" i="149"/>
  <c r="BY26" i="149"/>
  <c r="DN79" i="149"/>
  <c r="BX26" i="149"/>
  <c r="BW26" i="149"/>
  <c r="H33" i="252"/>
  <c r="H33" i="251"/>
  <c r="H37" i="252"/>
  <c r="H42" i="252" s="1"/>
  <c r="B37" i="252"/>
  <c r="D37" i="252"/>
  <c r="H42" i="251"/>
  <c r="BN26" i="149"/>
  <c r="BL26" i="149"/>
  <c r="BZ26" i="149" s="1"/>
  <c r="H50" i="251"/>
  <c r="G13" i="251" s="1"/>
  <c r="H13" i="251" s="1"/>
  <c r="H19" i="251" s="1"/>
  <c r="H52" i="251" s="1"/>
  <c r="H53" i="251" l="1"/>
  <c r="H54" i="251" s="1"/>
  <c r="DQ70" i="149"/>
  <c r="DR70" i="149"/>
  <c r="DS70" i="149" s="1"/>
  <c r="DQ80" i="149"/>
  <c r="DQ66" i="149"/>
  <c r="DQ63" i="149"/>
  <c r="DR67" i="149"/>
  <c r="DS67" i="149" s="1"/>
  <c r="DQ69" i="149"/>
  <c r="DQ79" i="149"/>
  <c r="DR79" i="149"/>
  <c r="DS79" i="149" s="1"/>
  <c r="H26" i="144"/>
  <c r="H24" i="144"/>
  <c r="E23" i="144"/>
  <c r="B23" i="144"/>
  <c r="H26" i="121"/>
  <c r="H24" i="121"/>
  <c r="H27" i="120"/>
  <c r="H26" i="120"/>
  <c r="B14" i="142"/>
  <c r="H26" i="126"/>
  <c r="E20" i="16" l="1"/>
  <c r="E14" i="240" s="1"/>
  <c r="E20" i="256"/>
  <c r="F20" i="256" s="1"/>
  <c r="B8" i="250"/>
  <c r="A8" i="250"/>
  <c r="B7" i="250"/>
  <c r="A7" i="250"/>
  <c r="B8" i="249"/>
  <c r="A8" i="249"/>
  <c r="B7" i="249"/>
  <c r="A7" i="249"/>
  <c r="B8" i="248"/>
  <c r="A8" i="248"/>
  <c r="B7" i="248"/>
  <c r="A7" i="248"/>
  <c r="B8" i="246"/>
  <c r="A8" i="246"/>
  <c r="B7" i="246"/>
  <c r="A7" i="246"/>
  <c r="C51" i="16"/>
  <c r="C52" i="16"/>
  <c r="C53" i="16"/>
  <c r="C50" i="16"/>
  <c r="A62" i="250"/>
  <c r="A61" i="250"/>
  <c r="A60" i="250"/>
  <c r="A59" i="250"/>
  <c r="H49" i="250"/>
  <c r="G49" i="250"/>
  <c r="E49" i="250"/>
  <c r="B49" i="250"/>
  <c r="H48" i="250"/>
  <c r="G48" i="250"/>
  <c r="E48" i="250"/>
  <c r="B48" i="250"/>
  <c r="H47" i="250"/>
  <c r="G47" i="250"/>
  <c r="E47" i="250"/>
  <c r="B47" i="250"/>
  <c r="H41" i="250"/>
  <c r="G41" i="250"/>
  <c r="F41" i="250"/>
  <c r="E41" i="250"/>
  <c r="D41" i="250"/>
  <c r="B41" i="250"/>
  <c r="H40" i="250"/>
  <c r="G40" i="250"/>
  <c r="F40" i="250"/>
  <c r="E40" i="250"/>
  <c r="D40" i="250"/>
  <c r="B40" i="250"/>
  <c r="H39" i="250"/>
  <c r="G39" i="250"/>
  <c r="F39" i="250"/>
  <c r="E39" i="250"/>
  <c r="D39" i="250"/>
  <c r="B39" i="250"/>
  <c r="H38" i="250"/>
  <c r="G38" i="250"/>
  <c r="F38" i="250"/>
  <c r="E38" i="250"/>
  <c r="D38" i="250"/>
  <c r="B38" i="250"/>
  <c r="H37" i="250"/>
  <c r="G37" i="250"/>
  <c r="F37" i="250"/>
  <c r="E37" i="250"/>
  <c r="D37" i="250"/>
  <c r="B37" i="250"/>
  <c r="H32" i="250"/>
  <c r="G32" i="250"/>
  <c r="E32" i="250"/>
  <c r="B32" i="250"/>
  <c r="H31" i="250"/>
  <c r="G31" i="250"/>
  <c r="E31" i="250"/>
  <c r="B31" i="250"/>
  <c r="H30" i="250"/>
  <c r="G30" i="250"/>
  <c r="E30" i="250"/>
  <c r="B30" i="250"/>
  <c r="H29" i="250"/>
  <c r="G29" i="250"/>
  <c r="E29" i="250"/>
  <c r="B29" i="250"/>
  <c r="H28" i="250"/>
  <c r="G28" i="250"/>
  <c r="E28" i="250"/>
  <c r="B28" i="250"/>
  <c r="H27" i="250"/>
  <c r="G27" i="250"/>
  <c r="E27" i="250"/>
  <c r="B27" i="250"/>
  <c r="H26" i="250"/>
  <c r="G26" i="250"/>
  <c r="E26" i="250"/>
  <c r="B26" i="250"/>
  <c r="G23" i="250"/>
  <c r="H23" i="250" s="1"/>
  <c r="E23" i="250"/>
  <c r="H18" i="250"/>
  <c r="G18" i="250"/>
  <c r="E18" i="250"/>
  <c r="B18" i="250"/>
  <c r="H17" i="250"/>
  <c r="G17" i="250"/>
  <c r="E17" i="250"/>
  <c r="B17" i="250"/>
  <c r="H16" i="250"/>
  <c r="G16" i="250"/>
  <c r="E16" i="250"/>
  <c r="B16" i="250"/>
  <c r="H15" i="250"/>
  <c r="G15" i="250"/>
  <c r="E15" i="250"/>
  <c r="B15" i="250"/>
  <c r="H14" i="250"/>
  <c r="G14" i="250"/>
  <c r="E14" i="250"/>
  <c r="B14" i="250"/>
  <c r="F5" i="250"/>
  <c r="F3" i="250"/>
  <c r="F2" i="250"/>
  <c r="D2" i="250"/>
  <c r="A62" i="249"/>
  <c r="A61" i="249"/>
  <c r="A60" i="249"/>
  <c r="A59" i="249"/>
  <c r="H49" i="249"/>
  <c r="G49" i="249"/>
  <c r="E49" i="249"/>
  <c r="B49" i="249"/>
  <c r="H48" i="249"/>
  <c r="G48" i="249"/>
  <c r="E48" i="249"/>
  <c r="B48" i="249"/>
  <c r="H47" i="249"/>
  <c r="G47" i="249"/>
  <c r="E47" i="249"/>
  <c r="B47" i="249"/>
  <c r="H41" i="249"/>
  <c r="G41" i="249"/>
  <c r="F41" i="249"/>
  <c r="E41" i="249"/>
  <c r="D41" i="249"/>
  <c r="B41" i="249"/>
  <c r="H40" i="249"/>
  <c r="G40" i="249"/>
  <c r="F40" i="249"/>
  <c r="E40" i="249"/>
  <c r="D40" i="249"/>
  <c r="B40" i="249"/>
  <c r="H39" i="249"/>
  <c r="G39" i="249"/>
  <c r="F39" i="249"/>
  <c r="E39" i="249"/>
  <c r="D39" i="249"/>
  <c r="B39" i="249"/>
  <c r="H38" i="249"/>
  <c r="G38" i="249"/>
  <c r="F38" i="249"/>
  <c r="E38" i="249"/>
  <c r="D38" i="249"/>
  <c r="B38" i="249"/>
  <c r="H37" i="249"/>
  <c r="G37" i="249"/>
  <c r="F37" i="249"/>
  <c r="E37" i="249"/>
  <c r="D37" i="249"/>
  <c r="B37" i="249"/>
  <c r="H32" i="249"/>
  <c r="G32" i="249"/>
  <c r="E32" i="249"/>
  <c r="B32" i="249"/>
  <c r="H31" i="249"/>
  <c r="G31" i="249"/>
  <c r="E31" i="249"/>
  <c r="B31" i="249"/>
  <c r="H30" i="249"/>
  <c r="G30" i="249"/>
  <c r="E30" i="249"/>
  <c r="B30" i="249"/>
  <c r="H29" i="249"/>
  <c r="G29" i="249"/>
  <c r="E29" i="249"/>
  <c r="B29" i="249"/>
  <c r="H28" i="249"/>
  <c r="G28" i="249"/>
  <c r="E28" i="249"/>
  <c r="B28" i="249"/>
  <c r="H27" i="249"/>
  <c r="G27" i="249"/>
  <c r="E27" i="249"/>
  <c r="B27" i="249"/>
  <c r="H26" i="249"/>
  <c r="G26" i="249"/>
  <c r="E26" i="249"/>
  <c r="B26" i="249"/>
  <c r="E23" i="249"/>
  <c r="H18" i="249"/>
  <c r="G18" i="249"/>
  <c r="E18" i="249"/>
  <c r="B18" i="249"/>
  <c r="H17" i="249"/>
  <c r="G17" i="249"/>
  <c r="E17" i="249"/>
  <c r="B17" i="249"/>
  <c r="H16" i="249"/>
  <c r="G16" i="249"/>
  <c r="E16" i="249"/>
  <c r="B16" i="249"/>
  <c r="H15" i="249"/>
  <c r="G15" i="249"/>
  <c r="E15" i="249"/>
  <c r="B15" i="249"/>
  <c r="H14" i="249"/>
  <c r="G14" i="249"/>
  <c r="E14" i="249"/>
  <c r="B14" i="249"/>
  <c r="F5" i="249"/>
  <c r="F3" i="249"/>
  <c r="F2" i="249"/>
  <c r="D2" i="249"/>
  <c r="A62" i="248"/>
  <c r="A61" i="248"/>
  <c r="A60" i="248"/>
  <c r="A59" i="248"/>
  <c r="H49" i="248"/>
  <c r="G49" i="248"/>
  <c r="E49" i="248"/>
  <c r="B49" i="248"/>
  <c r="H48" i="248"/>
  <c r="G48" i="248"/>
  <c r="E48" i="248"/>
  <c r="B48" i="248"/>
  <c r="H47" i="248"/>
  <c r="G47" i="248"/>
  <c r="E47" i="248"/>
  <c r="B47" i="248"/>
  <c r="H41" i="248"/>
  <c r="G41" i="248"/>
  <c r="F41" i="248"/>
  <c r="E41" i="248"/>
  <c r="D41" i="248"/>
  <c r="B41" i="248"/>
  <c r="H40" i="248"/>
  <c r="G40" i="248"/>
  <c r="F40" i="248"/>
  <c r="E40" i="248"/>
  <c r="D40" i="248"/>
  <c r="B40" i="248"/>
  <c r="H39" i="248"/>
  <c r="G39" i="248"/>
  <c r="F39" i="248"/>
  <c r="E39" i="248"/>
  <c r="D39" i="248"/>
  <c r="B39" i="248"/>
  <c r="H38" i="248"/>
  <c r="G38" i="248"/>
  <c r="F38" i="248"/>
  <c r="E38" i="248"/>
  <c r="D38" i="248"/>
  <c r="B38" i="248"/>
  <c r="H37" i="248"/>
  <c r="G37" i="248"/>
  <c r="F37" i="248"/>
  <c r="E37" i="248"/>
  <c r="D37" i="248"/>
  <c r="B37" i="248"/>
  <c r="H32" i="248"/>
  <c r="G32" i="248"/>
  <c r="E32" i="248"/>
  <c r="B32" i="248"/>
  <c r="H31" i="248"/>
  <c r="G31" i="248"/>
  <c r="E31" i="248"/>
  <c r="B31" i="248"/>
  <c r="H30" i="248"/>
  <c r="G30" i="248"/>
  <c r="E30" i="248"/>
  <c r="B30" i="248"/>
  <c r="H29" i="248"/>
  <c r="G29" i="248"/>
  <c r="E29" i="248"/>
  <c r="B29" i="248"/>
  <c r="H28" i="248"/>
  <c r="G28" i="248"/>
  <c r="E28" i="248"/>
  <c r="B28" i="248"/>
  <c r="H27" i="248"/>
  <c r="G27" i="248"/>
  <c r="E27" i="248"/>
  <c r="B27" i="248"/>
  <c r="H26" i="248"/>
  <c r="G26" i="248"/>
  <c r="E26" i="248"/>
  <c r="B26" i="248"/>
  <c r="E23" i="248"/>
  <c r="H18" i="248"/>
  <c r="G18" i="248"/>
  <c r="E18" i="248"/>
  <c r="B18" i="248"/>
  <c r="H17" i="248"/>
  <c r="G17" i="248"/>
  <c r="E17" i="248"/>
  <c r="B17" i="248"/>
  <c r="H16" i="248"/>
  <c r="G16" i="248"/>
  <c r="E16" i="248"/>
  <c r="B16" i="248"/>
  <c r="H15" i="248"/>
  <c r="G15" i="248"/>
  <c r="E15" i="248"/>
  <c r="B15" i="248"/>
  <c r="H14" i="248"/>
  <c r="G14" i="248"/>
  <c r="E14" i="248"/>
  <c r="B14" i="248"/>
  <c r="F5" i="248"/>
  <c r="F3" i="248"/>
  <c r="F2" i="248"/>
  <c r="D2" i="248"/>
  <c r="A62" i="247"/>
  <c r="A61" i="247"/>
  <c r="A60" i="247"/>
  <c r="A59" i="247"/>
  <c r="H49" i="247"/>
  <c r="G49" i="247"/>
  <c r="E49" i="247"/>
  <c r="B49" i="247"/>
  <c r="H48" i="247"/>
  <c r="G48" i="247"/>
  <c r="E48" i="247"/>
  <c r="B48" i="247"/>
  <c r="H47" i="247"/>
  <c r="G47" i="247"/>
  <c r="E47" i="247"/>
  <c r="B47" i="247"/>
  <c r="H41" i="247"/>
  <c r="G41" i="247"/>
  <c r="F41" i="247"/>
  <c r="E41" i="247"/>
  <c r="D41" i="247"/>
  <c r="B41" i="247"/>
  <c r="H40" i="247"/>
  <c r="G40" i="247"/>
  <c r="F40" i="247"/>
  <c r="E40" i="247"/>
  <c r="D40" i="247"/>
  <c r="B40" i="247"/>
  <c r="H39" i="247"/>
  <c r="G39" i="247"/>
  <c r="F39" i="247"/>
  <c r="E39" i="247"/>
  <c r="D39" i="247"/>
  <c r="B39" i="247"/>
  <c r="H38" i="247"/>
  <c r="G38" i="247"/>
  <c r="F38" i="247"/>
  <c r="E38" i="247"/>
  <c r="D38" i="247"/>
  <c r="B38" i="247"/>
  <c r="H37" i="247"/>
  <c r="G37" i="247"/>
  <c r="F37" i="247"/>
  <c r="E37" i="247"/>
  <c r="D37" i="247"/>
  <c r="B37" i="247"/>
  <c r="H32" i="247"/>
  <c r="G32" i="247"/>
  <c r="E32" i="247"/>
  <c r="B32" i="247"/>
  <c r="H31" i="247"/>
  <c r="G31" i="247"/>
  <c r="E31" i="247"/>
  <c r="B31" i="247"/>
  <c r="H30" i="247"/>
  <c r="G30" i="247"/>
  <c r="E30" i="247"/>
  <c r="B30" i="247"/>
  <c r="H29" i="247"/>
  <c r="G29" i="247"/>
  <c r="E29" i="247"/>
  <c r="B29" i="247"/>
  <c r="H28" i="247"/>
  <c r="G28" i="247"/>
  <c r="E28" i="247"/>
  <c r="B28" i="247"/>
  <c r="H27" i="247"/>
  <c r="G27" i="247"/>
  <c r="E27" i="247"/>
  <c r="B27" i="247"/>
  <c r="H26" i="247"/>
  <c r="G26" i="247"/>
  <c r="E26" i="247"/>
  <c r="B26" i="247"/>
  <c r="E23" i="247"/>
  <c r="B23" i="247"/>
  <c r="H18" i="247"/>
  <c r="G18" i="247"/>
  <c r="E18" i="247"/>
  <c r="B18" i="247"/>
  <c r="H17" i="247"/>
  <c r="G17" i="247"/>
  <c r="E17" i="247"/>
  <c r="B17" i="247"/>
  <c r="H16" i="247"/>
  <c r="G16" i="247"/>
  <c r="E16" i="247"/>
  <c r="B16" i="247"/>
  <c r="H15" i="247"/>
  <c r="G15" i="247"/>
  <c r="E15" i="247"/>
  <c r="B15" i="247"/>
  <c r="H14" i="247"/>
  <c r="G14" i="247"/>
  <c r="E14" i="247"/>
  <c r="B14" i="247"/>
  <c r="F5" i="247"/>
  <c r="F3" i="247"/>
  <c r="F2" i="247"/>
  <c r="D2" i="247"/>
  <c r="A62" i="246"/>
  <c r="A61" i="246"/>
  <c r="A60" i="246"/>
  <c r="A59" i="246"/>
  <c r="H49" i="246"/>
  <c r="G49" i="246"/>
  <c r="E49" i="246"/>
  <c r="B49" i="246"/>
  <c r="H48" i="246"/>
  <c r="G48" i="246"/>
  <c r="E48" i="246"/>
  <c r="B48" i="246"/>
  <c r="H47" i="246"/>
  <c r="G47" i="246"/>
  <c r="E47" i="246"/>
  <c r="B47" i="246"/>
  <c r="H41" i="246"/>
  <c r="G41" i="246"/>
  <c r="F41" i="246"/>
  <c r="E41" i="246"/>
  <c r="D41" i="246"/>
  <c r="B41" i="246"/>
  <c r="H40" i="246"/>
  <c r="G40" i="246"/>
  <c r="F40" i="246"/>
  <c r="E40" i="246"/>
  <c r="D40" i="246"/>
  <c r="B40" i="246"/>
  <c r="H39" i="246"/>
  <c r="G39" i="246"/>
  <c r="F39" i="246"/>
  <c r="E39" i="246"/>
  <c r="D39" i="246"/>
  <c r="B39" i="246"/>
  <c r="H38" i="246"/>
  <c r="G38" i="246"/>
  <c r="F38" i="246"/>
  <c r="E38" i="246"/>
  <c r="D38" i="246"/>
  <c r="B38" i="246"/>
  <c r="A37" i="246"/>
  <c r="D37" i="246" s="1"/>
  <c r="H32" i="246"/>
  <c r="G32" i="246"/>
  <c r="E32" i="246"/>
  <c r="B32" i="246"/>
  <c r="H31" i="246"/>
  <c r="G31" i="246"/>
  <c r="E31" i="246"/>
  <c r="B31" i="246"/>
  <c r="H30" i="246"/>
  <c r="G30" i="246"/>
  <c r="E30" i="246"/>
  <c r="B30" i="246"/>
  <c r="H29" i="246"/>
  <c r="G29" i="246"/>
  <c r="E29" i="246"/>
  <c r="B29" i="246"/>
  <c r="H28" i="246"/>
  <c r="G28" i="246"/>
  <c r="E28" i="246"/>
  <c r="B28" i="246"/>
  <c r="H27" i="246"/>
  <c r="G27" i="246"/>
  <c r="E27" i="246"/>
  <c r="B27" i="246"/>
  <c r="H26" i="246"/>
  <c r="G26" i="246"/>
  <c r="E26" i="246"/>
  <c r="B26" i="246"/>
  <c r="H25" i="246"/>
  <c r="G25" i="246"/>
  <c r="E25" i="246"/>
  <c r="B25" i="246"/>
  <c r="G24" i="246"/>
  <c r="H24" i="246" s="1"/>
  <c r="E24" i="246"/>
  <c r="B24" i="246"/>
  <c r="E23" i="246"/>
  <c r="H18" i="246"/>
  <c r="G18" i="246"/>
  <c r="E18" i="246"/>
  <c r="B18" i="246"/>
  <c r="H17" i="246"/>
  <c r="G17" i="246"/>
  <c r="E17" i="246"/>
  <c r="B17" i="246"/>
  <c r="H16" i="246"/>
  <c r="G16" i="246"/>
  <c r="E16" i="246"/>
  <c r="B16" i="246"/>
  <c r="H15" i="246"/>
  <c r="G15" i="246"/>
  <c r="E15" i="246"/>
  <c r="B15" i="246"/>
  <c r="H14" i="246"/>
  <c r="G14" i="246"/>
  <c r="E14" i="246"/>
  <c r="B14" i="246"/>
  <c r="F5" i="246"/>
  <c r="F3" i="246"/>
  <c r="F2" i="246"/>
  <c r="D2" i="246"/>
  <c r="A8" i="245"/>
  <c r="B8" i="245"/>
  <c r="H7" i="245"/>
  <c r="B7" i="245"/>
  <c r="A7" i="245"/>
  <c r="H7" i="244"/>
  <c r="B8" i="244"/>
  <c r="A7" i="244"/>
  <c r="H7" i="243"/>
  <c r="B8" i="243"/>
  <c r="B7" i="243"/>
  <c r="A7" i="243"/>
  <c r="H7" i="242"/>
  <c r="B8" i="242"/>
  <c r="B7" i="242"/>
  <c r="A7" i="242"/>
  <c r="A62" i="245"/>
  <c r="A61" i="245"/>
  <c r="A60" i="245"/>
  <c r="A59" i="245"/>
  <c r="H49" i="245"/>
  <c r="G49" i="245"/>
  <c r="E49" i="245"/>
  <c r="B49" i="245"/>
  <c r="H48" i="245"/>
  <c r="G48" i="245"/>
  <c r="E48" i="245"/>
  <c r="B48" i="245"/>
  <c r="H47" i="245"/>
  <c r="G47" i="245"/>
  <c r="E47" i="245"/>
  <c r="B47" i="245"/>
  <c r="G46" i="245"/>
  <c r="H46" i="245" s="1"/>
  <c r="E46" i="245"/>
  <c r="B46" i="245"/>
  <c r="H41" i="245"/>
  <c r="G41" i="245"/>
  <c r="F41" i="245"/>
  <c r="E41" i="245"/>
  <c r="D41" i="245"/>
  <c r="B41" i="245"/>
  <c r="H40" i="245"/>
  <c r="G40" i="245"/>
  <c r="F40" i="245"/>
  <c r="E40" i="245"/>
  <c r="D40" i="245"/>
  <c r="B40" i="245"/>
  <c r="H39" i="245"/>
  <c r="G39" i="245"/>
  <c r="F39" i="245"/>
  <c r="E39" i="245"/>
  <c r="D39" i="245"/>
  <c r="B39" i="245"/>
  <c r="H38" i="245"/>
  <c r="G38" i="245"/>
  <c r="F38" i="245"/>
  <c r="E38" i="245"/>
  <c r="D38" i="245"/>
  <c r="B38" i="245"/>
  <c r="A37" i="245"/>
  <c r="G37" i="245" s="1"/>
  <c r="H32" i="245"/>
  <c r="G32" i="245"/>
  <c r="E32" i="245"/>
  <c r="B32" i="245"/>
  <c r="H31" i="245"/>
  <c r="G31" i="245"/>
  <c r="E31" i="245"/>
  <c r="B31" i="245"/>
  <c r="H30" i="245"/>
  <c r="G30" i="245"/>
  <c r="E30" i="245"/>
  <c r="B30" i="245"/>
  <c r="H29" i="245"/>
  <c r="G29" i="245"/>
  <c r="E29" i="245"/>
  <c r="B29" i="245"/>
  <c r="H28" i="245"/>
  <c r="G28" i="245"/>
  <c r="E28" i="245"/>
  <c r="B28" i="245"/>
  <c r="H27" i="245"/>
  <c r="G27" i="245"/>
  <c r="E27" i="245"/>
  <c r="B27" i="245"/>
  <c r="H26" i="245"/>
  <c r="G26" i="245"/>
  <c r="E26" i="245"/>
  <c r="B26" i="245"/>
  <c r="H25" i="245"/>
  <c r="G25" i="245"/>
  <c r="E25" i="245"/>
  <c r="B25" i="245"/>
  <c r="H24" i="245"/>
  <c r="G24" i="245"/>
  <c r="E24" i="245"/>
  <c r="B24" i="245"/>
  <c r="E23" i="245"/>
  <c r="H18" i="245"/>
  <c r="G18" i="245"/>
  <c r="E18" i="245"/>
  <c r="B18" i="245"/>
  <c r="H17" i="245"/>
  <c r="G17" i="245"/>
  <c r="E17" i="245"/>
  <c r="B17" i="245"/>
  <c r="H16" i="245"/>
  <c r="G16" i="245"/>
  <c r="E16" i="245"/>
  <c r="B16" i="245"/>
  <c r="H15" i="245"/>
  <c r="G15" i="245"/>
  <c r="E15" i="245"/>
  <c r="B15" i="245"/>
  <c r="H14" i="245"/>
  <c r="G14" i="245"/>
  <c r="E14" i="245"/>
  <c r="B14" i="245"/>
  <c r="F13" i="245"/>
  <c r="E13" i="245"/>
  <c r="B13" i="245"/>
  <c r="F5" i="245"/>
  <c r="F3" i="245"/>
  <c r="F2" i="245"/>
  <c r="D2" i="245"/>
  <c r="A62" i="244"/>
  <c r="A61" i="244"/>
  <c r="A60" i="244"/>
  <c r="A59" i="244"/>
  <c r="H49" i="244"/>
  <c r="G49" i="244"/>
  <c r="E49" i="244"/>
  <c r="B49" i="244"/>
  <c r="H48" i="244"/>
  <c r="G48" i="244"/>
  <c r="E48" i="244"/>
  <c r="B48" i="244"/>
  <c r="H47" i="244"/>
  <c r="G47" i="244"/>
  <c r="E47" i="244"/>
  <c r="B47" i="244"/>
  <c r="G46" i="244"/>
  <c r="H46" i="244" s="1"/>
  <c r="E46" i="244"/>
  <c r="B46" i="244"/>
  <c r="H41" i="244"/>
  <c r="G41" i="244"/>
  <c r="F41" i="244"/>
  <c r="E41" i="244"/>
  <c r="D41" i="244"/>
  <c r="B41" i="244"/>
  <c r="H40" i="244"/>
  <c r="G40" i="244"/>
  <c r="F40" i="244"/>
  <c r="E40" i="244"/>
  <c r="D40" i="244"/>
  <c r="B40" i="244"/>
  <c r="H39" i="244"/>
  <c r="G39" i="244"/>
  <c r="F39" i="244"/>
  <c r="E39" i="244"/>
  <c r="D39" i="244"/>
  <c r="B39" i="244"/>
  <c r="H38" i="244"/>
  <c r="G38" i="244"/>
  <c r="F38" i="244"/>
  <c r="E38" i="244"/>
  <c r="D38" i="244"/>
  <c r="B38" i="244"/>
  <c r="F37" i="244"/>
  <c r="A37" i="244"/>
  <c r="G37" i="244" s="1"/>
  <c r="H32" i="244"/>
  <c r="G32" i="244"/>
  <c r="E32" i="244"/>
  <c r="B32" i="244"/>
  <c r="H31" i="244"/>
  <c r="G31" i="244"/>
  <c r="E31" i="244"/>
  <c r="B31" i="244"/>
  <c r="H30" i="244"/>
  <c r="G30" i="244"/>
  <c r="E30" i="244"/>
  <c r="B30" i="244"/>
  <c r="H29" i="244"/>
  <c r="G29" i="244"/>
  <c r="E29" i="244"/>
  <c r="B29" i="244"/>
  <c r="H28" i="244"/>
  <c r="G28" i="244"/>
  <c r="E28" i="244"/>
  <c r="B28" i="244"/>
  <c r="H27" i="244"/>
  <c r="G27" i="244"/>
  <c r="E27" i="244"/>
  <c r="B27" i="244"/>
  <c r="H26" i="244"/>
  <c r="G26" i="244"/>
  <c r="E26" i="244"/>
  <c r="B26" i="244"/>
  <c r="G25" i="244"/>
  <c r="H25" i="244" s="1"/>
  <c r="E25" i="244"/>
  <c r="B25" i="244"/>
  <c r="G24" i="244"/>
  <c r="H24" i="244" s="1"/>
  <c r="E24" i="244"/>
  <c r="B24" i="244"/>
  <c r="E23" i="244"/>
  <c r="H18" i="244"/>
  <c r="G18" i="244"/>
  <c r="E18" i="244"/>
  <c r="B18" i="244"/>
  <c r="H17" i="244"/>
  <c r="G17" i="244"/>
  <c r="E17" i="244"/>
  <c r="B17" i="244"/>
  <c r="H16" i="244"/>
  <c r="G16" i="244"/>
  <c r="E16" i="244"/>
  <c r="B16" i="244"/>
  <c r="H15" i="244"/>
  <c r="G15" i="244"/>
  <c r="E15" i="244"/>
  <c r="B15" i="244"/>
  <c r="H14" i="244"/>
  <c r="G14" i="244"/>
  <c r="E14" i="244"/>
  <c r="B14" i="244"/>
  <c r="F13" i="244"/>
  <c r="E13" i="244"/>
  <c r="B13" i="244"/>
  <c r="F5" i="244"/>
  <c r="F3" i="244"/>
  <c r="F2" i="244"/>
  <c r="D2" i="244"/>
  <c r="A62" i="243"/>
  <c r="A61" i="243"/>
  <c r="A60" i="243"/>
  <c r="A59" i="243"/>
  <c r="H49" i="243"/>
  <c r="G49" i="243"/>
  <c r="E49" i="243"/>
  <c r="B49" i="243"/>
  <c r="H48" i="243"/>
  <c r="G48" i="243"/>
  <c r="E48" i="243"/>
  <c r="B48" i="243"/>
  <c r="H47" i="243"/>
  <c r="G47" i="243"/>
  <c r="E47" i="243"/>
  <c r="B47" i="243"/>
  <c r="G46" i="243"/>
  <c r="H46" i="243" s="1"/>
  <c r="E46" i="243"/>
  <c r="B46" i="243"/>
  <c r="H41" i="243"/>
  <c r="G41" i="243"/>
  <c r="F41" i="243"/>
  <c r="E41" i="243"/>
  <c r="D41" i="243"/>
  <c r="B41" i="243"/>
  <c r="H40" i="243"/>
  <c r="G40" i="243"/>
  <c r="F40" i="243"/>
  <c r="E40" i="243"/>
  <c r="D40" i="243"/>
  <c r="B40" i="243"/>
  <c r="H39" i="243"/>
  <c r="G39" i="243"/>
  <c r="F39" i="243"/>
  <c r="E39" i="243"/>
  <c r="D39" i="243"/>
  <c r="B39" i="243"/>
  <c r="H38" i="243"/>
  <c r="G38" i="243"/>
  <c r="F38" i="243"/>
  <c r="E38" i="243"/>
  <c r="D38" i="243"/>
  <c r="B38" i="243"/>
  <c r="A37" i="243"/>
  <c r="G37" i="243" s="1"/>
  <c r="H32" i="243"/>
  <c r="G32" i="243"/>
  <c r="E32" i="243"/>
  <c r="B32" i="243"/>
  <c r="H31" i="243"/>
  <c r="G31" i="243"/>
  <c r="E31" i="243"/>
  <c r="B31" i="243"/>
  <c r="H30" i="243"/>
  <c r="G30" i="243"/>
  <c r="E30" i="243"/>
  <c r="B30" i="243"/>
  <c r="H29" i="243"/>
  <c r="G29" i="243"/>
  <c r="E29" i="243"/>
  <c r="B29" i="243"/>
  <c r="H28" i="243"/>
  <c r="G28" i="243"/>
  <c r="E28" i="243"/>
  <c r="B28" i="243"/>
  <c r="H27" i="243"/>
  <c r="G27" i="243"/>
  <c r="E27" i="243"/>
  <c r="B27" i="243"/>
  <c r="H26" i="243"/>
  <c r="G26" i="243"/>
  <c r="E26" i="243"/>
  <c r="B26" i="243"/>
  <c r="G25" i="243"/>
  <c r="H25" i="243" s="1"/>
  <c r="E25" i="243"/>
  <c r="B25" i="243"/>
  <c r="G24" i="243"/>
  <c r="H24" i="243" s="1"/>
  <c r="E24" i="243"/>
  <c r="B24" i="243"/>
  <c r="E23" i="243"/>
  <c r="H18" i="243"/>
  <c r="G18" i="243"/>
  <c r="E18" i="243"/>
  <c r="B18" i="243"/>
  <c r="H17" i="243"/>
  <c r="G17" i="243"/>
  <c r="E17" i="243"/>
  <c r="B17" i="243"/>
  <c r="H16" i="243"/>
  <c r="G16" i="243"/>
  <c r="E16" i="243"/>
  <c r="B16" i="243"/>
  <c r="H15" i="243"/>
  <c r="G15" i="243"/>
  <c r="E15" i="243"/>
  <c r="B15" i="243"/>
  <c r="H14" i="243"/>
  <c r="G14" i="243"/>
  <c r="E14" i="243"/>
  <c r="B14" i="243"/>
  <c r="F13" i="243"/>
  <c r="E13" i="243"/>
  <c r="B13" i="243"/>
  <c r="F5" i="243"/>
  <c r="F3" i="243"/>
  <c r="F2" i="243"/>
  <c r="D2" i="243"/>
  <c r="A62" i="242"/>
  <c r="A61" i="242"/>
  <c r="A60" i="242"/>
  <c r="A59" i="242"/>
  <c r="H49" i="242"/>
  <c r="G49" i="242"/>
  <c r="E49" i="242"/>
  <c r="B49" i="242"/>
  <c r="H48" i="242"/>
  <c r="G48" i="242"/>
  <c r="E48" i="242"/>
  <c r="B48" i="242"/>
  <c r="H47" i="242"/>
  <c r="G47" i="242"/>
  <c r="E47" i="242"/>
  <c r="B47" i="242"/>
  <c r="G46" i="242"/>
  <c r="H46" i="242" s="1"/>
  <c r="E46" i="242"/>
  <c r="B46" i="242"/>
  <c r="H41" i="242"/>
  <c r="G41" i="242"/>
  <c r="F41" i="242"/>
  <c r="E41" i="242"/>
  <c r="D41" i="242"/>
  <c r="B41" i="242"/>
  <c r="H40" i="242"/>
  <c r="G40" i="242"/>
  <c r="F40" i="242"/>
  <c r="E40" i="242"/>
  <c r="D40" i="242"/>
  <c r="B40" i="242"/>
  <c r="H39" i="242"/>
  <c r="G39" i="242"/>
  <c r="F39" i="242"/>
  <c r="E39" i="242"/>
  <c r="D39" i="242"/>
  <c r="B39" i="242"/>
  <c r="H38" i="242"/>
  <c r="G38" i="242"/>
  <c r="F38" i="242"/>
  <c r="E38" i="242"/>
  <c r="D38" i="242"/>
  <c r="B38" i="242"/>
  <c r="A37" i="242"/>
  <c r="G37" i="242" s="1"/>
  <c r="H32" i="242"/>
  <c r="G32" i="242"/>
  <c r="E32" i="242"/>
  <c r="B32" i="242"/>
  <c r="H31" i="242"/>
  <c r="G31" i="242"/>
  <c r="E31" i="242"/>
  <c r="B31" i="242"/>
  <c r="H30" i="242"/>
  <c r="G30" i="242"/>
  <c r="E30" i="242"/>
  <c r="B30" i="242"/>
  <c r="H29" i="242"/>
  <c r="G29" i="242"/>
  <c r="E29" i="242"/>
  <c r="B29" i="242"/>
  <c r="H28" i="242"/>
  <c r="G28" i="242"/>
  <c r="E28" i="242"/>
  <c r="B28" i="242"/>
  <c r="H27" i="242"/>
  <c r="G27" i="242"/>
  <c r="E27" i="242"/>
  <c r="B27" i="242"/>
  <c r="H26" i="242"/>
  <c r="G26" i="242"/>
  <c r="E26" i="242"/>
  <c r="B26" i="242"/>
  <c r="G25" i="242"/>
  <c r="H25" i="242" s="1"/>
  <c r="E25" i="242"/>
  <c r="B25" i="242"/>
  <c r="H24" i="242"/>
  <c r="G24" i="242"/>
  <c r="E24" i="242"/>
  <c r="B24" i="242"/>
  <c r="E23" i="242"/>
  <c r="H18" i="242"/>
  <c r="G18" i="242"/>
  <c r="E18" i="242"/>
  <c r="B18" i="242"/>
  <c r="H17" i="242"/>
  <c r="G17" i="242"/>
  <c r="E17" i="242"/>
  <c r="B17" i="242"/>
  <c r="H16" i="242"/>
  <c r="G16" i="242"/>
  <c r="E16" i="242"/>
  <c r="B16" i="242"/>
  <c r="H15" i="242"/>
  <c r="G15" i="242"/>
  <c r="E15" i="242"/>
  <c r="B15" i="242"/>
  <c r="H14" i="242"/>
  <c r="G14" i="242"/>
  <c r="E14" i="242"/>
  <c r="B14" i="242"/>
  <c r="F13" i="242"/>
  <c r="E13" i="242"/>
  <c r="B13" i="242"/>
  <c r="F5" i="242"/>
  <c r="F3" i="242"/>
  <c r="F2" i="242"/>
  <c r="B7" i="233"/>
  <c r="A7" i="233"/>
  <c r="B7" i="232"/>
  <c r="A7" i="232"/>
  <c r="B7" i="231"/>
  <c r="A7" i="231"/>
  <c r="B7" i="230"/>
  <c r="A7" i="230"/>
  <c r="B7" i="229"/>
  <c r="A7" i="229"/>
  <c r="B7" i="228"/>
  <c r="A7" i="228"/>
  <c r="B7" i="227"/>
  <c r="A7" i="227"/>
  <c r="B7" i="226"/>
  <c r="A7" i="226"/>
  <c r="B7" i="225"/>
  <c r="A7" i="225"/>
  <c r="B7" i="224"/>
  <c r="A7" i="224"/>
  <c r="B7" i="223"/>
  <c r="A7" i="223"/>
  <c r="B7" i="222"/>
  <c r="A7" i="222"/>
  <c r="B7" i="221"/>
  <c r="A7" i="221"/>
  <c r="B7" i="220"/>
  <c r="A7" i="220"/>
  <c r="B7" i="219"/>
  <c r="A7" i="219"/>
  <c r="B7" i="218"/>
  <c r="A7" i="218"/>
  <c r="B7" i="217"/>
  <c r="A7" i="217"/>
  <c r="B7" i="216"/>
  <c r="A7" i="216"/>
  <c r="B7" i="215"/>
  <c r="A7" i="215"/>
  <c r="B7" i="214"/>
  <c r="A7" i="214"/>
  <c r="B7" i="213"/>
  <c r="A7" i="213"/>
  <c r="B7" i="212"/>
  <c r="A7" i="212"/>
  <c r="B7" i="211"/>
  <c r="A7" i="211"/>
  <c r="B7" i="210"/>
  <c r="A7" i="210"/>
  <c r="B7" i="209"/>
  <c r="A7" i="209"/>
  <c r="B7" i="208"/>
  <c r="A7" i="208"/>
  <c r="B7" i="207"/>
  <c r="A7" i="207"/>
  <c r="B7" i="206"/>
  <c r="A7" i="206"/>
  <c r="B7" i="205"/>
  <c r="A7" i="205"/>
  <c r="B7" i="204"/>
  <c r="A7" i="204"/>
  <c r="B7" i="203"/>
  <c r="A7" i="203"/>
  <c r="B7" i="202"/>
  <c r="A7" i="202"/>
  <c r="B7" i="201"/>
  <c r="A7" i="201"/>
  <c r="B7" i="200"/>
  <c r="A7" i="200"/>
  <c r="B7" i="199"/>
  <c r="A7" i="199"/>
  <c r="B7" i="198"/>
  <c r="A7" i="198"/>
  <c r="B7" i="197"/>
  <c r="A7" i="197"/>
  <c r="B7" i="196"/>
  <c r="A7" i="196"/>
  <c r="B7" i="194"/>
  <c r="A7" i="194"/>
  <c r="B7" i="193"/>
  <c r="A7" i="193"/>
  <c r="B7" i="192"/>
  <c r="A7" i="192"/>
  <c r="B7" i="191"/>
  <c r="A7" i="191"/>
  <c r="B7" i="190"/>
  <c r="A7" i="190"/>
  <c r="B7" i="189"/>
  <c r="A7" i="189"/>
  <c r="B7" i="188"/>
  <c r="A7" i="188"/>
  <c r="B7" i="187"/>
  <c r="A7" i="187"/>
  <c r="B7" i="186"/>
  <c r="A7" i="186"/>
  <c r="B7" i="185"/>
  <c r="A7" i="185"/>
  <c r="B7" i="184"/>
  <c r="A7" i="184"/>
  <c r="B7" i="183"/>
  <c r="A7" i="183"/>
  <c r="B7" i="182"/>
  <c r="A7" i="182"/>
  <c r="B7" i="181"/>
  <c r="A7" i="181"/>
  <c r="B7" i="180"/>
  <c r="A7" i="180"/>
  <c r="B7" i="179"/>
  <c r="A7" i="179"/>
  <c r="B7" i="178"/>
  <c r="A7" i="178"/>
  <c r="B7" i="177"/>
  <c r="A7" i="177"/>
  <c r="B7" i="176"/>
  <c r="A7" i="176"/>
  <c r="B7" i="175"/>
  <c r="A7" i="175"/>
  <c r="B7" i="174"/>
  <c r="A7" i="174"/>
  <c r="B7" i="173"/>
  <c r="A7" i="173"/>
  <c r="B7" i="171"/>
  <c r="A7" i="171"/>
  <c r="B7" i="170"/>
  <c r="A7" i="170"/>
  <c r="B7" i="168"/>
  <c r="A7" i="168"/>
  <c r="B7" i="167"/>
  <c r="A7" i="167"/>
  <c r="B7" i="166"/>
  <c r="A7" i="166"/>
  <c r="B7" i="165"/>
  <c r="A7" i="165"/>
  <c r="B7" i="164"/>
  <c r="A7" i="164"/>
  <c r="B7" i="163"/>
  <c r="A7" i="163"/>
  <c r="B7" i="162"/>
  <c r="A7" i="162"/>
  <c r="B7" i="161"/>
  <c r="A7" i="161"/>
  <c r="B7" i="160"/>
  <c r="A7" i="160"/>
  <c r="B7" i="159"/>
  <c r="A7" i="159"/>
  <c r="B7" i="158"/>
  <c r="A7" i="158"/>
  <c r="B7" i="157"/>
  <c r="A7" i="157"/>
  <c r="B7" i="156"/>
  <c r="A7" i="156"/>
  <c r="B7" i="155"/>
  <c r="A7" i="155"/>
  <c r="B7" i="154"/>
  <c r="A7" i="154"/>
  <c r="B7" i="153"/>
  <c r="A7" i="153"/>
  <c r="B7" i="239"/>
  <c r="A7" i="239"/>
  <c r="B7" i="235"/>
  <c r="A7" i="235"/>
  <c r="H7" i="246" l="1"/>
  <c r="C44" i="240"/>
  <c r="H7" i="250"/>
  <c r="C47" i="240"/>
  <c r="H7" i="249"/>
  <c r="C46" i="240"/>
  <c r="H7" i="248"/>
  <c r="C45" i="240"/>
  <c r="D37" i="242"/>
  <c r="F37" i="242"/>
  <c r="H37" i="242" s="1"/>
  <c r="H42" i="242" s="1"/>
  <c r="H50" i="250"/>
  <c r="H50" i="248"/>
  <c r="H50" i="246"/>
  <c r="H50" i="247"/>
  <c r="H19" i="250"/>
  <c r="H50" i="249"/>
  <c r="H42" i="248"/>
  <c r="H50" i="242"/>
  <c r="G13" i="242" s="1"/>
  <c r="H13" i="242" s="1"/>
  <c r="H19" i="242" s="1"/>
  <c r="H50" i="243"/>
  <c r="G13" i="243" s="1"/>
  <c r="H13" i="243" s="1"/>
  <c r="H19" i="243" s="1"/>
  <c r="F37" i="246"/>
  <c r="H42" i="250"/>
  <c r="D37" i="245"/>
  <c r="G37" i="246"/>
  <c r="H19" i="247"/>
  <c r="H19" i="246"/>
  <c r="H19" i="249"/>
  <c r="H42" i="249"/>
  <c r="H42" i="247"/>
  <c r="H33" i="250"/>
  <c r="H19" i="248"/>
  <c r="H50" i="244"/>
  <c r="G13" i="244" s="1"/>
  <c r="H13" i="244" s="1"/>
  <c r="H19" i="244" s="1"/>
  <c r="H50" i="245"/>
  <c r="G13" i="245" s="1"/>
  <c r="H13" i="245" s="1"/>
  <c r="H19" i="245" s="1"/>
  <c r="H37" i="244"/>
  <c r="H42" i="244" s="1"/>
  <c r="D37" i="244"/>
  <c r="D37" i="243"/>
  <c r="F37" i="243"/>
  <c r="H37" i="243" s="1"/>
  <c r="H42" i="243" s="1"/>
  <c r="F37" i="245"/>
  <c r="H37" i="245" s="1"/>
  <c r="H42" i="245" s="1"/>
  <c r="B7" i="89"/>
  <c r="A7" i="89"/>
  <c r="B7" i="88"/>
  <c r="A7" i="88"/>
  <c r="B7" i="145"/>
  <c r="A7" i="145"/>
  <c r="B7" i="123"/>
  <c r="A7" i="123"/>
  <c r="B7" i="129"/>
  <c r="A7" i="129"/>
  <c r="B7" i="128"/>
  <c r="A7" i="128"/>
  <c r="B7" i="127"/>
  <c r="A7" i="127"/>
  <c r="B7" i="122"/>
  <c r="A7" i="122"/>
  <c r="B7" i="144"/>
  <c r="A7" i="144"/>
  <c r="B7" i="121"/>
  <c r="A7" i="121"/>
  <c r="B7" i="120"/>
  <c r="A7" i="120"/>
  <c r="B7" i="142"/>
  <c r="A7" i="142"/>
  <c r="B7" i="126"/>
  <c r="A7" i="126"/>
  <c r="B7" i="117"/>
  <c r="A7" i="117"/>
  <c r="B7" i="116"/>
  <c r="A7" i="116"/>
  <c r="B7" i="115"/>
  <c r="A7" i="115"/>
  <c r="B7" i="41"/>
  <c r="A7" i="41"/>
  <c r="H30" i="233"/>
  <c r="H31" i="233"/>
  <c r="H32" i="233"/>
  <c r="H33" i="233"/>
  <c r="H34" i="233"/>
  <c r="H35" i="233"/>
  <c r="H36" i="233"/>
  <c r="H37" i="233"/>
  <c r="H38" i="233"/>
  <c r="H39" i="233"/>
  <c r="H40" i="233"/>
  <c r="G29" i="233"/>
  <c r="H29" i="233" s="1"/>
  <c r="B29" i="233"/>
  <c r="E24" i="233"/>
  <c r="B24" i="233"/>
  <c r="B25" i="233"/>
  <c r="B26" i="233"/>
  <c r="H23" i="233"/>
  <c r="E25" i="233"/>
  <c r="G26" i="233"/>
  <c r="H26" i="233" s="1"/>
  <c r="H27" i="233"/>
  <c r="H28" i="233"/>
  <c r="E46" i="233"/>
  <c r="G46" i="233"/>
  <c r="H46" i="233"/>
  <c r="H37" i="246" l="1"/>
  <c r="H42" i="246" s="1"/>
  <c r="H52" i="250"/>
  <c r="E53" i="16" s="1"/>
  <c r="E47" i="240" s="1"/>
  <c r="G23" i="247"/>
  <c r="H23" i="247" s="1"/>
  <c r="H33" i="247" s="1"/>
  <c r="H52" i="247" s="1"/>
  <c r="E23" i="126"/>
  <c r="E110" i="14"/>
  <c r="E24" i="147"/>
  <c r="B24" i="147"/>
  <c r="E108" i="14"/>
  <c r="G24" i="147" s="1"/>
  <c r="H24" i="147" s="1"/>
  <c r="H23" i="126" l="1"/>
  <c r="C11" i="12" l="1"/>
  <c r="G203" i="17" l="1"/>
  <c r="A68" i="132" l="1"/>
  <c r="N72" i="240"/>
  <c r="N74" i="240" s="1"/>
  <c r="M72" i="240"/>
  <c r="M74" i="240" s="1"/>
  <c r="L72" i="240"/>
  <c r="L74" i="240" s="1"/>
  <c r="L77" i="240" s="1"/>
  <c r="K72" i="240"/>
  <c r="K74" i="240" s="1"/>
  <c r="K77" i="240" s="1"/>
  <c r="J72" i="240"/>
  <c r="J74" i="240" s="1"/>
  <c r="G72" i="240"/>
  <c r="G74" i="240" s="1"/>
  <c r="G77" i="240" s="1"/>
  <c r="F23" i="239"/>
  <c r="H7" i="239"/>
  <c r="B8" i="239"/>
  <c r="A8" i="239"/>
  <c r="A62" i="239"/>
  <c r="A61" i="239"/>
  <c r="A60" i="239"/>
  <c r="A59" i="239"/>
  <c r="H49" i="239"/>
  <c r="G49" i="239"/>
  <c r="E49" i="239"/>
  <c r="B49" i="239"/>
  <c r="H48" i="239"/>
  <c r="G48" i="239"/>
  <c r="E48" i="239"/>
  <c r="B48" i="239"/>
  <c r="E47" i="239"/>
  <c r="B47" i="239"/>
  <c r="E46" i="239"/>
  <c r="B46" i="239"/>
  <c r="H41" i="239"/>
  <c r="G41" i="239"/>
  <c r="F41" i="239"/>
  <c r="E41" i="239"/>
  <c r="D41" i="239"/>
  <c r="B41" i="239"/>
  <c r="H40" i="239"/>
  <c r="G40" i="239"/>
  <c r="F40" i="239"/>
  <c r="E40" i="239"/>
  <c r="D40" i="239"/>
  <c r="B40" i="239"/>
  <c r="G39" i="239"/>
  <c r="F39" i="239"/>
  <c r="E39" i="239"/>
  <c r="D39" i="239"/>
  <c r="B39" i="239"/>
  <c r="H38" i="239"/>
  <c r="G38" i="239"/>
  <c r="F38" i="239"/>
  <c r="E38" i="239"/>
  <c r="D38" i="239"/>
  <c r="B38" i="239"/>
  <c r="H32" i="239"/>
  <c r="G32" i="239"/>
  <c r="E32" i="239"/>
  <c r="B32" i="239"/>
  <c r="H31" i="239"/>
  <c r="G31" i="239"/>
  <c r="E31" i="239"/>
  <c r="B31" i="239"/>
  <c r="H30" i="239"/>
  <c r="G30" i="239"/>
  <c r="E30" i="239"/>
  <c r="B30" i="239"/>
  <c r="H29" i="239"/>
  <c r="G29" i="239"/>
  <c r="E29" i="239"/>
  <c r="B29" i="239"/>
  <c r="H28" i="239"/>
  <c r="G28" i="239"/>
  <c r="E28" i="239"/>
  <c r="B28" i="239"/>
  <c r="H27" i="239"/>
  <c r="G27" i="239"/>
  <c r="E27" i="239"/>
  <c r="B27" i="239"/>
  <c r="H26" i="239"/>
  <c r="G26" i="239"/>
  <c r="E26" i="239"/>
  <c r="B26" i="239"/>
  <c r="B25" i="239"/>
  <c r="E24" i="239"/>
  <c r="B24" i="239"/>
  <c r="E23" i="239"/>
  <c r="B23" i="239"/>
  <c r="H18" i="239"/>
  <c r="G18" i="239"/>
  <c r="E18" i="239"/>
  <c r="B18" i="239"/>
  <c r="H17" i="239"/>
  <c r="G17" i="239"/>
  <c r="E17" i="239"/>
  <c r="B17" i="239"/>
  <c r="H16" i="239"/>
  <c r="G16" i="239"/>
  <c r="E16" i="239"/>
  <c r="B16" i="239"/>
  <c r="H15" i="239"/>
  <c r="G15" i="239"/>
  <c r="E15" i="239"/>
  <c r="B15" i="239"/>
  <c r="H14" i="239"/>
  <c r="G14" i="239"/>
  <c r="E14" i="239"/>
  <c r="F13" i="239"/>
  <c r="E13" i="239"/>
  <c r="B13" i="239"/>
  <c r="F5" i="239"/>
  <c r="F3" i="239"/>
  <c r="F2" i="239"/>
  <c r="D2" i="239"/>
  <c r="A104" i="16"/>
  <c r="A103" i="16"/>
  <c r="A101" i="16"/>
  <c r="F202" i="17"/>
  <c r="F203" i="17"/>
  <c r="F217" i="17" s="1"/>
  <c r="A240" i="17"/>
  <c r="A239" i="17"/>
  <c r="A238" i="17"/>
  <c r="A237" i="17"/>
  <c r="H227" i="17"/>
  <c r="G227" i="17"/>
  <c r="E227" i="17"/>
  <c r="B227" i="17"/>
  <c r="H226" i="17"/>
  <c r="G226" i="17"/>
  <c r="E226" i="17"/>
  <c r="B226" i="17"/>
  <c r="H225" i="17"/>
  <c r="G225" i="17"/>
  <c r="E225" i="17"/>
  <c r="B225" i="17"/>
  <c r="E224" i="17"/>
  <c r="B224" i="17"/>
  <c r="H219" i="17"/>
  <c r="G219" i="17"/>
  <c r="F219" i="17"/>
  <c r="E219" i="17"/>
  <c r="D219" i="17"/>
  <c r="B219" i="17"/>
  <c r="G217" i="17"/>
  <c r="E217" i="17"/>
  <c r="D217" i="17"/>
  <c r="H212" i="17"/>
  <c r="G212" i="17"/>
  <c r="E212" i="17"/>
  <c r="B212" i="17"/>
  <c r="H211" i="17"/>
  <c r="G211" i="17"/>
  <c r="E211" i="17"/>
  <c r="B211" i="17"/>
  <c r="H210" i="17"/>
  <c r="G210" i="17"/>
  <c r="E210" i="17"/>
  <c r="B210" i="17"/>
  <c r="H209" i="17"/>
  <c r="G209" i="17"/>
  <c r="E209" i="17"/>
  <c r="B209" i="17"/>
  <c r="H208" i="17"/>
  <c r="G208" i="17"/>
  <c r="E208" i="17"/>
  <c r="B208" i="17"/>
  <c r="H207" i="17"/>
  <c r="G207" i="17"/>
  <c r="E207" i="17"/>
  <c r="B207" i="17"/>
  <c r="H206" i="17"/>
  <c r="G206" i="17"/>
  <c r="E206" i="17"/>
  <c r="B206" i="17"/>
  <c r="G205" i="17"/>
  <c r="H205" i="17" s="1"/>
  <c r="E205" i="17"/>
  <c r="B205" i="17"/>
  <c r="G204" i="17"/>
  <c r="H204" i="17" s="1"/>
  <c r="E204" i="17"/>
  <c r="B204" i="17"/>
  <c r="E202" i="17"/>
  <c r="B202" i="17"/>
  <c r="H197" i="17"/>
  <c r="G197" i="17"/>
  <c r="E197" i="17"/>
  <c r="B197" i="17"/>
  <c r="H196" i="17"/>
  <c r="G196" i="17"/>
  <c r="E196" i="17"/>
  <c r="B196" i="17"/>
  <c r="H195" i="17"/>
  <c r="G195" i="17"/>
  <c r="E195" i="17"/>
  <c r="B195" i="17"/>
  <c r="H194" i="17"/>
  <c r="G194" i="17"/>
  <c r="E194" i="17"/>
  <c r="B194" i="17"/>
  <c r="G193" i="17"/>
  <c r="H193" i="17" s="1"/>
  <c r="E193" i="17"/>
  <c r="B193" i="17"/>
  <c r="F192" i="17"/>
  <c r="E192" i="17"/>
  <c r="B192" i="17"/>
  <c r="A67" i="132" l="1"/>
  <c r="A41" i="255"/>
  <c r="A60" i="136"/>
  <c r="A55" i="135"/>
  <c r="A30" i="134"/>
  <c r="A28" i="133"/>
  <c r="A36" i="254"/>
  <c r="A69" i="132"/>
  <c r="A62" i="136"/>
  <c r="A30" i="133"/>
  <c r="A43" i="255"/>
  <c r="A57" i="135"/>
  <c r="A38" i="254"/>
  <c r="A32" i="134"/>
  <c r="A63" i="136"/>
  <c r="A58" i="135"/>
  <c r="A31" i="133"/>
  <c r="A39" i="254"/>
  <c r="A33" i="134"/>
  <c r="N75" i="240"/>
  <c r="N76" i="240"/>
  <c r="N77" i="240"/>
  <c r="J75" i="240"/>
  <c r="J76" i="240"/>
  <c r="J77" i="240"/>
  <c r="K75" i="240"/>
  <c r="K76" i="240"/>
  <c r="L75" i="240"/>
  <c r="L76" i="240"/>
  <c r="M75" i="240"/>
  <c r="M76" i="240"/>
  <c r="M77" i="240"/>
  <c r="G76" i="240"/>
  <c r="G75" i="240"/>
  <c r="H42" i="239"/>
  <c r="H203" i="17"/>
  <c r="H217" i="17"/>
  <c r="L83" i="240" l="1"/>
  <c r="L89" i="240" s="1"/>
  <c r="AY91" i="240"/>
  <c r="BA91" i="240"/>
  <c r="K83" i="240"/>
  <c r="K89" i="240" s="1"/>
  <c r="BG91" i="240"/>
  <c r="BD91" i="240"/>
  <c r="AW91" i="240"/>
  <c r="BH91" i="240"/>
  <c r="BJ91" i="240"/>
  <c r="BE91" i="240"/>
  <c r="M83" i="240"/>
  <c r="M89" i="240" s="1"/>
  <c r="AV91" i="240"/>
  <c r="BB91" i="240"/>
  <c r="N83" i="240"/>
  <c r="N89" i="240" s="1"/>
  <c r="AX91" i="240"/>
  <c r="AZ91" i="240"/>
  <c r="BC91" i="240"/>
  <c r="G83" i="240"/>
  <c r="G89" i="240" s="1"/>
  <c r="J83" i="240"/>
  <c r="J89" i="240" s="1"/>
  <c r="BI91" i="240"/>
  <c r="H220" i="17"/>
  <c r="K93" i="240" l="1"/>
  <c r="K94" i="240" s="1"/>
  <c r="BF91" i="240"/>
  <c r="BC95" i="240" s="1"/>
  <c r="BG95" i="240"/>
  <c r="AY95" i="240"/>
  <c r="AU91" i="240"/>
  <c r="AU95" i="240" s="1"/>
  <c r="B8" i="199"/>
  <c r="A8" i="199"/>
  <c r="H54" i="233"/>
  <c r="F36" i="213"/>
  <c r="BO13" i="149"/>
  <c r="BO14" i="149"/>
  <c r="BO15" i="149"/>
  <c r="BO16" i="149"/>
  <c r="BO17" i="149"/>
  <c r="BO18" i="149"/>
  <c r="BO19" i="149"/>
  <c r="BO20" i="149"/>
  <c r="BO21" i="149"/>
  <c r="BO22" i="149"/>
  <c r="BO23" i="149"/>
  <c r="BO24" i="149"/>
  <c r="BO25" i="149"/>
  <c r="BO27" i="149"/>
  <c r="BO28" i="149"/>
  <c r="BO29" i="149"/>
  <c r="BO30" i="149"/>
  <c r="BO31" i="149"/>
  <c r="BO32" i="149"/>
  <c r="BO33" i="149"/>
  <c r="BO36" i="149"/>
  <c r="BO82" i="149"/>
  <c r="BO83" i="149"/>
  <c r="BO84" i="149"/>
  <c r="BO85" i="149"/>
  <c r="BO86" i="149"/>
  <c r="BO87" i="149"/>
  <c r="BO88" i="149"/>
  <c r="BO89" i="149"/>
  <c r="BO90" i="149"/>
  <c r="BO91" i="149"/>
  <c r="BO92" i="149"/>
  <c r="BO93" i="149"/>
  <c r="BO94" i="149"/>
  <c r="BO95" i="149"/>
  <c r="BO96" i="149"/>
  <c r="BO97" i="149"/>
  <c r="BO98" i="149"/>
  <c r="BO99" i="149"/>
  <c r="BO100" i="149"/>
  <c r="BO101" i="149"/>
  <c r="BO102" i="149"/>
  <c r="BO103" i="149"/>
  <c r="BO104" i="149"/>
  <c r="BO105" i="149"/>
  <c r="BO106" i="149"/>
  <c r="BO107" i="149"/>
  <c r="BO108" i="149"/>
  <c r="BO109" i="149"/>
  <c r="BO110" i="149"/>
  <c r="BO111" i="149"/>
  <c r="BO112" i="149"/>
  <c r="BO113" i="149"/>
  <c r="BO114" i="149"/>
  <c r="BO115" i="149"/>
  <c r="BO124" i="149"/>
  <c r="BO130" i="149"/>
  <c r="BO137" i="149"/>
  <c r="BO141" i="149"/>
  <c r="BO144" i="149"/>
  <c r="BO147" i="149"/>
  <c r="BO150" i="149"/>
  <c r="BO12" i="149"/>
  <c r="B25" i="235"/>
  <c r="H7" i="235"/>
  <c r="B8" i="235"/>
  <c r="A8" i="235"/>
  <c r="A62" i="235"/>
  <c r="A61" i="235"/>
  <c r="A60" i="235"/>
  <c r="A59" i="235"/>
  <c r="H49" i="235"/>
  <c r="G49" i="235"/>
  <c r="E49" i="235"/>
  <c r="B49" i="235"/>
  <c r="H48" i="235"/>
  <c r="G48" i="235"/>
  <c r="E48" i="235"/>
  <c r="B48" i="235"/>
  <c r="E47" i="235"/>
  <c r="B47" i="235"/>
  <c r="E46" i="235"/>
  <c r="B46" i="235"/>
  <c r="H41" i="235"/>
  <c r="G41" i="235"/>
  <c r="F41" i="235"/>
  <c r="E41" i="235"/>
  <c r="D41" i="235"/>
  <c r="B41" i="235"/>
  <c r="H40" i="235"/>
  <c r="G40" i="235"/>
  <c r="F40" i="235"/>
  <c r="E40" i="235"/>
  <c r="D40" i="235"/>
  <c r="B40" i="235"/>
  <c r="G39" i="235"/>
  <c r="F39" i="235"/>
  <c r="E39" i="235"/>
  <c r="D39" i="235"/>
  <c r="B39" i="235"/>
  <c r="H38" i="235"/>
  <c r="G38" i="235"/>
  <c r="F38" i="235"/>
  <c r="E38" i="235"/>
  <c r="D38" i="235"/>
  <c r="B38" i="235"/>
  <c r="H32" i="235"/>
  <c r="G32" i="235"/>
  <c r="E32" i="235"/>
  <c r="B32" i="235"/>
  <c r="H31" i="235"/>
  <c r="G31" i="235"/>
  <c r="E31" i="235"/>
  <c r="B31" i="235"/>
  <c r="H30" i="235"/>
  <c r="G30" i="235"/>
  <c r="E30" i="235"/>
  <c r="B30" i="235"/>
  <c r="H29" i="235"/>
  <c r="G29" i="235"/>
  <c r="E29" i="235"/>
  <c r="B29" i="235"/>
  <c r="H28" i="235"/>
  <c r="G28" i="235"/>
  <c r="E28" i="235"/>
  <c r="B28" i="235"/>
  <c r="H27" i="235"/>
  <c r="G27" i="235"/>
  <c r="E27" i="235"/>
  <c r="B27" i="235"/>
  <c r="H26" i="235"/>
  <c r="G26" i="235"/>
  <c r="E26" i="235"/>
  <c r="B26" i="235"/>
  <c r="E24" i="235"/>
  <c r="B24" i="235"/>
  <c r="E23" i="235"/>
  <c r="B23" i="235"/>
  <c r="H18" i="235"/>
  <c r="G18" i="235"/>
  <c r="E18" i="235"/>
  <c r="B18" i="235"/>
  <c r="H17" i="235"/>
  <c r="G17" i="235"/>
  <c r="E17" i="235"/>
  <c r="B17" i="235"/>
  <c r="H16" i="235"/>
  <c r="G16" i="235"/>
  <c r="E16" i="235"/>
  <c r="B16" i="235"/>
  <c r="H15" i="235"/>
  <c r="G15" i="235"/>
  <c r="E15" i="235"/>
  <c r="B15" i="235"/>
  <c r="H14" i="235"/>
  <c r="G14" i="235"/>
  <c r="E14" i="235"/>
  <c r="F13" i="235"/>
  <c r="E13" i="235"/>
  <c r="B13" i="235"/>
  <c r="F5" i="235"/>
  <c r="F3" i="235"/>
  <c r="F2" i="235"/>
  <c r="D2" i="235"/>
  <c r="A62" i="228"/>
  <c r="A61" i="228"/>
  <c r="A60" i="228"/>
  <c r="A59" i="228"/>
  <c r="A62" i="209"/>
  <c r="A61" i="209"/>
  <c r="A60" i="209"/>
  <c r="A59" i="209"/>
  <c r="A62" i="192"/>
  <c r="A61" i="192"/>
  <c r="A60" i="192"/>
  <c r="A59" i="192"/>
  <c r="A62" i="191"/>
  <c r="A61" i="191"/>
  <c r="A60" i="191"/>
  <c r="A59" i="191"/>
  <c r="A62" i="190"/>
  <c r="A61" i="190"/>
  <c r="A60" i="190"/>
  <c r="A59" i="190"/>
  <c r="A62" i="189"/>
  <c r="A61" i="189"/>
  <c r="A60" i="189"/>
  <c r="A59" i="189"/>
  <c r="A62" i="188"/>
  <c r="A61" i="188"/>
  <c r="A60" i="188"/>
  <c r="A59" i="188"/>
  <c r="A62" i="187"/>
  <c r="A61" i="187"/>
  <c r="A60" i="187"/>
  <c r="A59" i="187"/>
  <c r="A62" i="186"/>
  <c r="A61" i="186"/>
  <c r="A60" i="186"/>
  <c r="A59" i="186"/>
  <c r="A62" i="185"/>
  <c r="A61" i="185"/>
  <c r="A60" i="185"/>
  <c r="A59" i="185"/>
  <c r="A62" i="184"/>
  <c r="A61" i="184"/>
  <c r="A60" i="184"/>
  <c r="A59" i="184"/>
  <c r="A62" i="183"/>
  <c r="A61" i="183"/>
  <c r="A60" i="183"/>
  <c r="A59" i="183"/>
  <c r="A62" i="182"/>
  <c r="A61" i="182"/>
  <c r="A60" i="182"/>
  <c r="A59" i="182"/>
  <c r="A62" i="181"/>
  <c r="A61" i="181"/>
  <c r="A60" i="181"/>
  <c r="A59" i="181"/>
  <c r="A62" i="180"/>
  <c r="A61" i="180"/>
  <c r="A60" i="180"/>
  <c r="A59" i="180"/>
  <c r="A62" i="179"/>
  <c r="A61" i="179"/>
  <c r="A60" i="179"/>
  <c r="A59" i="179"/>
  <c r="A62" i="178"/>
  <c r="A61" i="178"/>
  <c r="A60" i="178"/>
  <c r="A59" i="178"/>
  <c r="A62" i="177"/>
  <c r="A61" i="177"/>
  <c r="A60" i="177"/>
  <c r="A59" i="177"/>
  <c r="A62" i="176"/>
  <c r="A61" i="176"/>
  <c r="A60" i="176"/>
  <c r="A59" i="176"/>
  <c r="A62" i="175"/>
  <c r="A61" i="175"/>
  <c r="A60" i="175"/>
  <c r="A59" i="175"/>
  <c r="A62" i="174"/>
  <c r="A61" i="174"/>
  <c r="A60" i="174"/>
  <c r="A59" i="174"/>
  <c r="A62" i="173"/>
  <c r="A61" i="173"/>
  <c r="A60" i="173"/>
  <c r="A59" i="173"/>
  <c r="A62" i="171"/>
  <c r="A61" i="171"/>
  <c r="A60" i="171"/>
  <c r="A59" i="171"/>
  <c r="A62" i="170"/>
  <c r="A61" i="170"/>
  <c r="A60" i="170"/>
  <c r="A59" i="170"/>
  <c r="A62" i="168"/>
  <c r="A61" i="168"/>
  <c r="A60" i="168"/>
  <c r="A59" i="168"/>
  <c r="A62" i="167"/>
  <c r="A61" i="167"/>
  <c r="A60" i="167"/>
  <c r="A59" i="167"/>
  <c r="A62" i="166"/>
  <c r="A61" i="166"/>
  <c r="A60" i="166"/>
  <c r="A59" i="166"/>
  <c r="A62" i="165"/>
  <c r="A61" i="165"/>
  <c r="A60" i="165"/>
  <c r="A59" i="165"/>
  <c r="A62" i="164"/>
  <c r="A61" i="164"/>
  <c r="A60" i="164"/>
  <c r="A59" i="164"/>
  <c r="A62" i="163"/>
  <c r="A61" i="163"/>
  <c r="A60" i="163"/>
  <c r="A59" i="163"/>
  <c r="A62" i="162"/>
  <c r="A61" i="162"/>
  <c r="A60" i="162"/>
  <c r="A59" i="162"/>
  <c r="A62" i="161"/>
  <c r="A61" i="161"/>
  <c r="A60" i="161"/>
  <c r="A59" i="161"/>
  <c r="A62" i="160"/>
  <c r="A61" i="160"/>
  <c r="A60" i="160"/>
  <c r="A59" i="160"/>
  <c r="A62" i="159"/>
  <c r="A61" i="159"/>
  <c r="A60" i="159"/>
  <c r="A59" i="159"/>
  <c r="A62" i="158"/>
  <c r="A61" i="158"/>
  <c r="A60" i="158"/>
  <c r="A59" i="158"/>
  <c r="A62" i="157"/>
  <c r="A61" i="157"/>
  <c r="A60" i="157"/>
  <c r="A59" i="157"/>
  <c r="A62" i="156"/>
  <c r="A61" i="156"/>
  <c r="A60" i="156"/>
  <c r="A59" i="156"/>
  <c r="A62" i="155"/>
  <c r="A61" i="155"/>
  <c r="A60" i="155"/>
  <c r="A59" i="155"/>
  <c r="A62" i="154"/>
  <c r="A61" i="154"/>
  <c r="A60" i="154"/>
  <c r="A59" i="154"/>
  <c r="A62" i="153"/>
  <c r="A61" i="153"/>
  <c r="A60" i="153"/>
  <c r="A59" i="153"/>
  <c r="A62" i="89"/>
  <c r="A61" i="89"/>
  <c r="A60" i="89"/>
  <c r="A59" i="89"/>
  <c r="A62" i="88"/>
  <c r="A61" i="88"/>
  <c r="A60" i="88"/>
  <c r="A59" i="88"/>
  <c r="A62" i="145"/>
  <c r="A61" i="145"/>
  <c r="A60" i="145"/>
  <c r="A59" i="145"/>
  <c r="A62" i="123"/>
  <c r="A61" i="123"/>
  <c r="A60" i="123"/>
  <c r="A59" i="123"/>
  <c r="A62" i="129"/>
  <c r="A61" i="129"/>
  <c r="A60" i="129"/>
  <c r="A59" i="129"/>
  <c r="A62" i="128"/>
  <c r="A61" i="128"/>
  <c r="A60" i="128"/>
  <c r="A59" i="128"/>
  <c r="A62" i="127"/>
  <c r="A61" i="127"/>
  <c r="A60" i="127"/>
  <c r="A59" i="127"/>
  <c r="A62" i="122"/>
  <c r="A61" i="122"/>
  <c r="A60" i="122"/>
  <c r="A59" i="122"/>
  <c r="A62" i="144"/>
  <c r="A61" i="144"/>
  <c r="A60" i="144"/>
  <c r="A59" i="144"/>
  <c r="A62" i="121"/>
  <c r="A61" i="121"/>
  <c r="A60" i="121"/>
  <c r="A59" i="121"/>
  <c r="A62" i="120"/>
  <c r="A61" i="120"/>
  <c r="A60" i="120"/>
  <c r="A59" i="120"/>
  <c r="A62" i="142"/>
  <c r="A61" i="142"/>
  <c r="A60" i="142"/>
  <c r="A59" i="142"/>
  <c r="A62" i="126"/>
  <c r="A61" i="126"/>
  <c r="A60" i="126"/>
  <c r="A59" i="126"/>
  <c r="A62" i="117"/>
  <c r="A61" i="117"/>
  <c r="A60" i="117"/>
  <c r="A59" i="117"/>
  <c r="A62" i="116"/>
  <c r="A61" i="116"/>
  <c r="A60" i="116"/>
  <c r="A59" i="116"/>
  <c r="A62" i="115"/>
  <c r="A61" i="115"/>
  <c r="A60" i="115"/>
  <c r="A59" i="115"/>
  <c r="A62" i="41"/>
  <c r="A61" i="41"/>
  <c r="A60" i="41"/>
  <c r="A59" i="41"/>
  <c r="A62" i="124"/>
  <c r="A61" i="124"/>
  <c r="A60" i="124"/>
  <c r="A59" i="124"/>
  <c r="A62" i="146"/>
  <c r="A61" i="146"/>
  <c r="A60" i="146"/>
  <c r="A59" i="146"/>
  <c r="A62" i="44"/>
  <c r="A61" i="44"/>
  <c r="A60" i="44"/>
  <c r="A59" i="44"/>
  <c r="A62" i="147"/>
  <c r="A61" i="147"/>
  <c r="A60" i="147"/>
  <c r="A59" i="147"/>
  <c r="A1015" i="17"/>
  <c r="A1014" i="17"/>
  <c r="A1013" i="17"/>
  <c r="A1012" i="17"/>
  <c r="A947" i="17"/>
  <c r="A946" i="17"/>
  <c r="A945" i="17"/>
  <c r="A944" i="17"/>
  <c r="A879" i="17"/>
  <c r="A878" i="17"/>
  <c r="A877" i="17"/>
  <c r="A876" i="17"/>
  <c r="A811" i="17"/>
  <c r="A810" i="17"/>
  <c r="A809" i="17"/>
  <c r="A808" i="17"/>
  <c r="A743" i="17"/>
  <c r="A742" i="17"/>
  <c r="A741" i="17"/>
  <c r="A740" i="17"/>
  <c r="A675" i="17"/>
  <c r="A674" i="17"/>
  <c r="A673" i="17"/>
  <c r="A672" i="17"/>
  <c r="A607" i="17"/>
  <c r="A606" i="17"/>
  <c r="A605" i="17"/>
  <c r="A604" i="17"/>
  <c r="A547" i="17"/>
  <c r="A546" i="17"/>
  <c r="A545" i="17"/>
  <c r="A544" i="17"/>
  <c r="A487" i="17"/>
  <c r="A486" i="17"/>
  <c r="A485" i="17"/>
  <c r="A484" i="17"/>
  <c r="A414" i="17"/>
  <c r="A413" i="17"/>
  <c r="A412" i="17"/>
  <c r="A411" i="17"/>
  <c r="A360" i="17"/>
  <c r="A359" i="17"/>
  <c r="A358" i="17"/>
  <c r="A357" i="17"/>
  <c r="A297" i="17"/>
  <c r="A296" i="17"/>
  <c r="A295" i="17"/>
  <c r="A294" i="17"/>
  <c r="A181" i="17"/>
  <c r="A180" i="17"/>
  <c r="A179" i="17"/>
  <c r="A178" i="17"/>
  <c r="A119" i="17"/>
  <c r="A118" i="17"/>
  <c r="A117" i="17"/>
  <c r="A116" i="17"/>
  <c r="A57" i="17"/>
  <c r="A56" i="17"/>
  <c r="A55" i="17"/>
  <c r="A54" i="17"/>
  <c r="H7" i="233"/>
  <c r="B8" i="233"/>
  <c r="A8" i="233"/>
  <c r="A79" i="233"/>
  <c r="A78" i="233"/>
  <c r="A77" i="233"/>
  <c r="A76" i="233"/>
  <c r="H66" i="233"/>
  <c r="G66" i="233"/>
  <c r="E66" i="233"/>
  <c r="B66" i="233"/>
  <c r="H65" i="233"/>
  <c r="G65" i="233"/>
  <c r="E65" i="233"/>
  <c r="B65" i="233"/>
  <c r="E64" i="233"/>
  <c r="B64" i="233"/>
  <c r="E63" i="233"/>
  <c r="B63" i="233"/>
  <c r="H58" i="233"/>
  <c r="G58" i="233"/>
  <c r="F58" i="233"/>
  <c r="E58" i="233"/>
  <c r="D58" i="233"/>
  <c r="B58" i="233"/>
  <c r="H57" i="233"/>
  <c r="G57" i="233"/>
  <c r="F57" i="233"/>
  <c r="E57" i="233"/>
  <c r="D57" i="233"/>
  <c r="B57" i="233"/>
  <c r="H56" i="233"/>
  <c r="G56" i="233"/>
  <c r="F56" i="233"/>
  <c r="E56" i="233"/>
  <c r="D56" i="233"/>
  <c r="B56" i="233"/>
  <c r="H55" i="233"/>
  <c r="F55" i="233"/>
  <c r="E55" i="233"/>
  <c r="D55" i="233"/>
  <c r="B55" i="233"/>
  <c r="H49" i="233"/>
  <c r="G49" i="233"/>
  <c r="E49" i="233"/>
  <c r="B49" i="233"/>
  <c r="H48" i="233"/>
  <c r="G48" i="233"/>
  <c r="E48" i="233"/>
  <c r="B48" i="233"/>
  <c r="H47" i="233"/>
  <c r="G47" i="233"/>
  <c r="E47" i="233"/>
  <c r="B47" i="233"/>
  <c r="B46" i="233"/>
  <c r="H18" i="233"/>
  <c r="G18" i="233"/>
  <c r="E18" i="233"/>
  <c r="B18" i="233"/>
  <c r="H17" i="233"/>
  <c r="G17" i="233"/>
  <c r="E17" i="233"/>
  <c r="B17" i="233"/>
  <c r="H16" i="233"/>
  <c r="G16" i="233"/>
  <c r="E16" i="233"/>
  <c r="B16" i="233"/>
  <c r="H15" i="233"/>
  <c r="G15" i="233"/>
  <c r="E15" i="233"/>
  <c r="B15" i="233"/>
  <c r="H14" i="233"/>
  <c r="G14" i="233"/>
  <c r="E14" i="233"/>
  <c r="B14" i="233"/>
  <c r="F13" i="233"/>
  <c r="E13" i="233"/>
  <c r="B13" i="233"/>
  <c r="F5" i="233"/>
  <c r="F3" i="233"/>
  <c r="F2" i="233"/>
  <c r="D2" i="233"/>
  <c r="H24" i="232"/>
  <c r="H25" i="232"/>
  <c r="H7" i="232"/>
  <c r="B8" i="232"/>
  <c r="A8" i="232"/>
  <c r="A62" i="232"/>
  <c r="A61" i="232"/>
  <c r="A60" i="232"/>
  <c r="A59" i="232"/>
  <c r="H49" i="232"/>
  <c r="G49" i="232"/>
  <c r="E49" i="232"/>
  <c r="B49" i="232"/>
  <c r="H48" i="232"/>
  <c r="G48" i="232"/>
  <c r="E48" i="232"/>
  <c r="B48" i="232"/>
  <c r="H47" i="232"/>
  <c r="G47" i="232"/>
  <c r="E47" i="232"/>
  <c r="B47" i="232"/>
  <c r="E46" i="232"/>
  <c r="B46" i="232"/>
  <c r="H41" i="232"/>
  <c r="G41" i="232"/>
  <c r="F41" i="232"/>
  <c r="E41" i="232"/>
  <c r="D41" i="232"/>
  <c r="B41" i="232"/>
  <c r="H40" i="232"/>
  <c r="G40" i="232"/>
  <c r="F40" i="232"/>
  <c r="E40" i="232"/>
  <c r="D40" i="232"/>
  <c r="B40" i="232"/>
  <c r="H39" i="232"/>
  <c r="G39" i="232"/>
  <c r="F39" i="232"/>
  <c r="E39" i="232"/>
  <c r="D39" i="232"/>
  <c r="B39" i="232"/>
  <c r="H38" i="232"/>
  <c r="F38" i="232"/>
  <c r="E38" i="232"/>
  <c r="D38" i="232"/>
  <c r="B38" i="232"/>
  <c r="H37" i="232"/>
  <c r="E37" i="232"/>
  <c r="H32" i="232"/>
  <c r="G32" i="232"/>
  <c r="E32" i="232"/>
  <c r="B32" i="232"/>
  <c r="H31" i="232"/>
  <c r="G31" i="232"/>
  <c r="E31" i="232"/>
  <c r="B31" i="232"/>
  <c r="H30" i="232"/>
  <c r="G30" i="232"/>
  <c r="E30" i="232"/>
  <c r="B30" i="232"/>
  <c r="H29" i="232"/>
  <c r="G29" i="232"/>
  <c r="E29" i="232"/>
  <c r="B29" i="232"/>
  <c r="H28" i="232"/>
  <c r="G28" i="232"/>
  <c r="E28" i="232"/>
  <c r="B28" i="232"/>
  <c r="H27" i="232"/>
  <c r="G27" i="232"/>
  <c r="E27" i="232"/>
  <c r="B27" i="232"/>
  <c r="H26" i="232"/>
  <c r="G26" i="232"/>
  <c r="E26" i="232"/>
  <c r="B26" i="232"/>
  <c r="H23" i="232"/>
  <c r="H18" i="232"/>
  <c r="G18" i="232"/>
  <c r="E18" i="232"/>
  <c r="B18" i="232"/>
  <c r="H17" i="232"/>
  <c r="G17" i="232"/>
  <c r="E17" i="232"/>
  <c r="B17" i="232"/>
  <c r="H16" i="232"/>
  <c r="G16" i="232"/>
  <c r="E16" i="232"/>
  <c r="B16" i="232"/>
  <c r="H15" i="232"/>
  <c r="G15" i="232"/>
  <c r="E15" i="232"/>
  <c r="B15" i="232"/>
  <c r="H14" i="232"/>
  <c r="G14" i="232"/>
  <c r="E14" i="232"/>
  <c r="B14" i="232"/>
  <c r="F13" i="232"/>
  <c r="E13" i="232"/>
  <c r="B13" i="232"/>
  <c r="F5" i="232"/>
  <c r="F3" i="232"/>
  <c r="F2" i="232"/>
  <c r="D2" i="232"/>
  <c r="H7" i="230"/>
  <c r="H7" i="231"/>
  <c r="B8" i="231"/>
  <c r="A8" i="231"/>
  <c r="A58" i="231"/>
  <c r="A57" i="231"/>
  <c r="A56" i="231"/>
  <c r="A55" i="231"/>
  <c r="H45" i="231"/>
  <c r="G45" i="231"/>
  <c r="E45" i="231"/>
  <c r="B45" i="231"/>
  <c r="G44" i="231"/>
  <c r="H44" i="231" s="1"/>
  <c r="E44" i="231"/>
  <c r="B44" i="231"/>
  <c r="G43" i="231"/>
  <c r="H43" i="231" s="1"/>
  <c r="E43" i="231"/>
  <c r="B43" i="231"/>
  <c r="E42" i="231"/>
  <c r="B42" i="231"/>
  <c r="H37" i="231"/>
  <c r="G37" i="231"/>
  <c r="F37" i="231"/>
  <c r="E37" i="231"/>
  <c r="D37" i="231"/>
  <c r="B37" i="231"/>
  <c r="H36" i="231"/>
  <c r="G36" i="231"/>
  <c r="F36" i="231"/>
  <c r="E36" i="231"/>
  <c r="D36" i="231"/>
  <c r="B36" i="231"/>
  <c r="H35" i="231"/>
  <c r="G35" i="231"/>
  <c r="F35" i="231"/>
  <c r="E35" i="231"/>
  <c r="D35" i="231"/>
  <c r="B35" i="231"/>
  <c r="H34" i="231"/>
  <c r="F34" i="231"/>
  <c r="E34" i="231"/>
  <c r="D34" i="231"/>
  <c r="B34" i="231"/>
  <c r="H33" i="231"/>
  <c r="E33" i="231"/>
  <c r="H28" i="231"/>
  <c r="G28" i="231"/>
  <c r="E28" i="231"/>
  <c r="B28" i="231"/>
  <c r="H27" i="231"/>
  <c r="G27" i="231"/>
  <c r="E27" i="231"/>
  <c r="B27" i="231"/>
  <c r="H26" i="231"/>
  <c r="G26" i="231"/>
  <c r="E26" i="231"/>
  <c r="B26" i="231"/>
  <c r="H25" i="231"/>
  <c r="G25" i="231"/>
  <c r="E25" i="231"/>
  <c r="B25" i="231"/>
  <c r="H23" i="231"/>
  <c r="H18" i="231"/>
  <c r="G18" i="231"/>
  <c r="E18" i="231"/>
  <c r="B18" i="231"/>
  <c r="H17" i="231"/>
  <c r="G17" i="231"/>
  <c r="E17" i="231"/>
  <c r="B17" i="231"/>
  <c r="H16" i="231"/>
  <c r="G16" i="231"/>
  <c r="E16" i="231"/>
  <c r="B16" i="231"/>
  <c r="H15" i="231"/>
  <c r="G15" i="231"/>
  <c r="E15" i="231"/>
  <c r="B15" i="231"/>
  <c r="H14" i="231"/>
  <c r="G14" i="231"/>
  <c r="E14" i="231"/>
  <c r="B14" i="231"/>
  <c r="F13" i="231"/>
  <c r="E13" i="231"/>
  <c r="B13" i="231"/>
  <c r="F5" i="231"/>
  <c r="F3" i="231"/>
  <c r="F2" i="231"/>
  <c r="D2" i="231"/>
  <c r="H37" i="230"/>
  <c r="H24" i="230"/>
  <c r="H23" i="230"/>
  <c r="B8" i="230"/>
  <c r="A8" i="230"/>
  <c r="A62" i="230"/>
  <c r="A61" i="230"/>
  <c r="A60" i="230"/>
  <c r="A59" i="230"/>
  <c r="H49" i="230"/>
  <c r="G49" i="230"/>
  <c r="E49" i="230"/>
  <c r="B49" i="230"/>
  <c r="E48" i="230"/>
  <c r="B48" i="230"/>
  <c r="E47" i="230"/>
  <c r="B47" i="230"/>
  <c r="E46" i="230"/>
  <c r="B46" i="230"/>
  <c r="H41" i="230"/>
  <c r="G41" i="230"/>
  <c r="F41" i="230"/>
  <c r="E41" i="230"/>
  <c r="D41" i="230"/>
  <c r="B41" i="230"/>
  <c r="H40" i="230"/>
  <c r="G40" i="230"/>
  <c r="F40" i="230"/>
  <c r="E40" i="230"/>
  <c r="D40" i="230"/>
  <c r="B40" i="230"/>
  <c r="H39" i="230"/>
  <c r="G39" i="230"/>
  <c r="F39" i="230"/>
  <c r="E39" i="230"/>
  <c r="D39" i="230"/>
  <c r="B39" i="230"/>
  <c r="H38" i="230"/>
  <c r="F38" i="230"/>
  <c r="E38" i="230"/>
  <c r="D38" i="230"/>
  <c r="B38" i="230"/>
  <c r="E37" i="230"/>
  <c r="H32" i="230"/>
  <c r="G32" i="230"/>
  <c r="E32" i="230"/>
  <c r="B32" i="230"/>
  <c r="H31" i="230"/>
  <c r="G31" i="230"/>
  <c r="E31" i="230"/>
  <c r="B31" i="230"/>
  <c r="H30" i="230"/>
  <c r="G30" i="230"/>
  <c r="E30" i="230"/>
  <c r="B30" i="230"/>
  <c r="H29" i="230"/>
  <c r="G29" i="230"/>
  <c r="E29" i="230"/>
  <c r="B29" i="230"/>
  <c r="H28" i="230"/>
  <c r="G28" i="230"/>
  <c r="E28" i="230"/>
  <c r="B28" i="230"/>
  <c r="H27" i="230"/>
  <c r="G27" i="230"/>
  <c r="E27" i="230"/>
  <c r="B27" i="230"/>
  <c r="H26" i="230"/>
  <c r="G26" i="230"/>
  <c r="E26" i="230"/>
  <c r="B26" i="230"/>
  <c r="H25" i="230"/>
  <c r="G25" i="230"/>
  <c r="E25" i="230"/>
  <c r="B25" i="230"/>
  <c r="H18" i="230"/>
  <c r="G18" i="230"/>
  <c r="E18" i="230"/>
  <c r="B18" i="230"/>
  <c r="H17" i="230"/>
  <c r="G17" i="230"/>
  <c r="E17" i="230"/>
  <c r="B17" i="230"/>
  <c r="H16" i="230"/>
  <c r="G16" i="230"/>
  <c r="E16" i="230"/>
  <c r="B16" i="230"/>
  <c r="H15" i="230"/>
  <c r="G15" i="230"/>
  <c r="E15" i="230"/>
  <c r="B15" i="230"/>
  <c r="G14" i="230"/>
  <c r="H14" i="230" s="1"/>
  <c r="E14" i="230"/>
  <c r="B14" i="230"/>
  <c r="F13" i="230"/>
  <c r="E13" i="230"/>
  <c r="B13" i="230"/>
  <c r="F5" i="230"/>
  <c r="F3" i="230"/>
  <c r="F2" i="230"/>
  <c r="D2" i="230"/>
  <c r="H7" i="229"/>
  <c r="B8" i="229"/>
  <c r="A8" i="229"/>
  <c r="A62" i="229"/>
  <c r="A61" i="229"/>
  <c r="A60" i="229"/>
  <c r="A59" i="229"/>
  <c r="H49" i="229"/>
  <c r="G49" i="229"/>
  <c r="E49" i="229"/>
  <c r="B49" i="229"/>
  <c r="H48" i="229"/>
  <c r="G48" i="229"/>
  <c r="E48" i="229"/>
  <c r="B48" i="229"/>
  <c r="H47" i="229"/>
  <c r="G47" i="229"/>
  <c r="E47" i="229"/>
  <c r="B47" i="229"/>
  <c r="E46" i="229"/>
  <c r="B46" i="229"/>
  <c r="H41" i="229"/>
  <c r="G41" i="229"/>
  <c r="F41" i="229"/>
  <c r="E41" i="229"/>
  <c r="D41" i="229"/>
  <c r="B41" i="229"/>
  <c r="H40" i="229"/>
  <c r="G40" i="229"/>
  <c r="F40" i="229"/>
  <c r="E40" i="229"/>
  <c r="D40" i="229"/>
  <c r="B40" i="229"/>
  <c r="H39" i="229"/>
  <c r="G39" i="229"/>
  <c r="F39" i="229"/>
  <c r="E39" i="229"/>
  <c r="D39" i="229"/>
  <c r="B39" i="229"/>
  <c r="H38" i="229"/>
  <c r="G38" i="229"/>
  <c r="F38" i="229"/>
  <c r="E38" i="229"/>
  <c r="D38" i="229"/>
  <c r="B38" i="229"/>
  <c r="H37" i="229"/>
  <c r="G37" i="229"/>
  <c r="E37" i="229"/>
  <c r="D37" i="229"/>
  <c r="B37" i="229"/>
  <c r="H32" i="229"/>
  <c r="G32" i="229"/>
  <c r="E32" i="229"/>
  <c r="B32" i="229"/>
  <c r="H31" i="229"/>
  <c r="G31" i="229"/>
  <c r="E31" i="229"/>
  <c r="B31" i="229"/>
  <c r="H30" i="229"/>
  <c r="G30" i="229"/>
  <c r="E30" i="229"/>
  <c r="B30" i="229"/>
  <c r="H29" i="229"/>
  <c r="G29" i="229"/>
  <c r="E29" i="229"/>
  <c r="B29" i="229"/>
  <c r="H28" i="229"/>
  <c r="G28" i="229"/>
  <c r="E28" i="229"/>
  <c r="B28" i="229"/>
  <c r="H27" i="229"/>
  <c r="G27" i="229"/>
  <c r="E27" i="229"/>
  <c r="B27" i="229"/>
  <c r="H26" i="229"/>
  <c r="G26" i="229"/>
  <c r="E26" i="229"/>
  <c r="B26" i="229"/>
  <c r="H25" i="229"/>
  <c r="G25" i="229"/>
  <c r="E25" i="229"/>
  <c r="B25" i="229"/>
  <c r="H24" i="229"/>
  <c r="G24" i="229"/>
  <c r="E24" i="229"/>
  <c r="B24" i="229"/>
  <c r="H23" i="229"/>
  <c r="G23" i="229"/>
  <c r="E23" i="229"/>
  <c r="B23" i="229"/>
  <c r="H18" i="229"/>
  <c r="G18" i="229"/>
  <c r="E18" i="229"/>
  <c r="B18" i="229"/>
  <c r="H17" i="229"/>
  <c r="G17" i="229"/>
  <c r="E17" i="229"/>
  <c r="B17" i="229"/>
  <c r="H16" i="229"/>
  <c r="G16" i="229"/>
  <c r="E16" i="229"/>
  <c r="B16" i="229"/>
  <c r="H15" i="229"/>
  <c r="G15" i="229"/>
  <c r="E15" i="229"/>
  <c r="B15" i="229"/>
  <c r="E14" i="229"/>
  <c r="B14" i="229"/>
  <c r="F13" i="229"/>
  <c r="E13" i="229"/>
  <c r="B13" i="229"/>
  <c r="F5" i="229"/>
  <c r="F3" i="229"/>
  <c r="F2" i="229"/>
  <c r="D2" i="229"/>
  <c r="H7" i="228"/>
  <c r="B8" i="228"/>
  <c r="A8" i="228"/>
  <c r="H49" i="228"/>
  <c r="G49" i="228"/>
  <c r="E49" i="228"/>
  <c r="B49" i="228"/>
  <c r="H48" i="228"/>
  <c r="G48" i="228"/>
  <c r="E48" i="228"/>
  <c r="B48" i="228"/>
  <c r="H47" i="228"/>
  <c r="G47" i="228"/>
  <c r="E47" i="228"/>
  <c r="B47" i="228"/>
  <c r="E46" i="228"/>
  <c r="B46" i="228"/>
  <c r="H41" i="228"/>
  <c r="G41" i="228"/>
  <c r="F41" i="228"/>
  <c r="E41" i="228"/>
  <c r="D41" i="228"/>
  <c r="B41" i="228"/>
  <c r="H40" i="228"/>
  <c r="G40" i="228"/>
  <c r="F40" i="228"/>
  <c r="E40" i="228"/>
  <c r="D40" i="228"/>
  <c r="B40" i="228"/>
  <c r="G39" i="228"/>
  <c r="F39" i="228"/>
  <c r="E39" i="228"/>
  <c r="D39" i="228"/>
  <c r="B39" i="228"/>
  <c r="H38" i="228"/>
  <c r="G38" i="228"/>
  <c r="F38" i="228"/>
  <c r="E38" i="228"/>
  <c r="D38" i="228"/>
  <c r="B38" i="228"/>
  <c r="H32" i="228"/>
  <c r="G32" i="228"/>
  <c r="E32" i="228"/>
  <c r="B32" i="228"/>
  <c r="H31" i="228"/>
  <c r="G31" i="228"/>
  <c r="E31" i="228"/>
  <c r="B31" i="228"/>
  <c r="H30" i="228"/>
  <c r="G30" i="228"/>
  <c r="E30" i="228"/>
  <c r="B30" i="228"/>
  <c r="H29" i="228"/>
  <c r="G29" i="228"/>
  <c r="E29" i="228"/>
  <c r="B29" i="228"/>
  <c r="H28" i="228"/>
  <c r="G28" i="228"/>
  <c r="E28" i="228"/>
  <c r="B28" i="228"/>
  <c r="H27" i="228"/>
  <c r="G27" i="228"/>
  <c r="E27" i="228"/>
  <c r="B27" i="228"/>
  <c r="H26" i="228"/>
  <c r="G26" i="228"/>
  <c r="E26" i="228"/>
  <c r="B26" i="228"/>
  <c r="H23" i="228"/>
  <c r="H18" i="228"/>
  <c r="G18" i="228"/>
  <c r="E18" i="228"/>
  <c r="B18" i="228"/>
  <c r="H17" i="228"/>
  <c r="G17" i="228"/>
  <c r="E17" i="228"/>
  <c r="B17" i="228"/>
  <c r="H16" i="228"/>
  <c r="G16" i="228"/>
  <c r="E16" i="228"/>
  <c r="B16" i="228"/>
  <c r="H15" i="228"/>
  <c r="G15" i="228"/>
  <c r="E15" i="228"/>
  <c r="B15" i="228"/>
  <c r="H14" i="228"/>
  <c r="G14" i="228"/>
  <c r="E14" i="228"/>
  <c r="F13" i="228"/>
  <c r="E13" i="228"/>
  <c r="B13" i="228"/>
  <c r="F5" i="228"/>
  <c r="F3" i="228"/>
  <c r="F2" i="228"/>
  <c r="D2" i="228"/>
  <c r="A8" i="177"/>
  <c r="H7" i="227"/>
  <c r="B8" i="227"/>
  <c r="A8" i="227"/>
  <c r="A62" i="227"/>
  <c r="A61" i="227"/>
  <c r="A60" i="227"/>
  <c r="A59" i="227"/>
  <c r="H49" i="227"/>
  <c r="G49" i="227"/>
  <c r="E49" i="227"/>
  <c r="B49" i="227"/>
  <c r="H48" i="227"/>
  <c r="G48" i="227"/>
  <c r="E48" i="227"/>
  <c r="B48" i="227"/>
  <c r="H47" i="227"/>
  <c r="G47" i="227"/>
  <c r="E47" i="227"/>
  <c r="B47" i="227"/>
  <c r="H46" i="227"/>
  <c r="E46" i="227"/>
  <c r="B46" i="227"/>
  <c r="H41" i="227"/>
  <c r="G41" i="227"/>
  <c r="F41" i="227"/>
  <c r="E41" i="227"/>
  <c r="D41" i="227"/>
  <c r="B41" i="227"/>
  <c r="H40" i="227"/>
  <c r="G40" i="227"/>
  <c r="F40" i="227"/>
  <c r="E40" i="227"/>
  <c r="D40" i="227"/>
  <c r="B40" i="227"/>
  <c r="G39" i="227"/>
  <c r="F39" i="227"/>
  <c r="E39" i="227"/>
  <c r="D39" i="227"/>
  <c r="B39" i="227"/>
  <c r="H38" i="227"/>
  <c r="G38" i="227"/>
  <c r="F38" i="227"/>
  <c r="E38" i="227"/>
  <c r="D38" i="227"/>
  <c r="B38" i="227"/>
  <c r="H32" i="227"/>
  <c r="G32" i="227"/>
  <c r="E32" i="227"/>
  <c r="B32" i="227"/>
  <c r="H31" i="227"/>
  <c r="G31" i="227"/>
  <c r="E31" i="227"/>
  <c r="B31" i="227"/>
  <c r="H30" i="227"/>
  <c r="G30" i="227"/>
  <c r="E30" i="227"/>
  <c r="B30" i="227"/>
  <c r="H29" i="227"/>
  <c r="G29" i="227"/>
  <c r="E29" i="227"/>
  <c r="B29" i="227"/>
  <c r="H28" i="227"/>
  <c r="G28" i="227"/>
  <c r="E28" i="227"/>
  <c r="B28" i="227"/>
  <c r="H27" i="227"/>
  <c r="G27" i="227"/>
  <c r="E27" i="227"/>
  <c r="B27" i="227"/>
  <c r="H26" i="227"/>
  <c r="G26" i="227"/>
  <c r="E26" i="227"/>
  <c r="B26" i="227"/>
  <c r="E23" i="227"/>
  <c r="B23" i="227"/>
  <c r="H18" i="227"/>
  <c r="G18" i="227"/>
  <c r="E18" i="227"/>
  <c r="B18" i="227"/>
  <c r="H17" i="227"/>
  <c r="G17" i="227"/>
  <c r="E17" i="227"/>
  <c r="B17" i="227"/>
  <c r="H16" i="227"/>
  <c r="G16" i="227"/>
  <c r="E16" i="227"/>
  <c r="B16" i="227"/>
  <c r="H15" i="227"/>
  <c r="G15" i="227"/>
  <c r="E15" i="227"/>
  <c r="B15" i="227"/>
  <c r="H14" i="227"/>
  <c r="G14" i="227"/>
  <c r="E14" i="227"/>
  <c r="F13" i="227"/>
  <c r="E13" i="227"/>
  <c r="B13" i="227"/>
  <c r="F5" i="227"/>
  <c r="F3" i="227"/>
  <c r="F2" i="227"/>
  <c r="D2" i="227"/>
  <c r="H7" i="226"/>
  <c r="B8" i="226"/>
  <c r="A8" i="226"/>
  <c r="A62" i="226"/>
  <c r="A61" i="226"/>
  <c r="A60" i="226"/>
  <c r="A59" i="226"/>
  <c r="H49" i="226"/>
  <c r="G49" i="226"/>
  <c r="E49" i="226"/>
  <c r="B49" i="226"/>
  <c r="H48" i="226"/>
  <c r="G48" i="226"/>
  <c r="E48" i="226"/>
  <c r="B48" i="226"/>
  <c r="H47" i="226"/>
  <c r="G47" i="226"/>
  <c r="E47" i="226"/>
  <c r="B47" i="226"/>
  <c r="E46" i="226"/>
  <c r="B46" i="226"/>
  <c r="H41" i="226"/>
  <c r="G41" i="226"/>
  <c r="F41" i="226"/>
  <c r="E41" i="226"/>
  <c r="D41" i="226"/>
  <c r="B41" i="226"/>
  <c r="H40" i="226"/>
  <c r="G40" i="226"/>
  <c r="F40" i="226"/>
  <c r="E40" i="226"/>
  <c r="D40" i="226"/>
  <c r="B40" i="226"/>
  <c r="G39" i="226"/>
  <c r="F39" i="226"/>
  <c r="E39" i="226"/>
  <c r="D39" i="226"/>
  <c r="B39" i="226"/>
  <c r="H38" i="226"/>
  <c r="G38" i="226"/>
  <c r="F38" i="226"/>
  <c r="E38" i="226"/>
  <c r="D38" i="226"/>
  <c r="B38" i="226"/>
  <c r="H37" i="226"/>
  <c r="E37" i="226"/>
  <c r="D37" i="226"/>
  <c r="B37" i="226"/>
  <c r="H32" i="226"/>
  <c r="G32" i="226"/>
  <c r="E32" i="226"/>
  <c r="B32" i="226"/>
  <c r="H31" i="226"/>
  <c r="G31" i="226"/>
  <c r="E31" i="226"/>
  <c r="B31" i="226"/>
  <c r="H30" i="226"/>
  <c r="G30" i="226"/>
  <c r="E30" i="226"/>
  <c r="B30" i="226"/>
  <c r="H29" i="226"/>
  <c r="G29" i="226"/>
  <c r="E29" i="226"/>
  <c r="B29" i="226"/>
  <c r="H28" i="226"/>
  <c r="G28" i="226"/>
  <c r="E28" i="226"/>
  <c r="B28" i="226"/>
  <c r="H27" i="226"/>
  <c r="G27" i="226"/>
  <c r="E27" i="226"/>
  <c r="B27" i="226"/>
  <c r="H26" i="226"/>
  <c r="G26" i="226"/>
  <c r="E26" i="226"/>
  <c r="B26" i="226"/>
  <c r="H25" i="226"/>
  <c r="H24" i="226"/>
  <c r="E23" i="226"/>
  <c r="B23" i="226"/>
  <c r="H18" i="226"/>
  <c r="G18" i="226"/>
  <c r="E18" i="226"/>
  <c r="B18" i="226"/>
  <c r="H17" i="226"/>
  <c r="G17" i="226"/>
  <c r="E17" i="226"/>
  <c r="B17" i="226"/>
  <c r="H16" i="226"/>
  <c r="G16" i="226"/>
  <c r="E16" i="226"/>
  <c r="B16" i="226"/>
  <c r="H15" i="226"/>
  <c r="G15" i="226"/>
  <c r="E15" i="226"/>
  <c r="B15" i="226"/>
  <c r="H14" i="226"/>
  <c r="G14" i="226"/>
  <c r="E14" i="226"/>
  <c r="F13" i="226"/>
  <c r="E13" i="226"/>
  <c r="B13" i="226"/>
  <c r="F5" i="226"/>
  <c r="F3" i="226"/>
  <c r="F2" i="226"/>
  <c r="D2" i="226"/>
  <c r="H7" i="225"/>
  <c r="B8" i="225"/>
  <c r="A8" i="225"/>
  <c r="A62" i="225"/>
  <c r="A61" i="225"/>
  <c r="A60" i="225"/>
  <c r="A59" i="225"/>
  <c r="H49" i="225"/>
  <c r="G49" i="225"/>
  <c r="E49" i="225"/>
  <c r="B49" i="225"/>
  <c r="H48" i="225"/>
  <c r="G48" i="225"/>
  <c r="E48" i="225"/>
  <c r="B48" i="225"/>
  <c r="H47" i="225"/>
  <c r="G47" i="225"/>
  <c r="E47" i="225"/>
  <c r="B47" i="225"/>
  <c r="E46" i="225"/>
  <c r="B46" i="225"/>
  <c r="H41" i="225"/>
  <c r="G41" i="225"/>
  <c r="F41" i="225"/>
  <c r="E41" i="225"/>
  <c r="D41" i="225"/>
  <c r="B41" i="225"/>
  <c r="H40" i="225"/>
  <c r="G40" i="225"/>
  <c r="F40" i="225"/>
  <c r="E40" i="225"/>
  <c r="D40" i="225"/>
  <c r="B40" i="225"/>
  <c r="G39" i="225"/>
  <c r="F39" i="225"/>
  <c r="E39" i="225"/>
  <c r="D39" i="225"/>
  <c r="B39" i="225"/>
  <c r="H38" i="225"/>
  <c r="G38" i="225"/>
  <c r="F38" i="225"/>
  <c r="E38" i="225"/>
  <c r="D38" i="225"/>
  <c r="B38" i="225"/>
  <c r="H37" i="225"/>
  <c r="E37" i="225"/>
  <c r="D37" i="225"/>
  <c r="B37" i="225"/>
  <c r="H32" i="225"/>
  <c r="G32" i="225"/>
  <c r="E32" i="225"/>
  <c r="B32" i="225"/>
  <c r="H31" i="225"/>
  <c r="G31" i="225"/>
  <c r="E31" i="225"/>
  <c r="B31" i="225"/>
  <c r="H30" i="225"/>
  <c r="G30" i="225"/>
  <c r="E30" i="225"/>
  <c r="B30" i="225"/>
  <c r="H29" i="225"/>
  <c r="G29" i="225"/>
  <c r="E29" i="225"/>
  <c r="B29" i="225"/>
  <c r="H28" i="225"/>
  <c r="G28" i="225"/>
  <c r="E28" i="225"/>
  <c r="B28" i="225"/>
  <c r="H27" i="225"/>
  <c r="G27" i="225"/>
  <c r="E27" i="225"/>
  <c r="B27" i="225"/>
  <c r="H26" i="225"/>
  <c r="G26" i="225"/>
  <c r="E26" i="225"/>
  <c r="B26" i="225"/>
  <c r="H25" i="225"/>
  <c r="H24" i="225"/>
  <c r="E23" i="225"/>
  <c r="B23" i="225"/>
  <c r="H18" i="225"/>
  <c r="G18" i="225"/>
  <c r="E18" i="225"/>
  <c r="B18" i="225"/>
  <c r="H17" i="225"/>
  <c r="G17" i="225"/>
  <c r="E17" i="225"/>
  <c r="B17" i="225"/>
  <c r="H16" i="225"/>
  <c r="G16" i="225"/>
  <c r="E16" i="225"/>
  <c r="B16" i="225"/>
  <c r="H15" i="225"/>
  <c r="G15" i="225"/>
  <c r="E15" i="225"/>
  <c r="B15" i="225"/>
  <c r="H14" i="225"/>
  <c r="G14" i="225"/>
  <c r="E14" i="225"/>
  <c r="F13" i="225"/>
  <c r="E13" i="225"/>
  <c r="B13" i="225"/>
  <c r="F5" i="225"/>
  <c r="F3" i="225"/>
  <c r="F2" i="225"/>
  <c r="D2" i="225"/>
  <c r="H7" i="224"/>
  <c r="B8" i="224"/>
  <c r="A8" i="224"/>
  <c r="A62" i="224"/>
  <c r="A61" i="224"/>
  <c r="A60" i="224"/>
  <c r="A59" i="224"/>
  <c r="H49" i="224"/>
  <c r="G49" i="224"/>
  <c r="E49" i="224"/>
  <c r="B49" i="224"/>
  <c r="H48" i="224"/>
  <c r="G48" i="224"/>
  <c r="E48" i="224"/>
  <c r="B48" i="224"/>
  <c r="H47" i="224"/>
  <c r="G47" i="224"/>
  <c r="E47" i="224"/>
  <c r="B47" i="224"/>
  <c r="E46" i="224"/>
  <c r="B46" i="224"/>
  <c r="H41" i="224"/>
  <c r="G41" i="224"/>
  <c r="F41" i="224"/>
  <c r="E41" i="224"/>
  <c r="D41" i="224"/>
  <c r="B41" i="224"/>
  <c r="H40" i="224"/>
  <c r="G40" i="224"/>
  <c r="F40" i="224"/>
  <c r="E40" i="224"/>
  <c r="D40" i="224"/>
  <c r="B40" i="224"/>
  <c r="G39" i="224"/>
  <c r="F39" i="224"/>
  <c r="E39" i="224"/>
  <c r="D39" i="224"/>
  <c r="B39" i="224"/>
  <c r="H38" i="224"/>
  <c r="G38" i="224"/>
  <c r="F38" i="224"/>
  <c r="E38" i="224"/>
  <c r="D38" i="224"/>
  <c r="B38" i="224"/>
  <c r="H37" i="224"/>
  <c r="G37" i="224"/>
  <c r="F37" i="224"/>
  <c r="E37" i="224"/>
  <c r="D37" i="224"/>
  <c r="B37" i="224"/>
  <c r="H32" i="224"/>
  <c r="G32" i="224"/>
  <c r="E32" i="224"/>
  <c r="B32" i="224"/>
  <c r="H31" i="224"/>
  <c r="G31" i="224"/>
  <c r="E31" i="224"/>
  <c r="B31" i="224"/>
  <c r="H30" i="224"/>
  <c r="G30" i="224"/>
  <c r="E30" i="224"/>
  <c r="B30" i="224"/>
  <c r="H29" i="224"/>
  <c r="G29" i="224"/>
  <c r="E29" i="224"/>
  <c r="B29" i="224"/>
  <c r="H28" i="224"/>
  <c r="G28" i="224"/>
  <c r="E28" i="224"/>
  <c r="B28" i="224"/>
  <c r="H27" i="224"/>
  <c r="G27" i="224"/>
  <c r="E27" i="224"/>
  <c r="B27" i="224"/>
  <c r="H26" i="224"/>
  <c r="G26" i="224"/>
  <c r="E26" i="224"/>
  <c r="B26" i="224"/>
  <c r="E23" i="224"/>
  <c r="B23" i="224"/>
  <c r="H18" i="224"/>
  <c r="G18" i="224"/>
  <c r="E18" i="224"/>
  <c r="B18" i="224"/>
  <c r="H17" i="224"/>
  <c r="G17" i="224"/>
  <c r="E17" i="224"/>
  <c r="B17" i="224"/>
  <c r="H16" i="224"/>
  <c r="G16" i="224"/>
  <c r="E16" i="224"/>
  <c r="B16" i="224"/>
  <c r="H15" i="224"/>
  <c r="G15" i="224"/>
  <c r="E15" i="224"/>
  <c r="B15" i="224"/>
  <c r="H14" i="224"/>
  <c r="G14" i="224"/>
  <c r="E14" i="224"/>
  <c r="F13" i="224"/>
  <c r="E13" i="224"/>
  <c r="B13" i="224"/>
  <c r="F5" i="224"/>
  <c r="F3" i="224"/>
  <c r="F2" i="224"/>
  <c r="D2" i="224"/>
  <c r="H7" i="223"/>
  <c r="B8" i="223"/>
  <c r="A8" i="223"/>
  <c r="A62" i="223"/>
  <c r="A61" i="223"/>
  <c r="A60" i="223"/>
  <c r="A59" i="223"/>
  <c r="H49" i="223"/>
  <c r="G49" i="223"/>
  <c r="E49" i="223"/>
  <c r="B49" i="223"/>
  <c r="H48" i="223"/>
  <c r="G48" i="223"/>
  <c r="E48" i="223"/>
  <c r="B48" i="223"/>
  <c r="H47" i="223"/>
  <c r="G47" i="223"/>
  <c r="E47" i="223"/>
  <c r="B47" i="223"/>
  <c r="E46" i="223"/>
  <c r="B46" i="223"/>
  <c r="H41" i="223"/>
  <c r="G41" i="223"/>
  <c r="F41" i="223"/>
  <c r="E41" i="223"/>
  <c r="D41" i="223"/>
  <c r="B41" i="223"/>
  <c r="H40" i="223"/>
  <c r="G40" i="223"/>
  <c r="F40" i="223"/>
  <c r="E40" i="223"/>
  <c r="D40" i="223"/>
  <c r="B40" i="223"/>
  <c r="H39" i="223"/>
  <c r="G39" i="223"/>
  <c r="F39" i="223"/>
  <c r="E39" i="223"/>
  <c r="D39" i="223"/>
  <c r="B39" i="223"/>
  <c r="H38" i="223"/>
  <c r="G38" i="223"/>
  <c r="F38" i="223"/>
  <c r="E38" i="223"/>
  <c r="D38" i="223"/>
  <c r="B38" i="223"/>
  <c r="A37" i="223"/>
  <c r="D37" i="223" s="1"/>
  <c r="H32" i="223"/>
  <c r="G32" i="223"/>
  <c r="E32" i="223"/>
  <c r="B32" i="223"/>
  <c r="H31" i="223"/>
  <c r="G31" i="223"/>
  <c r="E31" i="223"/>
  <c r="B31" i="223"/>
  <c r="H30" i="223"/>
  <c r="G30" i="223"/>
  <c r="E30" i="223"/>
  <c r="B30" i="223"/>
  <c r="H29" i="223"/>
  <c r="G29" i="223"/>
  <c r="E29" i="223"/>
  <c r="B29" i="223"/>
  <c r="H28" i="223"/>
  <c r="G28" i="223"/>
  <c r="E28" i="223"/>
  <c r="B28" i="223"/>
  <c r="H27" i="223"/>
  <c r="G27" i="223"/>
  <c r="E27" i="223"/>
  <c r="B27" i="223"/>
  <c r="H26" i="223"/>
  <c r="G26" i="223"/>
  <c r="E26" i="223"/>
  <c r="B26" i="223"/>
  <c r="H25" i="223"/>
  <c r="G25" i="223"/>
  <c r="E25" i="223"/>
  <c r="B25" i="223"/>
  <c r="H24" i="223"/>
  <c r="G24" i="223"/>
  <c r="E24" i="223"/>
  <c r="B24" i="223"/>
  <c r="G23" i="223"/>
  <c r="H23" i="223" s="1"/>
  <c r="E23" i="223"/>
  <c r="B23" i="223"/>
  <c r="H18" i="223"/>
  <c r="G18" i="223"/>
  <c r="E18" i="223"/>
  <c r="B18" i="223"/>
  <c r="H17" i="223"/>
  <c r="G17" i="223"/>
  <c r="E17" i="223"/>
  <c r="B17" i="223"/>
  <c r="H16" i="223"/>
  <c r="G16" i="223"/>
  <c r="E16" i="223"/>
  <c r="B16" i="223"/>
  <c r="H15" i="223"/>
  <c r="G15" i="223"/>
  <c r="E15" i="223"/>
  <c r="B15" i="223"/>
  <c r="E14" i="223"/>
  <c r="B14" i="223"/>
  <c r="F13" i="223"/>
  <c r="E13" i="223"/>
  <c r="B13" i="223"/>
  <c r="F5" i="223"/>
  <c r="F3" i="223"/>
  <c r="F2" i="223"/>
  <c r="D2" i="223"/>
  <c r="H7" i="222"/>
  <c r="B8" i="222"/>
  <c r="A8" i="222"/>
  <c r="A62" i="222"/>
  <c r="A61" i="222"/>
  <c r="A60" i="222"/>
  <c r="A59" i="222"/>
  <c r="H49" i="222"/>
  <c r="G49" i="222"/>
  <c r="E49" i="222"/>
  <c r="B49" i="222"/>
  <c r="H48" i="222"/>
  <c r="G48" i="222"/>
  <c r="E48" i="222"/>
  <c r="B48" i="222"/>
  <c r="H47" i="222"/>
  <c r="G47" i="222"/>
  <c r="E47" i="222"/>
  <c r="B47" i="222"/>
  <c r="E46" i="222"/>
  <c r="B46" i="222"/>
  <c r="H41" i="222"/>
  <c r="G41" i="222"/>
  <c r="F41" i="222"/>
  <c r="E41" i="222"/>
  <c r="D41" i="222"/>
  <c r="B41" i="222"/>
  <c r="H40" i="222"/>
  <c r="G40" i="222"/>
  <c r="F40" i="222"/>
  <c r="E40" i="222"/>
  <c r="D40" i="222"/>
  <c r="B40" i="222"/>
  <c r="H39" i="222"/>
  <c r="G39" i="222"/>
  <c r="F39" i="222"/>
  <c r="E39" i="222"/>
  <c r="D39" i="222"/>
  <c r="B39" i="222"/>
  <c r="H38" i="222"/>
  <c r="G38" i="222"/>
  <c r="F38" i="222"/>
  <c r="E38" i="222"/>
  <c r="D38" i="222"/>
  <c r="B38" i="222"/>
  <c r="H37" i="222"/>
  <c r="G37" i="222"/>
  <c r="E37" i="222"/>
  <c r="D37" i="222"/>
  <c r="B37" i="222"/>
  <c r="H32" i="222"/>
  <c r="G32" i="222"/>
  <c r="E32" i="222"/>
  <c r="B32" i="222"/>
  <c r="H31" i="222"/>
  <c r="G31" i="222"/>
  <c r="E31" i="222"/>
  <c r="B31" i="222"/>
  <c r="H30" i="222"/>
  <c r="G30" i="222"/>
  <c r="E30" i="222"/>
  <c r="B30" i="222"/>
  <c r="H29" i="222"/>
  <c r="G29" i="222"/>
  <c r="E29" i="222"/>
  <c r="B29" i="222"/>
  <c r="H28" i="222"/>
  <c r="G28" i="222"/>
  <c r="E28" i="222"/>
  <c r="B28" i="222"/>
  <c r="H27" i="222"/>
  <c r="G27" i="222"/>
  <c r="E27" i="222"/>
  <c r="B27" i="222"/>
  <c r="H26" i="222"/>
  <c r="G26" i="222"/>
  <c r="E26" i="222"/>
  <c r="B26" i="222"/>
  <c r="H25" i="222"/>
  <c r="G25" i="222"/>
  <c r="E25" i="222"/>
  <c r="B25" i="222"/>
  <c r="H24" i="222"/>
  <c r="G24" i="222"/>
  <c r="E24" i="222"/>
  <c r="B24" i="222"/>
  <c r="H23" i="222"/>
  <c r="G23" i="222"/>
  <c r="E23" i="222"/>
  <c r="B23" i="222"/>
  <c r="H18" i="222"/>
  <c r="G18" i="222"/>
  <c r="E18" i="222"/>
  <c r="B18" i="222"/>
  <c r="H17" i="222"/>
  <c r="G17" i="222"/>
  <c r="E17" i="222"/>
  <c r="B17" i="222"/>
  <c r="H16" i="222"/>
  <c r="G16" i="222"/>
  <c r="E16" i="222"/>
  <c r="B16" i="222"/>
  <c r="H15" i="222"/>
  <c r="G15" i="222"/>
  <c r="E15" i="222"/>
  <c r="B15" i="222"/>
  <c r="H14" i="222"/>
  <c r="G14" i="222"/>
  <c r="E14" i="222"/>
  <c r="B14" i="222"/>
  <c r="F13" i="222"/>
  <c r="E13" i="222"/>
  <c r="B13" i="222"/>
  <c r="F5" i="222"/>
  <c r="F3" i="222"/>
  <c r="F2" i="222"/>
  <c r="D2" i="222"/>
  <c r="H7" i="221"/>
  <c r="B8" i="221"/>
  <c r="A8" i="221"/>
  <c r="A62" i="221"/>
  <c r="A61" i="221"/>
  <c r="A60" i="221"/>
  <c r="A59" i="221"/>
  <c r="H49" i="221"/>
  <c r="G49" i="221"/>
  <c r="E49" i="221"/>
  <c r="B49" i="221"/>
  <c r="H48" i="221"/>
  <c r="G48" i="221"/>
  <c r="E48" i="221"/>
  <c r="B48" i="221"/>
  <c r="H47" i="221"/>
  <c r="G47" i="221"/>
  <c r="E47" i="221"/>
  <c r="B47" i="221"/>
  <c r="E46" i="221"/>
  <c r="B46" i="221"/>
  <c r="H41" i="221"/>
  <c r="G41" i="221"/>
  <c r="F41" i="221"/>
  <c r="E41" i="221"/>
  <c r="D41" i="221"/>
  <c r="B41" i="221"/>
  <c r="H40" i="221"/>
  <c r="G40" i="221"/>
  <c r="F40" i="221"/>
  <c r="E40" i="221"/>
  <c r="D40" i="221"/>
  <c r="B40" i="221"/>
  <c r="H39" i="221"/>
  <c r="G39" i="221"/>
  <c r="F39" i="221"/>
  <c r="E39" i="221"/>
  <c r="D39" i="221"/>
  <c r="B39" i="221"/>
  <c r="H38" i="221"/>
  <c r="G38" i="221"/>
  <c r="F38" i="221"/>
  <c r="E38" i="221"/>
  <c r="D38" i="221"/>
  <c r="B38" i="221"/>
  <c r="H37" i="221"/>
  <c r="G37" i="221"/>
  <c r="E37" i="221"/>
  <c r="D37" i="221"/>
  <c r="B37" i="221"/>
  <c r="H32" i="221"/>
  <c r="G32" i="221"/>
  <c r="E32" i="221"/>
  <c r="B32" i="221"/>
  <c r="H31" i="221"/>
  <c r="G31" i="221"/>
  <c r="E31" i="221"/>
  <c r="B31" i="221"/>
  <c r="H30" i="221"/>
  <c r="G30" i="221"/>
  <c r="E30" i="221"/>
  <c r="B30" i="221"/>
  <c r="H29" i="221"/>
  <c r="G29" i="221"/>
  <c r="E29" i="221"/>
  <c r="B29" i="221"/>
  <c r="H28" i="221"/>
  <c r="G28" i="221"/>
  <c r="E28" i="221"/>
  <c r="B28" i="221"/>
  <c r="H27" i="221"/>
  <c r="G27" i="221"/>
  <c r="E27" i="221"/>
  <c r="B27" i="221"/>
  <c r="H26" i="221"/>
  <c r="G26" i="221"/>
  <c r="E26" i="221"/>
  <c r="B26" i="221"/>
  <c r="H25" i="221"/>
  <c r="G25" i="221"/>
  <c r="E25" i="221"/>
  <c r="B25" i="221"/>
  <c r="H24" i="221"/>
  <c r="G24" i="221"/>
  <c r="E24" i="221"/>
  <c r="B24" i="221"/>
  <c r="H23" i="221"/>
  <c r="G23" i="221"/>
  <c r="E23" i="221"/>
  <c r="B23" i="221"/>
  <c r="H18" i="221"/>
  <c r="G18" i="221"/>
  <c r="E18" i="221"/>
  <c r="B18" i="221"/>
  <c r="H17" i="221"/>
  <c r="G17" i="221"/>
  <c r="E17" i="221"/>
  <c r="B17" i="221"/>
  <c r="H16" i="221"/>
  <c r="G16" i="221"/>
  <c r="E16" i="221"/>
  <c r="B16" i="221"/>
  <c r="H15" i="221"/>
  <c r="G15" i="221"/>
  <c r="E15" i="221"/>
  <c r="B15" i="221"/>
  <c r="E14" i="221"/>
  <c r="B14" i="221"/>
  <c r="F13" i="221"/>
  <c r="E13" i="221"/>
  <c r="B13" i="221"/>
  <c r="F5" i="221"/>
  <c r="F3" i="221"/>
  <c r="F2" i="221"/>
  <c r="D2" i="221"/>
  <c r="H7" i="220"/>
  <c r="B8" i="220"/>
  <c r="A8" i="220"/>
  <c r="A62" i="220"/>
  <c r="A61" i="220"/>
  <c r="A60" i="220"/>
  <c r="A59" i="220"/>
  <c r="H49" i="220"/>
  <c r="G49" i="220"/>
  <c r="E49" i="220"/>
  <c r="B49" i="220"/>
  <c r="H48" i="220"/>
  <c r="G48" i="220"/>
  <c r="E48" i="220"/>
  <c r="B48" i="220"/>
  <c r="H47" i="220"/>
  <c r="G47" i="220"/>
  <c r="E47" i="220"/>
  <c r="B47" i="220"/>
  <c r="E46" i="220"/>
  <c r="B46" i="220"/>
  <c r="H41" i="220"/>
  <c r="G41" i="220"/>
  <c r="F41" i="220"/>
  <c r="E41" i="220"/>
  <c r="D41" i="220"/>
  <c r="B41" i="220"/>
  <c r="H40" i="220"/>
  <c r="G40" i="220"/>
  <c r="F40" i="220"/>
  <c r="E40" i="220"/>
  <c r="D40" i="220"/>
  <c r="B40" i="220"/>
  <c r="G39" i="220"/>
  <c r="F39" i="220"/>
  <c r="E39" i="220"/>
  <c r="D39" i="220"/>
  <c r="B39" i="220"/>
  <c r="H38" i="220"/>
  <c r="G38" i="220"/>
  <c r="F38" i="220"/>
  <c r="E38" i="220"/>
  <c r="D38" i="220"/>
  <c r="B38" i="220"/>
  <c r="H32" i="220"/>
  <c r="G32" i="220"/>
  <c r="E32" i="220"/>
  <c r="B32" i="220"/>
  <c r="H31" i="220"/>
  <c r="G31" i="220"/>
  <c r="E31" i="220"/>
  <c r="B31" i="220"/>
  <c r="H30" i="220"/>
  <c r="G30" i="220"/>
  <c r="E30" i="220"/>
  <c r="B30" i="220"/>
  <c r="H29" i="220"/>
  <c r="G29" i="220"/>
  <c r="E29" i="220"/>
  <c r="B29" i="220"/>
  <c r="H28" i="220"/>
  <c r="G28" i="220"/>
  <c r="E28" i="220"/>
  <c r="B28" i="220"/>
  <c r="H27" i="220"/>
  <c r="G27" i="220"/>
  <c r="E27" i="220"/>
  <c r="B27" i="220"/>
  <c r="H26" i="220"/>
  <c r="H25" i="220"/>
  <c r="H24" i="220"/>
  <c r="H23" i="220"/>
  <c r="H18" i="220"/>
  <c r="G18" i="220"/>
  <c r="E18" i="220"/>
  <c r="B18" i="220"/>
  <c r="H17" i="220"/>
  <c r="G17" i="220"/>
  <c r="E17" i="220"/>
  <c r="B17" i="220"/>
  <c r="H16" i="220"/>
  <c r="G16" i="220"/>
  <c r="E16" i="220"/>
  <c r="B16" i="220"/>
  <c r="H15" i="220"/>
  <c r="G15" i="220"/>
  <c r="E15" i="220"/>
  <c r="B15" i="220"/>
  <c r="H14" i="220"/>
  <c r="G14" i="220"/>
  <c r="E14" i="220"/>
  <c r="F13" i="220"/>
  <c r="E13" i="220"/>
  <c r="B13" i="220"/>
  <c r="F5" i="220"/>
  <c r="F3" i="220"/>
  <c r="F2" i="220"/>
  <c r="D2" i="220"/>
  <c r="H26" i="219"/>
  <c r="H7" i="219"/>
  <c r="B8" i="219"/>
  <c r="A8" i="219"/>
  <c r="A62" i="219"/>
  <c r="A61" i="219"/>
  <c r="A60" i="219"/>
  <c r="A59" i="219"/>
  <c r="H49" i="219"/>
  <c r="G49" i="219"/>
  <c r="E49" i="219"/>
  <c r="B49" i="219"/>
  <c r="H48" i="219"/>
  <c r="G48" i="219"/>
  <c r="E48" i="219"/>
  <c r="B48" i="219"/>
  <c r="H47" i="219"/>
  <c r="G47" i="219"/>
  <c r="E47" i="219"/>
  <c r="B47" i="219"/>
  <c r="E46" i="219"/>
  <c r="B46" i="219"/>
  <c r="H41" i="219"/>
  <c r="G41" i="219"/>
  <c r="F41" i="219"/>
  <c r="E41" i="219"/>
  <c r="D41" i="219"/>
  <c r="B41" i="219"/>
  <c r="H40" i="219"/>
  <c r="G40" i="219"/>
  <c r="F40" i="219"/>
  <c r="E40" i="219"/>
  <c r="D40" i="219"/>
  <c r="B40" i="219"/>
  <c r="G39" i="219"/>
  <c r="F39" i="219"/>
  <c r="E39" i="219"/>
  <c r="D39" i="219"/>
  <c r="B39" i="219"/>
  <c r="H38" i="219"/>
  <c r="G38" i="219"/>
  <c r="F38" i="219"/>
  <c r="E38" i="219"/>
  <c r="D38" i="219"/>
  <c r="B38" i="219"/>
  <c r="H32" i="219"/>
  <c r="G32" i="219"/>
  <c r="E32" i="219"/>
  <c r="B32" i="219"/>
  <c r="H31" i="219"/>
  <c r="G31" i="219"/>
  <c r="E31" i="219"/>
  <c r="B31" i="219"/>
  <c r="H30" i="219"/>
  <c r="G30" i="219"/>
  <c r="E30" i="219"/>
  <c r="B30" i="219"/>
  <c r="H29" i="219"/>
  <c r="G29" i="219"/>
  <c r="E29" i="219"/>
  <c r="B29" i="219"/>
  <c r="H28" i="219"/>
  <c r="G28" i="219"/>
  <c r="E28" i="219"/>
  <c r="B28" i="219"/>
  <c r="H27" i="219"/>
  <c r="G27" i="219"/>
  <c r="E27" i="219"/>
  <c r="B27" i="219"/>
  <c r="H25" i="219"/>
  <c r="H24" i="219"/>
  <c r="H23" i="219"/>
  <c r="H18" i="219"/>
  <c r="G18" i="219"/>
  <c r="E18" i="219"/>
  <c r="B18" i="219"/>
  <c r="H17" i="219"/>
  <c r="G17" i="219"/>
  <c r="E17" i="219"/>
  <c r="B17" i="219"/>
  <c r="H16" i="219"/>
  <c r="G16" i="219"/>
  <c r="E16" i="219"/>
  <c r="B16" i="219"/>
  <c r="H15" i="219"/>
  <c r="G15" i="219"/>
  <c r="E15" i="219"/>
  <c r="B15" i="219"/>
  <c r="H14" i="219"/>
  <c r="G14" i="219"/>
  <c r="E14" i="219"/>
  <c r="F13" i="219"/>
  <c r="E13" i="219"/>
  <c r="B13" i="219"/>
  <c r="F5" i="219"/>
  <c r="F3" i="219"/>
  <c r="F2" i="219"/>
  <c r="D2" i="219"/>
  <c r="B25" i="218"/>
  <c r="H7" i="218"/>
  <c r="B8" i="218"/>
  <c r="A8" i="218"/>
  <c r="A62" i="218"/>
  <c r="A61" i="218"/>
  <c r="A60" i="218"/>
  <c r="A59" i="218"/>
  <c r="H49" i="218"/>
  <c r="G49" i="218"/>
  <c r="E49" i="218"/>
  <c r="B49" i="218"/>
  <c r="H48" i="218"/>
  <c r="G48" i="218"/>
  <c r="E48" i="218"/>
  <c r="B48" i="218"/>
  <c r="H47" i="218"/>
  <c r="G47" i="218"/>
  <c r="E47" i="218"/>
  <c r="B47" i="218"/>
  <c r="E46" i="218"/>
  <c r="B46" i="218"/>
  <c r="H41" i="218"/>
  <c r="G41" i="218"/>
  <c r="F41" i="218"/>
  <c r="E41" i="218"/>
  <c r="D41" i="218"/>
  <c r="B41" i="218"/>
  <c r="H40" i="218"/>
  <c r="G40" i="218"/>
  <c r="F40" i="218"/>
  <c r="E40" i="218"/>
  <c r="D40" i="218"/>
  <c r="B40" i="218"/>
  <c r="G39" i="218"/>
  <c r="F39" i="218"/>
  <c r="E39" i="218"/>
  <c r="D39" i="218"/>
  <c r="B39" i="218"/>
  <c r="H38" i="218"/>
  <c r="G38" i="218"/>
  <c r="F38" i="218"/>
  <c r="E38" i="218"/>
  <c r="D38" i="218"/>
  <c r="B38" i="218"/>
  <c r="H32" i="218"/>
  <c r="G32" i="218"/>
  <c r="E32" i="218"/>
  <c r="B32" i="218"/>
  <c r="H31" i="218"/>
  <c r="G31" i="218"/>
  <c r="E31" i="218"/>
  <c r="B31" i="218"/>
  <c r="H30" i="218"/>
  <c r="G30" i="218"/>
  <c r="E30" i="218"/>
  <c r="B30" i="218"/>
  <c r="H29" i="218"/>
  <c r="G29" i="218"/>
  <c r="E29" i="218"/>
  <c r="B29" i="218"/>
  <c r="H28" i="218"/>
  <c r="G28" i="218"/>
  <c r="E28" i="218"/>
  <c r="B28" i="218"/>
  <c r="H27" i="218"/>
  <c r="G27" i="218"/>
  <c r="E27" i="218"/>
  <c r="B27" i="218"/>
  <c r="H26" i="218"/>
  <c r="G26" i="218"/>
  <c r="E26" i="218"/>
  <c r="B26" i="218"/>
  <c r="H24" i="218"/>
  <c r="H23" i="218"/>
  <c r="H18" i="218"/>
  <c r="G18" i="218"/>
  <c r="E18" i="218"/>
  <c r="B18" i="218"/>
  <c r="H17" i="218"/>
  <c r="G17" i="218"/>
  <c r="E17" i="218"/>
  <c r="B17" i="218"/>
  <c r="H16" i="218"/>
  <c r="G16" i="218"/>
  <c r="E16" i="218"/>
  <c r="B16" i="218"/>
  <c r="H15" i="218"/>
  <c r="G15" i="218"/>
  <c r="E15" i="218"/>
  <c r="B15" i="218"/>
  <c r="H14" i="218"/>
  <c r="G14" i="218"/>
  <c r="E14" i="218"/>
  <c r="F13" i="218"/>
  <c r="E13" i="218"/>
  <c r="B13" i="218"/>
  <c r="F5" i="218"/>
  <c r="F3" i="218"/>
  <c r="F2" i="218"/>
  <c r="D2" i="218"/>
  <c r="H7" i="217"/>
  <c r="B8" i="217"/>
  <c r="A8" i="217"/>
  <c r="A62" i="217"/>
  <c r="A61" i="217"/>
  <c r="A60" i="217"/>
  <c r="A59" i="217"/>
  <c r="H49" i="217"/>
  <c r="G49" i="217"/>
  <c r="E49" i="217"/>
  <c r="B49" i="217"/>
  <c r="H48" i="217"/>
  <c r="G48" i="217"/>
  <c r="E48" i="217"/>
  <c r="B48" i="217"/>
  <c r="H47" i="217"/>
  <c r="G47" i="217"/>
  <c r="E47" i="217"/>
  <c r="B47" i="217"/>
  <c r="E46" i="217"/>
  <c r="B46" i="217"/>
  <c r="H41" i="217"/>
  <c r="G41" i="217"/>
  <c r="F41" i="217"/>
  <c r="E41" i="217"/>
  <c r="D41" i="217"/>
  <c r="B41" i="217"/>
  <c r="H40" i="217"/>
  <c r="G40" i="217"/>
  <c r="F40" i="217"/>
  <c r="E40" i="217"/>
  <c r="D40" i="217"/>
  <c r="B40" i="217"/>
  <c r="G39" i="217"/>
  <c r="F39" i="217"/>
  <c r="E39" i="217"/>
  <c r="D39" i="217"/>
  <c r="B39" i="217"/>
  <c r="H38" i="217"/>
  <c r="G38" i="217"/>
  <c r="F38" i="217"/>
  <c r="E38" i="217"/>
  <c r="D38" i="217"/>
  <c r="B38" i="217"/>
  <c r="H32" i="217"/>
  <c r="G32" i="217"/>
  <c r="E32" i="217"/>
  <c r="B32" i="217"/>
  <c r="H31" i="217"/>
  <c r="G31" i="217"/>
  <c r="E31" i="217"/>
  <c r="B31" i="217"/>
  <c r="H30" i="217"/>
  <c r="G30" i="217"/>
  <c r="E30" i="217"/>
  <c r="B30" i="217"/>
  <c r="H29" i="217"/>
  <c r="G29" i="217"/>
  <c r="E29" i="217"/>
  <c r="B29" i="217"/>
  <c r="H28" i="217"/>
  <c r="G28" i="217"/>
  <c r="E28" i="217"/>
  <c r="B28" i="217"/>
  <c r="H27" i="217"/>
  <c r="G27" i="217"/>
  <c r="E27" i="217"/>
  <c r="B27" i="217"/>
  <c r="H26" i="217"/>
  <c r="G26" i="217"/>
  <c r="E26" i="217"/>
  <c r="B26" i="217"/>
  <c r="H25" i="217"/>
  <c r="H24" i="217"/>
  <c r="H23" i="217"/>
  <c r="H18" i="217"/>
  <c r="G18" i="217"/>
  <c r="E18" i="217"/>
  <c r="B18" i="217"/>
  <c r="H17" i="217"/>
  <c r="G17" i="217"/>
  <c r="E17" i="217"/>
  <c r="B17" i="217"/>
  <c r="H16" i="217"/>
  <c r="G16" i="217"/>
  <c r="E16" i="217"/>
  <c r="B16" i="217"/>
  <c r="H15" i="217"/>
  <c r="G15" i="217"/>
  <c r="E15" i="217"/>
  <c r="B15" i="217"/>
  <c r="H14" i="217"/>
  <c r="G14" i="217"/>
  <c r="E14" i="217"/>
  <c r="F13" i="217"/>
  <c r="E13" i="217"/>
  <c r="B13" i="217"/>
  <c r="F5" i="217"/>
  <c r="F3" i="217"/>
  <c r="F2" i="217"/>
  <c r="D2" i="217"/>
  <c r="H24" i="216"/>
  <c r="H25" i="216"/>
  <c r="H7" i="216"/>
  <c r="B8" i="216"/>
  <c r="A8" i="216"/>
  <c r="A62" i="216"/>
  <c r="A61" i="216"/>
  <c r="A60" i="216"/>
  <c r="A59" i="216"/>
  <c r="H49" i="216"/>
  <c r="G49" i="216"/>
  <c r="E49" i="216"/>
  <c r="B49" i="216"/>
  <c r="H48" i="216"/>
  <c r="G48" i="216"/>
  <c r="E48" i="216"/>
  <c r="B48" i="216"/>
  <c r="H47" i="216"/>
  <c r="G47" i="216"/>
  <c r="E47" i="216"/>
  <c r="B47" i="216"/>
  <c r="E46" i="216"/>
  <c r="B46" i="216"/>
  <c r="H41" i="216"/>
  <c r="G41" i="216"/>
  <c r="F41" i="216"/>
  <c r="E41" i="216"/>
  <c r="D41" i="216"/>
  <c r="B41" i="216"/>
  <c r="H40" i="216"/>
  <c r="G40" i="216"/>
  <c r="F40" i="216"/>
  <c r="E40" i="216"/>
  <c r="D40" i="216"/>
  <c r="B40" i="216"/>
  <c r="G39" i="216"/>
  <c r="F39" i="216"/>
  <c r="E39" i="216"/>
  <c r="D39" i="216"/>
  <c r="B39" i="216"/>
  <c r="H38" i="216"/>
  <c r="G38" i="216"/>
  <c r="F38" i="216"/>
  <c r="E38" i="216"/>
  <c r="D38" i="216"/>
  <c r="B38" i="216"/>
  <c r="H32" i="216"/>
  <c r="G32" i="216"/>
  <c r="E32" i="216"/>
  <c r="B32" i="216"/>
  <c r="H31" i="216"/>
  <c r="G31" i="216"/>
  <c r="E31" i="216"/>
  <c r="B31" i="216"/>
  <c r="H30" i="216"/>
  <c r="G30" i="216"/>
  <c r="E30" i="216"/>
  <c r="B30" i="216"/>
  <c r="H29" i="216"/>
  <c r="G29" i="216"/>
  <c r="E29" i="216"/>
  <c r="B29" i="216"/>
  <c r="H28" i="216"/>
  <c r="G28" i="216"/>
  <c r="E28" i="216"/>
  <c r="B28" i="216"/>
  <c r="H27" i="216"/>
  <c r="G27" i="216"/>
  <c r="E27" i="216"/>
  <c r="B27" i="216"/>
  <c r="H26" i="216"/>
  <c r="G26" i="216"/>
  <c r="E26" i="216"/>
  <c r="B26" i="216"/>
  <c r="H23" i="216"/>
  <c r="H18" i="216"/>
  <c r="G18" i="216"/>
  <c r="E18" i="216"/>
  <c r="B18" i="216"/>
  <c r="H17" i="216"/>
  <c r="G17" i="216"/>
  <c r="E17" i="216"/>
  <c r="B17" i="216"/>
  <c r="H16" i="216"/>
  <c r="G16" i="216"/>
  <c r="E16" i="216"/>
  <c r="B16" i="216"/>
  <c r="H15" i="216"/>
  <c r="G15" i="216"/>
  <c r="E15" i="216"/>
  <c r="B15" i="216"/>
  <c r="H14" i="216"/>
  <c r="G14" i="216"/>
  <c r="E14" i="216"/>
  <c r="F13" i="216"/>
  <c r="E13" i="216"/>
  <c r="B13" i="216"/>
  <c r="F5" i="216"/>
  <c r="F3" i="216"/>
  <c r="F2" i="216"/>
  <c r="D2" i="216"/>
  <c r="H25" i="215"/>
  <c r="H23" i="215"/>
  <c r="H7" i="215"/>
  <c r="B8" i="215"/>
  <c r="A8" i="215"/>
  <c r="A62" i="215"/>
  <c r="A61" i="215"/>
  <c r="A60" i="215"/>
  <c r="A59" i="215"/>
  <c r="H49" i="215"/>
  <c r="G49" i="215"/>
  <c r="E49" i="215"/>
  <c r="B49" i="215"/>
  <c r="H48" i="215"/>
  <c r="G48" i="215"/>
  <c r="E48" i="215"/>
  <c r="B48" i="215"/>
  <c r="H47" i="215"/>
  <c r="G47" i="215"/>
  <c r="E47" i="215"/>
  <c r="B47" i="215"/>
  <c r="E46" i="215"/>
  <c r="B46" i="215"/>
  <c r="H41" i="215"/>
  <c r="G41" i="215"/>
  <c r="F41" i="215"/>
  <c r="E41" i="215"/>
  <c r="D41" i="215"/>
  <c r="B41" i="215"/>
  <c r="H40" i="215"/>
  <c r="G40" i="215"/>
  <c r="F40" i="215"/>
  <c r="E40" i="215"/>
  <c r="D40" i="215"/>
  <c r="B40" i="215"/>
  <c r="G39" i="215"/>
  <c r="F39" i="215"/>
  <c r="E39" i="215"/>
  <c r="D39" i="215"/>
  <c r="B39" i="215"/>
  <c r="H38" i="215"/>
  <c r="G38" i="215"/>
  <c r="F38" i="215"/>
  <c r="E38" i="215"/>
  <c r="D38" i="215"/>
  <c r="B38" i="215"/>
  <c r="H32" i="215"/>
  <c r="G32" i="215"/>
  <c r="E32" i="215"/>
  <c r="B32" i="215"/>
  <c r="H31" i="215"/>
  <c r="G31" i="215"/>
  <c r="E31" i="215"/>
  <c r="B31" i="215"/>
  <c r="H30" i="215"/>
  <c r="G30" i="215"/>
  <c r="E30" i="215"/>
  <c r="B30" i="215"/>
  <c r="H29" i="215"/>
  <c r="G29" i="215"/>
  <c r="E29" i="215"/>
  <c r="B29" i="215"/>
  <c r="H28" i="215"/>
  <c r="G28" i="215"/>
  <c r="E28" i="215"/>
  <c r="B28" i="215"/>
  <c r="H27" i="215"/>
  <c r="G27" i="215"/>
  <c r="E27" i="215"/>
  <c r="B27" i="215"/>
  <c r="H26" i="215"/>
  <c r="G26" i="215"/>
  <c r="E26" i="215"/>
  <c r="B26" i="215"/>
  <c r="E24" i="215"/>
  <c r="B24" i="215"/>
  <c r="H18" i="215"/>
  <c r="G18" i="215"/>
  <c r="E18" i="215"/>
  <c r="B18" i="215"/>
  <c r="H17" i="215"/>
  <c r="G17" i="215"/>
  <c r="E17" i="215"/>
  <c r="B17" i="215"/>
  <c r="H16" i="215"/>
  <c r="G16" i="215"/>
  <c r="E16" i="215"/>
  <c r="B16" i="215"/>
  <c r="H15" i="215"/>
  <c r="G15" i="215"/>
  <c r="E15" i="215"/>
  <c r="B15" i="215"/>
  <c r="H14" i="215"/>
  <c r="G14" i="215"/>
  <c r="E14" i="215"/>
  <c r="F13" i="215"/>
  <c r="E13" i="215"/>
  <c r="B13" i="215"/>
  <c r="F5" i="215"/>
  <c r="F3" i="215"/>
  <c r="F2" i="215"/>
  <c r="D2" i="215"/>
  <c r="A62" i="214"/>
  <c r="A61" i="214"/>
  <c r="A60" i="214"/>
  <c r="A59" i="214"/>
  <c r="H7" i="214"/>
  <c r="B8" i="214"/>
  <c r="A8" i="214"/>
  <c r="H49" i="214"/>
  <c r="G49" i="214"/>
  <c r="E49" i="214"/>
  <c r="B49" i="214"/>
  <c r="H48" i="214"/>
  <c r="G48" i="214"/>
  <c r="E48" i="214"/>
  <c r="B48" i="214"/>
  <c r="H47" i="214"/>
  <c r="G47" i="214"/>
  <c r="E47" i="214"/>
  <c r="B47" i="214"/>
  <c r="E46" i="214"/>
  <c r="B46" i="214"/>
  <c r="H41" i="214"/>
  <c r="G41" i="214"/>
  <c r="F41" i="214"/>
  <c r="E41" i="214"/>
  <c r="D41" i="214"/>
  <c r="B41" i="214"/>
  <c r="H40" i="214"/>
  <c r="G40" i="214"/>
  <c r="F40" i="214"/>
  <c r="E40" i="214"/>
  <c r="D40" i="214"/>
  <c r="B40" i="214"/>
  <c r="G39" i="214"/>
  <c r="F39" i="214"/>
  <c r="E39" i="214"/>
  <c r="D39" i="214"/>
  <c r="B39" i="214"/>
  <c r="H32" i="214"/>
  <c r="G32" i="214"/>
  <c r="E32" i="214"/>
  <c r="B32" i="214"/>
  <c r="H31" i="214"/>
  <c r="G31" i="214"/>
  <c r="E31" i="214"/>
  <c r="B31" i="214"/>
  <c r="H30" i="214"/>
  <c r="G30" i="214"/>
  <c r="E30" i="214"/>
  <c r="B30" i="214"/>
  <c r="H29" i="214"/>
  <c r="G29" i="214"/>
  <c r="E29" i="214"/>
  <c r="B29" i="214"/>
  <c r="H28" i="214"/>
  <c r="G28" i="214"/>
  <c r="E28" i="214"/>
  <c r="B28" i="214"/>
  <c r="H27" i="214"/>
  <c r="G27" i="214"/>
  <c r="E27" i="214"/>
  <c r="B27" i="214"/>
  <c r="H26" i="214"/>
  <c r="G26" i="214"/>
  <c r="E26" i="214"/>
  <c r="B26" i="214"/>
  <c r="E25" i="214"/>
  <c r="B25" i="214"/>
  <c r="G24" i="214"/>
  <c r="H24" i="214" s="1"/>
  <c r="E24" i="214"/>
  <c r="B24" i="214"/>
  <c r="E23" i="214"/>
  <c r="B23" i="214"/>
  <c r="H18" i="214"/>
  <c r="G18" i="214"/>
  <c r="E18" i="214"/>
  <c r="B18" i="214"/>
  <c r="H17" i="214"/>
  <c r="G17" i="214"/>
  <c r="E17" i="214"/>
  <c r="B17" i="214"/>
  <c r="H16" i="214"/>
  <c r="G16" i="214"/>
  <c r="E16" i="214"/>
  <c r="B16" i="214"/>
  <c r="H15" i="214"/>
  <c r="G15" i="214"/>
  <c r="E15" i="214"/>
  <c r="B15" i="214"/>
  <c r="H14" i="214"/>
  <c r="G14" i="214"/>
  <c r="E14" i="214"/>
  <c r="F13" i="214"/>
  <c r="E13" i="214"/>
  <c r="B13" i="214"/>
  <c r="F5" i="214"/>
  <c r="F3" i="214"/>
  <c r="F2" i="214"/>
  <c r="D2" i="214"/>
  <c r="A8" i="123"/>
  <c r="B8" i="123"/>
  <c r="H7" i="123"/>
  <c r="E24" i="123"/>
  <c r="E25" i="123"/>
  <c r="G36" i="213"/>
  <c r="E36" i="213"/>
  <c r="D36" i="213"/>
  <c r="H7" i="213"/>
  <c r="B8" i="213"/>
  <c r="A8" i="213"/>
  <c r="A61" i="213"/>
  <c r="A60" i="213"/>
  <c r="A59" i="213"/>
  <c r="A58" i="213"/>
  <c r="H48" i="213"/>
  <c r="G48" i="213"/>
  <c r="E48" i="213"/>
  <c r="B48" i="213"/>
  <c r="H47" i="213"/>
  <c r="G47" i="213"/>
  <c r="E47" i="213"/>
  <c r="B47" i="213"/>
  <c r="H46" i="213"/>
  <c r="G46" i="213"/>
  <c r="E46" i="213"/>
  <c r="B46" i="213"/>
  <c r="E45" i="213"/>
  <c r="B45" i="213"/>
  <c r="H40" i="213"/>
  <c r="G40" i="213"/>
  <c r="F40" i="213"/>
  <c r="E40" i="213"/>
  <c r="D40" i="213"/>
  <c r="B40" i="213"/>
  <c r="H39" i="213"/>
  <c r="G39" i="213"/>
  <c r="F39" i="213"/>
  <c r="E39" i="213"/>
  <c r="D39" i="213"/>
  <c r="B39" i="213"/>
  <c r="H38" i="213"/>
  <c r="G38" i="213"/>
  <c r="F38" i="213"/>
  <c r="E38" i="213"/>
  <c r="D38" i="213"/>
  <c r="B38" i="213"/>
  <c r="H37" i="213"/>
  <c r="G37" i="213"/>
  <c r="F37" i="213"/>
  <c r="E37" i="213"/>
  <c r="D37" i="213"/>
  <c r="B37" i="213"/>
  <c r="H31" i="213"/>
  <c r="G31" i="213"/>
  <c r="E31" i="213"/>
  <c r="B31" i="213"/>
  <c r="H30" i="213"/>
  <c r="G30" i="213"/>
  <c r="E30" i="213"/>
  <c r="B30" i="213"/>
  <c r="H29" i="213"/>
  <c r="G29" i="213"/>
  <c r="E29" i="213"/>
  <c r="B29" i="213"/>
  <c r="H28" i="213"/>
  <c r="G28" i="213"/>
  <c r="E28" i="213"/>
  <c r="B28" i="213"/>
  <c r="H27" i="213"/>
  <c r="G27" i="213"/>
  <c r="E27" i="213"/>
  <c r="B27" i="213"/>
  <c r="H26" i="213"/>
  <c r="G26" i="213"/>
  <c r="E26" i="213"/>
  <c r="B26" i="213"/>
  <c r="H25" i="213"/>
  <c r="H24" i="213"/>
  <c r="H23" i="213"/>
  <c r="H18" i="213"/>
  <c r="G18" i="213"/>
  <c r="E18" i="213"/>
  <c r="B18" i="213"/>
  <c r="H17" i="213"/>
  <c r="G17" i="213"/>
  <c r="E17" i="213"/>
  <c r="B17" i="213"/>
  <c r="H16" i="213"/>
  <c r="G16" i="213"/>
  <c r="E16" i="213"/>
  <c r="B16" i="213"/>
  <c r="H15" i="213"/>
  <c r="G15" i="213"/>
  <c r="E15" i="213"/>
  <c r="B15" i="213"/>
  <c r="H14" i="213"/>
  <c r="G14" i="213"/>
  <c r="E14" i="213"/>
  <c r="B14" i="213"/>
  <c r="F13" i="213"/>
  <c r="E13" i="213"/>
  <c r="B13" i="213"/>
  <c r="F5" i="213"/>
  <c r="F3" i="213"/>
  <c r="F2" i="213"/>
  <c r="D2" i="213"/>
  <c r="H7" i="212"/>
  <c r="B8" i="212"/>
  <c r="A8" i="212"/>
  <c r="A62" i="212"/>
  <c r="A61" i="212"/>
  <c r="A60" i="212"/>
  <c r="A59" i="212"/>
  <c r="H49" i="212"/>
  <c r="G49" i="212"/>
  <c r="E49" i="212"/>
  <c r="B49" i="212"/>
  <c r="H48" i="212"/>
  <c r="G48" i="212"/>
  <c r="E48" i="212"/>
  <c r="B48" i="212"/>
  <c r="H47" i="212"/>
  <c r="G47" i="212"/>
  <c r="E47" i="212"/>
  <c r="B47" i="212"/>
  <c r="E46" i="212"/>
  <c r="B46" i="212"/>
  <c r="H41" i="212"/>
  <c r="G41" i="212"/>
  <c r="F41" i="212"/>
  <c r="E41" i="212"/>
  <c r="D41" i="212"/>
  <c r="B41" i="212"/>
  <c r="H40" i="212"/>
  <c r="G40" i="212"/>
  <c r="F40" i="212"/>
  <c r="E40" i="212"/>
  <c r="D40" i="212"/>
  <c r="B40" i="212"/>
  <c r="H39" i="212"/>
  <c r="G39" i="212"/>
  <c r="F39" i="212"/>
  <c r="E39" i="212"/>
  <c r="D39" i="212"/>
  <c r="B39" i="212"/>
  <c r="H38" i="212"/>
  <c r="G38" i="212"/>
  <c r="F38" i="212"/>
  <c r="E38" i="212"/>
  <c r="D38" i="212"/>
  <c r="B38" i="212"/>
  <c r="H32" i="212"/>
  <c r="G32" i="212"/>
  <c r="E32" i="212"/>
  <c r="B32" i="212"/>
  <c r="H31" i="212"/>
  <c r="G31" i="212"/>
  <c r="E31" i="212"/>
  <c r="B31" i="212"/>
  <c r="H30" i="212"/>
  <c r="G30" i="212"/>
  <c r="E30" i="212"/>
  <c r="B30" i="212"/>
  <c r="H29" i="212"/>
  <c r="G29" i="212"/>
  <c r="E29" i="212"/>
  <c r="B29" i="212"/>
  <c r="H28" i="212"/>
  <c r="G28" i="212"/>
  <c r="E28" i="212"/>
  <c r="B28" i="212"/>
  <c r="H27" i="212"/>
  <c r="G27" i="212"/>
  <c r="E27" i="212"/>
  <c r="B27" i="212"/>
  <c r="H26" i="212"/>
  <c r="G26" i="212"/>
  <c r="E26" i="212"/>
  <c r="B26" i="212"/>
  <c r="H25" i="212"/>
  <c r="H24" i="212"/>
  <c r="H23" i="212"/>
  <c r="H18" i="212"/>
  <c r="G18" i="212"/>
  <c r="E18" i="212"/>
  <c r="B18" i="212"/>
  <c r="H17" i="212"/>
  <c r="G17" i="212"/>
  <c r="E17" i="212"/>
  <c r="B17" i="212"/>
  <c r="H16" i="212"/>
  <c r="G16" i="212"/>
  <c r="E16" i="212"/>
  <c r="B16" i="212"/>
  <c r="H15" i="212"/>
  <c r="G15" i="212"/>
  <c r="E15" i="212"/>
  <c r="B15" i="212"/>
  <c r="H14" i="212"/>
  <c r="G14" i="212"/>
  <c r="E14" i="212"/>
  <c r="B14" i="212"/>
  <c r="F13" i="212"/>
  <c r="E13" i="212"/>
  <c r="B13" i="212"/>
  <c r="F5" i="212"/>
  <c r="F3" i="212"/>
  <c r="F2" i="212"/>
  <c r="D2" i="212"/>
  <c r="F38" i="211"/>
  <c r="D38" i="211"/>
  <c r="G38" i="211"/>
  <c r="A37" i="210"/>
  <c r="F37" i="210" s="1"/>
  <c r="G25" i="211"/>
  <c r="H25" i="211" s="1"/>
  <c r="E25" i="211"/>
  <c r="E24" i="211"/>
  <c r="H7" i="211"/>
  <c r="B8" i="211"/>
  <c r="A8" i="211"/>
  <c r="A63" i="211"/>
  <c r="A62" i="211"/>
  <c r="A61" i="211"/>
  <c r="A60" i="211"/>
  <c r="H50" i="211"/>
  <c r="G50" i="211"/>
  <c r="E50" i="211"/>
  <c r="B50" i="211"/>
  <c r="H49" i="211"/>
  <c r="G49" i="211"/>
  <c r="E49" i="211"/>
  <c r="B49" i="211"/>
  <c r="H48" i="211"/>
  <c r="G48" i="211"/>
  <c r="E48" i="211"/>
  <c r="B48" i="211"/>
  <c r="E47" i="211"/>
  <c r="B47" i="211"/>
  <c r="H42" i="211"/>
  <c r="G42" i="211"/>
  <c r="F42" i="211"/>
  <c r="E42" i="211"/>
  <c r="D42" i="211"/>
  <c r="B42" i="211"/>
  <c r="H41" i="211"/>
  <c r="G41" i="211"/>
  <c r="F41" i="211"/>
  <c r="E41" i="211"/>
  <c r="D41" i="211"/>
  <c r="B41" i="211"/>
  <c r="H40" i="211"/>
  <c r="G40" i="211"/>
  <c r="F40" i="211"/>
  <c r="E40" i="211"/>
  <c r="D40" i="211"/>
  <c r="B40" i="211"/>
  <c r="H39" i="211"/>
  <c r="G39" i="211"/>
  <c r="F39" i="211"/>
  <c r="E39" i="211"/>
  <c r="D39" i="211"/>
  <c r="B39" i="211"/>
  <c r="H33" i="211"/>
  <c r="G33" i="211"/>
  <c r="E33" i="211"/>
  <c r="B33" i="211"/>
  <c r="H32" i="211"/>
  <c r="G32" i="211"/>
  <c r="E32" i="211"/>
  <c r="B32" i="211"/>
  <c r="H31" i="211"/>
  <c r="G31" i="211"/>
  <c r="E31" i="211"/>
  <c r="B31" i="211"/>
  <c r="H30" i="211"/>
  <c r="G30" i="211"/>
  <c r="E30" i="211"/>
  <c r="B30" i="211"/>
  <c r="H29" i="211"/>
  <c r="G29" i="211"/>
  <c r="E29" i="211"/>
  <c r="B29" i="211"/>
  <c r="H28" i="211"/>
  <c r="G28" i="211"/>
  <c r="E28" i="211"/>
  <c r="B28" i="211"/>
  <c r="H27" i="211"/>
  <c r="G27" i="211"/>
  <c r="E27" i="211"/>
  <c r="B27" i="211"/>
  <c r="H23" i="211"/>
  <c r="H18" i="211"/>
  <c r="G18" i="211"/>
  <c r="E18" i="211"/>
  <c r="B18" i="211"/>
  <c r="H17" i="211"/>
  <c r="G17" i="211"/>
  <c r="E17" i="211"/>
  <c r="B17" i="211"/>
  <c r="H16" i="211"/>
  <c r="G16" i="211"/>
  <c r="E16" i="211"/>
  <c r="B16" i="211"/>
  <c r="H15" i="211"/>
  <c r="G15" i="211"/>
  <c r="E15" i="211"/>
  <c r="B15" i="211"/>
  <c r="H14" i="211"/>
  <c r="G14" i="211"/>
  <c r="E14" i="211"/>
  <c r="B14" i="211"/>
  <c r="F13" i="211"/>
  <c r="E13" i="211"/>
  <c r="B13" i="211"/>
  <c r="F5" i="211"/>
  <c r="F3" i="211"/>
  <c r="F2" i="211"/>
  <c r="D2" i="211"/>
  <c r="H7" i="210"/>
  <c r="B8" i="210"/>
  <c r="A8" i="210"/>
  <c r="A62" i="210"/>
  <c r="A61" i="210"/>
  <c r="A60" i="210"/>
  <c r="A59" i="210"/>
  <c r="H49" i="210"/>
  <c r="G49" i="210"/>
  <c r="E49" i="210"/>
  <c r="B49" i="210"/>
  <c r="H48" i="210"/>
  <c r="G48" i="210"/>
  <c r="E48" i="210"/>
  <c r="B48" i="210"/>
  <c r="H47" i="210"/>
  <c r="G47" i="210"/>
  <c r="E47" i="210"/>
  <c r="B47" i="210"/>
  <c r="E46" i="210"/>
  <c r="B46" i="210"/>
  <c r="H41" i="210"/>
  <c r="G41" i="210"/>
  <c r="F41" i="210"/>
  <c r="E41" i="210"/>
  <c r="D41" i="210"/>
  <c r="B41" i="210"/>
  <c r="H40" i="210"/>
  <c r="G40" i="210"/>
  <c r="F40" i="210"/>
  <c r="E40" i="210"/>
  <c r="D40" i="210"/>
  <c r="B40" i="210"/>
  <c r="H39" i="210"/>
  <c r="G39" i="210"/>
  <c r="F39" i="210"/>
  <c r="E39" i="210"/>
  <c r="D39" i="210"/>
  <c r="B39" i="210"/>
  <c r="H38" i="210"/>
  <c r="G38" i="210"/>
  <c r="F38" i="210"/>
  <c r="E38" i="210"/>
  <c r="D38" i="210"/>
  <c r="B38" i="210"/>
  <c r="H32" i="210"/>
  <c r="G32" i="210"/>
  <c r="E32" i="210"/>
  <c r="B32" i="210"/>
  <c r="H31" i="210"/>
  <c r="G31" i="210"/>
  <c r="E31" i="210"/>
  <c r="B31" i="210"/>
  <c r="H30" i="210"/>
  <c r="G30" i="210"/>
  <c r="E30" i="210"/>
  <c r="B30" i="210"/>
  <c r="H29" i="210"/>
  <c r="G29" i="210"/>
  <c r="E29" i="210"/>
  <c r="B29" i="210"/>
  <c r="H28" i="210"/>
  <c r="G28" i="210"/>
  <c r="E28" i="210"/>
  <c r="B28" i="210"/>
  <c r="H27" i="210"/>
  <c r="G27" i="210"/>
  <c r="E27" i="210"/>
  <c r="B27" i="210"/>
  <c r="H26" i="210"/>
  <c r="G26" i="210"/>
  <c r="E26" i="210"/>
  <c r="B26" i="210"/>
  <c r="E25" i="210"/>
  <c r="G24" i="210"/>
  <c r="H24" i="210" s="1"/>
  <c r="E24" i="210"/>
  <c r="H23" i="210"/>
  <c r="E23" i="210"/>
  <c r="H18" i="210"/>
  <c r="G18" i="210"/>
  <c r="E18" i="210"/>
  <c r="B18" i="210"/>
  <c r="H17" i="210"/>
  <c r="G17" i="210"/>
  <c r="E17" i="210"/>
  <c r="B17" i="210"/>
  <c r="H16" i="210"/>
  <c r="G16" i="210"/>
  <c r="E16" i="210"/>
  <c r="B16" i="210"/>
  <c r="H15" i="210"/>
  <c r="G15" i="210"/>
  <c r="E15" i="210"/>
  <c r="B15" i="210"/>
  <c r="H14" i="210"/>
  <c r="G14" i="210"/>
  <c r="E14" i="210"/>
  <c r="B14" i="210"/>
  <c r="F13" i="210"/>
  <c r="E13" i="210"/>
  <c r="B13" i="210"/>
  <c r="F5" i="210"/>
  <c r="F3" i="210"/>
  <c r="F2" i="210"/>
  <c r="D2" i="210"/>
  <c r="H7" i="209"/>
  <c r="B8" i="209"/>
  <c r="A8" i="209"/>
  <c r="H49" i="209"/>
  <c r="G49" i="209"/>
  <c r="E49" i="209"/>
  <c r="B49" i="209"/>
  <c r="H48" i="209"/>
  <c r="G48" i="209"/>
  <c r="E48" i="209"/>
  <c r="B48" i="209"/>
  <c r="H47" i="209"/>
  <c r="G47" i="209"/>
  <c r="E47" i="209"/>
  <c r="B47" i="209"/>
  <c r="E46" i="209"/>
  <c r="B46" i="209"/>
  <c r="H41" i="209"/>
  <c r="G41" i="209"/>
  <c r="F41" i="209"/>
  <c r="E41" i="209"/>
  <c r="D41" i="209"/>
  <c r="B41" i="209"/>
  <c r="H40" i="209"/>
  <c r="G40" i="209"/>
  <c r="F40" i="209"/>
  <c r="E40" i="209"/>
  <c r="D40" i="209"/>
  <c r="B40" i="209"/>
  <c r="H39" i="209"/>
  <c r="G39" i="209"/>
  <c r="F39" i="209"/>
  <c r="E39" i="209"/>
  <c r="D39" i="209"/>
  <c r="B39" i="209"/>
  <c r="H38" i="209"/>
  <c r="G38" i="209"/>
  <c r="F38" i="209"/>
  <c r="E38" i="209"/>
  <c r="D38" i="209"/>
  <c r="B38" i="209"/>
  <c r="A37" i="209"/>
  <c r="H32" i="209"/>
  <c r="G32" i="209"/>
  <c r="E32" i="209"/>
  <c r="B32" i="209"/>
  <c r="H31" i="209"/>
  <c r="G31" i="209"/>
  <c r="E31" i="209"/>
  <c r="B31" i="209"/>
  <c r="H30" i="209"/>
  <c r="G30" i="209"/>
  <c r="E30" i="209"/>
  <c r="B30" i="209"/>
  <c r="H29" i="209"/>
  <c r="G29" i="209"/>
  <c r="E29" i="209"/>
  <c r="B29" i="209"/>
  <c r="H28" i="209"/>
  <c r="G28" i="209"/>
  <c r="E28" i="209"/>
  <c r="B28" i="209"/>
  <c r="H27" i="209"/>
  <c r="G27" i="209"/>
  <c r="E27" i="209"/>
  <c r="B27" i="209"/>
  <c r="H26" i="209"/>
  <c r="G26" i="209"/>
  <c r="E26" i="209"/>
  <c r="B26" i="209"/>
  <c r="H25" i="209"/>
  <c r="H24" i="209"/>
  <c r="B24" i="209"/>
  <c r="B23" i="209"/>
  <c r="H18" i="209"/>
  <c r="G18" i="209"/>
  <c r="E18" i="209"/>
  <c r="B18" i="209"/>
  <c r="H17" i="209"/>
  <c r="G17" i="209"/>
  <c r="E17" i="209"/>
  <c r="B17" i="209"/>
  <c r="H16" i="209"/>
  <c r="G16" i="209"/>
  <c r="E16" i="209"/>
  <c r="B16" i="209"/>
  <c r="H15" i="209"/>
  <c r="G15" i="209"/>
  <c r="E15" i="209"/>
  <c r="B15" i="209"/>
  <c r="H14" i="209"/>
  <c r="G14" i="209"/>
  <c r="E14" i="209"/>
  <c r="B14" i="209"/>
  <c r="F13" i="209"/>
  <c r="E13" i="209"/>
  <c r="B13" i="209"/>
  <c r="F5" i="209"/>
  <c r="F3" i="209"/>
  <c r="F2" i="209"/>
  <c r="D2" i="209"/>
  <c r="A62" i="208"/>
  <c r="A61" i="208"/>
  <c r="A60" i="208"/>
  <c r="A59" i="208"/>
  <c r="H7" i="208"/>
  <c r="B8" i="208"/>
  <c r="A8" i="208"/>
  <c r="H49" i="208"/>
  <c r="G49" i="208"/>
  <c r="E49" i="208"/>
  <c r="B49" i="208"/>
  <c r="H48" i="208"/>
  <c r="G48" i="208"/>
  <c r="E48" i="208"/>
  <c r="B48" i="208"/>
  <c r="H47" i="208"/>
  <c r="G47" i="208"/>
  <c r="E47" i="208"/>
  <c r="B47" i="208"/>
  <c r="E46" i="208"/>
  <c r="B46" i="208"/>
  <c r="H41" i="208"/>
  <c r="G41" i="208"/>
  <c r="F41" i="208"/>
  <c r="E41" i="208"/>
  <c r="D41" i="208"/>
  <c r="B41" i="208"/>
  <c r="H40" i="208"/>
  <c r="G40" i="208"/>
  <c r="F40" i="208"/>
  <c r="E40" i="208"/>
  <c r="D40" i="208"/>
  <c r="B40" i="208"/>
  <c r="H39" i="208"/>
  <c r="G39" i="208"/>
  <c r="F39" i="208"/>
  <c r="E39" i="208"/>
  <c r="D39" i="208"/>
  <c r="B39" i="208"/>
  <c r="H32" i="208"/>
  <c r="G32" i="208"/>
  <c r="E32" i="208"/>
  <c r="B32" i="208"/>
  <c r="H31" i="208"/>
  <c r="G31" i="208"/>
  <c r="E31" i="208"/>
  <c r="B31" i="208"/>
  <c r="H30" i="208"/>
  <c r="G30" i="208"/>
  <c r="E30" i="208"/>
  <c r="B30" i="208"/>
  <c r="H29" i="208"/>
  <c r="G29" i="208"/>
  <c r="E29" i="208"/>
  <c r="B29" i="208"/>
  <c r="H28" i="208"/>
  <c r="G28" i="208"/>
  <c r="E28" i="208"/>
  <c r="B28" i="208"/>
  <c r="H27" i="208"/>
  <c r="G27" i="208"/>
  <c r="E27" i="208"/>
  <c r="B27" i="208"/>
  <c r="H26" i="208"/>
  <c r="G26" i="208"/>
  <c r="E26" i="208"/>
  <c r="B26" i="208"/>
  <c r="H25" i="208"/>
  <c r="G25" i="208"/>
  <c r="E25" i="208"/>
  <c r="B24" i="208"/>
  <c r="H23" i="208"/>
  <c r="H18" i="208"/>
  <c r="G18" i="208"/>
  <c r="E18" i="208"/>
  <c r="B18" i="208"/>
  <c r="H17" i="208"/>
  <c r="G17" i="208"/>
  <c r="E17" i="208"/>
  <c r="B17" i="208"/>
  <c r="H16" i="208"/>
  <c r="G16" i="208"/>
  <c r="E16" i="208"/>
  <c r="B16" i="208"/>
  <c r="H15" i="208"/>
  <c r="G15" i="208"/>
  <c r="E15" i="208"/>
  <c r="B15" i="208"/>
  <c r="H14" i="208"/>
  <c r="G14" i="208"/>
  <c r="E14" i="208"/>
  <c r="B14" i="208"/>
  <c r="F13" i="208"/>
  <c r="E13" i="208"/>
  <c r="B13" i="208"/>
  <c r="F5" i="208"/>
  <c r="F3" i="208"/>
  <c r="F2" i="208"/>
  <c r="D2" i="208"/>
  <c r="B23" i="207"/>
  <c r="E23" i="207"/>
  <c r="H7" i="207"/>
  <c r="B8" i="207"/>
  <c r="A8" i="207"/>
  <c r="A63" i="207"/>
  <c r="A62" i="207"/>
  <c r="A61" i="207"/>
  <c r="A60" i="207"/>
  <c r="H50" i="207"/>
  <c r="G50" i="207"/>
  <c r="E50" i="207"/>
  <c r="B50" i="207"/>
  <c r="H49" i="207"/>
  <c r="G49" i="207"/>
  <c r="E49" i="207"/>
  <c r="B49" i="207"/>
  <c r="H48" i="207"/>
  <c r="G48" i="207"/>
  <c r="E48" i="207"/>
  <c r="B48" i="207"/>
  <c r="E47" i="207"/>
  <c r="B47" i="207"/>
  <c r="H42" i="207"/>
  <c r="G42" i="207"/>
  <c r="F42" i="207"/>
  <c r="E42" i="207"/>
  <c r="D42" i="207"/>
  <c r="B42" i="207"/>
  <c r="H41" i="207"/>
  <c r="G41" i="207"/>
  <c r="F41" i="207"/>
  <c r="E41" i="207"/>
  <c r="D41" i="207"/>
  <c r="B41" i="207"/>
  <c r="H40" i="207"/>
  <c r="G40" i="207"/>
  <c r="F40" i="207"/>
  <c r="E40" i="207"/>
  <c r="D40" i="207"/>
  <c r="B40" i="207"/>
  <c r="H33" i="207"/>
  <c r="G33" i="207"/>
  <c r="E33" i="207"/>
  <c r="B33" i="207"/>
  <c r="H32" i="207"/>
  <c r="G32" i="207"/>
  <c r="E32" i="207"/>
  <c r="B32" i="207"/>
  <c r="H31" i="207"/>
  <c r="G31" i="207"/>
  <c r="E31" i="207"/>
  <c r="B31" i="207"/>
  <c r="H30" i="207"/>
  <c r="G30" i="207"/>
  <c r="E30" i="207"/>
  <c r="B30" i="207"/>
  <c r="H29" i="207"/>
  <c r="G29" i="207"/>
  <c r="E29" i="207"/>
  <c r="B29" i="207"/>
  <c r="H28" i="207"/>
  <c r="G28" i="207"/>
  <c r="E28" i="207"/>
  <c r="B28" i="207"/>
  <c r="H27" i="207"/>
  <c r="G27" i="207"/>
  <c r="E27" i="207"/>
  <c r="B27" i="207"/>
  <c r="H18" i="207"/>
  <c r="G18" i="207"/>
  <c r="E18" i="207"/>
  <c r="B18" i="207"/>
  <c r="H17" i="207"/>
  <c r="G17" i="207"/>
  <c r="E17" i="207"/>
  <c r="B17" i="207"/>
  <c r="H16" i="207"/>
  <c r="G16" i="207"/>
  <c r="E16" i="207"/>
  <c r="B16" i="207"/>
  <c r="H15" i="207"/>
  <c r="G15" i="207"/>
  <c r="E15" i="207"/>
  <c r="B15" i="207"/>
  <c r="H14" i="207"/>
  <c r="G14" i="207"/>
  <c r="E14" i="207"/>
  <c r="B14" i="207"/>
  <c r="F13" i="207"/>
  <c r="E13" i="207"/>
  <c r="B13" i="207"/>
  <c r="F5" i="207"/>
  <c r="F3" i="207"/>
  <c r="F2" i="207"/>
  <c r="D2" i="207"/>
  <c r="H24" i="206"/>
  <c r="H25" i="206"/>
  <c r="B26" i="206"/>
  <c r="B27" i="206"/>
  <c r="E27" i="206"/>
  <c r="H7" i="206"/>
  <c r="B8" i="206"/>
  <c r="A8" i="206"/>
  <c r="A63" i="206"/>
  <c r="A62" i="206"/>
  <c r="A61" i="206"/>
  <c r="A60" i="206"/>
  <c r="H50" i="206"/>
  <c r="G50" i="206"/>
  <c r="E50" i="206"/>
  <c r="B50" i="206"/>
  <c r="H49" i="206"/>
  <c r="G49" i="206"/>
  <c r="E49" i="206"/>
  <c r="B49" i="206"/>
  <c r="H48" i="206"/>
  <c r="G48" i="206"/>
  <c r="E48" i="206"/>
  <c r="B48" i="206"/>
  <c r="E47" i="206"/>
  <c r="B47" i="206"/>
  <c r="H42" i="206"/>
  <c r="G42" i="206"/>
  <c r="F42" i="206"/>
  <c r="E42" i="206"/>
  <c r="D42" i="206"/>
  <c r="B42" i="206"/>
  <c r="H41" i="206"/>
  <c r="G41" i="206"/>
  <c r="F41" i="206"/>
  <c r="E41" i="206"/>
  <c r="D41" i="206"/>
  <c r="B41" i="206"/>
  <c r="H40" i="206"/>
  <c r="G40" i="206"/>
  <c r="F40" i="206"/>
  <c r="E40" i="206"/>
  <c r="D40" i="206"/>
  <c r="B40" i="206"/>
  <c r="H39" i="206"/>
  <c r="G39" i="206"/>
  <c r="F39" i="206"/>
  <c r="E39" i="206"/>
  <c r="D39" i="206"/>
  <c r="B39" i="206"/>
  <c r="H33" i="206"/>
  <c r="G33" i="206"/>
  <c r="E33" i="206"/>
  <c r="B33" i="206"/>
  <c r="H32" i="206"/>
  <c r="G32" i="206"/>
  <c r="E32" i="206"/>
  <c r="B32" i="206"/>
  <c r="H31" i="206"/>
  <c r="G31" i="206"/>
  <c r="E31" i="206"/>
  <c r="B31" i="206"/>
  <c r="H30" i="206"/>
  <c r="G30" i="206"/>
  <c r="E30" i="206"/>
  <c r="B30" i="206"/>
  <c r="H29" i="206"/>
  <c r="G29" i="206"/>
  <c r="E29" i="206"/>
  <c r="B29" i="206"/>
  <c r="H28" i="206"/>
  <c r="G28" i="206"/>
  <c r="E28" i="206"/>
  <c r="B28" i="206"/>
  <c r="H27" i="206"/>
  <c r="G27" i="206"/>
  <c r="G26" i="206"/>
  <c r="H26" i="206" s="1"/>
  <c r="H23" i="206"/>
  <c r="H18" i="206"/>
  <c r="G18" i="206"/>
  <c r="E18" i="206"/>
  <c r="B18" i="206"/>
  <c r="H17" i="206"/>
  <c r="G17" i="206"/>
  <c r="E17" i="206"/>
  <c r="B17" i="206"/>
  <c r="H16" i="206"/>
  <c r="G16" i="206"/>
  <c r="E16" i="206"/>
  <c r="B16" i="206"/>
  <c r="H15" i="206"/>
  <c r="G15" i="206"/>
  <c r="E15" i="206"/>
  <c r="B15" i="206"/>
  <c r="H14" i="206"/>
  <c r="G14" i="206"/>
  <c r="E14" i="206"/>
  <c r="B14" i="206"/>
  <c r="F13" i="206"/>
  <c r="E13" i="206"/>
  <c r="B13" i="206"/>
  <c r="F5" i="206"/>
  <c r="F3" i="206"/>
  <c r="F2" i="206"/>
  <c r="D2" i="206"/>
  <c r="H23" i="205"/>
  <c r="H7" i="205"/>
  <c r="B8" i="205"/>
  <c r="A8" i="205"/>
  <c r="A62" i="205"/>
  <c r="A61" i="205"/>
  <c r="A60" i="205"/>
  <c r="A59" i="205"/>
  <c r="H49" i="205"/>
  <c r="G49" i="205"/>
  <c r="E49" i="205"/>
  <c r="B49" i="205"/>
  <c r="H48" i="205"/>
  <c r="G48" i="205"/>
  <c r="E48" i="205"/>
  <c r="B48" i="205"/>
  <c r="H47" i="205"/>
  <c r="G47" i="205"/>
  <c r="E47" i="205"/>
  <c r="B47" i="205"/>
  <c r="E46" i="205"/>
  <c r="B46" i="205"/>
  <c r="H41" i="205"/>
  <c r="G41" i="205"/>
  <c r="F41" i="205"/>
  <c r="E41" i="205"/>
  <c r="D41" i="205"/>
  <c r="B41" i="205"/>
  <c r="H40" i="205"/>
  <c r="G40" i="205"/>
  <c r="F40" i="205"/>
  <c r="E40" i="205"/>
  <c r="D40" i="205"/>
  <c r="B40" i="205"/>
  <c r="H39" i="205"/>
  <c r="G39" i="205"/>
  <c r="F39" i="205"/>
  <c r="E39" i="205"/>
  <c r="D39" i="205"/>
  <c r="B39" i="205"/>
  <c r="H38" i="205"/>
  <c r="G38" i="205"/>
  <c r="F38" i="205"/>
  <c r="E38" i="205"/>
  <c r="D38" i="205"/>
  <c r="B38" i="205"/>
  <c r="H37" i="205"/>
  <c r="G37" i="205"/>
  <c r="E37" i="205"/>
  <c r="D37" i="205"/>
  <c r="B37" i="205"/>
  <c r="H32" i="205"/>
  <c r="G32" i="205"/>
  <c r="E32" i="205"/>
  <c r="B32" i="205"/>
  <c r="H31" i="205"/>
  <c r="G31" i="205"/>
  <c r="E31" i="205"/>
  <c r="B31" i="205"/>
  <c r="H30" i="205"/>
  <c r="G30" i="205"/>
  <c r="E30" i="205"/>
  <c r="B30" i="205"/>
  <c r="H29" i="205"/>
  <c r="G29" i="205"/>
  <c r="E29" i="205"/>
  <c r="B29" i="205"/>
  <c r="H28" i="205"/>
  <c r="G28" i="205"/>
  <c r="E28" i="205"/>
  <c r="B28" i="205"/>
  <c r="H27" i="205"/>
  <c r="G27" i="205"/>
  <c r="E27" i="205"/>
  <c r="B27" i="205"/>
  <c r="H26" i="205"/>
  <c r="G26" i="205"/>
  <c r="E26" i="205"/>
  <c r="B26" i="205"/>
  <c r="H25" i="205"/>
  <c r="G25" i="205"/>
  <c r="E25" i="205"/>
  <c r="B25" i="205"/>
  <c r="H24" i="205"/>
  <c r="G24" i="205"/>
  <c r="E24" i="205"/>
  <c r="B24" i="205"/>
  <c r="H18" i="205"/>
  <c r="G18" i="205"/>
  <c r="E18" i="205"/>
  <c r="B18" i="205"/>
  <c r="H17" i="205"/>
  <c r="G17" i="205"/>
  <c r="E17" i="205"/>
  <c r="B17" i="205"/>
  <c r="H16" i="205"/>
  <c r="G16" i="205"/>
  <c r="E16" i="205"/>
  <c r="B16" i="205"/>
  <c r="H15" i="205"/>
  <c r="G15" i="205"/>
  <c r="E15" i="205"/>
  <c r="B15" i="205"/>
  <c r="H14" i="205"/>
  <c r="G14" i="205"/>
  <c r="E14" i="205"/>
  <c r="B14" i="205"/>
  <c r="F13" i="205"/>
  <c r="E13" i="205"/>
  <c r="B13" i="205"/>
  <c r="F5" i="205"/>
  <c r="F3" i="205"/>
  <c r="F2" i="205"/>
  <c r="D2" i="205"/>
  <c r="A62" i="204"/>
  <c r="A61" i="204"/>
  <c r="A60" i="204"/>
  <c r="A59" i="204"/>
  <c r="H7" i="204"/>
  <c r="B8" i="204"/>
  <c r="A8" i="204"/>
  <c r="H49" i="204"/>
  <c r="G49" i="204"/>
  <c r="E49" i="204"/>
  <c r="B49" i="204"/>
  <c r="H48" i="204"/>
  <c r="G48" i="204"/>
  <c r="E48" i="204"/>
  <c r="B48" i="204"/>
  <c r="H47" i="204"/>
  <c r="G47" i="204"/>
  <c r="E47" i="204"/>
  <c r="B47" i="204"/>
  <c r="E46" i="204"/>
  <c r="B46" i="204"/>
  <c r="H41" i="204"/>
  <c r="G41" i="204"/>
  <c r="F41" i="204"/>
  <c r="E41" i="204"/>
  <c r="D41" i="204"/>
  <c r="B41" i="204"/>
  <c r="H40" i="204"/>
  <c r="G40" i="204"/>
  <c r="F40" i="204"/>
  <c r="E40" i="204"/>
  <c r="D40" i="204"/>
  <c r="B40" i="204"/>
  <c r="G39" i="204"/>
  <c r="F39" i="204"/>
  <c r="E39" i="204"/>
  <c r="D39" i="204"/>
  <c r="B39" i="204"/>
  <c r="H38" i="204"/>
  <c r="G38" i="204"/>
  <c r="F38" i="204"/>
  <c r="E38" i="204"/>
  <c r="D38" i="204"/>
  <c r="B38" i="204"/>
  <c r="H37" i="204"/>
  <c r="E37" i="204"/>
  <c r="D37" i="204"/>
  <c r="B37" i="204"/>
  <c r="H32" i="204"/>
  <c r="G32" i="204"/>
  <c r="E32" i="204"/>
  <c r="B32" i="204"/>
  <c r="H31" i="204"/>
  <c r="G31" i="204"/>
  <c r="E31" i="204"/>
  <c r="B31" i="204"/>
  <c r="H30" i="204"/>
  <c r="G30" i="204"/>
  <c r="E30" i="204"/>
  <c r="B30" i="204"/>
  <c r="H29" i="204"/>
  <c r="G29" i="204"/>
  <c r="E29" i="204"/>
  <c r="B29" i="204"/>
  <c r="H28" i="204"/>
  <c r="G28" i="204"/>
  <c r="E28" i="204"/>
  <c r="B28" i="204"/>
  <c r="H27" i="204"/>
  <c r="G27" i="204"/>
  <c r="E27" i="204"/>
  <c r="B27" i="204"/>
  <c r="H26" i="204"/>
  <c r="G26" i="204"/>
  <c r="E26" i="204"/>
  <c r="B26" i="204"/>
  <c r="H25" i="204"/>
  <c r="H24" i="204"/>
  <c r="E23" i="204"/>
  <c r="B23" i="204"/>
  <c r="H18" i="204"/>
  <c r="G18" i="204"/>
  <c r="E18" i="204"/>
  <c r="B18" i="204"/>
  <c r="H17" i="204"/>
  <c r="G17" i="204"/>
  <c r="E17" i="204"/>
  <c r="B17" i="204"/>
  <c r="H16" i="204"/>
  <c r="G16" i="204"/>
  <c r="E16" i="204"/>
  <c r="B16" i="204"/>
  <c r="H15" i="204"/>
  <c r="G15" i="204"/>
  <c r="E15" i="204"/>
  <c r="B15" i="204"/>
  <c r="H14" i="204"/>
  <c r="G14" i="204"/>
  <c r="E14" i="204"/>
  <c r="F13" i="204"/>
  <c r="E13" i="204"/>
  <c r="B13" i="204"/>
  <c r="F5" i="204"/>
  <c r="F3" i="204"/>
  <c r="F2" i="204"/>
  <c r="D2" i="204"/>
  <c r="B25" i="203"/>
  <c r="E25" i="203"/>
  <c r="B24" i="203"/>
  <c r="E24" i="203"/>
  <c r="G24" i="203"/>
  <c r="H24" i="203" s="1"/>
  <c r="G324" i="17"/>
  <c r="H324" i="17" s="1"/>
  <c r="E324" i="17"/>
  <c r="B324" i="17"/>
  <c r="H345" i="17"/>
  <c r="G345" i="17"/>
  <c r="E345" i="17"/>
  <c r="B345" i="17"/>
  <c r="H344" i="17"/>
  <c r="G344" i="17"/>
  <c r="E344" i="17"/>
  <c r="B344" i="17"/>
  <c r="H343" i="17"/>
  <c r="G343" i="17"/>
  <c r="E343" i="17"/>
  <c r="B343" i="17"/>
  <c r="E342" i="17"/>
  <c r="B342" i="17"/>
  <c r="H337" i="17"/>
  <c r="G337" i="17"/>
  <c r="F337" i="17"/>
  <c r="E337" i="17"/>
  <c r="D337" i="17"/>
  <c r="B337" i="17"/>
  <c r="G336" i="17"/>
  <c r="F336" i="17"/>
  <c r="E336" i="17"/>
  <c r="D336" i="17"/>
  <c r="B336" i="17"/>
  <c r="G335" i="17"/>
  <c r="F335" i="17"/>
  <c r="E335" i="17"/>
  <c r="D335" i="17"/>
  <c r="B335" i="17"/>
  <c r="H330" i="17"/>
  <c r="G330" i="17"/>
  <c r="E330" i="17"/>
  <c r="B330" i="17"/>
  <c r="H329" i="17"/>
  <c r="G329" i="17"/>
  <c r="E329" i="17"/>
  <c r="B329" i="17"/>
  <c r="H328" i="17"/>
  <c r="G328" i="17"/>
  <c r="E328" i="17"/>
  <c r="B328" i="17"/>
  <c r="H327" i="17"/>
  <c r="G327" i="17"/>
  <c r="E327" i="17"/>
  <c r="B327" i="17"/>
  <c r="H326" i="17"/>
  <c r="G326" i="17"/>
  <c r="E326" i="17"/>
  <c r="B326" i="17"/>
  <c r="H325" i="17"/>
  <c r="G325" i="17"/>
  <c r="E325" i="17"/>
  <c r="B325" i="17"/>
  <c r="E323" i="17"/>
  <c r="B323" i="17"/>
  <c r="G322" i="17"/>
  <c r="H322" i="17" s="1"/>
  <c r="E322" i="17"/>
  <c r="B322" i="17"/>
  <c r="G321" i="17"/>
  <c r="H321" i="17" s="1"/>
  <c r="E321" i="17"/>
  <c r="B321" i="17"/>
  <c r="G320" i="17"/>
  <c r="H320" i="17" s="1"/>
  <c r="E320" i="17"/>
  <c r="B320" i="17"/>
  <c r="H315" i="17"/>
  <c r="G315" i="17"/>
  <c r="E315" i="17"/>
  <c r="B315" i="17"/>
  <c r="H314" i="17"/>
  <c r="G314" i="17"/>
  <c r="E314" i="17"/>
  <c r="B314" i="17"/>
  <c r="H313" i="17"/>
  <c r="G313" i="17"/>
  <c r="E313" i="17"/>
  <c r="B313" i="17"/>
  <c r="H312" i="17"/>
  <c r="G312" i="17"/>
  <c r="E312" i="17"/>
  <c r="B312" i="17"/>
  <c r="G311" i="17"/>
  <c r="H311" i="17" s="1"/>
  <c r="E311" i="17"/>
  <c r="B311" i="17"/>
  <c r="F310" i="17"/>
  <c r="E310" i="17"/>
  <c r="B310" i="17"/>
  <c r="H7" i="203"/>
  <c r="B8" i="203"/>
  <c r="A8" i="203"/>
  <c r="A62" i="203"/>
  <c r="A61" i="203"/>
  <c r="A60" i="203"/>
  <c r="A59" i="203"/>
  <c r="H49" i="203"/>
  <c r="G49" i="203"/>
  <c r="E49" i="203"/>
  <c r="B49" i="203"/>
  <c r="H48" i="203"/>
  <c r="G48" i="203"/>
  <c r="E48" i="203"/>
  <c r="B48" i="203"/>
  <c r="H47" i="203"/>
  <c r="G47" i="203"/>
  <c r="E47" i="203"/>
  <c r="B47" i="203"/>
  <c r="E46" i="203"/>
  <c r="B46" i="203"/>
  <c r="H41" i="203"/>
  <c r="G41" i="203"/>
  <c r="F41" i="203"/>
  <c r="E41" i="203"/>
  <c r="D41" i="203"/>
  <c r="B41" i="203"/>
  <c r="H40" i="203"/>
  <c r="G40" i="203"/>
  <c r="F40" i="203"/>
  <c r="E40" i="203"/>
  <c r="D40" i="203"/>
  <c r="B40" i="203"/>
  <c r="G39" i="203"/>
  <c r="F39" i="203"/>
  <c r="E39" i="203"/>
  <c r="D39" i="203"/>
  <c r="B39" i="203"/>
  <c r="H32" i="203"/>
  <c r="G32" i="203"/>
  <c r="E32" i="203"/>
  <c r="B32" i="203"/>
  <c r="H31" i="203"/>
  <c r="G31" i="203"/>
  <c r="E31" i="203"/>
  <c r="B31" i="203"/>
  <c r="H30" i="203"/>
  <c r="G30" i="203"/>
  <c r="E30" i="203"/>
  <c r="B30" i="203"/>
  <c r="H29" i="203"/>
  <c r="G29" i="203"/>
  <c r="E29" i="203"/>
  <c r="B29" i="203"/>
  <c r="H28" i="203"/>
  <c r="G28" i="203"/>
  <c r="E28" i="203"/>
  <c r="B28" i="203"/>
  <c r="H27" i="203"/>
  <c r="G27" i="203"/>
  <c r="E27" i="203"/>
  <c r="B27" i="203"/>
  <c r="H26" i="203"/>
  <c r="G26" i="203"/>
  <c r="E26" i="203"/>
  <c r="B26" i="203"/>
  <c r="E23" i="203"/>
  <c r="B23" i="203"/>
  <c r="H18" i="203"/>
  <c r="G18" i="203"/>
  <c r="E18" i="203"/>
  <c r="B18" i="203"/>
  <c r="H17" i="203"/>
  <c r="G17" i="203"/>
  <c r="E17" i="203"/>
  <c r="B17" i="203"/>
  <c r="H16" i="203"/>
  <c r="G16" i="203"/>
  <c r="E16" i="203"/>
  <c r="B16" i="203"/>
  <c r="H15" i="203"/>
  <c r="G15" i="203"/>
  <c r="E15" i="203"/>
  <c r="B15" i="203"/>
  <c r="H14" i="203"/>
  <c r="G14" i="203"/>
  <c r="E14" i="203"/>
  <c r="F13" i="203"/>
  <c r="E13" i="203"/>
  <c r="B13" i="203"/>
  <c r="F5" i="203"/>
  <c r="F3" i="203"/>
  <c r="F2" i="203"/>
  <c r="D2" i="203"/>
  <c r="A62" i="202"/>
  <c r="A61" i="202"/>
  <c r="A60" i="202"/>
  <c r="A59" i="202"/>
  <c r="H7" i="202"/>
  <c r="B8" i="202"/>
  <c r="A8" i="202"/>
  <c r="H49" i="202"/>
  <c r="G49" i="202"/>
  <c r="E49" i="202"/>
  <c r="B49" i="202"/>
  <c r="H48" i="202"/>
  <c r="G48" i="202"/>
  <c r="E48" i="202"/>
  <c r="B48" i="202"/>
  <c r="H47" i="202"/>
  <c r="G47" i="202"/>
  <c r="E47" i="202"/>
  <c r="B47" i="202"/>
  <c r="E46" i="202"/>
  <c r="B46" i="202"/>
  <c r="H41" i="202"/>
  <c r="G41" i="202"/>
  <c r="F41" i="202"/>
  <c r="E41" i="202"/>
  <c r="D41" i="202"/>
  <c r="B41" i="202"/>
  <c r="H40" i="202"/>
  <c r="G40" i="202"/>
  <c r="F40" i="202"/>
  <c r="E40" i="202"/>
  <c r="D40" i="202"/>
  <c r="B40" i="202"/>
  <c r="G39" i="202"/>
  <c r="F39" i="202"/>
  <c r="E39" i="202"/>
  <c r="D39" i="202"/>
  <c r="B39" i="202"/>
  <c r="H38" i="202"/>
  <c r="G38" i="202"/>
  <c r="F38" i="202"/>
  <c r="E38" i="202"/>
  <c r="D38" i="202"/>
  <c r="B38" i="202"/>
  <c r="H37" i="202"/>
  <c r="G37" i="202"/>
  <c r="F37" i="202"/>
  <c r="E37" i="202"/>
  <c r="D37" i="202"/>
  <c r="B37" i="202"/>
  <c r="H32" i="202"/>
  <c r="G32" i="202"/>
  <c r="E32" i="202"/>
  <c r="B32" i="202"/>
  <c r="H31" i="202"/>
  <c r="G31" i="202"/>
  <c r="E31" i="202"/>
  <c r="B31" i="202"/>
  <c r="H30" i="202"/>
  <c r="G30" i="202"/>
  <c r="E30" i="202"/>
  <c r="B30" i="202"/>
  <c r="H29" i="202"/>
  <c r="G29" i="202"/>
  <c r="E29" i="202"/>
  <c r="B29" i="202"/>
  <c r="H28" i="202"/>
  <c r="G28" i="202"/>
  <c r="E28" i="202"/>
  <c r="B28" i="202"/>
  <c r="H27" i="202"/>
  <c r="G27" i="202"/>
  <c r="E27" i="202"/>
  <c r="B27" i="202"/>
  <c r="H26" i="202"/>
  <c r="G26" i="202"/>
  <c r="E26" i="202"/>
  <c r="B26" i="202"/>
  <c r="E23" i="202"/>
  <c r="B23" i="202"/>
  <c r="H18" i="202"/>
  <c r="G18" i="202"/>
  <c r="E18" i="202"/>
  <c r="B18" i="202"/>
  <c r="H17" i="202"/>
  <c r="G17" i="202"/>
  <c r="E17" i="202"/>
  <c r="B17" i="202"/>
  <c r="H16" i="202"/>
  <c r="G16" i="202"/>
  <c r="E16" i="202"/>
  <c r="B16" i="202"/>
  <c r="H15" i="202"/>
  <c r="G15" i="202"/>
  <c r="E15" i="202"/>
  <c r="B15" i="202"/>
  <c r="H14" i="202"/>
  <c r="G14" i="202"/>
  <c r="E14" i="202"/>
  <c r="F13" i="202"/>
  <c r="E13" i="202"/>
  <c r="B13" i="202"/>
  <c r="F5" i="202"/>
  <c r="F3" i="202"/>
  <c r="F2" i="202"/>
  <c r="D2" i="202"/>
  <c r="A62" i="201"/>
  <c r="A61" i="201"/>
  <c r="A60" i="201"/>
  <c r="A59" i="201"/>
  <c r="H7" i="201"/>
  <c r="B8" i="201"/>
  <c r="A8" i="201"/>
  <c r="H49" i="201"/>
  <c r="G49" i="201"/>
  <c r="E49" i="201"/>
  <c r="B49" i="201"/>
  <c r="H48" i="201"/>
  <c r="G48" i="201"/>
  <c r="E48" i="201"/>
  <c r="B48" i="201"/>
  <c r="H47" i="201"/>
  <c r="G47" i="201"/>
  <c r="E47" i="201"/>
  <c r="B47" i="201"/>
  <c r="E46" i="201"/>
  <c r="B46" i="201"/>
  <c r="H41" i="201"/>
  <c r="G41" i="201"/>
  <c r="F41" i="201"/>
  <c r="E41" i="201"/>
  <c r="D41" i="201"/>
  <c r="B41" i="201"/>
  <c r="H40" i="201"/>
  <c r="G40" i="201"/>
  <c r="F40" i="201"/>
  <c r="E40" i="201"/>
  <c r="D40" i="201"/>
  <c r="B40" i="201"/>
  <c r="H39" i="201"/>
  <c r="G39" i="201"/>
  <c r="F39" i="201"/>
  <c r="E39" i="201"/>
  <c r="D39" i="201"/>
  <c r="B39" i="201"/>
  <c r="H38" i="201"/>
  <c r="G38" i="201"/>
  <c r="F38" i="201"/>
  <c r="E38" i="201"/>
  <c r="D38" i="201"/>
  <c r="B38" i="201"/>
  <c r="A37" i="201"/>
  <c r="B37" i="201" s="1"/>
  <c r="H32" i="201"/>
  <c r="G32" i="201"/>
  <c r="E32" i="201"/>
  <c r="B32" i="201"/>
  <c r="H31" i="201"/>
  <c r="G31" i="201"/>
  <c r="E31" i="201"/>
  <c r="B31" i="201"/>
  <c r="H30" i="201"/>
  <c r="G30" i="201"/>
  <c r="E30" i="201"/>
  <c r="B30" i="201"/>
  <c r="H29" i="201"/>
  <c r="G29" i="201"/>
  <c r="E29" i="201"/>
  <c r="B29" i="201"/>
  <c r="H28" i="201"/>
  <c r="G28" i="201"/>
  <c r="E28" i="201"/>
  <c r="B28" i="201"/>
  <c r="H27" i="201"/>
  <c r="G27" i="201"/>
  <c r="E27" i="201"/>
  <c r="B27" i="201"/>
  <c r="H26" i="201"/>
  <c r="G26" i="201"/>
  <c r="E26" i="201"/>
  <c r="B26" i="201"/>
  <c r="H25" i="201"/>
  <c r="G25" i="201"/>
  <c r="E25" i="201"/>
  <c r="B25" i="201"/>
  <c r="H24" i="201"/>
  <c r="G24" i="201"/>
  <c r="E24" i="201"/>
  <c r="B24" i="201"/>
  <c r="G23" i="201"/>
  <c r="H23" i="201" s="1"/>
  <c r="E23" i="201"/>
  <c r="B23" i="201"/>
  <c r="H18" i="201"/>
  <c r="G18" i="201"/>
  <c r="E18" i="201"/>
  <c r="B18" i="201"/>
  <c r="H17" i="201"/>
  <c r="G17" i="201"/>
  <c r="E17" i="201"/>
  <c r="B17" i="201"/>
  <c r="H16" i="201"/>
  <c r="G16" i="201"/>
  <c r="E16" i="201"/>
  <c r="B16" i="201"/>
  <c r="H15" i="201"/>
  <c r="G15" i="201"/>
  <c r="E15" i="201"/>
  <c r="B15" i="201"/>
  <c r="E14" i="201"/>
  <c r="B14" i="201"/>
  <c r="F13" i="201"/>
  <c r="E13" i="201"/>
  <c r="B13" i="201"/>
  <c r="F5" i="201"/>
  <c r="F3" i="201"/>
  <c r="F2" i="201"/>
  <c r="D2" i="201"/>
  <c r="A62" i="200"/>
  <c r="A61" i="200"/>
  <c r="A60" i="200"/>
  <c r="A59" i="200"/>
  <c r="A62" i="199"/>
  <c r="A61" i="199"/>
  <c r="A60" i="199"/>
  <c r="A59" i="199"/>
  <c r="H7" i="200"/>
  <c r="B8" i="200"/>
  <c r="A8" i="200"/>
  <c r="H49" i="200"/>
  <c r="G49" i="200"/>
  <c r="E49" i="200"/>
  <c r="B49" i="200"/>
  <c r="H48" i="200"/>
  <c r="G48" i="200"/>
  <c r="E48" i="200"/>
  <c r="B48" i="200"/>
  <c r="H47" i="200"/>
  <c r="G47" i="200"/>
  <c r="E47" i="200"/>
  <c r="B47" i="200"/>
  <c r="E46" i="200"/>
  <c r="B46" i="200"/>
  <c r="H41" i="200"/>
  <c r="G41" i="200"/>
  <c r="F41" i="200"/>
  <c r="E41" i="200"/>
  <c r="D41" i="200"/>
  <c r="B41" i="200"/>
  <c r="H40" i="200"/>
  <c r="G40" i="200"/>
  <c r="F40" i="200"/>
  <c r="E40" i="200"/>
  <c r="D40" i="200"/>
  <c r="B40" i="200"/>
  <c r="H39" i="200"/>
  <c r="G39" i="200"/>
  <c r="F39" i="200"/>
  <c r="E39" i="200"/>
  <c r="D39" i="200"/>
  <c r="B39" i="200"/>
  <c r="H38" i="200"/>
  <c r="G38" i="200"/>
  <c r="F38" i="200"/>
  <c r="E38" i="200"/>
  <c r="D38" i="200"/>
  <c r="B38" i="200"/>
  <c r="H37" i="200"/>
  <c r="G37" i="200"/>
  <c r="E37" i="200"/>
  <c r="D37" i="200"/>
  <c r="B37" i="200"/>
  <c r="H32" i="200"/>
  <c r="G32" i="200"/>
  <c r="E32" i="200"/>
  <c r="B32" i="200"/>
  <c r="H31" i="200"/>
  <c r="G31" i="200"/>
  <c r="E31" i="200"/>
  <c r="B31" i="200"/>
  <c r="H30" i="200"/>
  <c r="G30" i="200"/>
  <c r="E30" i="200"/>
  <c r="B30" i="200"/>
  <c r="H29" i="200"/>
  <c r="G29" i="200"/>
  <c r="E29" i="200"/>
  <c r="B29" i="200"/>
  <c r="H28" i="200"/>
  <c r="G28" i="200"/>
  <c r="E28" i="200"/>
  <c r="B28" i="200"/>
  <c r="H27" i="200"/>
  <c r="G27" i="200"/>
  <c r="E27" i="200"/>
  <c r="B27" i="200"/>
  <c r="H26" i="200"/>
  <c r="G26" i="200"/>
  <c r="E26" i="200"/>
  <c r="B26" i="200"/>
  <c r="H25" i="200"/>
  <c r="G25" i="200"/>
  <c r="E25" i="200"/>
  <c r="B25" i="200"/>
  <c r="H24" i="200"/>
  <c r="G24" i="200"/>
  <c r="E24" i="200"/>
  <c r="B24" i="200"/>
  <c r="H23" i="200"/>
  <c r="G23" i="200"/>
  <c r="E23" i="200"/>
  <c r="B23" i="200"/>
  <c r="H18" i="200"/>
  <c r="G18" i="200"/>
  <c r="E18" i="200"/>
  <c r="B18" i="200"/>
  <c r="H17" i="200"/>
  <c r="G17" i="200"/>
  <c r="E17" i="200"/>
  <c r="B17" i="200"/>
  <c r="H16" i="200"/>
  <c r="G16" i="200"/>
  <c r="E16" i="200"/>
  <c r="B16" i="200"/>
  <c r="H15" i="200"/>
  <c r="G15" i="200"/>
  <c r="E15" i="200"/>
  <c r="B15" i="200"/>
  <c r="H14" i="200"/>
  <c r="G14" i="200"/>
  <c r="E14" i="200"/>
  <c r="B14" i="200"/>
  <c r="F13" i="200"/>
  <c r="E13" i="200"/>
  <c r="B13" i="200"/>
  <c r="F5" i="200"/>
  <c r="F3" i="200"/>
  <c r="F2" i="200"/>
  <c r="D2" i="200"/>
  <c r="H49" i="199"/>
  <c r="G49" i="199"/>
  <c r="E49" i="199"/>
  <c r="B49" i="199"/>
  <c r="H48" i="199"/>
  <c r="G48" i="199"/>
  <c r="E48" i="199"/>
  <c r="B48" i="199"/>
  <c r="H47" i="199"/>
  <c r="G47" i="199"/>
  <c r="E47" i="199"/>
  <c r="B47" i="199"/>
  <c r="G46" i="199"/>
  <c r="F46" i="199"/>
  <c r="E46" i="199"/>
  <c r="B46" i="199"/>
  <c r="H41" i="199"/>
  <c r="G41" i="199"/>
  <c r="F41" i="199"/>
  <c r="E41" i="199"/>
  <c r="D41" i="199"/>
  <c r="B41" i="199"/>
  <c r="H40" i="199"/>
  <c r="G40" i="199"/>
  <c r="F40" i="199"/>
  <c r="E40" i="199"/>
  <c r="D40" i="199"/>
  <c r="B40" i="199"/>
  <c r="H39" i="199"/>
  <c r="G39" i="199"/>
  <c r="F39" i="199"/>
  <c r="E39" i="199"/>
  <c r="D39" i="199"/>
  <c r="B39" i="199"/>
  <c r="H38" i="199"/>
  <c r="G38" i="199"/>
  <c r="F38" i="199"/>
  <c r="E38" i="199"/>
  <c r="D38" i="199"/>
  <c r="B38" i="199"/>
  <c r="H32" i="199"/>
  <c r="G32" i="199"/>
  <c r="E32" i="199"/>
  <c r="B32" i="199"/>
  <c r="H31" i="199"/>
  <c r="G31" i="199"/>
  <c r="E31" i="199"/>
  <c r="B31" i="199"/>
  <c r="H30" i="199"/>
  <c r="G30" i="199"/>
  <c r="E30" i="199"/>
  <c r="B30" i="199"/>
  <c r="H29" i="199"/>
  <c r="G29" i="199"/>
  <c r="E29" i="199"/>
  <c r="B29" i="199"/>
  <c r="H28" i="199"/>
  <c r="G28" i="199"/>
  <c r="E28" i="199"/>
  <c r="B28" i="199"/>
  <c r="H27" i="199"/>
  <c r="G27" i="199"/>
  <c r="E27" i="199"/>
  <c r="B27" i="199"/>
  <c r="H26" i="199"/>
  <c r="G26" i="199"/>
  <c r="E26" i="199"/>
  <c r="B26" i="199"/>
  <c r="H25" i="199"/>
  <c r="G25" i="199"/>
  <c r="E25" i="199"/>
  <c r="B25" i="199"/>
  <c r="G24" i="199"/>
  <c r="H24" i="199" s="1"/>
  <c r="E24" i="199"/>
  <c r="B24" i="199"/>
  <c r="G23" i="199"/>
  <c r="H23" i="199" s="1"/>
  <c r="E23" i="199"/>
  <c r="B23" i="199"/>
  <c r="H18" i="199"/>
  <c r="G18" i="199"/>
  <c r="E18" i="199"/>
  <c r="B18" i="199"/>
  <c r="H17" i="199"/>
  <c r="G17" i="199"/>
  <c r="E17" i="199"/>
  <c r="B17" i="199"/>
  <c r="H16" i="199"/>
  <c r="G16" i="199"/>
  <c r="E16" i="199"/>
  <c r="B16" i="199"/>
  <c r="H15" i="199"/>
  <c r="G15" i="199"/>
  <c r="E15" i="199"/>
  <c r="B15" i="199"/>
  <c r="G14" i="199"/>
  <c r="H14" i="199" s="1"/>
  <c r="E14" i="199"/>
  <c r="B14" i="199"/>
  <c r="F13" i="199"/>
  <c r="E13" i="199"/>
  <c r="B13" i="199"/>
  <c r="H7" i="199"/>
  <c r="F5" i="199"/>
  <c r="F3" i="199"/>
  <c r="F2" i="199"/>
  <c r="D2" i="199"/>
  <c r="A62" i="198"/>
  <c r="A61" i="198"/>
  <c r="A60" i="198"/>
  <c r="A59" i="198"/>
  <c r="A62" i="197"/>
  <c r="A61" i="197"/>
  <c r="A60" i="197"/>
  <c r="A59" i="197"/>
  <c r="H7" i="198"/>
  <c r="B8" i="198"/>
  <c r="A8" i="198"/>
  <c r="H49" i="198"/>
  <c r="G49" i="198"/>
  <c r="E49" i="198"/>
  <c r="B49" i="198"/>
  <c r="H48" i="198"/>
  <c r="G48" i="198"/>
  <c r="E48" i="198"/>
  <c r="B48" i="198"/>
  <c r="H47" i="198"/>
  <c r="G47" i="198"/>
  <c r="E47" i="198"/>
  <c r="B47" i="198"/>
  <c r="E46" i="198"/>
  <c r="B46" i="198"/>
  <c r="H41" i="198"/>
  <c r="G41" i="198"/>
  <c r="F41" i="198"/>
  <c r="E41" i="198"/>
  <c r="D41" i="198"/>
  <c r="B41" i="198"/>
  <c r="H40" i="198"/>
  <c r="G40" i="198"/>
  <c r="F40" i="198"/>
  <c r="E40" i="198"/>
  <c r="D40" i="198"/>
  <c r="B40" i="198"/>
  <c r="H39" i="198"/>
  <c r="G39" i="198"/>
  <c r="F39" i="198"/>
  <c r="E39" i="198"/>
  <c r="D39" i="198"/>
  <c r="B39" i="198"/>
  <c r="H38" i="198"/>
  <c r="G38" i="198"/>
  <c r="F38" i="198"/>
  <c r="E38" i="198"/>
  <c r="D38" i="198"/>
  <c r="B38" i="198"/>
  <c r="H37" i="198"/>
  <c r="G37" i="198"/>
  <c r="E37" i="198"/>
  <c r="D37" i="198"/>
  <c r="B37" i="198"/>
  <c r="H32" i="198"/>
  <c r="G32" i="198"/>
  <c r="E32" i="198"/>
  <c r="B32" i="198"/>
  <c r="H31" i="198"/>
  <c r="G31" i="198"/>
  <c r="E31" i="198"/>
  <c r="B31" i="198"/>
  <c r="H30" i="198"/>
  <c r="G30" i="198"/>
  <c r="E30" i="198"/>
  <c r="B30" i="198"/>
  <c r="H29" i="198"/>
  <c r="G29" i="198"/>
  <c r="E29" i="198"/>
  <c r="B29" i="198"/>
  <c r="H28" i="198"/>
  <c r="G28" i="198"/>
  <c r="E28" i="198"/>
  <c r="B28" i="198"/>
  <c r="H27" i="198"/>
  <c r="G27" i="198"/>
  <c r="E27" i="198"/>
  <c r="B27" i="198"/>
  <c r="H26" i="198"/>
  <c r="G26" i="198"/>
  <c r="E26" i="198"/>
  <c r="B26" i="198"/>
  <c r="H25" i="198"/>
  <c r="G25" i="198"/>
  <c r="E25" i="198"/>
  <c r="B25" i="198"/>
  <c r="H24" i="198"/>
  <c r="G24" i="198"/>
  <c r="E24" i="198"/>
  <c r="B24" i="198"/>
  <c r="H23" i="198"/>
  <c r="G23" i="198"/>
  <c r="E23" i="198"/>
  <c r="B23" i="198"/>
  <c r="H18" i="198"/>
  <c r="G18" i="198"/>
  <c r="E18" i="198"/>
  <c r="B18" i="198"/>
  <c r="H17" i="198"/>
  <c r="G17" i="198"/>
  <c r="E17" i="198"/>
  <c r="B17" i="198"/>
  <c r="H16" i="198"/>
  <c r="G16" i="198"/>
  <c r="E16" i="198"/>
  <c r="B16" i="198"/>
  <c r="H15" i="198"/>
  <c r="G15" i="198"/>
  <c r="E15" i="198"/>
  <c r="B15" i="198"/>
  <c r="E14" i="198"/>
  <c r="B14" i="198"/>
  <c r="F13" i="198"/>
  <c r="E13" i="198"/>
  <c r="B13" i="198"/>
  <c r="F5" i="198"/>
  <c r="F3" i="198"/>
  <c r="F2" i="198"/>
  <c r="D2" i="198"/>
  <c r="H7" i="197"/>
  <c r="B8" i="197"/>
  <c r="A8" i="197"/>
  <c r="H49" i="197"/>
  <c r="G49" i="197"/>
  <c r="E49" i="197"/>
  <c r="B49" i="197"/>
  <c r="H48" i="197"/>
  <c r="G48" i="197"/>
  <c r="E48" i="197"/>
  <c r="B48" i="197"/>
  <c r="H47" i="197"/>
  <c r="G47" i="197"/>
  <c r="E47" i="197"/>
  <c r="B47" i="197"/>
  <c r="E46" i="197"/>
  <c r="B46" i="197"/>
  <c r="H41" i="197"/>
  <c r="G41" i="197"/>
  <c r="F41" i="197"/>
  <c r="E41" i="197"/>
  <c r="D41" i="197"/>
  <c r="B41" i="197"/>
  <c r="H40" i="197"/>
  <c r="G40" i="197"/>
  <c r="F40" i="197"/>
  <c r="E40" i="197"/>
  <c r="D40" i="197"/>
  <c r="B40" i="197"/>
  <c r="H39" i="197"/>
  <c r="G39" i="197"/>
  <c r="F39" i="197"/>
  <c r="E39" i="197"/>
  <c r="D39" i="197"/>
  <c r="B39" i="197"/>
  <c r="H38" i="197"/>
  <c r="G38" i="197"/>
  <c r="F38" i="197"/>
  <c r="E38" i="197"/>
  <c r="D38" i="197"/>
  <c r="B38" i="197"/>
  <c r="A37" i="197"/>
  <c r="G37" i="197" s="1"/>
  <c r="H32" i="197"/>
  <c r="G32" i="197"/>
  <c r="E32" i="197"/>
  <c r="B32" i="197"/>
  <c r="H31" i="197"/>
  <c r="G31" i="197"/>
  <c r="E31" i="197"/>
  <c r="B31" i="197"/>
  <c r="H30" i="197"/>
  <c r="G30" i="197"/>
  <c r="E30" i="197"/>
  <c r="B30" i="197"/>
  <c r="H29" i="197"/>
  <c r="G29" i="197"/>
  <c r="E29" i="197"/>
  <c r="B29" i="197"/>
  <c r="H28" i="197"/>
  <c r="G28" i="197"/>
  <c r="E28" i="197"/>
  <c r="B28" i="197"/>
  <c r="H27" i="197"/>
  <c r="G27" i="197"/>
  <c r="E27" i="197"/>
  <c r="B27" i="197"/>
  <c r="H26" i="197"/>
  <c r="G26" i="197"/>
  <c r="E26" i="197"/>
  <c r="B26" i="197"/>
  <c r="E25" i="197"/>
  <c r="G24" i="197"/>
  <c r="H24" i="197" s="1"/>
  <c r="E24" i="197"/>
  <c r="H23" i="197"/>
  <c r="E23" i="197"/>
  <c r="H18" i="197"/>
  <c r="G18" i="197"/>
  <c r="E18" i="197"/>
  <c r="B18" i="197"/>
  <c r="H17" i="197"/>
  <c r="G17" i="197"/>
  <c r="E17" i="197"/>
  <c r="B17" i="197"/>
  <c r="H16" i="197"/>
  <c r="G16" i="197"/>
  <c r="E16" i="197"/>
  <c r="B16" i="197"/>
  <c r="H15" i="197"/>
  <c r="G15" i="197"/>
  <c r="E15" i="197"/>
  <c r="B15" i="197"/>
  <c r="H14" i="197"/>
  <c r="G14" i="197"/>
  <c r="E14" i="197"/>
  <c r="B14" i="197"/>
  <c r="F13" i="197"/>
  <c r="E13" i="197"/>
  <c r="B13" i="197"/>
  <c r="F5" i="197"/>
  <c r="F3" i="197"/>
  <c r="F2" i="197"/>
  <c r="D2" i="197"/>
  <c r="H24" i="196"/>
  <c r="H25" i="196"/>
  <c r="H7" i="196"/>
  <c r="B8" i="196"/>
  <c r="A8" i="196"/>
  <c r="A62" i="196"/>
  <c r="A61" i="196"/>
  <c r="A60" i="196"/>
  <c r="A59" i="196"/>
  <c r="H49" i="196"/>
  <c r="G49" i="196"/>
  <c r="E49" i="196"/>
  <c r="B49" i="196"/>
  <c r="H48" i="196"/>
  <c r="G48" i="196"/>
  <c r="E48" i="196"/>
  <c r="B48" i="196"/>
  <c r="H47" i="196"/>
  <c r="G47" i="196"/>
  <c r="E47" i="196"/>
  <c r="B47" i="196"/>
  <c r="E46" i="196"/>
  <c r="B46" i="196"/>
  <c r="H41" i="196"/>
  <c r="G41" i="196"/>
  <c r="F41" i="196"/>
  <c r="E41" i="196"/>
  <c r="D41" i="196"/>
  <c r="B41" i="196"/>
  <c r="H40" i="196"/>
  <c r="G40" i="196"/>
  <c r="F40" i="196"/>
  <c r="E40" i="196"/>
  <c r="D40" i="196"/>
  <c r="B40" i="196"/>
  <c r="H39" i="196"/>
  <c r="G39" i="196"/>
  <c r="F39" i="196"/>
  <c r="E39" i="196"/>
  <c r="D39" i="196"/>
  <c r="B39" i="196"/>
  <c r="H38" i="196"/>
  <c r="G38" i="196"/>
  <c r="F38" i="196"/>
  <c r="E38" i="196"/>
  <c r="D38" i="196"/>
  <c r="B38" i="196"/>
  <c r="H32" i="196"/>
  <c r="G32" i="196"/>
  <c r="E32" i="196"/>
  <c r="B32" i="196"/>
  <c r="H31" i="196"/>
  <c r="G31" i="196"/>
  <c r="E31" i="196"/>
  <c r="B31" i="196"/>
  <c r="H30" i="196"/>
  <c r="G30" i="196"/>
  <c r="E30" i="196"/>
  <c r="B30" i="196"/>
  <c r="H29" i="196"/>
  <c r="G29" i="196"/>
  <c r="E29" i="196"/>
  <c r="B29" i="196"/>
  <c r="H28" i="196"/>
  <c r="G28" i="196"/>
  <c r="E28" i="196"/>
  <c r="B28" i="196"/>
  <c r="H27" i="196"/>
  <c r="G27" i="196"/>
  <c r="E27" i="196"/>
  <c r="B27" i="196"/>
  <c r="H26" i="196"/>
  <c r="G26" i="196"/>
  <c r="E26" i="196"/>
  <c r="B26" i="196"/>
  <c r="H23" i="196"/>
  <c r="H18" i="196"/>
  <c r="G18" i="196"/>
  <c r="E18" i="196"/>
  <c r="B18" i="196"/>
  <c r="H17" i="196"/>
  <c r="G17" i="196"/>
  <c r="E17" i="196"/>
  <c r="B17" i="196"/>
  <c r="H16" i="196"/>
  <c r="G16" i="196"/>
  <c r="E16" i="196"/>
  <c r="B16" i="196"/>
  <c r="H15" i="196"/>
  <c r="G15" i="196"/>
  <c r="E15" i="196"/>
  <c r="B15" i="196"/>
  <c r="H14" i="196"/>
  <c r="G14" i="196"/>
  <c r="E14" i="196"/>
  <c r="B14" i="196"/>
  <c r="F13" i="196"/>
  <c r="E13" i="196"/>
  <c r="B13" i="196"/>
  <c r="F5" i="196"/>
  <c r="F3" i="196"/>
  <c r="F2" i="196"/>
  <c r="D2" i="196"/>
  <c r="H7" i="194"/>
  <c r="B8" i="194"/>
  <c r="A8" i="194"/>
  <c r="A62" i="194"/>
  <c r="A61" i="194"/>
  <c r="A60" i="194"/>
  <c r="A59" i="194"/>
  <c r="H49" i="194"/>
  <c r="G49" i="194"/>
  <c r="E49" i="194"/>
  <c r="B49" i="194"/>
  <c r="H48" i="194"/>
  <c r="G48" i="194"/>
  <c r="E48" i="194"/>
  <c r="B48" i="194"/>
  <c r="H47" i="194"/>
  <c r="G47" i="194"/>
  <c r="E47" i="194"/>
  <c r="B47" i="194"/>
  <c r="E46" i="194"/>
  <c r="B46" i="194"/>
  <c r="H41" i="194"/>
  <c r="G41" i="194"/>
  <c r="F41" i="194"/>
  <c r="E41" i="194"/>
  <c r="D41" i="194"/>
  <c r="B41" i="194"/>
  <c r="H40" i="194"/>
  <c r="G40" i="194"/>
  <c r="F40" i="194"/>
  <c r="E40" i="194"/>
  <c r="D40" i="194"/>
  <c r="B40" i="194"/>
  <c r="H39" i="194"/>
  <c r="G39" i="194"/>
  <c r="F39" i="194"/>
  <c r="E39" i="194"/>
  <c r="D39" i="194"/>
  <c r="B39" i="194"/>
  <c r="H38" i="194"/>
  <c r="G38" i="194"/>
  <c r="F38" i="194"/>
  <c r="E38" i="194"/>
  <c r="D38" i="194"/>
  <c r="B38" i="194"/>
  <c r="H32" i="194"/>
  <c r="G32" i="194"/>
  <c r="E32" i="194"/>
  <c r="B32" i="194"/>
  <c r="H31" i="194"/>
  <c r="G31" i="194"/>
  <c r="E31" i="194"/>
  <c r="B31" i="194"/>
  <c r="H30" i="194"/>
  <c r="G30" i="194"/>
  <c r="E30" i="194"/>
  <c r="B30" i="194"/>
  <c r="H29" i="194"/>
  <c r="G29" i="194"/>
  <c r="E29" i="194"/>
  <c r="B29" i="194"/>
  <c r="H28" i="194"/>
  <c r="G28" i="194"/>
  <c r="E28" i="194"/>
  <c r="B28" i="194"/>
  <c r="H27" i="194"/>
  <c r="G27" i="194"/>
  <c r="E27" i="194"/>
  <c r="B27" i="194"/>
  <c r="H26" i="194"/>
  <c r="G26" i="194"/>
  <c r="E26" i="194"/>
  <c r="B26" i="194"/>
  <c r="H25" i="194"/>
  <c r="H24" i="194"/>
  <c r="H23" i="194"/>
  <c r="H18" i="194"/>
  <c r="G18" i="194"/>
  <c r="E18" i="194"/>
  <c r="B18" i="194"/>
  <c r="H17" i="194"/>
  <c r="G17" i="194"/>
  <c r="E17" i="194"/>
  <c r="B17" i="194"/>
  <c r="H16" i="194"/>
  <c r="G16" i="194"/>
  <c r="E16" i="194"/>
  <c r="B16" i="194"/>
  <c r="H15" i="194"/>
  <c r="G15" i="194"/>
  <c r="E15" i="194"/>
  <c r="B15" i="194"/>
  <c r="H14" i="194"/>
  <c r="G14" i="194"/>
  <c r="E14" i="194"/>
  <c r="B14" i="194"/>
  <c r="F13" i="194"/>
  <c r="E13" i="194"/>
  <c r="B13" i="194"/>
  <c r="F5" i="194"/>
  <c r="F3" i="194"/>
  <c r="F2" i="194"/>
  <c r="D2" i="194"/>
  <c r="H24" i="193"/>
  <c r="H25" i="193"/>
  <c r="H23" i="193"/>
  <c r="H7" i="193"/>
  <c r="B8" i="193"/>
  <c r="A8" i="193"/>
  <c r="A62" i="193"/>
  <c r="A61" i="193"/>
  <c r="A60" i="193"/>
  <c r="A59" i="193"/>
  <c r="H49" i="193"/>
  <c r="G49" i="193"/>
  <c r="E49" i="193"/>
  <c r="B49" i="193"/>
  <c r="H48" i="193"/>
  <c r="G48" i="193"/>
  <c r="E48" i="193"/>
  <c r="B48" i="193"/>
  <c r="H47" i="193"/>
  <c r="G47" i="193"/>
  <c r="E47" i="193"/>
  <c r="B47" i="193"/>
  <c r="E46" i="193"/>
  <c r="B46" i="193"/>
  <c r="H41" i="193"/>
  <c r="G41" i="193"/>
  <c r="F41" i="193"/>
  <c r="E41" i="193"/>
  <c r="D41" i="193"/>
  <c r="B41" i="193"/>
  <c r="H40" i="193"/>
  <c r="G40" i="193"/>
  <c r="F40" i="193"/>
  <c r="E40" i="193"/>
  <c r="D40" i="193"/>
  <c r="B40" i="193"/>
  <c r="H39" i="193"/>
  <c r="G39" i="193"/>
  <c r="F39" i="193"/>
  <c r="E39" i="193"/>
  <c r="D39" i="193"/>
  <c r="B39" i="193"/>
  <c r="H38" i="193"/>
  <c r="G38" i="193"/>
  <c r="F38" i="193"/>
  <c r="E38" i="193"/>
  <c r="D38" i="193"/>
  <c r="B38" i="193"/>
  <c r="H32" i="193"/>
  <c r="G32" i="193"/>
  <c r="E32" i="193"/>
  <c r="B32" i="193"/>
  <c r="H31" i="193"/>
  <c r="G31" i="193"/>
  <c r="E31" i="193"/>
  <c r="B31" i="193"/>
  <c r="H30" i="193"/>
  <c r="G30" i="193"/>
  <c r="E30" i="193"/>
  <c r="B30" i="193"/>
  <c r="H29" i="193"/>
  <c r="G29" i="193"/>
  <c r="E29" i="193"/>
  <c r="B29" i="193"/>
  <c r="H28" i="193"/>
  <c r="G28" i="193"/>
  <c r="E28" i="193"/>
  <c r="B28" i="193"/>
  <c r="H27" i="193"/>
  <c r="G27" i="193"/>
  <c r="E27" i="193"/>
  <c r="B27" i="193"/>
  <c r="H26" i="193"/>
  <c r="G26" i="193"/>
  <c r="E26" i="193"/>
  <c r="B26" i="193"/>
  <c r="H18" i="193"/>
  <c r="G18" i="193"/>
  <c r="E18" i="193"/>
  <c r="B18" i="193"/>
  <c r="H17" i="193"/>
  <c r="G17" i="193"/>
  <c r="E17" i="193"/>
  <c r="B17" i="193"/>
  <c r="H16" i="193"/>
  <c r="G16" i="193"/>
  <c r="E16" i="193"/>
  <c r="B16" i="193"/>
  <c r="H15" i="193"/>
  <c r="G15" i="193"/>
  <c r="E15" i="193"/>
  <c r="B15" i="193"/>
  <c r="H14" i="193"/>
  <c r="G14" i="193"/>
  <c r="E14" i="193"/>
  <c r="B14" i="193"/>
  <c r="F13" i="193"/>
  <c r="E13" i="193"/>
  <c r="B13" i="193"/>
  <c r="F5" i="193"/>
  <c r="F3" i="193"/>
  <c r="F2" i="193"/>
  <c r="D2" i="193"/>
  <c r="G37" i="210" l="1"/>
  <c r="G37" i="223"/>
  <c r="E37" i="201"/>
  <c r="G37" i="201"/>
  <c r="B37" i="223"/>
  <c r="E37" i="223"/>
  <c r="D37" i="201"/>
  <c r="BC96" i="240"/>
  <c r="AU96" i="240"/>
  <c r="AY96" i="240"/>
  <c r="BG96" i="240"/>
  <c r="D37" i="197"/>
  <c r="E37" i="197"/>
  <c r="F37" i="197"/>
  <c r="H42" i="235"/>
  <c r="H29" i="231"/>
  <c r="H59" i="233"/>
  <c r="H33" i="232"/>
  <c r="H42" i="232"/>
  <c r="H38" i="231"/>
  <c r="H33" i="228"/>
  <c r="H42" i="229"/>
  <c r="H33" i="229"/>
  <c r="H33" i="230"/>
  <c r="H42" i="230"/>
  <c r="H42" i="228"/>
  <c r="H50" i="227"/>
  <c r="G13" i="227" s="1"/>
  <c r="H13" i="227" s="1"/>
  <c r="H19" i="227" s="1"/>
  <c r="H42" i="227"/>
  <c r="H42" i="222"/>
  <c r="H42" i="225"/>
  <c r="H42" i="226"/>
  <c r="H42" i="224"/>
  <c r="H33" i="223"/>
  <c r="H33" i="221"/>
  <c r="H33" i="222"/>
  <c r="H42" i="221"/>
  <c r="H33" i="220"/>
  <c r="H37" i="220" s="1"/>
  <c r="H42" i="220" s="1"/>
  <c r="H33" i="219"/>
  <c r="H42" i="219"/>
  <c r="H33" i="217"/>
  <c r="H37" i="217" s="1"/>
  <c r="H42" i="217" s="1"/>
  <c r="H33" i="216"/>
  <c r="H37" i="216" s="1"/>
  <c r="H42" i="216" s="1"/>
  <c r="H36" i="213"/>
  <c r="H41" i="213" s="1"/>
  <c r="H42" i="214"/>
  <c r="H33" i="212"/>
  <c r="H37" i="212" s="1"/>
  <c r="H42" i="212" s="1"/>
  <c r="E38" i="211"/>
  <c r="H38" i="211" s="1"/>
  <c r="H43" i="211" s="1"/>
  <c r="H42" i="209"/>
  <c r="D37" i="210"/>
  <c r="E37" i="210"/>
  <c r="H43" i="207"/>
  <c r="H46" i="199"/>
  <c r="H50" i="199" s="1"/>
  <c r="G13" i="199" s="1"/>
  <c r="H13" i="199" s="1"/>
  <c r="H19" i="199" s="1"/>
  <c r="H42" i="204"/>
  <c r="H33" i="205"/>
  <c r="H42" i="205"/>
  <c r="H335" i="17"/>
  <c r="H336" i="17"/>
  <c r="H42" i="203"/>
  <c r="H42" i="202"/>
  <c r="H33" i="200"/>
  <c r="H33" i="198"/>
  <c r="H33" i="201"/>
  <c r="H42" i="199"/>
  <c r="H42" i="198"/>
  <c r="H42" i="200"/>
  <c r="H33" i="199"/>
  <c r="H33" i="196"/>
  <c r="H37" i="196" s="1"/>
  <c r="H42" i="196" s="1"/>
  <c r="H33" i="194"/>
  <c r="H37" i="194" s="1"/>
  <c r="H42" i="194" s="1"/>
  <c r="H37" i="210" l="1"/>
  <c r="H42" i="210" s="1"/>
  <c r="H37" i="223"/>
  <c r="H42" i="223" s="1"/>
  <c r="H37" i="201"/>
  <c r="H42" i="201" s="1"/>
  <c r="H37" i="197"/>
  <c r="H42" i="197" s="1"/>
  <c r="H338" i="17"/>
  <c r="H52" i="199"/>
  <c r="B24" i="192" l="1"/>
  <c r="H24" i="192"/>
  <c r="B23" i="192"/>
  <c r="H7" i="192"/>
  <c r="B8" i="192"/>
  <c r="A8" i="192"/>
  <c r="H49" i="192"/>
  <c r="G49" i="192"/>
  <c r="E49" i="192"/>
  <c r="B49" i="192"/>
  <c r="H48" i="192"/>
  <c r="G48" i="192"/>
  <c r="E48" i="192"/>
  <c r="B48" i="192"/>
  <c r="H47" i="192"/>
  <c r="G47" i="192"/>
  <c r="E47" i="192"/>
  <c r="B47" i="192"/>
  <c r="E46" i="192"/>
  <c r="B46" i="192"/>
  <c r="H41" i="192"/>
  <c r="G41" i="192"/>
  <c r="F41" i="192"/>
  <c r="E41" i="192"/>
  <c r="D41" i="192"/>
  <c r="B41" i="192"/>
  <c r="H40" i="192"/>
  <c r="G40" i="192"/>
  <c r="F40" i="192"/>
  <c r="E40" i="192"/>
  <c r="D40" i="192"/>
  <c r="B40" i="192"/>
  <c r="H39" i="192"/>
  <c r="G39" i="192"/>
  <c r="F39" i="192"/>
  <c r="E39" i="192"/>
  <c r="D39" i="192"/>
  <c r="B39" i="192"/>
  <c r="H38" i="192"/>
  <c r="G38" i="192"/>
  <c r="F38" i="192"/>
  <c r="E38" i="192"/>
  <c r="D38" i="192"/>
  <c r="B38" i="192"/>
  <c r="A37" i="192"/>
  <c r="H32" i="192"/>
  <c r="G32" i="192"/>
  <c r="E32" i="192"/>
  <c r="B32" i="192"/>
  <c r="H31" i="192"/>
  <c r="G31" i="192"/>
  <c r="E31" i="192"/>
  <c r="B31" i="192"/>
  <c r="H30" i="192"/>
  <c r="G30" i="192"/>
  <c r="E30" i="192"/>
  <c r="B30" i="192"/>
  <c r="H29" i="192"/>
  <c r="G29" i="192"/>
  <c r="E29" i="192"/>
  <c r="B29" i="192"/>
  <c r="H28" i="192"/>
  <c r="G28" i="192"/>
  <c r="E28" i="192"/>
  <c r="B28" i="192"/>
  <c r="H27" i="192"/>
  <c r="G27" i="192"/>
  <c r="E27" i="192"/>
  <c r="B27" i="192"/>
  <c r="H26" i="192"/>
  <c r="G26" i="192"/>
  <c r="E26" i="192"/>
  <c r="B26" i="192"/>
  <c r="H25" i="192"/>
  <c r="H18" i="192"/>
  <c r="G18" i="192"/>
  <c r="E18" i="192"/>
  <c r="B18" i="192"/>
  <c r="H17" i="192"/>
  <c r="G17" i="192"/>
  <c r="E17" i="192"/>
  <c r="B17" i="192"/>
  <c r="H16" i="192"/>
  <c r="G16" i="192"/>
  <c r="E16" i="192"/>
  <c r="B16" i="192"/>
  <c r="H15" i="192"/>
  <c r="G15" i="192"/>
  <c r="E15" i="192"/>
  <c r="B15" i="192"/>
  <c r="H14" i="192"/>
  <c r="G14" i="192"/>
  <c r="E14" i="192"/>
  <c r="B14" i="192"/>
  <c r="F13" i="192"/>
  <c r="E13" i="192"/>
  <c r="B13" i="192"/>
  <c r="F5" i="192"/>
  <c r="F3" i="192"/>
  <c r="F2" i="192"/>
  <c r="D2" i="192"/>
  <c r="H23" i="191"/>
  <c r="B24" i="191"/>
  <c r="H7" i="191"/>
  <c r="B8" i="191"/>
  <c r="A8" i="191"/>
  <c r="H49" i="191"/>
  <c r="G49" i="191"/>
  <c r="E49" i="191"/>
  <c r="B49" i="191"/>
  <c r="H48" i="191"/>
  <c r="G48" i="191"/>
  <c r="E48" i="191"/>
  <c r="B48" i="191"/>
  <c r="H47" i="191"/>
  <c r="G47" i="191"/>
  <c r="E47" i="191"/>
  <c r="B47" i="191"/>
  <c r="E46" i="191"/>
  <c r="B46" i="191"/>
  <c r="H41" i="191"/>
  <c r="G41" i="191"/>
  <c r="F41" i="191"/>
  <c r="E41" i="191"/>
  <c r="D41" i="191"/>
  <c r="B41" i="191"/>
  <c r="H40" i="191"/>
  <c r="G40" i="191"/>
  <c r="F40" i="191"/>
  <c r="E40" i="191"/>
  <c r="D40" i="191"/>
  <c r="B40" i="191"/>
  <c r="H39" i="191"/>
  <c r="G39" i="191"/>
  <c r="F39" i="191"/>
  <c r="E39" i="191"/>
  <c r="D39" i="191"/>
  <c r="B39" i="191"/>
  <c r="H38" i="191"/>
  <c r="G38" i="191"/>
  <c r="F38" i="191"/>
  <c r="E38" i="191"/>
  <c r="D38" i="191"/>
  <c r="B38" i="191"/>
  <c r="H32" i="191"/>
  <c r="G32" i="191"/>
  <c r="E32" i="191"/>
  <c r="B32" i="191"/>
  <c r="H31" i="191"/>
  <c r="G31" i="191"/>
  <c r="E31" i="191"/>
  <c r="B31" i="191"/>
  <c r="H30" i="191"/>
  <c r="G30" i="191"/>
  <c r="E30" i="191"/>
  <c r="B30" i="191"/>
  <c r="H29" i="191"/>
  <c r="G29" i="191"/>
  <c r="E29" i="191"/>
  <c r="B29" i="191"/>
  <c r="H28" i="191"/>
  <c r="G28" i="191"/>
  <c r="E28" i="191"/>
  <c r="B28" i="191"/>
  <c r="H27" i="191"/>
  <c r="G27" i="191"/>
  <c r="E27" i="191"/>
  <c r="B27" i="191"/>
  <c r="H26" i="191"/>
  <c r="G26" i="191"/>
  <c r="E26" i="191"/>
  <c r="B26" i="191"/>
  <c r="G25" i="191"/>
  <c r="H25" i="191" s="1"/>
  <c r="E25" i="191"/>
  <c r="H18" i="191"/>
  <c r="G18" i="191"/>
  <c r="E18" i="191"/>
  <c r="B18" i="191"/>
  <c r="H17" i="191"/>
  <c r="G17" i="191"/>
  <c r="E17" i="191"/>
  <c r="B17" i="191"/>
  <c r="H16" i="191"/>
  <c r="G16" i="191"/>
  <c r="E16" i="191"/>
  <c r="B16" i="191"/>
  <c r="H15" i="191"/>
  <c r="G15" i="191"/>
  <c r="E15" i="191"/>
  <c r="B15" i="191"/>
  <c r="H14" i="191"/>
  <c r="G14" i="191"/>
  <c r="E14" i="191"/>
  <c r="B14" i="191"/>
  <c r="F13" i="191"/>
  <c r="E13" i="191"/>
  <c r="B13" i="191"/>
  <c r="F5" i="191"/>
  <c r="F3" i="191"/>
  <c r="F2" i="191"/>
  <c r="D2" i="191"/>
  <c r="H7" i="190"/>
  <c r="B8" i="190"/>
  <c r="A8" i="190"/>
  <c r="H49" i="190"/>
  <c r="G49" i="190"/>
  <c r="E49" i="190"/>
  <c r="B49" i="190"/>
  <c r="H48" i="190"/>
  <c r="G48" i="190"/>
  <c r="E48" i="190"/>
  <c r="B48" i="190"/>
  <c r="H47" i="190"/>
  <c r="G47" i="190"/>
  <c r="E47" i="190"/>
  <c r="B47" i="190"/>
  <c r="E46" i="190"/>
  <c r="B46" i="190"/>
  <c r="H41" i="190"/>
  <c r="G41" i="190"/>
  <c r="F41" i="190"/>
  <c r="E41" i="190"/>
  <c r="D41" i="190"/>
  <c r="B41" i="190"/>
  <c r="H40" i="190"/>
  <c r="G40" i="190"/>
  <c r="F40" i="190"/>
  <c r="E40" i="190"/>
  <c r="D40" i="190"/>
  <c r="B40" i="190"/>
  <c r="H39" i="190"/>
  <c r="G39" i="190"/>
  <c r="F39" i="190"/>
  <c r="E39" i="190"/>
  <c r="D39" i="190"/>
  <c r="B39" i="190"/>
  <c r="H38" i="190"/>
  <c r="G38" i="190"/>
  <c r="F38" i="190"/>
  <c r="E38" i="190"/>
  <c r="D38" i="190"/>
  <c r="B38" i="190"/>
  <c r="A37" i="190"/>
  <c r="G37" i="190" s="1"/>
  <c r="H32" i="190"/>
  <c r="G32" i="190"/>
  <c r="E32" i="190"/>
  <c r="B32" i="190"/>
  <c r="H31" i="190"/>
  <c r="G31" i="190"/>
  <c r="E31" i="190"/>
  <c r="B31" i="190"/>
  <c r="H30" i="190"/>
  <c r="G30" i="190"/>
  <c r="E30" i="190"/>
  <c r="B30" i="190"/>
  <c r="H29" i="190"/>
  <c r="G29" i="190"/>
  <c r="E29" i="190"/>
  <c r="B29" i="190"/>
  <c r="H28" i="190"/>
  <c r="G28" i="190"/>
  <c r="E28" i="190"/>
  <c r="B28" i="190"/>
  <c r="H27" i="190"/>
  <c r="G27" i="190"/>
  <c r="E27" i="190"/>
  <c r="B27" i="190"/>
  <c r="H26" i="190"/>
  <c r="G26" i="190"/>
  <c r="E26" i="190"/>
  <c r="B26" i="190"/>
  <c r="E25" i="190"/>
  <c r="G24" i="190"/>
  <c r="H24" i="190" s="1"/>
  <c r="E24" i="190"/>
  <c r="H23" i="190"/>
  <c r="E23" i="190"/>
  <c r="H18" i="190"/>
  <c r="G18" i="190"/>
  <c r="E18" i="190"/>
  <c r="B18" i="190"/>
  <c r="H17" i="190"/>
  <c r="G17" i="190"/>
  <c r="E17" i="190"/>
  <c r="B17" i="190"/>
  <c r="H16" i="190"/>
  <c r="G16" i="190"/>
  <c r="E16" i="190"/>
  <c r="B16" i="190"/>
  <c r="H15" i="190"/>
  <c r="G15" i="190"/>
  <c r="E15" i="190"/>
  <c r="B15" i="190"/>
  <c r="H14" i="190"/>
  <c r="G14" i="190"/>
  <c r="E14" i="190"/>
  <c r="B14" i="190"/>
  <c r="F13" i="190"/>
  <c r="E13" i="190"/>
  <c r="B13" i="190"/>
  <c r="F5" i="190"/>
  <c r="F3" i="190"/>
  <c r="F2" i="190"/>
  <c r="D2" i="190"/>
  <c r="H7" i="189"/>
  <c r="B8" i="189"/>
  <c r="A8" i="189"/>
  <c r="H49" i="189"/>
  <c r="G49" i="189"/>
  <c r="E49" i="189"/>
  <c r="B49" i="189"/>
  <c r="H48" i="189"/>
  <c r="G48" i="189"/>
  <c r="E48" i="189"/>
  <c r="B48" i="189"/>
  <c r="H47" i="189"/>
  <c r="G47" i="189"/>
  <c r="E47" i="189"/>
  <c r="B47" i="189"/>
  <c r="E46" i="189"/>
  <c r="B46" i="189"/>
  <c r="H41" i="189"/>
  <c r="G41" i="189"/>
  <c r="F41" i="189"/>
  <c r="E41" i="189"/>
  <c r="D41" i="189"/>
  <c r="B41" i="189"/>
  <c r="H40" i="189"/>
  <c r="G40" i="189"/>
  <c r="F40" i="189"/>
  <c r="E40" i="189"/>
  <c r="D40" i="189"/>
  <c r="B40" i="189"/>
  <c r="H39" i="189"/>
  <c r="G39" i="189"/>
  <c r="F39" i="189"/>
  <c r="E39" i="189"/>
  <c r="D39" i="189"/>
  <c r="B39" i="189"/>
  <c r="H38" i="189"/>
  <c r="G38" i="189"/>
  <c r="F38" i="189"/>
  <c r="E38" i="189"/>
  <c r="D38" i="189"/>
  <c r="B38" i="189"/>
  <c r="A37" i="189"/>
  <c r="G37" i="189" s="1"/>
  <c r="H32" i="189"/>
  <c r="G32" i="189"/>
  <c r="E32" i="189"/>
  <c r="B32" i="189"/>
  <c r="H31" i="189"/>
  <c r="G31" i="189"/>
  <c r="E31" i="189"/>
  <c r="B31" i="189"/>
  <c r="H30" i="189"/>
  <c r="G30" i="189"/>
  <c r="E30" i="189"/>
  <c r="B30" i="189"/>
  <c r="H29" i="189"/>
  <c r="G29" i="189"/>
  <c r="E29" i="189"/>
  <c r="B29" i="189"/>
  <c r="H28" i="189"/>
  <c r="G28" i="189"/>
  <c r="E28" i="189"/>
  <c r="B28" i="189"/>
  <c r="H27" i="189"/>
  <c r="G27" i="189"/>
  <c r="E27" i="189"/>
  <c r="B27" i="189"/>
  <c r="H26" i="189"/>
  <c r="G26" i="189"/>
  <c r="E26" i="189"/>
  <c r="B26" i="189"/>
  <c r="E25" i="189"/>
  <c r="E24" i="189"/>
  <c r="E23" i="189"/>
  <c r="H18" i="189"/>
  <c r="G18" i="189"/>
  <c r="E18" i="189"/>
  <c r="B18" i="189"/>
  <c r="H17" i="189"/>
  <c r="G17" i="189"/>
  <c r="E17" i="189"/>
  <c r="B17" i="189"/>
  <c r="H16" i="189"/>
  <c r="G16" i="189"/>
  <c r="E16" i="189"/>
  <c r="B16" i="189"/>
  <c r="H15" i="189"/>
  <c r="G15" i="189"/>
  <c r="E15" i="189"/>
  <c r="B15" i="189"/>
  <c r="H14" i="189"/>
  <c r="G14" i="189"/>
  <c r="E14" i="189"/>
  <c r="B14" i="189"/>
  <c r="F13" i="189"/>
  <c r="E13" i="189"/>
  <c r="B13" i="189"/>
  <c r="F5" i="189"/>
  <c r="F3" i="189"/>
  <c r="F2" i="189"/>
  <c r="D2" i="189"/>
  <c r="F38" i="188"/>
  <c r="H7" i="188"/>
  <c r="B8" i="188"/>
  <c r="A8" i="188"/>
  <c r="H49" i="188"/>
  <c r="G49" i="188"/>
  <c r="E49" i="188"/>
  <c r="B49" i="188"/>
  <c r="H48" i="188"/>
  <c r="G48" i="188"/>
  <c r="E48" i="188"/>
  <c r="B48" i="188"/>
  <c r="H47" i="188"/>
  <c r="G47" i="188"/>
  <c r="E47" i="188"/>
  <c r="B47" i="188"/>
  <c r="E46" i="188"/>
  <c r="B46" i="188"/>
  <c r="H41" i="188"/>
  <c r="G41" i="188"/>
  <c r="F41" i="188"/>
  <c r="E41" i="188"/>
  <c r="D41" i="188"/>
  <c r="B41" i="188"/>
  <c r="H40" i="188"/>
  <c r="G40" i="188"/>
  <c r="F40" i="188"/>
  <c r="E40" i="188"/>
  <c r="D40" i="188"/>
  <c r="B40" i="188"/>
  <c r="G39" i="188"/>
  <c r="F39" i="188"/>
  <c r="E39" i="188"/>
  <c r="D39" i="188"/>
  <c r="B39" i="188"/>
  <c r="H38" i="188"/>
  <c r="G38" i="188"/>
  <c r="E38" i="188"/>
  <c r="D38" i="188"/>
  <c r="B38" i="188"/>
  <c r="H32" i="188"/>
  <c r="G32" i="188"/>
  <c r="E32" i="188"/>
  <c r="B32" i="188"/>
  <c r="H31" i="188"/>
  <c r="G31" i="188"/>
  <c r="E31" i="188"/>
  <c r="B31" i="188"/>
  <c r="H30" i="188"/>
  <c r="G30" i="188"/>
  <c r="E30" i="188"/>
  <c r="B30" i="188"/>
  <c r="H29" i="188"/>
  <c r="G29" i="188"/>
  <c r="E29" i="188"/>
  <c r="B29" i="188"/>
  <c r="H28" i="188"/>
  <c r="G28" i="188"/>
  <c r="E28" i="188"/>
  <c r="B28" i="188"/>
  <c r="H27" i="188"/>
  <c r="G27" i="188"/>
  <c r="E27" i="188"/>
  <c r="B27" i="188"/>
  <c r="H26" i="188"/>
  <c r="G26" i="188"/>
  <c r="E26" i="188"/>
  <c r="B26" i="188"/>
  <c r="H24" i="188"/>
  <c r="H23" i="188"/>
  <c r="H18" i="188"/>
  <c r="G18" i="188"/>
  <c r="E18" i="188"/>
  <c r="B18" i="188"/>
  <c r="H17" i="188"/>
  <c r="G17" i="188"/>
  <c r="E17" i="188"/>
  <c r="B17" i="188"/>
  <c r="H16" i="188"/>
  <c r="G16" i="188"/>
  <c r="E16" i="188"/>
  <c r="B16" i="188"/>
  <c r="H15" i="188"/>
  <c r="G15" i="188"/>
  <c r="E15" i="188"/>
  <c r="B15" i="188"/>
  <c r="H14" i="188"/>
  <c r="G14" i="188"/>
  <c r="E14" i="188"/>
  <c r="F13" i="188"/>
  <c r="E13" i="188"/>
  <c r="B13" i="188"/>
  <c r="F5" i="188"/>
  <c r="F3" i="188"/>
  <c r="F2" i="188"/>
  <c r="D2" i="188"/>
  <c r="H7" i="187"/>
  <c r="B8" i="187"/>
  <c r="A8" i="187"/>
  <c r="H49" i="187"/>
  <c r="G49" i="187"/>
  <c r="E49" i="187"/>
  <c r="B49" i="187"/>
  <c r="H48" i="187"/>
  <c r="G48" i="187"/>
  <c r="E48" i="187"/>
  <c r="B48" i="187"/>
  <c r="H47" i="187"/>
  <c r="G47" i="187"/>
  <c r="E47" i="187"/>
  <c r="B47" i="187"/>
  <c r="E46" i="187"/>
  <c r="B46" i="187"/>
  <c r="H41" i="187"/>
  <c r="G41" i="187"/>
  <c r="F41" i="187"/>
  <c r="E41" i="187"/>
  <c r="D41" i="187"/>
  <c r="B41" i="187"/>
  <c r="H40" i="187"/>
  <c r="G40" i="187"/>
  <c r="F40" i="187"/>
  <c r="E40" i="187"/>
  <c r="D40" i="187"/>
  <c r="B40" i="187"/>
  <c r="G39" i="187"/>
  <c r="F39" i="187"/>
  <c r="E39" i="187"/>
  <c r="D39" i="187"/>
  <c r="B39" i="187"/>
  <c r="H38" i="187"/>
  <c r="G38" i="187"/>
  <c r="F38" i="187"/>
  <c r="E38" i="187"/>
  <c r="D38" i="187"/>
  <c r="B38" i="187"/>
  <c r="H37" i="187"/>
  <c r="E37" i="187"/>
  <c r="D37" i="187"/>
  <c r="B37" i="187"/>
  <c r="H32" i="187"/>
  <c r="G32" i="187"/>
  <c r="E32" i="187"/>
  <c r="B32" i="187"/>
  <c r="H31" i="187"/>
  <c r="G31" i="187"/>
  <c r="E31" i="187"/>
  <c r="B31" i="187"/>
  <c r="H30" i="187"/>
  <c r="G30" i="187"/>
  <c r="E30" i="187"/>
  <c r="B30" i="187"/>
  <c r="H29" i="187"/>
  <c r="G29" i="187"/>
  <c r="E29" i="187"/>
  <c r="B29" i="187"/>
  <c r="H28" i="187"/>
  <c r="G28" i="187"/>
  <c r="E28" i="187"/>
  <c r="B28" i="187"/>
  <c r="H27" i="187"/>
  <c r="G27" i="187"/>
  <c r="E27" i="187"/>
  <c r="B27" i="187"/>
  <c r="H26" i="187"/>
  <c r="G26" i="187"/>
  <c r="E26" i="187"/>
  <c r="B26" i="187"/>
  <c r="H25" i="187"/>
  <c r="H24" i="187"/>
  <c r="E23" i="187"/>
  <c r="B23" i="187"/>
  <c r="H18" i="187"/>
  <c r="G18" i="187"/>
  <c r="E18" i="187"/>
  <c r="B18" i="187"/>
  <c r="H17" i="187"/>
  <c r="G17" i="187"/>
  <c r="E17" i="187"/>
  <c r="B17" i="187"/>
  <c r="H16" i="187"/>
  <c r="G16" i="187"/>
  <c r="E16" i="187"/>
  <c r="B16" i="187"/>
  <c r="H15" i="187"/>
  <c r="G15" i="187"/>
  <c r="E15" i="187"/>
  <c r="B15" i="187"/>
  <c r="H14" i="187"/>
  <c r="G14" i="187"/>
  <c r="E14" i="187"/>
  <c r="F13" i="187"/>
  <c r="E13" i="187"/>
  <c r="B13" i="187"/>
  <c r="F5" i="187"/>
  <c r="F3" i="187"/>
  <c r="F2" i="187"/>
  <c r="D2" i="187"/>
  <c r="H7" i="186"/>
  <c r="B8" i="186"/>
  <c r="A8" i="186"/>
  <c r="H49" i="186"/>
  <c r="G49" i="186"/>
  <c r="E49" i="186"/>
  <c r="B49" i="186"/>
  <c r="H48" i="186"/>
  <c r="G48" i="186"/>
  <c r="E48" i="186"/>
  <c r="B48" i="186"/>
  <c r="H47" i="186"/>
  <c r="G47" i="186"/>
  <c r="E47" i="186"/>
  <c r="B47" i="186"/>
  <c r="E46" i="186"/>
  <c r="B46" i="186"/>
  <c r="H41" i="186"/>
  <c r="G41" i="186"/>
  <c r="F41" i="186"/>
  <c r="E41" i="186"/>
  <c r="D41" i="186"/>
  <c r="B41" i="186"/>
  <c r="H40" i="186"/>
  <c r="G40" i="186"/>
  <c r="F40" i="186"/>
  <c r="E40" i="186"/>
  <c r="D40" i="186"/>
  <c r="B40" i="186"/>
  <c r="G39" i="186"/>
  <c r="F39" i="186"/>
  <c r="E39" i="186"/>
  <c r="D39" i="186"/>
  <c r="B39" i="186"/>
  <c r="H38" i="186"/>
  <c r="G38" i="186"/>
  <c r="F38" i="186"/>
  <c r="E38" i="186"/>
  <c r="D38" i="186"/>
  <c r="B38" i="186"/>
  <c r="H37" i="186"/>
  <c r="E37" i="186"/>
  <c r="D37" i="186"/>
  <c r="B37" i="186"/>
  <c r="H32" i="186"/>
  <c r="G32" i="186"/>
  <c r="E32" i="186"/>
  <c r="B32" i="186"/>
  <c r="H31" i="186"/>
  <c r="G31" i="186"/>
  <c r="E31" i="186"/>
  <c r="B31" i="186"/>
  <c r="H30" i="186"/>
  <c r="G30" i="186"/>
  <c r="E30" i="186"/>
  <c r="B30" i="186"/>
  <c r="H29" i="186"/>
  <c r="G29" i="186"/>
  <c r="E29" i="186"/>
  <c r="B29" i="186"/>
  <c r="H28" i="186"/>
  <c r="G28" i="186"/>
  <c r="E28" i="186"/>
  <c r="B28" i="186"/>
  <c r="H27" i="186"/>
  <c r="G27" i="186"/>
  <c r="E27" i="186"/>
  <c r="B27" i="186"/>
  <c r="H26" i="186"/>
  <c r="G26" i="186"/>
  <c r="E26" i="186"/>
  <c r="B26" i="186"/>
  <c r="H25" i="186"/>
  <c r="H24" i="186"/>
  <c r="E23" i="186"/>
  <c r="B23" i="186"/>
  <c r="H18" i="186"/>
  <c r="G18" i="186"/>
  <c r="E18" i="186"/>
  <c r="B18" i="186"/>
  <c r="H17" i="186"/>
  <c r="G17" i="186"/>
  <c r="E17" i="186"/>
  <c r="B17" i="186"/>
  <c r="H16" i="186"/>
  <c r="G16" i="186"/>
  <c r="E16" i="186"/>
  <c r="B16" i="186"/>
  <c r="H15" i="186"/>
  <c r="G15" i="186"/>
  <c r="E15" i="186"/>
  <c r="B15" i="186"/>
  <c r="H14" i="186"/>
  <c r="G14" i="186"/>
  <c r="E14" i="186"/>
  <c r="F13" i="186"/>
  <c r="E13" i="186"/>
  <c r="B13" i="186"/>
  <c r="F5" i="186"/>
  <c r="F3" i="186"/>
  <c r="F2" i="186"/>
  <c r="D2" i="186"/>
  <c r="H7" i="185"/>
  <c r="B8" i="185"/>
  <c r="A8" i="185"/>
  <c r="H49" i="185"/>
  <c r="G49" i="185"/>
  <c r="E49" i="185"/>
  <c r="B49" i="185"/>
  <c r="H48" i="185"/>
  <c r="G48" i="185"/>
  <c r="E48" i="185"/>
  <c r="B48" i="185"/>
  <c r="H47" i="185"/>
  <c r="G47" i="185"/>
  <c r="E47" i="185"/>
  <c r="B47" i="185"/>
  <c r="E46" i="185"/>
  <c r="B46" i="185"/>
  <c r="H41" i="185"/>
  <c r="G41" i="185"/>
  <c r="F41" i="185"/>
  <c r="E41" i="185"/>
  <c r="D41" i="185"/>
  <c r="B41" i="185"/>
  <c r="H40" i="185"/>
  <c r="G40" i="185"/>
  <c r="F40" i="185"/>
  <c r="E40" i="185"/>
  <c r="D40" i="185"/>
  <c r="B40" i="185"/>
  <c r="G39" i="185"/>
  <c r="F39" i="185"/>
  <c r="E39" i="185"/>
  <c r="D39" i="185"/>
  <c r="B39" i="185"/>
  <c r="H38" i="185"/>
  <c r="G38" i="185"/>
  <c r="F38" i="185"/>
  <c r="E38" i="185"/>
  <c r="D38" i="185"/>
  <c r="B38" i="185"/>
  <c r="H37" i="185"/>
  <c r="G37" i="185"/>
  <c r="F37" i="185"/>
  <c r="E37" i="185"/>
  <c r="D37" i="185"/>
  <c r="B37" i="185"/>
  <c r="H32" i="185"/>
  <c r="G32" i="185"/>
  <c r="E32" i="185"/>
  <c r="B32" i="185"/>
  <c r="H31" i="185"/>
  <c r="G31" i="185"/>
  <c r="E31" i="185"/>
  <c r="B31" i="185"/>
  <c r="H30" i="185"/>
  <c r="G30" i="185"/>
  <c r="E30" i="185"/>
  <c r="B30" i="185"/>
  <c r="H29" i="185"/>
  <c r="G29" i="185"/>
  <c r="E29" i="185"/>
  <c r="B29" i="185"/>
  <c r="H28" i="185"/>
  <c r="G28" i="185"/>
  <c r="E28" i="185"/>
  <c r="B28" i="185"/>
  <c r="H27" i="185"/>
  <c r="G27" i="185"/>
  <c r="E27" i="185"/>
  <c r="B27" i="185"/>
  <c r="H26" i="185"/>
  <c r="G26" i="185"/>
  <c r="E26" i="185"/>
  <c r="B26" i="185"/>
  <c r="E23" i="185"/>
  <c r="B23" i="185"/>
  <c r="H18" i="185"/>
  <c r="G18" i="185"/>
  <c r="E18" i="185"/>
  <c r="B18" i="185"/>
  <c r="H17" i="185"/>
  <c r="G17" i="185"/>
  <c r="E17" i="185"/>
  <c r="B17" i="185"/>
  <c r="H16" i="185"/>
  <c r="G16" i="185"/>
  <c r="E16" i="185"/>
  <c r="B16" i="185"/>
  <c r="H15" i="185"/>
  <c r="G15" i="185"/>
  <c r="E15" i="185"/>
  <c r="B15" i="185"/>
  <c r="H14" i="185"/>
  <c r="G14" i="185"/>
  <c r="E14" i="185"/>
  <c r="F13" i="185"/>
  <c r="E13" i="185"/>
  <c r="B13" i="185"/>
  <c r="F5" i="185"/>
  <c r="F3" i="185"/>
  <c r="F2" i="185"/>
  <c r="D2" i="185"/>
  <c r="H7" i="184"/>
  <c r="B8" i="184"/>
  <c r="A8" i="184"/>
  <c r="H49" i="184"/>
  <c r="G49" i="184"/>
  <c r="E49" i="184"/>
  <c r="B49" i="184"/>
  <c r="H48" i="184"/>
  <c r="G48" i="184"/>
  <c r="E48" i="184"/>
  <c r="B48" i="184"/>
  <c r="H47" i="184"/>
  <c r="G47" i="184"/>
  <c r="E47" i="184"/>
  <c r="B47" i="184"/>
  <c r="E46" i="184"/>
  <c r="B46" i="184"/>
  <c r="H41" i="184"/>
  <c r="G41" i="184"/>
  <c r="F41" i="184"/>
  <c r="E41" i="184"/>
  <c r="D41" i="184"/>
  <c r="B41" i="184"/>
  <c r="H40" i="184"/>
  <c r="G40" i="184"/>
  <c r="F40" i="184"/>
  <c r="E40" i="184"/>
  <c r="D40" i="184"/>
  <c r="B40" i="184"/>
  <c r="H39" i="184"/>
  <c r="G39" i="184"/>
  <c r="F39" i="184"/>
  <c r="E39" i="184"/>
  <c r="D39" i="184"/>
  <c r="B39" i="184"/>
  <c r="H38" i="184"/>
  <c r="G38" i="184"/>
  <c r="F38" i="184"/>
  <c r="E38" i="184"/>
  <c r="D38" i="184"/>
  <c r="B38" i="184"/>
  <c r="A37" i="184"/>
  <c r="G37" i="184" s="1"/>
  <c r="H32" i="184"/>
  <c r="G32" i="184"/>
  <c r="E32" i="184"/>
  <c r="B32" i="184"/>
  <c r="H31" i="184"/>
  <c r="G31" i="184"/>
  <c r="E31" i="184"/>
  <c r="B31" i="184"/>
  <c r="H30" i="184"/>
  <c r="G30" i="184"/>
  <c r="E30" i="184"/>
  <c r="B30" i="184"/>
  <c r="H29" i="184"/>
  <c r="G29" i="184"/>
  <c r="E29" i="184"/>
  <c r="B29" i="184"/>
  <c r="H28" i="184"/>
  <c r="G28" i="184"/>
  <c r="E28" i="184"/>
  <c r="B28" i="184"/>
  <c r="H27" i="184"/>
  <c r="G27" i="184"/>
  <c r="E27" i="184"/>
  <c r="B27" i="184"/>
  <c r="H26" i="184"/>
  <c r="G26" i="184"/>
  <c r="E26" i="184"/>
  <c r="B26" i="184"/>
  <c r="H25" i="184"/>
  <c r="G25" i="184"/>
  <c r="E25" i="184"/>
  <c r="B25" i="184"/>
  <c r="H24" i="184"/>
  <c r="G24" i="184"/>
  <c r="E24" i="184"/>
  <c r="B24" i="184"/>
  <c r="G23" i="184"/>
  <c r="H23" i="184" s="1"/>
  <c r="E23" i="184"/>
  <c r="B23" i="184"/>
  <c r="H18" i="184"/>
  <c r="G18" i="184"/>
  <c r="E18" i="184"/>
  <c r="B18" i="184"/>
  <c r="H17" i="184"/>
  <c r="G17" i="184"/>
  <c r="E17" i="184"/>
  <c r="B17" i="184"/>
  <c r="H16" i="184"/>
  <c r="G16" i="184"/>
  <c r="E16" i="184"/>
  <c r="B16" i="184"/>
  <c r="H15" i="184"/>
  <c r="G15" i="184"/>
  <c r="E15" i="184"/>
  <c r="B15" i="184"/>
  <c r="E14" i="184"/>
  <c r="B14" i="184"/>
  <c r="F13" i="184"/>
  <c r="E13" i="184"/>
  <c r="B13" i="184"/>
  <c r="F5" i="184"/>
  <c r="F3" i="184"/>
  <c r="F2" i="184"/>
  <c r="D2" i="184"/>
  <c r="H7" i="183"/>
  <c r="B8" i="183"/>
  <c r="A8" i="183"/>
  <c r="H49" i="183"/>
  <c r="G49" i="183"/>
  <c r="E49" i="183"/>
  <c r="B49" i="183"/>
  <c r="H48" i="183"/>
  <c r="G48" i="183"/>
  <c r="E48" i="183"/>
  <c r="B48" i="183"/>
  <c r="H47" i="183"/>
  <c r="G47" i="183"/>
  <c r="E47" i="183"/>
  <c r="B47" i="183"/>
  <c r="E46" i="183"/>
  <c r="B46" i="183"/>
  <c r="H41" i="183"/>
  <c r="G41" i="183"/>
  <c r="F41" i="183"/>
  <c r="E41" i="183"/>
  <c r="D41" i="183"/>
  <c r="B41" i="183"/>
  <c r="H40" i="183"/>
  <c r="G40" i="183"/>
  <c r="F40" i="183"/>
  <c r="E40" i="183"/>
  <c r="D40" i="183"/>
  <c r="B40" i="183"/>
  <c r="H39" i="183"/>
  <c r="G39" i="183"/>
  <c r="F39" i="183"/>
  <c r="E39" i="183"/>
  <c r="D39" i="183"/>
  <c r="B39" i="183"/>
  <c r="H38" i="183"/>
  <c r="G38" i="183"/>
  <c r="F38" i="183"/>
  <c r="E38" i="183"/>
  <c r="D38" i="183"/>
  <c r="B38" i="183"/>
  <c r="H37" i="183"/>
  <c r="G37" i="183"/>
  <c r="E37" i="183"/>
  <c r="D37" i="183"/>
  <c r="B37" i="183"/>
  <c r="H32" i="183"/>
  <c r="G32" i="183"/>
  <c r="E32" i="183"/>
  <c r="B32" i="183"/>
  <c r="H31" i="183"/>
  <c r="G31" i="183"/>
  <c r="E31" i="183"/>
  <c r="B31" i="183"/>
  <c r="H30" i="183"/>
  <c r="G30" i="183"/>
  <c r="E30" i="183"/>
  <c r="B30" i="183"/>
  <c r="H29" i="183"/>
  <c r="G29" i="183"/>
  <c r="E29" i="183"/>
  <c r="B29" i="183"/>
  <c r="H28" i="183"/>
  <c r="G28" i="183"/>
  <c r="E28" i="183"/>
  <c r="B28" i="183"/>
  <c r="H27" i="183"/>
  <c r="G27" i="183"/>
  <c r="E27" i="183"/>
  <c r="B27" i="183"/>
  <c r="H26" i="183"/>
  <c r="G26" i="183"/>
  <c r="E26" i="183"/>
  <c r="B26" i="183"/>
  <c r="H25" i="183"/>
  <c r="G25" i="183"/>
  <c r="E25" i="183"/>
  <c r="B25" i="183"/>
  <c r="H24" i="183"/>
  <c r="G24" i="183"/>
  <c r="E24" i="183"/>
  <c r="B24" i="183"/>
  <c r="H23" i="183"/>
  <c r="G23" i="183"/>
  <c r="E23" i="183"/>
  <c r="B23" i="183"/>
  <c r="H18" i="183"/>
  <c r="G18" i="183"/>
  <c r="E18" i="183"/>
  <c r="B18" i="183"/>
  <c r="H17" i="183"/>
  <c r="G17" i="183"/>
  <c r="E17" i="183"/>
  <c r="B17" i="183"/>
  <c r="H16" i="183"/>
  <c r="G16" i="183"/>
  <c r="E16" i="183"/>
  <c r="B16" i="183"/>
  <c r="H15" i="183"/>
  <c r="G15" i="183"/>
  <c r="E15" i="183"/>
  <c r="B15" i="183"/>
  <c r="H14" i="183"/>
  <c r="G14" i="183"/>
  <c r="E14" i="183"/>
  <c r="B14" i="183"/>
  <c r="F13" i="183"/>
  <c r="E13" i="183"/>
  <c r="B13" i="183"/>
  <c r="F5" i="183"/>
  <c r="F3" i="183"/>
  <c r="F2" i="183"/>
  <c r="D2" i="183"/>
  <c r="H7" i="182"/>
  <c r="B8" i="182"/>
  <c r="A8" i="182"/>
  <c r="H49" i="182"/>
  <c r="G49" i="182"/>
  <c r="E49" i="182"/>
  <c r="B49" i="182"/>
  <c r="H48" i="182"/>
  <c r="G48" i="182"/>
  <c r="E48" i="182"/>
  <c r="B48" i="182"/>
  <c r="H47" i="182"/>
  <c r="G47" i="182"/>
  <c r="E47" i="182"/>
  <c r="B47" i="182"/>
  <c r="G46" i="182"/>
  <c r="F46" i="182"/>
  <c r="E46" i="182"/>
  <c r="B46" i="182"/>
  <c r="H41" i="182"/>
  <c r="G41" i="182"/>
  <c r="F41" i="182"/>
  <c r="E41" i="182"/>
  <c r="D41" i="182"/>
  <c r="B41" i="182"/>
  <c r="H40" i="182"/>
  <c r="G40" i="182"/>
  <c r="F40" i="182"/>
  <c r="E40" i="182"/>
  <c r="D40" i="182"/>
  <c r="B40" i="182"/>
  <c r="H39" i="182"/>
  <c r="G39" i="182"/>
  <c r="F39" i="182"/>
  <c r="E39" i="182"/>
  <c r="D39" i="182"/>
  <c r="B39" i="182"/>
  <c r="H38" i="182"/>
  <c r="G38" i="182"/>
  <c r="F38" i="182"/>
  <c r="E38" i="182"/>
  <c r="D38" i="182"/>
  <c r="B38" i="182"/>
  <c r="H32" i="182"/>
  <c r="G32" i="182"/>
  <c r="E32" i="182"/>
  <c r="B32" i="182"/>
  <c r="H31" i="182"/>
  <c r="G31" i="182"/>
  <c r="E31" i="182"/>
  <c r="B31" i="182"/>
  <c r="H30" i="182"/>
  <c r="G30" i="182"/>
  <c r="E30" i="182"/>
  <c r="B30" i="182"/>
  <c r="H29" i="182"/>
  <c r="G29" i="182"/>
  <c r="E29" i="182"/>
  <c r="B29" i="182"/>
  <c r="H28" i="182"/>
  <c r="G28" i="182"/>
  <c r="E28" i="182"/>
  <c r="B28" i="182"/>
  <c r="H27" i="182"/>
  <c r="G27" i="182"/>
  <c r="E27" i="182"/>
  <c r="B27" i="182"/>
  <c r="H26" i="182"/>
  <c r="G26" i="182"/>
  <c r="E26" i="182"/>
  <c r="B26" i="182"/>
  <c r="H25" i="182"/>
  <c r="G25" i="182"/>
  <c r="E25" i="182"/>
  <c r="B25" i="182"/>
  <c r="G24" i="182"/>
  <c r="H24" i="182" s="1"/>
  <c r="E24" i="182"/>
  <c r="B24" i="182"/>
  <c r="G23" i="182"/>
  <c r="H23" i="182" s="1"/>
  <c r="E23" i="182"/>
  <c r="B23" i="182"/>
  <c r="H18" i="182"/>
  <c r="G18" i="182"/>
  <c r="E18" i="182"/>
  <c r="B18" i="182"/>
  <c r="H17" i="182"/>
  <c r="G17" i="182"/>
  <c r="E17" i="182"/>
  <c r="B17" i="182"/>
  <c r="H16" i="182"/>
  <c r="G16" i="182"/>
  <c r="E16" i="182"/>
  <c r="B16" i="182"/>
  <c r="H15" i="182"/>
  <c r="G15" i="182"/>
  <c r="E15" i="182"/>
  <c r="B15" i="182"/>
  <c r="G14" i="182"/>
  <c r="H14" i="182" s="1"/>
  <c r="E14" i="182"/>
  <c r="B14" i="182"/>
  <c r="F13" i="182"/>
  <c r="E13" i="182"/>
  <c r="B13" i="182"/>
  <c r="F5" i="182"/>
  <c r="F3" i="182"/>
  <c r="F2" i="182"/>
  <c r="D2" i="182"/>
  <c r="H7" i="181"/>
  <c r="B8" i="181"/>
  <c r="A8" i="181"/>
  <c r="H49" i="181"/>
  <c r="G49" i="181"/>
  <c r="E49" i="181"/>
  <c r="B49" i="181"/>
  <c r="H48" i="181"/>
  <c r="G48" i="181"/>
  <c r="E48" i="181"/>
  <c r="B48" i="181"/>
  <c r="H47" i="181"/>
  <c r="G47" i="181"/>
  <c r="E47" i="181"/>
  <c r="B47" i="181"/>
  <c r="E46" i="181"/>
  <c r="B46" i="181"/>
  <c r="H41" i="181"/>
  <c r="G41" i="181"/>
  <c r="F41" i="181"/>
  <c r="E41" i="181"/>
  <c r="D41" i="181"/>
  <c r="B41" i="181"/>
  <c r="H40" i="181"/>
  <c r="G40" i="181"/>
  <c r="F40" i="181"/>
  <c r="E40" i="181"/>
  <c r="D40" i="181"/>
  <c r="B40" i="181"/>
  <c r="H39" i="181"/>
  <c r="G39" i="181"/>
  <c r="F39" i="181"/>
  <c r="E39" i="181"/>
  <c r="D39" i="181"/>
  <c r="B39" i="181"/>
  <c r="H38" i="181"/>
  <c r="G38" i="181"/>
  <c r="F38" i="181"/>
  <c r="E38" i="181"/>
  <c r="D38" i="181"/>
  <c r="B38" i="181"/>
  <c r="H37" i="181"/>
  <c r="G37" i="181"/>
  <c r="E37" i="181"/>
  <c r="D37" i="181"/>
  <c r="B37" i="181"/>
  <c r="H32" i="181"/>
  <c r="G32" i="181"/>
  <c r="E32" i="181"/>
  <c r="B32" i="181"/>
  <c r="H31" i="181"/>
  <c r="G31" i="181"/>
  <c r="E31" i="181"/>
  <c r="B31" i="181"/>
  <c r="H30" i="181"/>
  <c r="G30" i="181"/>
  <c r="E30" i="181"/>
  <c r="B30" i="181"/>
  <c r="H29" i="181"/>
  <c r="G29" i="181"/>
  <c r="E29" i="181"/>
  <c r="B29" i="181"/>
  <c r="H28" i="181"/>
  <c r="G28" i="181"/>
  <c r="E28" i="181"/>
  <c r="B28" i="181"/>
  <c r="H27" i="181"/>
  <c r="G27" i="181"/>
  <c r="E27" i="181"/>
  <c r="B27" i="181"/>
  <c r="H26" i="181"/>
  <c r="G26" i="181"/>
  <c r="E26" i="181"/>
  <c r="B26" i="181"/>
  <c r="H25" i="181"/>
  <c r="G25" i="181"/>
  <c r="E25" i="181"/>
  <c r="B25" i="181"/>
  <c r="H24" i="181"/>
  <c r="G24" i="181"/>
  <c r="E24" i="181"/>
  <c r="B24" i="181"/>
  <c r="H23" i="181"/>
  <c r="G23" i="181"/>
  <c r="E23" i="181"/>
  <c r="B23" i="181"/>
  <c r="H18" i="181"/>
  <c r="G18" i="181"/>
  <c r="E18" i="181"/>
  <c r="B18" i="181"/>
  <c r="H17" i="181"/>
  <c r="G17" i="181"/>
  <c r="E17" i="181"/>
  <c r="B17" i="181"/>
  <c r="H16" i="181"/>
  <c r="G16" i="181"/>
  <c r="E16" i="181"/>
  <c r="B16" i="181"/>
  <c r="H15" i="181"/>
  <c r="G15" i="181"/>
  <c r="E15" i="181"/>
  <c r="B15" i="181"/>
  <c r="E14" i="181"/>
  <c r="B14" i="181"/>
  <c r="F13" i="181"/>
  <c r="E13" i="181"/>
  <c r="B13" i="181"/>
  <c r="F5" i="181"/>
  <c r="F3" i="181"/>
  <c r="F2" i="181"/>
  <c r="D2" i="181"/>
  <c r="H7" i="180"/>
  <c r="B8" i="180"/>
  <c r="A8" i="180"/>
  <c r="H49" i="180"/>
  <c r="G49" i="180"/>
  <c r="E49" i="180"/>
  <c r="B49" i="180"/>
  <c r="H48" i="180"/>
  <c r="G48" i="180"/>
  <c r="E48" i="180"/>
  <c r="B48" i="180"/>
  <c r="H47" i="180"/>
  <c r="G47" i="180"/>
  <c r="E47" i="180"/>
  <c r="B47" i="180"/>
  <c r="E46" i="180"/>
  <c r="B46" i="180"/>
  <c r="H41" i="180"/>
  <c r="G41" i="180"/>
  <c r="F41" i="180"/>
  <c r="E41" i="180"/>
  <c r="D41" i="180"/>
  <c r="B41" i="180"/>
  <c r="H40" i="180"/>
  <c r="G40" i="180"/>
  <c r="F40" i="180"/>
  <c r="E40" i="180"/>
  <c r="D40" i="180"/>
  <c r="B40" i="180"/>
  <c r="H39" i="180"/>
  <c r="G39" i="180"/>
  <c r="F39" i="180"/>
  <c r="E39" i="180"/>
  <c r="D39" i="180"/>
  <c r="B39" i="180"/>
  <c r="H38" i="180"/>
  <c r="G38" i="180"/>
  <c r="F38" i="180"/>
  <c r="E38" i="180"/>
  <c r="D38" i="180"/>
  <c r="B38" i="180"/>
  <c r="A37" i="180"/>
  <c r="G37" i="180" s="1"/>
  <c r="H32" i="180"/>
  <c r="G32" i="180"/>
  <c r="E32" i="180"/>
  <c r="B32" i="180"/>
  <c r="H31" i="180"/>
  <c r="G31" i="180"/>
  <c r="E31" i="180"/>
  <c r="B31" i="180"/>
  <c r="H30" i="180"/>
  <c r="G30" i="180"/>
  <c r="E30" i="180"/>
  <c r="B30" i="180"/>
  <c r="H29" i="180"/>
  <c r="G29" i="180"/>
  <c r="E29" i="180"/>
  <c r="B29" i="180"/>
  <c r="H28" i="180"/>
  <c r="G28" i="180"/>
  <c r="E28" i="180"/>
  <c r="B28" i="180"/>
  <c r="H27" i="180"/>
  <c r="G27" i="180"/>
  <c r="E27" i="180"/>
  <c r="B27" i="180"/>
  <c r="H26" i="180"/>
  <c r="G26" i="180"/>
  <c r="E26" i="180"/>
  <c r="B26" i="180"/>
  <c r="E25" i="180"/>
  <c r="E24" i="180"/>
  <c r="E23" i="180"/>
  <c r="H18" i="180"/>
  <c r="G18" i="180"/>
  <c r="E18" i="180"/>
  <c r="B18" i="180"/>
  <c r="H17" i="180"/>
  <c r="G17" i="180"/>
  <c r="E17" i="180"/>
  <c r="B17" i="180"/>
  <c r="H16" i="180"/>
  <c r="G16" i="180"/>
  <c r="E16" i="180"/>
  <c r="B16" i="180"/>
  <c r="H15" i="180"/>
  <c r="G15" i="180"/>
  <c r="E15" i="180"/>
  <c r="B15" i="180"/>
  <c r="H14" i="180"/>
  <c r="G14" i="180"/>
  <c r="E14" i="180"/>
  <c r="B14" i="180"/>
  <c r="F13" i="180"/>
  <c r="E13" i="180"/>
  <c r="B13" i="180"/>
  <c r="F5" i="180"/>
  <c r="F3" i="180"/>
  <c r="F2" i="180"/>
  <c r="D2" i="180"/>
  <c r="H24" i="179"/>
  <c r="H7" i="179"/>
  <c r="B8" i="179"/>
  <c r="A8" i="179"/>
  <c r="H49" i="179"/>
  <c r="G49" i="179"/>
  <c r="E49" i="179"/>
  <c r="B49" i="179"/>
  <c r="H48" i="179"/>
  <c r="G48" i="179"/>
  <c r="E48" i="179"/>
  <c r="B48" i="179"/>
  <c r="H47" i="179"/>
  <c r="G47" i="179"/>
  <c r="E47" i="179"/>
  <c r="B47" i="179"/>
  <c r="E46" i="179"/>
  <c r="B46" i="179"/>
  <c r="H41" i="179"/>
  <c r="G41" i="179"/>
  <c r="F41" i="179"/>
  <c r="E41" i="179"/>
  <c r="D41" i="179"/>
  <c r="B41" i="179"/>
  <c r="H40" i="179"/>
  <c r="G40" i="179"/>
  <c r="F40" i="179"/>
  <c r="E40" i="179"/>
  <c r="D40" i="179"/>
  <c r="B40" i="179"/>
  <c r="G39" i="179"/>
  <c r="F39" i="179"/>
  <c r="E39" i="179"/>
  <c r="D39" i="179"/>
  <c r="B39" i="179"/>
  <c r="H38" i="179"/>
  <c r="G38" i="179"/>
  <c r="F38" i="179"/>
  <c r="E38" i="179"/>
  <c r="D38" i="179"/>
  <c r="B38" i="179"/>
  <c r="H32" i="179"/>
  <c r="G32" i="179"/>
  <c r="E32" i="179"/>
  <c r="B32" i="179"/>
  <c r="H31" i="179"/>
  <c r="G31" i="179"/>
  <c r="E31" i="179"/>
  <c r="B31" i="179"/>
  <c r="H30" i="179"/>
  <c r="G30" i="179"/>
  <c r="E30" i="179"/>
  <c r="B30" i="179"/>
  <c r="H29" i="179"/>
  <c r="G29" i="179"/>
  <c r="E29" i="179"/>
  <c r="B29" i="179"/>
  <c r="H28" i="179"/>
  <c r="G28" i="179"/>
  <c r="E28" i="179"/>
  <c r="B28" i="179"/>
  <c r="H27" i="179"/>
  <c r="G27" i="179"/>
  <c r="E27" i="179"/>
  <c r="B27" i="179"/>
  <c r="H26" i="179"/>
  <c r="G26" i="179"/>
  <c r="E26" i="179"/>
  <c r="B26" i="179"/>
  <c r="H23" i="179"/>
  <c r="H18" i="179"/>
  <c r="G18" i="179"/>
  <c r="E18" i="179"/>
  <c r="B18" i="179"/>
  <c r="H17" i="179"/>
  <c r="G17" i="179"/>
  <c r="E17" i="179"/>
  <c r="B17" i="179"/>
  <c r="H16" i="179"/>
  <c r="G16" i="179"/>
  <c r="E16" i="179"/>
  <c r="B16" i="179"/>
  <c r="H15" i="179"/>
  <c r="G15" i="179"/>
  <c r="E15" i="179"/>
  <c r="B15" i="179"/>
  <c r="H14" i="179"/>
  <c r="G14" i="179"/>
  <c r="E14" i="179"/>
  <c r="F13" i="179"/>
  <c r="E13" i="179"/>
  <c r="B13" i="179"/>
  <c r="F5" i="179"/>
  <c r="F3" i="179"/>
  <c r="F2" i="179"/>
  <c r="D2" i="179"/>
  <c r="H7" i="178"/>
  <c r="B8" i="178"/>
  <c r="A8" i="178"/>
  <c r="H49" i="178"/>
  <c r="G49" i="178"/>
  <c r="E49" i="178"/>
  <c r="B49" i="178"/>
  <c r="H48" i="178"/>
  <c r="G48" i="178"/>
  <c r="E48" i="178"/>
  <c r="B48" i="178"/>
  <c r="H47" i="178"/>
  <c r="G47" i="178"/>
  <c r="E47" i="178"/>
  <c r="B47" i="178"/>
  <c r="E46" i="178"/>
  <c r="B46" i="178"/>
  <c r="H41" i="178"/>
  <c r="G41" i="178"/>
  <c r="F41" i="178"/>
  <c r="E41" i="178"/>
  <c r="D41" i="178"/>
  <c r="B41" i="178"/>
  <c r="H40" i="178"/>
  <c r="G40" i="178"/>
  <c r="F40" i="178"/>
  <c r="E40" i="178"/>
  <c r="D40" i="178"/>
  <c r="B40" i="178"/>
  <c r="G39" i="178"/>
  <c r="F39" i="178"/>
  <c r="E39" i="178"/>
  <c r="D39" i="178"/>
  <c r="B39" i="178"/>
  <c r="H38" i="178"/>
  <c r="G38" i="178"/>
  <c r="F38" i="178"/>
  <c r="E38" i="178"/>
  <c r="D38" i="178"/>
  <c r="B38" i="178"/>
  <c r="H32" i="178"/>
  <c r="G32" i="178"/>
  <c r="E32" i="178"/>
  <c r="B32" i="178"/>
  <c r="H31" i="178"/>
  <c r="G31" i="178"/>
  <c r="E31" i="178"/>
  <c r="B31" i="178"/>
  <c r="H30" i="178"/>
  <c r="G30" i="178"/>
  <c r="E30" i="178"/>
  <c r="B30" i="178"/>
  <c r="H29" i="178"/>
  <c r="G29" i="178"/>
  <c r="E29" i="178"/>
  <c r="B29" i="178"/>
  <c r="H28" i="178"/>
  <c r="G28" i="178"/>
  <c r="E28" i="178"/>
  <c r="B28" i="178"/>
  <c r="H27" i="178"/>
  <c r="G27" i="178"/>
  <c r="E27" i="178"/>
  <c r="B27" i="178"/>
  <c r="H26" i="178"/>
  <c r="G26" i="178"/>
  <c r="E26" i="178"/>
  <c r="B26" i="178"/>
  <c r="H24" i="178"/>
  <c r="G24" i="178"/>
  <c r="E24" i="178"/>
  <c r="B24" i="178"/>
  <c r="H23" i="178"/>
  <c r="H18" i="178"/>
  <c r="G18" i="178"/>
  <c r="E18" i="178"/>
  <c r="B18" i="178"/>
  <c r="H17" i="178"/>
  <c r="G17" i="178"/>
  <c r="E17" i="178"/>
  <c r="B17" i="178"/>
  <c r="H16" i="178"/>
  <c r="G16" i="178"/>
  <c r="E16" i="178"/>
  <c r="B16" i="178"/>
  <c r="H15" i="178"/>
  <c r="G15" i="178"/>
  <c r="E15" i="178"/>
  <c r="B15" i="178"/>
  <c r="H14" i="178"/>
  <c r="G14" i="178"/>
  <c r="E14" i="178"/>
  <c r="F13" i="178"/>
  <c r="E13" i="178"/>
  <c r="B13" i="178"/>
  <c r="F5" i="178"/>
  <c r="F3" i="178"/>
  <c r="F2" i="178"/>
  <c r="D2" i="178"/>
  <c r="H7" i="177"/>
  <c r="B8" i="177"/>
  <c r="H49" i="177"/>
  <c r="G49" i="177"/>
  <c r="E49" i="177"/>
  <c r="B49" i="177"/>
  <c r="H48" i="177"/>
  <c r="G48" i="177"/>
  <c r="E48" i="177"/>
  <c r="B48" i="177"/>
  <c r="H47" i="177"/>
  <c r="G47" i="177"/>
  <c r="E47" i="177"/>
  <c r="B47" i="177"/>
  <c r="E46" i="177"/>
  <c r="B46" i="177"/>
  <c r="H41" i="177"/>
  <c r="G41" i="177"/>
  <c r="F41" i="177"/>
  <c r="E41" i="177"/>
  <c r="D41" i="177"/>
  <c r="B41" i="177"/>
  <c r="H40" i="177"/>
  <c r="G40" i="177"/>
  <c r="F40" i="177"/>
  <c r="E40" i="177"/>
  <c r="D40" i="177"/>
  <c r="B40" i="177"/>
  <c r="G39" i="177"/>
  <c r="F39" i="177"/>
  <c r="E39" i="177"/>
  <c r="D39" i="177"/>
  <c r="B39" i="177"/>
  <c r="H38" i="177"/>
  <c r="G38" i="177"/>
  <c r="F38" i="177"/>
  <c r="E38" i="177"/>
  <c r="D38" i="177"/>
  <c r="B38" i="177"/>
  <c r="H32" i="177"/>
  <c r="G32" i="177"/>
  <c r="E32" i="177"/>
  <c r="B32" i="177"/>
  <c r="H31" i="177"/>
  <c r="G31" i="177"/>
  <c r="E31" i="177"/>
  <c r="B31" i="177"/>
  <c r="H30" i="177"/>
  <c r="G30" i="177"/>
  <c r="E30" i="177"/>
  <c r="B30" i="177"/>
  <c r="H29" i="177"/>
  <c r="G29" i="177"/>
  <c r="E29" i="177"/>
  <c r="B29" i="177"/>
  <c r="H28" i="177"/>
  <c r="G28" i="177"/>
  <c r="E28" i="177"/>
  <c r="B28" i="177"/>
  <c r="H27" i="177"/>
  <c r="G27" i="177"/>
  <c r="E27" i="177"/>
  <c r="B27" i="177"/>
  <c r="H26" i="177"/>
  <c r="G26" i="177"/>
  <c r="E26" i="177"/>
  <c r="B26" i="177"/>
  <c r="H23" i="177"/>
  <c r="H18" i="177"/>
  <c r="G18" i="177"/>
  <c r="E18" i="177"/>
  <c r="B18" i="177"/>
  <c r="H17" i="177"/>
  <c r="G17" i="177"/>
  <c r="E17" i="177"/>
  <c r="B17" i="177"/>
  <c r="H16" i="177"/>
  <c r="G16" i="177"/>
  <c r="E16" i="177"/>
  <c r="B16" i="177"/>
  <c r="H15" i="177"/>
  <c r="G15" i="177"/>
  <c r="E15" i="177"/>
  <c r="B15" i="177"/>
  <c r="H14" i="177"/>
  <c r="G14" i="177"/>
  <c r="E14" i="177"/>
  <c r="F13" i="177"/>
  <c r="E13" i="177"/>
  <c r="B13" i="177"/>
  <c r="F5" i="177"/>
  <c r="F3" i="177"/>
  <c r="F2" i="177"/>
  <c r="D2" i="177"/>
  <c r="D37" i="190" l="1"/>
  <c r="E37" i="190"/>
  <c r="D37" i="189"/>
  <c r="E37" i="189"/>
  <c r="E37" i="180"/>
  <c r="D37" i="184"/>
  <c r="D37" i="180"/>
  <c r="B37" i="184"/>
  <c r="H33" i="184"/>
  <c r="H33" i="183"/>
  <c r="H33" i="181"/>
  <c r="H33" i="178"/>
  <c r="H37" i="178" s="1"/>
  <c r="H42" i="178" s="1"/>
  <c r="H42" i="192"/>
  <c r="F37" i="190"/>
  <c r="F37" i="189"/>
  <c r="H33" i="188"/>
  <c r="H37" i="188" s="1"/>
  <c r="H42" i="188" s="1"/>
  <c r="H42" i="186"/>
  <c r="H42" i="187"/>
  <c r="H42" i="185"/>
  <c r="H42" i="182"/>
  <c r="E37" i="184"/>
  <c r="H37" i="184" s="1"/>
  <c r="H42" i="184" s="1"/>
  <c r="H42" i="183"/>
  <c r="H33" i="182"/>
  <c r="H46" i="182"/>
  <c r="H50" i="182" s="1"/>
  <c r="G13" i="182" s="1"/>
  <c r="H13" i="182" s="1"/>
  <c r="H19" i="182" s="1"/>
  <c r="H42" i="181"/>
  <c r="F37" i="180"/>
  <c r="H33" i="179"/>
  <c r="H37" i="179" s="1"/>
  <c r="H42" i="179" s="1"/>
  <c r="H42" i="177"/>
  <c r="H33" i="177"/>
  <c r="H37" i="190" l="1"/>
  <c r="H42" i="190" s="1"/>
  <c r="H37" i="180"/>
  <c r="H42" i="180" s="1"/>
  <c r="H37" i="189"/>
  <c r="H42" i="189" s="1"/>
  <c r="H52" i="182"/>
  <c r="H23" i="176" l="1"/>
  <c r="G24" i="176"/>
  <c r="H24" i="176" s="1"/>
  <c r="H7" i="176"/>
  <c r="B8" i="176"/>
  <c r="A8" i="176"/>
  <c r="H49" i="176"/>
  <c r="G49" i="176"/>
  <c r="E49" i="176"/>
  <c r="B49" i="176"/>
  <c r="H48" i="176"/>
  <c r="G48" i="176"/>
  <c r="E48" i="176"/>
  <c r="B48" i="176"/>
  <c r="H47" i="176"/>
  <c r="G47" i="176"/>
  <c r="E47" i="176"/>
  <c r="B47" i="176"/>
  <c r="E46" i="176"/>
  <c r="B46" i="176"/>
  <c r="H41" i="176"/>
  <c r="G41" i="176"/>
  <c r="F41" i="176"/>
  <c r="E41" i="176"/>
  <c r="D41" i="176"/>
  <c r="B41" i="176"/>
  <c r="H40" i="176"/>
  <c r="G40" i="176"/>
  <c r="F40" i="176"/>
  <c r="E40" i="176"/>
  <c r="D40" i="176"/>
  <c r="B40" i="176"/>
  <c r="G39" i="176"/>
  <c r="F39" i="176"/>
  <c r="E39" i="176"/>
  <c r="D39" i="176"/>
  <c r="B39" i="176"/>
  <c r="H38" i="176"/>
  <c r="G38" i="176"/>
  <c r="F38" i="176"/>
  <c r="E38" i="176"/>
  <c r="D38" i="176"/>
  <c r="B38" i="176"/>
  <c r="H37" i="176"/>
  <c r="E37" i="176"/>
  <c r="D37" i="176"/>
  <c r="B37" i="176"/>
  <c r="H32" i="176"/>
  <c r="G32" i="176"/>
  <c r="E32" i="176"/>
  <c r="B32" i="176"/>
  <c r="H31" i="176"/>
  <c r="G31" i="176"/>
  <c r="E31" i="176"/>
  <c r="B31" i="176"/>
  <c r="H30" i="176"/>
  <c r="G30" i="176"/>
  <c r="E30" i="176"/>
  <c r="B30" i="176"/>
  <c r="H29" i="176"/>
  <c r="G29" i="176"/>
  <c r="E29" i="176"/>
  <c r="B29" i="176"/>
  <c r="H28" i="176"/>
  <c r="G28" i="176"/>
  <c r="E28" i="176"/>
  <c r="B28" i="176"/>
  <c r="H27" i="176"/>
  <c r="G27" i="176"/>
  <c r="E27" i="176"/>
  <c r="B27" i="176"/>
  <c r="H26" i="176"/>
  <c r="G26" i="176"/>
  <c r="E26" i="176"/>
  <c r="B26" i="176"/>
  <c r="H25" i="176"/>
  <c r="H18" i="176"/>
  <c r="G18" i="176"/>
  <c r="E18" i="176"/>
  <c r="B18" i="176"/>
  <c r="H17" i="176"/>
  <c r="G17" i="176"/>
  <c r="E17" i="176"/>
  <c r="B17" i="176"/>
  <c r="H16" i="176"/>
  <c r="G16" i="176"/>
  <c r="E16" i="176"/>
  <c r="B16" i="176"/>
  <c r="H15" i="176"/>
  <c r="G15" i="176"/>
  <c r="E15" i="176"/>
  <c r="B15" i="176"/>
  <c r="H14" i="176"/>
  <c r="G14" i="176"/>
  <c r="E14" i="176"/>
  <c r="F13" i="176"/>
  <c r="E13" i="176"/>
  <c r="B13" i="176"/>
  <c r="F5" i="176"/>
  <c r="F3" i="176"/>
  <c r="F2" i="176"/>
  <c r="D2" i="176"/>
  <c r="H7" i="175"/>
  <c r="B8" i="175"/>
  <c r="A8" i="175"/>
  <c r="H49" i="175"/>
  <c r="G49" i="175"/>
  <c r="E49" i="175"/>
  <c r="B49" i="175"/>
  <c r="H48" i="175"/>
  <c r="G48" i="175"/>
  <c r="E48" i="175"/>
  <c r="B48" i="175"/>
  <c r="H47" i="175"/>
  <c r="G47" i="175"/>
  <c r="E47" i="175"/>
  <c r="B47" i="175"/>
  <c r="E46" i="175"/>
  <c r="B46" i="175"/>
  <c r="H41" i="175"/>
  <c r="G41" i="175"/>
  <c r="F41" i="175"/>
  <c r="E41" i="175"/>
  <c r="D41" i="175"/>
  <c r="B41" i="175"/>
  <c r="H40" i="175"/>
  <c r="G40" i="175"/>
  <c r="F40" i="175"/>
  <c r="E40" i="175"/>
  <c r="D40" i="175"/>
  <c r="B40" i="175"/>
  <c r="G39" i="175"/>
  <c r="F39" i="175"/>
  <c r="E39" i="175"/>
  <c r="D39" i="175"/>
  <c r="B39" i="175"/>
  <c r="H38" i="175"/>
  <c r="G38" i="175"/>
  <c r="F38" i="175"/>
  <c r="E38" i="175"/>
  <c r="D38" i="175"/>
  <c r="B38" i="175"/>
  <c r="H37" i="175"/>
  <c r="E37" i="175"/>
  <c r="D37" i="175"/>
  <c r="B37" i="175"/>
  <c r="H32" i="175"/>
  <c r="G32" i="175"/>
  <c r="E32" i="175"/>
  <c r="B32" i="175"/>
  <c r="H31" i="175"/>
  <c r="G31" i="175"/>
  <c r="E31" i="175"/>
  <c r="B31" i="175"/>
  <c r="H30" i="175"/>
  <c r="G30" i="175"/>
  <c r="E30" i="175"/>
  <c r="B30" i="175"/>
  <c r="H29" i="175"/>
  <c r="G29" i="175"/>
  <c r="E29" i="175"/>
  <c r="B29" i="175"/>
  <c r="H28" i="175"/>
  <c r="G28" i="175"/>
  <c r="E28" i="175"/>
  <c r="B28" i="175"/>
  <c r="H27" i="175"/>
  <c r="G27" i="175"/>
  <c r="E27" i="175"/>
  <c r="B27" i="175"/>
  <c r="H26" i="175"/>
  <c r="G26" i="175"/>
  <c r="E26" i="175"/>
  <c r="B26" i="175"/>
  <c r="H25" i="175"/>
  <c r="H24" i="175"/>
  <c r="E23" i="175"/>
  <c r="B23" i="175"/>
  <c r="H18" i="175"/>
  <c r="G18" i="175"/>
  <c r="E18" i="175"/>
  <c r="B18" i="175"/>
  <c r="H17" i="175"/>
  <c r="G17" i="175"/>
  <c r="E17" i="175"/>
  <c r="B17" i="175"/>
  <c r="H16" i="175"/>
  <c r="G16" i="175"/>
  <c r="E16" i="175"/>
  <c r="B16" i="175"/>
  <c r="H15" i="175"/>
  <c r="G15" i="175"/>
  <c r="E15" i="175"/>
  <c r="B15" i="175"/>
  <c r="H14" i="175"/>
  <c r="G14" i="175"/>
  <c r="E14" i="175"/>
  <c r="F13" i="175"/>
  <c r="E13" i="175"/>
  <c r="B13" i="175"/>
  <c r="F5" i="175"/>
  <c r="F3" i="175"/>
  <c r="F2" i="175"/>
  <c r="D2" i="175"/>
  <c r="H7" i="174"/>
  <c r="B8" i="174"/>
  <c r="A8" i="174"/>
  <c r="H49" i="174"/>
  <c r="G49" i="174"/>
  <c r="E49" i="174"/>
  <c r="B49" i="174"/>
  <c r="H48" i="174"/>
  <c r="G48" i="174"/>
  <c r="E48" i="174"/>
  <c r="B48" i="174"/>
  <c r="H47" i="174"/>
  <c r="G47" i="174"/>
  <c r="E47" i="174"/>
  <c r="B47" i="174"/>
  <c r="E46" i="174"/>
  <c r="B46" i="174"/>
  <c r="H41" i="174"/>
  <c r="G41" i="174"/>
  <c r="F41" i="174"/>
  <c r="E41" i="174"/>
  <c r="D41" i="174"/>
  <c r="B41" i="174"/>
  <c r="H40" i="174"/>
  <c r="G40" i="174"/>
  <c r="F40" i="174"/>
  <c r="E40" i="174"/>
  <c r="D40" i="174"/>
  <c r="B40" i="174"/>
  <c r="G39" i="174"/>
  <c r="F39" i="174"/>
  <c r="E39" i="174"/>
  <c r="D39" i="174"/>
  <c r="B39" i="174"/>
  <c r="H38" i="174"/>
  <c r="G38" i="174"/>
  <c r="F38" i="174"/>
  <c r="E38" i="174"/>
  <c r="D38" i="174"/>
  <c r="B38" i="174"/>
  <c r="H37" i="174"/>
  <c r="E37" i="174"/>
  <c r="D37" i="174"/>
  <c r="B37" i="174"/>
  <c r="H32" i="174"/>
  <c r="G32" i="174"/>
  <c r="E32" i="174"/>
  <c r="B32" i="174"/>
  <c r="H31" i="174"/>
  <c r="G31" i="174"/>
  <c r="E31" i="174"/>
  <c r="B31" i="174"/>
  <c r="H30" i="174"/>
  <c r="G30" i="174"/>
  <c r="E30" i="174"/>
  <c r="B30" i="174"/>
  <c r="H29" i="174"/>
  <c r="G29" i="174"/>
  <c r="E29" i="174"/>
  <c r="B29" i="174"/>
  <c r="H28" i="174"/>
  <c r="G28" i="174"/>
  <c r="E28" i="174"/>
  <c r="B28" i="174"/>
  <c r="H27" i="174"/>
  <c r="G27" i="174"/>
  <c r="E27" i="174"/>
  <c r="B27" i="174"/>
  <c r="H26" i="174"/>
  <c r="G26" i="174"/>
  <c r="E26" i="174"/>
  <c r="B26" i="174"/>
  <c r="H25" i="174"/>
  <c r="H24" i="174"/>
  <c r="E23" i="174"/>
  <c r="B23" i="174"/>
  <c r="H18" i="174"/>
  <c r="G18" i="174"/>
  <c r="E18" i="174"/>
  <c r="B18" i="174"/>
  <c r="H17" i="174"/>
  <c r="G17" i="174"/>
  <c r="E17" i="174"/>
  <c r="B17" i="174"/>
  <c r="H16" i="174"/>
  <c r="G16" i="174"/>
  <c r="E16" i="174"/>
  <c r="B16" i="174"/>
  <c r="H15" i="174"/>
  <c r="G15" i="174"/>
  <c r="E15" i="174"/>
  <c r="B15" i="174"/>
  <c r="H14" i="174"/>
  <c r="G14" i="174"/>
  <c r="E14" i="174"/>
  <c r="F13" i="174"/>
  <c r="E13" i="174"/>
  <c r="B13" i="174"/>
  <c r="F5" i="174"/>
  <c r="F3" i="174"/>
  <c r="F2" i="174"/>
  <c r="D2" i="174"/>
  <c r="H7" i="173"/>
  <c r="B8" i="173"/>
  <c r="A8" i="173"/>
  <c r="H49" i="173"/>
  <c r="G49" i="173"/>
  <c r="E49" i="173"/>
  <c r="B49" i="173"/>
  <c r="H48" i="173"/>
  <c r="G48" i="173"/>
  <c r="E48" i="173"/>
  <c r="B48" i="173"/>
  <c r="H47" i="173"/>
  <c r="G47" i="173"/>
  <c r="E47" i="173"/>
  <c r="B47" i="173"/>
  <c r="E46" i="173"/>
  <c r="B46" i="173"/>
  <c r="H41" i="173"/>
  <c r="G41" i="173"/>
  <c r="F41" i="173"/>
  <c r="E41" i="173"/>
  <c r="D41" i="173"/>
  <c r="B41" i="173"/>
  <c r="H40" i="173"/>
  <c r="G40" i="173"/>
  <c r="F40" i="173"/>
  <c r="E40" i="173"/>
  <c r="D40" i="173"/>
  <c r="B40" i="173"/>
  <c r="G39" i="173"/>
  <c r="F39" i="173"/>
  <c r="E39" i="173"/>
  <c r="D39" i="173"/>
  <c r="B39" i="173"/>
  <c r="H38" i="173"/>
  <c r="G38" i="173"/>
  <c r="F38" i="173"/>
  <c r="E38" i="173"/>
  <c r="D38" i="173"/>
  <c r="B38" i="173"/>
  <c r="H37" i="173"/>
  <c r="G37" i="173"/>
  <c r="F37" i="173"/>
  <c r="E37" i="173"/>
  <c r="D37" i="173"/>
  <c r="B37" i="173"/>
  <c r="H32" i="173"/>
  <c r="G32" i="173"/>
  <c r="E32" i="173"/>
  <c r="B32" i="173"/>
  <c r="H31" i="173"/>
  <c r="G31" i="173"/>
  <c r="E31" i="173"/>
  <c r="B31" i="173"/>
  <c r="H30" i="173"/>
  <c r="G30" i="173"/>
  <c r="E30" i="173"/>
  <c r="B30" i="173"/>
  <c r="H29" i="173"/>
  <c r="G29" i="173"/>
  <c r="E29" i="173"/>
  <c r="B29" i="173"/>
  <c r="H28" i="173"/>
  <c r="G28" i="173"/>
  <c r="E28" i="173"/>
  <c r="B28" i="173"/>
  <c r="H27" i="173"/>
  <c r="G27" i="173"/>
  <c r="E27" i="173"/>
  <c r="B27" i="173"/>
  <c r="H26" i="173"/>
  <c r="G26" i="173"/>
  <c r="E26" i="173"/>
  <c r="B26" i="173"/>
  <c r="E23" i="173"/>
  <c r="B23" i="173"/>
  <c r="H18" i="173"/>
  <c r="G18" i="173"/>
  <c r="E18" i="173"/>
  <c r="B18" i="173"/>
  <c r="H17" i="173"/>
  <c r="G17" i="173"/>
  <c r="E17" i="173"/>
  <c r="B17" i="173"/>
  <c r="H16" i="173"/>
  <c r="G16" i="173"/>
  <c r="E16" i="173"/>
  <c r="B16" i="173"/>
  <c r="H15" i="173"/>
  <c r="G15" i="173"/>
  <c r="E15" i="173"/>
  <c r="B15" i="173"/>
  <c r="H14" i="173"/>
  <c r="G14" i="173"/>
  <c r="E14" i="173"/>
  <c r="F13" i="173"/>
  <c r="E13" i="173"/>
  <c r="B13" i="173"/>
  <c r="F5" i="173"/>
  <c r="F3" i="173"/>
  <c r="F2" i="173"/>
  <c r="D2" i="173"/>
  <c r="H7" i="171"/>
  <c r="B8" i="171"/>
  <c r="A8" i="171"/>
  <c r="H49" i="171"/>
  <c r="G49" i="171"/>
  <c r="E49" i="171"/>
  <c r="B49" i="171"/>
  <c r="H48" i="171"/>
  <c r="G48" i="171"/>
  <c r="E48" i="171"/>
  <c r="B48" i="171"/>
  <c r="H47" i="171"/>
  <c r="G47" i="171"/>
  <c r="E47" i="171"/>
  <c r="B47" i="171"/>
  <c r="E46" i="171"/>
  <c r="B46" i="171"/>
  <c r="H41" i="171"/>
  <c r="G41" i="171"/>
  <c r="F41" i="171"/>
  <c r="E41" i="171"/>
  <c r="D41" i="171"/>
  <c r="B41" i="171"/>
  <c r="H40" i="171"/>
  <c r="G40" i="171"/>
  <c r="F40" i="171"/>
  <c r="E40" i="171"/>
  <c r="D40" i="171"/>
  <c r="B40" i="171"/>
  <c r="H39" i="171"/>
  <c r="G39" i="171"/>
  <c r="F39" i="171"/>
  <c r="E39" i="171"/>
  <c r="D39" i="171"/>
  <c r="B39" i="171"/>
  <c r="H38" i="171"/>
  <c r="G38" i="171"/>
  <c r="F38" i="171"/>
  <c r="E38" i="171"/>
  <c r="D38" i="171"/>
  <c r="B38" i="171"/>
  <c r="A37" i="171"/>
  <c r="G37" i="171" s="1"/>
  <c r="H32" i="171"/>
  <c r="G32" i="171"/>
  <c r="E32" i="171"/>
  <c r="B32" i="171"/>
  <c r="H31" i="171"/>
  <c r="G31" i="171"/>
  <c r="E31" i="171"/>
  <c r="B31" i="171"/>
  <c r="H30" i="171"/>
  <c r="G30" i="171"/>
  <c r="E30" i="171"/>
  <c r="B30" i="171"/>
  <c r="H29" i="171"/>
  <c r="G29" i="171"/>
  <c r="E29" i="171"/>
  <c r="B29" i="171"/>
  <c r="H28" i="171"/>
  <c r="G28" i="171"/>
  <c r="E28" i="171"/>
  <c r="B28" i="171"/>
  <c r="H27" i="171"/>
  <c r="G27" i="171"/>
  <c r="E27" i="171"/>
  <c r="B27" i="171"/>
  <c r="H26" i="171"/>
  <c r="G26" i="171"/>
  <c r="E26" i="171"/>
  <c r="B26" i="171"/>
  <c r="H25" i="171"/>
  <c r="G25" i="171"/>
  <c r="E25" i="171"/>
  <c r="B25" i="171"/>
  <c r="H24" i="171"/>
  <c r="G24" i="171"/>
  <c r="E24" i="171"/>
  <c r="B24" i="171"/>
  <c r="G23" i="171"/>
  <c r="H23" i="171" s="1"/>
  <c r="E23" i="171"/>
  <c r="B23" i="171"/>
  <c r="H18" i="171"/>
  <c r="G18" i="171"/>
  <c r="E18" i="171"/>
  <c r="B18" i="171"/>
  <c r="H17" i="171"/>
  <c r="G17" i="171"/>
  <c r="E17" i="171"/>
  <c r="B17" i="171"/>
  <c r="H16" i="171"/>
  <c r="G16" i="171"/>
  <c r="E16" i="171"/>
  <c r="B16" i="171"/>
  <c r="H15" i="171"/>
  <c r="G15" i="171"/>
  <c r="E15" i="171"/>
  <c r="B15" i="171"/>
  <c r="E14" i="171"/>
  <c r="B14" i="171"/>
  <c r="F13" i="171"/>
  <c r="E13" i="171"/>
  <c r="B13" i="171"/>
  <c r="F5" i="171"/>
  <c r="F3" i="171"/>
  <c r="F2" i="171"/>
  <c r="D2" i="171"/>
  <c r="H7" i="170"/>
  <c r="B8" i="170"/>
  <c r="A8" i="170"/>
  <c r="H49" i="170"/>
  <c r="G49" i="170"/>
  <c r="E49" i="170"/>
  <c r="B49" i="170"/>
  <c r="H48" i="170"/>
  <c r="G48" i="170"/>
  <c r="E48" i="170"/>
  <c r="B48" i="170"/>
  <c r="H47" i="170"/>
  <c r="G47" i="170"/>
  <c r="E47" i="170"/>
  <c r="B47" i="170"/>
  <c r="E46" i="170"/>
  <c r="B46" i="170"/>
  <c r="H41" i="170"/>
  <c r="G41" i="170"/>
  <c r="F41" i="170"/>
  <c r="E41" i="170"/>
  <c r="D41" i="170"/>
  <c r="B41" i="170"/>
  <c r="H40" i="170"/>
  <c r="G40" i="170"/>
  <c r="F40" i="170"/>
  <c r="E40" i="170"/>
  <c r="D40" i="170"/>
  <c r="B40" i="170"/>
  <c r="H39" i="170"/>
  <c r="G39" i="170"/>
  <c r="F39" i="170"/>
  <c r="E39" i="170"/>
  <c r="D39" i="170"/>
  <c r="B39" i="170"/>
  <c r="H38" i="170"/>
  <c r="G38" i="170"/>
  <c r="F38" i="170"/>
  <c r="E38" i="170"/>
  <c r="D38" i="170"/>
  <c r="B38" i="170"/>
  <c r="H37" i="170"/>
  <c r="G37" i="170"/>
  <c r="E37" i="170"/>
  <c r="D37" i="170"/>
  <c r="B37" i="170"/>
  <c r="H32" i="170"/>
  <c r="G32" i="170"/>
  <c r="E32" i="170"/>
  <c r="B32" i="170"/>
  <c r="H31" i="170"/>
  <c r="G31" i="170"/>
  <c r="E31" i="170"/>
  <c r="B31" i="170"/>
  <c r="H30" i="170"/>
  <c r="G30" i="170"/>
  <c r="E30" i="170"/>
  <c r="B30" i="170"/>
  <c r="H29" i="170"/>
  <c r="G29" i="170"/>
  <c r="E29" i="170"/>
  <c r="B29" i="170"/>
  <c r="H28" i="170"/>
  <c r="G28" i="170"/>
  <c r="E28" i="170"/>
  <c r="B28" i="170"/>
  <c r="H27" i="170"/>
  <c r="G27" i="170"/>
  <c r="E27" i="170"/>
  <c r="B27" i="170"/>
  <c r="H26" i="170"/>
  <c r="G26" i="170"/>
  <c r="E26" i="170"/>
  <c r="B26" i="170"/>
  <c r="H25" i="170"/>
  <c r="G25" i="170"/>
  <c r="E25" i="170"/>
  <c r="B25" i="170"/>
  <c r="H24" i="170"/>
  <c r="G24" i="170"/>
  <c r="E24" i="170"/>
  <c r="B24" i="170"/>
  <c r="H23" i="170"/>
  <c r="G23" i="170"/>
  <c r="E23" i="170"/>
  <c r="B23" i="170"/>
  <c r="H18" i="170"/>
  <c r="G18" i="170"/>
  <c r="E18" i="170"/>
  <c r="B18" i="170"/>
  <c r="H17" i="170"/>
  <c r="G17" i="170"/>
  <c r="E17" i="170"/>
  <c r="B17" i="170"/>
  <c r="H16" i="170"/>
  <c r="G16" i="170"/>
  <c r="E16" i="170"/>
  <c r="B16" i="170"/>
  <c r="H15" i="170"/>
  <c r="G15" i="170"/>
  <c r="E15" i="170"/>
  <c r="B15" i="170"/>
  <c r="H14" i="170"/>
  <c r="G14" i="170"/>
  <c r="E14" i="170"/>
  <c r="B14" i="170"/>
  <c r="F13" i="170"/>
  <c r="E13" i="170"/>
  <c r="B13" i="170"/>
  <c r="F5" i="170"/>
  <c r="F3" i="170"/>
  <c r="F2" i="170"/>
  <c r="D2" i="170"/>
  <c r="H7" i="147"/>
  <c r="H7" i="168"/>
  <c r="B8" i="168"/>
  <c r="A8" i="168"/>
  <c r="H49" i="168"/>
  <c r="G49" i="168"/>
  <c r="E49" i="168"/>
  <c r="B49" i="168"/>
  <c r="H48" i="168"/>
  <c r="G48" i="168"/>
  <c r="E48" i="168"/>
  <c r="B48" i="168"/>
  <c r="H47" i="168"/>
  <c r="G47" i="168"/>
  <c r="E47" i="168"/>
  <c r="B47" i="168"/>
  <c r="G46" i="168"/>
  <c r="F46" i="168"/>
  <c r="E46" i="168"/>
  <c r="B46" i="168"/>
  <c r="H41" i="168"/>
  <c r="G41" i="168"/>
  <c r="F41" i="168"/>
  <c r="E41" i="168"/>
  <c r="D41" i="168"/>
  <c r="B41" i="168"/>
  <c r="H40" i="168"/>
  <c r="G40" i="168"/>
  <c r="F40" i="168"/>
  <c r="E40" i="168"/>
  <c r="D40" i="168"/>
  <c r="B40" i="168"/>
  <c r="H39" i="168"/>
  <c r="G39" i="168"/>
  <c r="F39" i="168"/>
  <c r="E39" i="168"/>
  <c r="D39" i="168"/>
  <c r="B39" i="168"/>
  <c r="H38" i="168"/>
  <c r="G38" i="168"/>
  <c r="F38" i="168"/>
  <c r="E38" i="168"/>
  <c r="D38" i="168"/>
  <c r="B38" i="168"/>
  <c r="H32" i="168"/>
  <c r="G32" i="168"/>
  <c r="E32" i="168"/>
  <c r="B32" i="168"/>
  <c r="H31" i="168"/>
  <c r="G31" i="168"/>
  <c r="E31" i="168"/>
  <c r="B31" i="168"/>
  <c r="H30" i="168"/>
  <c r="G30" i="168"/>
  <c r="E30" i="168"/>
  <c r="B30" i="168"/>
  <c r="H29" i="168"/>
  <c r="G29" i="168"/>
  <c r="E29" i="168"/>
  <c r="B29" i="168"/>
  <c r="H28" i="168"/>
  <c r="G28" i="168"/>
  <c r="E28" i="168"/>
  <c r="B28" i="168"/>
  <c r="H27" i="168"/>
  <c r="G27" i="168"/>
  <c r="E27" i="168"/>
  <c r="B27" i="168"/>
  <c r="H26" i="168"/>
  <c r="G26" i="168"/>
  <c r="E26" i="168"/>
  <c r="B26" i="168"/>
  <c r="H25" i="168"/>
  <c r="G25" i="168"/>
  <c r="E25" i="168"/>
  <c r="B25" i="168"/>
  <c r="G24" i="168"/>
  <c r="H24" i="168" s="1"/>
  <c r="E24" i="168"/>
  <c r="B24" i="168"/>
  <c r="G23" i="168"/>
  <c r="H23" i="168" s="1"/>
  <c r="E23" i="168"/>
  <c r="B23" i="168"/>
  <c r="H18" i="168"/>
  <c r="G18" i="168"/>
  <c r="E18" i="168"/>
  <c r="B18" i="168"/>
  <c r="H17" i="168"/>
  <c r="G17" i="168"/>
  <c r="E17" i="168"/>
  <c r="B17" i="168"/>
  <c r="H16" i="168"/>
  <c r="G16" i="168"/>
  <c r="E16" i="168"/>
  <c r="B16" i="168"/>
  <c r="H15" i="168"/>
  <c r="G15" i="168"/>
  <c r="E15" i="168"/>
  <c r="B15" i="168"/>
  <c r="G14" i="168"/>
  <c r="H14" i="168" s="1"/>
  <c r="E14" i="168"/>
  <c r="B14" i="168"/>
  <c r="F13" i="168"/>
  <c r="E13" i="168"/>
  <c r="B13" i="168"/>
  <c r="F5" i="168"/>
  <c r="F3" i="168"/>
  <c r="F2" i="168"/>
  <c r="D2" i="168"/>
  <c r="H7" i="167"/>
  <c r="B8" i="167"/>
  <c r="A8" i="167"/>
  <c r="H49" i="167"/>
  <c r="G49" i="167"/>
  <c r="E49" i="167"/>
  <c r="B49" i="167"/>
  <c r="H48" i="167"/>
  <c r="G48" i="167"/>
  <c r="E48" i="167"/>
  <c r="B48" i="167"/>
  <c r="H47" i="167"/>
  <c r="G47" i="167"/>
  <c r="E47" i="167"/>
  <c r="B47" i="167"/>
  <c r="E46" i="167"/>
  <c r="B46" i="167"/>
  <c r="H41" i="167"/>
  <c r="G41" i="167"/>
  <c r="F41" i="167"/>
  <c r="E41" i="167"/>
  <c r="D41" i="167"/>
  <c r="B41" i="167"/>
  <c r="H40" i="167"/>
  <c r="G40" i="167"/>
  <c r="F40" i="167"/>
  <c r="E40" i="167"/>
  <c r="D40" i="167"/>
  <c r="B40" i="167"/>
  <c r="G39" i="167"/>
  <c r="F39" i="167"/>
  <c r="E39" i="167"/>
  <c r="D39" i="167"/>
  <c r="B39" i="167"/>
  <c r="H38" i="167"/>
  <c r="G38" i="167"/>
  <c r="F38" i="167"/>
  <c r="E38" i="167"/>
  <c r="D38" i="167"/>
  <c r="B38" i="167"/>
  <c r="H32" i="167"/>
  <c r="G32" i="167"/>
  <c r="E32" i="167"/>
  <c r="B32" i="167"/>
  <c r="H31" i="167"/>
  <c r="G31" i="167"/>
  <c r="E31" i="167"/>
  <c r="B31" i="167"/>
  <c r="H30" i="167"/>
  <c r="G30" i="167"/>
  <c r="E30" i="167"/>
  <c r="B30" i="167"/>
  <c r="H29" i="167"/>
  <c r="G29" i="167"/>
  <c r="E29" i="167"/>
  <c r="B29" i="167"/>
  <c r="H28" i="167"/>
  <c r="G28" i="167"/>
  <c r="E28" i="167"/>
  <c r="B28" i="167"/>
  <c r="H27" i="167"/>
  <c r="G27" i="167"/>
  <c r="E27" i="167"/>
  <c r="B27" i="167"/>
  <c r="H26" i="167"/>
  <c r="G26" i="167"/>
  <c r="E26" i="167"/>
  <c r="B26" i="167"/>
  <c r="H24" i="167"/>
  <c r="G24" i="167"/>
  <c r="E24" i="167"/>
  <c r="B24" i="167"/>
  <c r="H23" i="167"/>
  <c r="H18" i="167"/>
  <c r="G18" i="167"/>
  <c r="E18" i="167"/>
  <c r="B18" i="167"/>
  <c r="H17" i="167"/>
  <c r="G17" i="167"/>
  <c r="E17" i="167"/>
  <c r="B17" i="167"/>
  <c r="H16" i="167"/>
  <c r="G16" i="167"/>
  <c r="E16" i="167"/>
  <c r="B16" i="167"/>
  <c r="H15" i="167"/>
  <c r="G15" i="167"/>
  <c r="E15" i="167"/>
  <c r="B15" i="167"/>
  <c r="H14" i="167"/>
  <c r="G14" i="167"/>
  <c r="E14" i="167"/>
  <c r="F13" i="167"/>
  <c r="E13" i="167"/>
  <c r="B13" i="167"/>
  <c r="F5" i="167"/>
  <c r="F3" i="167"/>
  <c r="F2" i="167"/>
  <c r="D2" i="167"/>
  <c r="H7" i="166"/>
  <c r="B8" i="166"/>
  <c r="A8" i="166"/>
  <c r="H49" i="166"/>
  <c r="G49" i="166"/>
  <c r="E49" i="166"/>
  <c r="B49" i="166"/>
  <c r="H48" i="166"/>
  <c r="G48" i="166"/>
  <c r="E48" i="166"/>
  <c r="B48" i="166"/>
  <c r="H47" i="166"/>
  <c r="G47" i="166"/>
  <c r="E47" i="166"/>
  <c r="B47" i="166"/>
  <c r="E46" i="166"/>
  <c r="B46" i="166"/>
  <c r="H41" i="166"/>
  <c r="G41" i="166"/>
  <c r="F41" i="166"/>
  <c r="E41" i="166"/>
  <c r="D41" i="166"/>
  <c r="B41" i="166"/>
  <c r="H40" i="166"/>
  <c r="G40" i="166"/>
  <c r="F40" i="166"/>
  <c r="E40" i="166"/>
  <c r="D40" i="166"/>
  <c r="B40" i="166"/>
  <c r="G39" i="166"/>
  <c r="F39" i="166"/>
  <c r="E39" i="166"/>
  <c r="D39" i="166"/>
  <c r="B39" i="166"/>
  <c r="H38" i="166"/>
  <c r="G38" i="166"/>
  <c r="F38" i="166"/>
  <c r="E38" i="166"/>
  <c r="D38" i="166"/>
  <c r="B38" i="166"/>
  <c r="H32" i="166"/>
  <c r="G32" i="166"/>
  <c r="E32" i="166"/>
  <c r="B32" i="166"/>
  <c r="H31" i="166"/>
  <c r="G31" i="166"/>
  <c r="E31" i="166"/>
  <c r="B31" i="166"/>
  <c r="H30" i="166"/>
  <c r="G30" i="166"/>
  <c r="E30" i="166"/>
  <c r="B30" i="166"/>
  <c r="H29" i="166"/>
  <c r="G29" i="166"/>
  <c r="E29" i="166"/>
  <c r="B29" i="166"/>
  <c r="H28" i="166"/>
  <c r="G28" i="166"/>
  <c r="E28" i="166"/>
  <c r="B28" i="166"/>
  <c r="H27" i="166"/>
  <c r="G27" i="166"/>
  <c r="E27" i="166"/>
  <c r="B27" i="166"/>
  <c r="H26" i="166"/>
  <c r="G26" i="166"/>
  <c r="E26" i="166"/>
  <c r="B26" i="166"/>
  <c r="H24" i="166"/>
  <c r="G24" i="166"/>
  <c r="E24" i="166"/>
  <c r="B24" i="166"/>
  <c r="H23" i="166"/>
  <c r="H18" i="166"/>
  <c r="G18" i="166"/>
  <c r="E18" i="166"/>
  <c r="B18" i="166"/>
  <c r="H17" i="166"/>
  <c r="G17" i="166"/>
  <c r="E17" i="166"/>
  <c r="B17" i="166"/>
  <c r="H16" i="166"/>
  <c r="G16" i="166"/>
  <c r="E16" i="166"/>
  <c r="B16" i="166"/>
  <c r="H15" i="166"/>
  <c r="G15" i="166"/>
  <c r="E15" i="166"/>
  <c r="B15" i="166"/>
  <c r="H14" i="166"/>
  <c r="G14" i="166"/>
  <c r="E14" i="166"/>
  <c r="F13" i="166"/>
  <c r="E13" i="166"/>
  <c r="B13" i="166"/>
  <c r="F5" i="166"/>
  <c r="F3" i="166"/>
  <c r="F2" i="166"/>
  <c r="D2" i="166"/>
  <c r="F37" i="160"/>
  <c r="E37" i="160"/>
  <c r="H37" i="160" s="1"/>
  <c r="D37" i="160"/>
  <c r="B37" i="160"/>
  <c r="H7" i="165"/>
  <c r="B8" i="165"/>
  <c r="A8" i="165"/>
  <c r="H49" i="165"/>
  <c r="G49" i="165"/>
  <c r="E49" i="165"/>
  <c r="B49" i="165"/>
  <c r="H48" i="165"/>
  <c r="G48" i="165"/>
  <c r="E48" i="165"/>
  <c r="B48" i="165"/>
  <c r="H47" i="165"/>
  <c r="G47" i="165"/>
  <c r="E47" i="165"/>
  <c r="B47" i="165"/>
  <c r="E46" i="165"/>
  <c r="B46" i="165"/>
  <c r="H41" i="165"/>
  <c r="G41" i="165"/>
  <c r="F41" i="165"/>
  <c r="E41" i="165"/>
  <c r="D41" i="165"/>
  <c r="B41" i="165"/>
  <c r="H40" i="165"/>
  <c r="G40" i="165"/>
  <c r="F40" i="165"/>
  <c r="E40" i="165"/>
  <c r="D40" i="165"/>
  <c r="B40" i="165"/>
  <c r="G39" i="165"/>
  <c r="F39" i="165"/>
  <c r="E39" i="165"/>
  <c r="D39" i="165"/>
  <c r="B39" i="165"/>
  <c r="H38" i="165"/>
  <c r="G38" i="165"/>
  <c r="F38" i="165"/>
  <c r="E38" i="165"/>
  <c r="D38" i="165"/>
  <c r="B38" i="165"/>
  <c r="H32" i="165"/>
  <c r="G32" i="165"/>
  <c r="E32" i="165"/>
  <c r="B32" i="165"/>
  <c r="H31" i="165"/>
  <c r="G31" i="165"/>
  <c r="E31" i="165"/>
  <c r="B31" i="165"/>
  <c r="H30" i="165"/>
  <c r="G30" i="165"/>
  <c r="E30" i="165"/>
  <c r="B30" i="165"/>
  <c r="H29" i="165"/>
  <c r="G29" i="165"/>
  <c r="E29" i="165"/>
  <c r="B29" i="165"/>
  <c r="H28" i="165"/>
  <c r="G28" i="165"/>
  <c r="E28" i="165"/>
  <c r="B28" i="165"/>
  <c r="H27" i="165"/>
  <c r="G27" i="165"/>
  <c r="E27" i="165"/>
  <c r="B27" i="165"/>
  <c r="H26" i="165"/>
  <c r="G26" i="165"/>
  <c r="E26" i="165"/>
  <c r="B26" i="165"/>
  <c r="H24" i="165"/>
  <c r="G24" i="165"/>
  <c r="E24" i="165"/>
  <c r="B24" i="165"/>
  <c r="H23" i="165"/>
  <c r="H18" i="165"/>
  <c r="G18" i="165"/>
  <c r="E18" i="165"/>
  <c r="B18" i="165"/>
  <c r="H17" i="165"/>
  <c r="G17" i="165"/>
  <c r="E17" i="165"/>
  <c r="B17" i="165"/>
  <c r="H16" i="165"/>
  <c r="G16" i="165"/>
  <c r="E16" i="165"/>
  <c r="B16" i="165"/>
  <c r="H15" i="165"/>
  <c r="G15" i="165"/>
  <c r="E15" i="165"/>
  <c r="B15" i="165"/>
  <c r="H14" i="165"/>
  <c r="G14" i="165"/>
  <c r="E14" i="165"/>
  <c r="F13" i="165"/>
  <c r="E13" i="165"/>
  <c r="B13" i="165"/>
  <c r="F5" i="165"/>
  <c r="F3" i="165"/>
  <c r="F2" i="165"/>
  <c r="D2" i="165"/>
  <c r="H25" i="164"/>
  <c r="H24" i="164"/>
  <c r="H7" i="164"/>
  <c r="B8" i="164"/>
  <c r="A8" i="164"/>
  <c r="H49" i="164"/>
  <c r="G49" i="164"/>
  <c r="E49" i="164"/>
  <c r="B49" i="164"/>
  <c r="H48" i="164"/>
  <c r="G48" i="164"/>
  <c r="E48" i="164"/>
  <c r="B48" i="164"/>
  <c r="H47" i="164"/>
  <c r="G47" i="164"/>
  <c r="E47" i="164"/>
  <c r="B47" i="164"/>
  <c r="E46" i="164"/>
  <c r="B46" i="164"/>
  <c r="H41" i="164"/>
  <c r="G41" i="164"/>
  <c r="F41" i="164"/>
  <c r="E41" i="164"/>
  <c r="D41" i="164"/>
  <c r="B41" i="164"/>
  <c r="H40" i="164"/>
  <c r="G40" i="164"/>
  <c r="F40" i="164"/>
  <c r="E40" i="164"/>
  <c r="D40" i="164"/>
  <c r="B40" i="164"/>
  <c r="G39" i="164"/>
  <c r="F39" i="164"/>
  <c r="E39" i="164"/>
  <c r="D39" i="164"/>
  <c r="B39" i="164"/>
  <c r="H38" i="164"/>
  <c r="G38" i="164"/>
  <c r="F38" i="164"/>
  <c r="E38" i="164"/>
  <c r="D38" i="164"/>
  <c r="B38" i="164"/>
  <c r="H37" i="164"/>
  <c r="E37" i="164"/>
  <c r="D37" i="164"/>
  <c r="B37" i="164"/>
  <c r="H32" i="164"/>
  <c r="G32" i="164"/>
  <c r="E32" i="164"/>
  <c r="B32" i="164"/>
  <c r="H31" i="164"/>
  <c r="G31" i="164"/>
  <c r="E31" i="164"/>
  <c r="B31" i="164"/>
  <c r="H30" i="164"/>
  <c r="G30" i="164"/>
  <c r="E30" i="164"/>
  <c r="B30" i="164"/>
  <c r="H29" i="164"/>
  <c r="G29" i="164"/>
  <c r="E29" i="164"/>
  <c r="B29" i="164"/>
  <c r="H28" i="164"/>
  <c r="G28" i="164"/>
  <c r="E28" i="164"/>
  <c r="B28" i="164"/>
  <c r="H27" i="164"/>
  <c r="G27" i="164"/>
  <c r="E27" i="164"/>
  <c r="B27" i="164"/>
  <c r="H26" i="164"/>
  <c r="G26" i="164"/>
  <c r="E26" i="164"/>
  <c r="B26" i="164"/>
  <c r="E23" i="164"/>
  <c r="B23" i="164"/>
  <c r="H18" i="164"/>
  <c r="G18" i="164"/>
  <c r="E18" i="164"/>
  <c r="B18" i="164"/>
  <c r="H17" i="164"/>
  <c r="G17" i="164"/>
  <c r="E17" i="164"/>
  <c r="B17" i="164"/>
  <c r="H16" i="164"/>
  <c r="G16" i="164"/>
  <c r="E16" i="164"/>
  <c r="B16" i="164"/>
  <c r="H15" i="164"/>
  <c r="G15" i="164"/>
  <c r="E15" i="164"/>
  <c r="B15" i="164"/>
  <c r="H14" i="164"/>
  <c r="G14" i="164"/>
  <c r="E14" i="164"/>
  <c r="F13" i="164"/>
  <c r="E13" i="164"/>
  <c r="B13" i="164"/>
  <c r="F5" i="164"/>
  <c r="F3" i="164"/>
  <c r="F2" i="164"/>
  <c r="D2" i="164"/>
  <c r="H7" i="163"/>
  <c r="B8" i="163"/>
  <c r="A8" i="163"/>
  <c r="H7" i="162"/>
  <c r="B8" i="162"/>
  <c r="A8" i="162"/>
  <c r="H49" i="163"/>
  <c r="G49" i="163"/>
  <c r="E49" i="163"/>
  <c r="B49" i="163"/>
  <c r="H48" i="163"/>
  <c r="G48" i="163"/>
  <c r="E48" i="163"/>
  <c r="B48" i="163"/>
  <c r="H47" i="163"/>
  <c r="G47" i="163"/>
  <c r="E47" i="163"/>
  <c r="B47" i="163"/>
  <c r="E46" i="163"/>
  <c r="B46" i="163"/>
  <c r="H41" i="163"/>
  <c r="G41" i="163"/>
  <c r="F41" i="163"/>
  <c r="E41" i="163"/>
  <c r="D41" i="163"/>
  <c r="B41" i="163"/>
  <c r="H40" i="163"/>
  <c r="G40" i="163"/>
  <c r="F40" i="163"/>
  <c r="E40" i="163"/>
  <c r="D40" i="163"/>
  <c r="B40" i="163"/>
  <c r="G39" i="163"/>
  <c r="F39" i="163"/>
  <c r="E39" i="163"/>
  <c r="D39" i="163"/>
  <c r="B39" i="163"/>
  <c r="H38" i="163"/>
  <c r="G38" i="163"/>
  <c r="F38" i="163"/>
  <c r="E38" i="163"/>
  <c r="D38" i="163"/>
  <c r="B38" i="163"/>
  <c r="H37" i="163"/>
  <c r="G37" i="163"/>
  <c r="F37" i="163"/>
  <c r="E37" i="163"/>
  <c r="D37" i="163"/>
  <c r="B37" i="163"/>
  <c r="H32" i="163"/>
  <c r="G32" i="163"/>
  <c r="E32" i="163"/>
  <c r="B32" i="163"/>
  <c r="H31" i="163"/>
  <c r="G31" i="163"/>
  <c r="E31" i="163"/>
  <c r="B31" i="163"/>
  <c r="H30" i="163"/>
  <c r="G30" i="163"/>
  <c r="E30" i="163"/>
  <c r="B30" i="163"/>
  <c r="H29" i="163"/>
  <c r="G29" i="163"/>
  <c r="E29" i="163"/>
  <c r="B29" i="163"/>
  <c r="H28" i="163"/>
  <c r="G28" i="163"/>
  <c r="E28" i="163"/>
  <c r="B28" i="163"/>
  <c r="H27" i="163"/>
  <c r="G27" i="163"/>
  <c r="E27" i="163"/>
  <c r="B27" i="163"/>
  <c r="H26" i="163"/>
  <c r="G26" i="163"/>
  <c r="E26" i="163"/>
  <c r="B26" i="163"/>
  <c r="E23" i="163"/>
  <c r="B23" i="163"/>
  <c r="H18" i="163"/>
  <c r="G18" i="163"/>
  <c r="E18" i="163"/>
  <c r="B18" i="163"/>
  <c r="H17" i="163"/>
  <c r="G17" i="163"/>
  <c r="E17" i="163"/>
  <c r="B17" i="163"/>
  <c r="H16" i="163"/>
  <c r="G16" i="163"/>
  <c r="E16" i="163"/>
  <c r="B16" i="163"/>
  <c r="H15" i="163"/>
  <c r="G15" i="163"/>
  <c r="E15" i="163"/>
  <c r="B15" i="163"/>
  <c r="H14" i="163"/>
  <c r="G14" i="163"/>
  <c r="E14" i="163"/>
  <c r="F13" i="163"/>
  <c r="E13" i="163"/>
  <c r="B13" i="163"/>
  <c r="F5" i="163"/>
  <c r="F3" i="163"/>
  <c r="F2" i="163"/>
  <c r="D2" i="163"/>
  <c r="H49" i="162"/>
  <c r="G49" i="162"/>
  <c r="E49" i="162"/>
  <c r="B49" i="162"/>
  <c r="H48" i="162"/>
  <c r="G48" i="162"/>
  <c r="E48" i="162"/>
  <c r="B48" i="162"/>
  <c r="H47" i="162"/>
  <c r="G47" i="162"/>
  <c r="E47" i="162"/>
  <c r="B47" i="162"/>
  <c r="E46" i="162"/>
  <c r="B46" i="162"/>
  <c r="H41" i="162"/>
  <c r="G41" i="162"/>
  <c r="F41" i="162"/>
  <c r="E41" i="162"/>
  <c r="D41" i="162"/>
  <c r="B41" i="162"/>
  <c r="H40" i="162"/>
  <c r="G40" i="162"/>
  <c r="F40" i="162"/>
  <c r="E40" i="162"/>
  <c r="D40" i="162"/>
  <c r="B40" i="162"/>
  <c r="H39" i="162"/>
  <c r="G39" i="162"/>
  <c r="F39" i="162"/>
  <c r="E39" i="162"/>
  <c r="D39" i="162"/>
  <c r="B39" i="162"/>
  <c r="H38" i="162"/>
  <c r="G38" i="162"/>
  <c r="F38" i="162"/>
  <c r="E38" i="162"/>
  <c r="D38" i="162"/>
  <c r="B38" i="162"/>
  <c r="A37" i="162"/>
  <c r="G37" i="162" s="1"/>
  <c r="H32" i="162"/>
  <c r="G32" i="162"/>
  <c r="E32" i="162"/>
  <c r="B32" i="162"/>
  <c r="H31" i="162"/>
  <c r="G31" i="162"/>
  <c r="E31" i="162"/>
  <c r="B31" i="162"/>
  <c r="H30" i="162"/>
  <c r="G30" i="162"/>
  <c r="E30" i="162"/>
  <c r="B30" i="162"/>
  <c r="H29" i="162"/>
  <c r="G29" i="162"/>
  <c r="E29" i="162"/>
  <c r="B29" i="162"/>
  <c r="H28" i="162"/>
  <c r="G28" i="162"/>
  <c r="E28" i="162"/>
  <c r="B28" i="162"/>
  <c r="H27" i="162"/>
  <c r="G27" i="162"/>
  <c r="E27" i="162"/>
  <c r="B27" i="162"/>
  <c r="H26" i="162"/>
  <c r="G26" i="162"/>
  <c r="E26" i="162"/>
  <c r="B26" i="162"/>
  <c r="H25" i="162"/>
  <c r="G25" i="162"/>
  <c r="E25" i="162"/>
  <c r="B25" i="162"/>
  <c r="H24" i="162"/>
  <c r="G24" i="162"/>
  <c r="E24" i="162"/>
  <c r="B24" i="162"/>
  <c r="G23" i="162"/>
  <c r="H23" i="162" s="1"/>
  <c r="E23" i="162"/>
  <c r="B23" i="162"/>
  <c r="H18" i="162"/>
  <c r="G18" i="162"/>
  <c r="E18" i="162"/>
  <c r="B18" i="162"/>
  <c r="H17" i="162"/>
  <c r="G17" i="162"/>
  <c r="E17" i="162"/>
  <c r="B17" i="162"/>
  <c r="H16" i="162"/>
  <c r="G16" i="162"/>
  <c r="E16" i="162"/>
  <c r="B16" i="162"/>
  <c r="H15" i="162"/>
  <c r="G15" i="162"/>
  <c r="E15" i="162"/>
  <c r="B15" i="162"/>
  <c r="E14" i="162"/>
  <c r="B14" i="162"/>
  <c r="F13" i="162"/>
  <c r="E13" i="162"/>
  <c r="B13" i="162"/>
  <c r="F5" i="162"/>
  <c r="F3" i="162"/>
  <c r="F2" i="162"/>
  <c r="D2" i="162"/>
  <c r="H7" i="161"/>
  <c r="B8" i="161"/>
  <c r="A8" i="161"/>
  <c r="H49" i="161"/>
  <c r="G49" i="161"/>
  <c r="E49" i="161"/>
  <c r="B49" i="161"/>
  <c r="H48" i="161"/>
  <c r="G48" i="161"/>
  <c r="E48" i="161"/>
  <c r="B48" i="161"/>
  <c r="H47" i="161"/>
  <c r="G47" i="161"/>
  <c r="E47" i="161"/>
  <c r="B47" i="161"/>
  <c r="E46" i="161"/>
  <c r="B46" i="161"/>
  <c r="H41" i="161"/>
  <c r="G41" i="161"/>
  <c r="F41" i="161"/>
  <c r="E41" i="161"/>
  <c r="D41" i="161"/>
  <c r="B41" i="161"/>
  <c r="H40" i="161"/>
  <c r="G40" i="161"/>
  <c r="F40" i="161"/>
  <c r="E40" i="161"/>
  <c r="D40" i="161"/>
  <c r="B40" i="161"/>
  <c r="H39" i="161"/>
  <c r="G39" i="161"/>
  <c r="F39" i="161"/>
  <c r="E39" i="161"/>
  <c r="D39" i="161"/>
  <c r="B39" i="161"/>
  <c r="H38" i="161"/>
  <c r="G38" i="161"/>
  <c r="F38" i="161"/>
  <c r="E38" i="161"/>
  <c r="D38" i="161"/>
  <c r="B38" i="161"/>
  <c r="H37" i="161"/>
  <c r="G37" i="161"/>
  <c r="E37" i="161"/>
  <c r="D37" i="161"/>
  <c r="B37" i="161"/>
  <c r="H32" i="161"/>
  <c r="G32" i="161"/>
  <c r="E32" i="161"/>
  <c r="B32" i="161"/>
  <c r="H31" i="161"/>
  <c r="G31" i="161"/>
  <c r="E31" i="161"/>
  <c r="B31" i="161"/>
  <c r="H30" i="161"/>
  <c r="G30" i="161"/>
  <c r="E30" i="161"/>
  <c r="B30" i="161"/>
  <c r="H29" i="161"/>
  <c r="G29" i="161"/>
  <c r="E29" i="161"/>
  <c r="B29" i="161"/>
  <c r="H28" i="161"/>
  <c r="G28" i="161"/>
  <c r="E28" i="161"/>
  <c r="B28" i="161"/>
  <c r="H27" i="161"/>
  <c r="G27" i="161"/>
  <c r="E27" i="161"/>
  <c r="B27" i="161"/>
  <c r="H26" i="161"/>
  <c r="G26" i="161"/>
  <c r="E26" i="161"/>
  <c r="B26" i="161"/>
  <c r="H25" i="161"/>
  <c r="G25" i="161"/>
  <c r="E25" i="161"/>
  <c r="B25" i="161"/>
  <c r="H24" i="161"/>
  <c r="G24" i="161"/>
  <c r="E24" i="161"/>
  <c r="B24" i="161"/>
  <c r="H23" i="161"/>
  <c r="G23" i="161"/>
  <c r="E23" i="161"/>
  <c r="B23" i="161"/>
  <c r="H18" i="161"/>
  <c r="G18" i="161"/>
  <c r="E18" i="161"/>
  <c r="B18" i="161"/>
  <c r="H17" i="161"/>
  <c r="G17" i="161"/>
  <c r="E17" i="161"/>
  <c r="B17" i="161"/>
  <c r="H16" i="161"/>
  <c r="G16" i="161"/>
  <c r="E16" i="161"/>
  <c r="B16" i="161"/>
  <c r="H15" i="161"/>
  <c r="G15" i="161"/>
  <c r="E15" i="161"/>
  <c r="B15" i="161"/>
  <c r="H14" i="161"/>
  <c r="G14" i="161"/>
  <c r="E14" i="161"/>
  <c r="B14" i="161"/>
  <c r="F13" i="161"/>
  <c r="E13" i="161"/>
  <c r="B13" i="161"/>
  <c r="F5" i="161"/>
  <c r="F3" i="161"/>
  <c r="F2" i="161"/>
  <c r="D2" i="161"/>
  <c r="H23" i="160"/>
  <c r="H7" i="160"/>
  <c r="B8" i="160"/>
  <c r="A8" i="160"/>
  <c r="H49" i="160"/>
  <c r="G49" i="160"/>
  <c r="E49" i="160"/>
  <c r="B49" i="160"/>
  <c r="H48" i="160"/>
  <c r="G48" i="160"/>
  <c r="E48" i="160"/>
  <c r="B48" i="160"/>
  <c r="H47" i="160"/>
  <c r="G47" i="160"/>
  <c r="E47" i="160"/>
  <c r="B47" i="160"/>
  <c r="E46" i="160"/>
  <c r="B46" i="160"/>
  <c r="H41" i="160"/>
  <c r="G41" i="160"/>
  <c r="F41" i="160"/>
  <c r="E41" i="160"/>
  <c r="D41" i="160"/>
  <c r="B41" i="160"/>
  <c r="H40" i="160"/>
  <c r="G40" i="160"/>
  <c r="F40" i="160"/>
  <c r="E40" i="160"/>
  <c r="D40" i="160"/>
  <c r="B40" i="160"/>
  <c r="G39" i="160"/>
  <c r="F39" i="160"/>
  <c r="E39" i="160"/>
  <c r="D39" i="160"/>
  <c r="B39" i="160"/>
  <c r="H38" i="160"/>
  <c r="G38" i="160"/>
  <c r="F38" i="160"/>
  <c r="E38" i="160"/>
  <c r="D38" i="160"/>
  <c r="B38" i="160"/>
  <c r="H32" i="160"/>
  <c r="G32" i="160"/>
  <c r="E32" i="160"/>
  <c r="B32" i="160"/>
  <c r="H31" i="160"/>
  <c r="G31" i="160"/>
  <c r="E31" i="160"/>
  <c r="B31" i="160"/>
  <c r="H30" i="160"/>
  <c r="G30" i="160"/>
  <c r="E30" i="160"/>
  <c r="B30" i="160"/>
  <c r="H29" i="160"/>
  <c r="G29" i="160"/>
  <c r="E29" i="160"/>
  <c r="B29" i="160"/>
  <c r="H28" i="160"/>
  <c r="G28" i="160"/>
  <c r="E28" i="160"/>
  <c r="B28" i="160"/>
  <c r="H27" i="160"/>
  <c r="G27" i="160"/>
  <c r="E27" i="160"/>
  <c r="B27" i="160"/>
  <c r="H26" i="160"/>
  <c r="G26" i="160"/>
  <c r="E26" i="160"/>
  <c r="B26" i="160"/>
  <c r="G24" i="160"/>
  <c r="H24" i="160" s="1"/>
  <c r="E24" i="160"/>
  <c r="B24" i="160"/>
  <c r="H18" i="160"/>
  <c r="G18" i="160"/>
  <c r="E18" i="160"/>
  <c r="B18" i="160"/>
  <c r="H17" i="160"/>
  <c r="G17" i="160"/>
  <c r="E17" i="160"/>
  <c r="B17" i="160"/>
  <c r="H16" i="160"/>
  <c r="G16" i="160"/>
  <c r="E16" i="160"/>
  <c r="B16" i="160"/>
  <c r="H15" i="160"/>
  <c r="G15" i="160"/>
  <c r="E15" i="160"/>
  <c r="B15" i="160"/>
  <c r="H14" i="160"/>
  <c r="G14" i="160"/>
  <c r="E14" i="160"/>
  <c r="F13" i="160"/>
  <c r="E13" i="160"/>
  <c r="B13" i="160"/>
  <c r="F5" i="160"/>
  <c r="F3" i="160"/>
  <c r="F2" i="160"/>
  <c r="D2" i="160"/>
  <c r="B24" i="159"/>
  <c r="E24" i="159"/>
  <c r="G24" i="159"/>
  <c r="H24" i="159" s="1"/>
  <c r="H7" i="159"/>
  <c r="B8" i="159"/>
  <c r="A8" i="159"/>
  <c r="H49" i="159"/>
  <c r="G49" i="159"/>
  <c r="E49" i="159"/>
  <c r="B49" i="159"/>
  <c r="H48" i="159"/>
  <c r="G48" i="159"/>
  <c r="E48" i="159"/>
  <c r="B48" i="159"/>
  <c r="H47" i="159"/>
  <c r="G47" i="159"/>
  <c r="E47" i="159"/>
  <c r="B47" i="159"/>
  <c r="E46" i="159"/>
  <c r="B46" i="159"/>
  <c r="H41" i="159"/>
  <c r="G41" i="159"/>
  <c r="F41" i="159"/>
  <c r="E41" i="159"/>
  <c r="D41" i="159"/>
  <c r="B41" i="159"/>
  <c r="H40" i="159"/>
  <c r="G40" i="159"/>
  <c r="F40" i="159"/>
  <c r="E40" i="159"/>
  <c r="D40" i="159"/>
  <c r="B40" i="159"/>
  <c r="G39" i="159"/>
  <c r="F39" i="159"/>
  <c r="E39" i="159"/>
  <c r="D39" i="159"/>
  <c r="B39" i="159"/>
  <c r="H38" i="159"/>
  <c r="G38" i="159"/>
  <c r="F38" i="159"/>
  <c r="E38" i="159"/>
  <c r="D38" i="159"/>
  <c r="B38" i="159"/>
  <c r="H32" i="159"/>
  <c r="G32" i="159"/>
  <c r="E32" i="159"/>
  <c r="B32" i="159"/>
  <c r="H31" i="159"/>
  <c r="G31" i="159"/>
  <c r="E31" i="159"/>
  <c r="B31" i="159"/>
  <c r="H30" i="159"/>
  <c r="G30" i="159"/>
  <c r="E30" i="159"/>
  <c r="B30" i="159"/>
  <c r="H29" i="159"/>
  <c r="G29" i="159"/>
  <c r="E29" i="159"/>
  <c r="B29" i="159"/>
  <c r="H28" i="159"/>
  <c r="G28" i="159"/>
  <c r="E28" i="159"/>
  <c r="B28" i="159"/>
  <c r="H27" i="159"/>
  <c r="G27" i="159"/>
  <c r="E27" i="159"/>
  <c r="B27" i="159"/>
  <c r="H26" i="159"/>
  <c r="G26" i="159"/>
  <c r="E26" i="159"/>
  <c r="B26" i="159"/>
  <c r="E23" i="159"/>
  <c r="B23" i="159"/>
  <c r="H18" i="159"/>
  <c r="G18" i="159"/>
  <c r="E18" i="159"/>
  <c r="B18" i="159"/>
  <c r="H17" i="159"/>
  <c r="G17" i="159"/>
  <c r="E17" i="159"/>
  <c r="B17" i="159"/>
  <c r="H16" i="159"/>
  <c r="G16" i="159"/>
  <c r="E16" i="159"/>
  <c r="B16" i="159"/>
  <c r="H15" i="159"/>
  <c r="G15" i="159"/>
  <c r="E15" i="159"/>
  <c r="B15" i="159"/>
  <c r="H14" i="159"/>
  <c r="G14" i="159"/>
  <c r="E14" i="159"/>
  <c r="F13" i="159"/>
  <c r="E13" i="159"/>
  <c r="B13" i="159"/>
  <c r="F5" i="159"/>
  <c r="F3" i="159"/>
  <c r="F2" i="159"/>
  <c r="D2" i="159"/>
  <c r="H7" i="158"/>
  <c r="B8" i="158"/>
  <c r="A8" i="158"/>
  <c r="H49" i="158"/>
  <c r="G49" i="158"/>
  <c r="E49" i="158"/>
  <c r="B49" i="158"/>
  <c r="H48" i="158"/>
  <c r="G48" i="158"/>
  <c r="E48" i="158"/>
  <c r="B48" i="158"/>
  <c r="H47" i="158"/>
  <c r="G47" i="158"/>
  <c r="E47" i="158"/>
  <c r="B47" i="158"/>
  <c r="E46" i="158"/>
  <c r="B46" i="158"/>
  <c r="H41" i="158"/>
  <c r="G41" i="158"/>
  <c r="F41" i="158"/>
  <c r="E41" i="158"/>
  <c r="D41" i="158"/>
  <c r="B41" i="158"/>
  <c r="H40" i="158"/>
  <c r="G40" i="158"/>
  <c r="F40" i="158"/>
  <c r="E40" i="158"/>
  <c r="D40" i="158"/>
  <c r="B40" i="158"/>
  <c r="H39" i="158"/>
  <c r="G39" i="158"/>
  <c r="F39" i="158"/>
  <c r="E39" i="158"/>
  <c r="D39" i="158"/>
  <c r="B39" i="158"/>
  <c r="H38" i="158"/>
  <c r="G38" i="158"/>
  <c r="F38" i="158"/>
  <c r="E38" i="158"/>
  <c r="D38" i="158"/>
  <c r="B38" i="158"/>
  <c r="A37" i="158"/>
  <c r="G37" i="158" s="1"/>
  <c r="H32" i="158"/>
  <c r="G32" i="158"/>
  <c r="E32" i="158"/>
  <c r="B32" i="158"/>
  <c r="H31" i="158"/>
  <c r="G31" i="158"/>
  <c r="E31" i="158"/>
  <c r="B31" i="158"/>
  <c r="H30" i="158"/>
  <c r="G30" i="158"/>
  <c r="E30" i="158"/>
  <c r="B30" i="158"/>
  <c r="H29" i="158"/>
  <c r="G29" i="158"/>
  <c r="E29" i="158"/>
  <c r="B29" i="158"/>
  <c r="H28" i="158"/>
  <c r="G28" i="158"/>
  <c r="E28" i="158"/>
  <c r="B28" i="158"/>
  <c r="H27" i="158"/>
  <c r="G27" i="158"/>
  <c r="E27" i="158"/>
  <c r="B27" i="158"/>
  <c r="H26" i="158"/>
  <c r="G26" i="158"/>
  <c r="E26" i="158"/>
  <c r="B26" i="158"/>
  <c r="E25" i="158"/>
  <c r="E24" i="158"/>
  <c r="E23" i="158"/>
  <c r="H18" i="158"/>
  <c r="G18" i="158"/>
  <c r="E18" i="158"/>
  <c r="B18" i="158"/>
  <c r="H17" i="158"/>
  <c r="G17" i="158"/>
  <c r="E17" i="158"/>
  <c r="B17" i="158"/>
  <c r="H16" i="158"/>
  <c r="G16" i="158"/>
  <c r="E16" i="158"/>
  <c r="B16" i="158"/>
  <c r="H15" i="158"/>
  <c r="G15" i="158"/>
  <c r="E15" i="158"/>
  <c r="B15" i="158"/>
  <c r="H14" i="158"/>
  <c r="G14" i="158"/>
  <c r="E14" i="158"/>
  <c r="B14" i="158"/>
  <c r="F13" i="158"/>
  <c r="E13" i="158"/>
  <c r="B13" i="158"/>
  <c r="F5" i="158"/>
  <c r="F3" i="158"/>
  <c r="F2" i="158"/>
  <c r="D2" i="158"/>
  <c r="H7" i="157"/>
  <c r="B8" i="157"/>
  <c r="A8" i="157"/>
  <c r="H49" i="157"/>
  <c r="G49" i="157"/>
  <c r="E49" i="157"/>
  <c r="B49" i="157"/>
  <c r="H48" i="157"/>
  <c r="G48" i="157"/>
  <c r="E48" i="157"/>
  <c r="B48" i="157"/>
  <c r="H47" i="157"/>
  <c r="G47" i="157"/>
  <c r="E47" i="157"/>
  <c r="B47" i="157"/>
  <c r="E46" i="157"/>
  <c r="B46" i="157"/>
  <c r="H41" i="157"/>
  <c r="G41" i="157"/>
  <c r="F41" i="157"/>
  <c r="E41" i="157"/>
  <c r="D41" i="157"/>
  <c r="B41" i="157"/>
  <c r="H40" i="157"/>
  <c r="G40" i="157"/>
  <c r="F40" i="157"/>
  <c r="E40" i="157"/>
  <c r="D40" i="157"/>
  <c r="B40" i="157"/>
  <c r="H39" i="157"/>
  <c r="G39" i="157"/>
  <c r="F39" i="157"/>
  <c r="E39" i="157"/>
  <c r="D39" i="157"/>
  <c r="B39" i="157"/>
  <c r="H38" i="157"/>
  <c r="G38" i="157"/>
  <c r="F38" i="157"/>
  <c r="E38" i="157"/>
  <c r="D38" i="157"/>
  <c r="B38" i="157"/>
  <c r="H32" i="157"/>
  <c r="G32" i="157"/>
  <c r="E32" i="157"/>
  <c r="B32" i="157"/>
  <c r="H31" i="157"/>
  <c r="G31" i="157"/>
  <c r="E31" i="157"/>
  <c r="B31" i="157"/>
  <c r="H30" i="157"/>
  <c r="G30" i="157"/>
  <c r="E30" i="157"/>
  <c r="B30" i="157"/>
  <c r="H29" i="157"/>
  <c r="G29" i="157"/>
  <c r="E29" i="157"/>
  <c r="B29" i="157"/>
  <c r="H28" i="157"/>
  <c r="G28" i="157"/>
  <c r="E28" i="157"/>
  <c r="B28" i="157"/>
  <c r="H27" i="157"/>
  <c r="G27" i="157"/>
  <c r="E27" i="157"/>
  <c r="B27" i="157"/>
  <c r="H26" i="157"/>
  <c r="G26" i="157"/>
  <c r="E26" i="157"/>
  <c r="B26" i="157"/>
  <c r="G25" i="157"/>
  <c r="F25" i="157"/>
  <c r="E25" i="157"/>
  <c r="B25" i="157"/>
  <c r="E24" i="157"/>
  <c r="B24" i="157"/>
  <c r="F23" i="157"/>
  <c r="E23" i="157"/>
  <c r="B23" i="157"/>
  <c r="H18" i="157"/>
  <c r="G18" i="157"/>
  <c r="E18" i="157"/>
  <c r="B18" i="157"/>
  <c r="H17" i="157"/>
  <c r="G17" i="157"/>
  <c r="E17" i="157"/>
  <c r="B17" i="157"/>
  <c r="H16" i="157"/>
  <c r="G16" i="157"/>
  <c r="E16" i="157"/>
  <c r="B16" i="157"/>
  <c r="H15" i="157"/>
  <c r="G15" i="157"/>
  <c r="E15" i="157"/>
  <c r="B15" i="157"/>
  <c r="E14" i="157"/>
  <c r="B14" i="157"/>
  <c r="F13" i="157"/>
  <c r="E13" i="157"/>
  <c r="B13" i="157"/>
  <c r="F5" i="157"/>
  <c r="F3" i="157"/>
  <c r="F2" i="157"/>
  <c r="D2" i="157"/>
  <c r="D37" i="158" l="1"/>
  <c r="D37" i="162"/>
  <c r="B37" i="171"/>
  <c r="H33" i="162"/>
  <c r="H33" i="171"/>
  <c r="H33" i="165"/>
  <c r="H33" i="161"/>
  <c r="H33" i="166"/>
  <c r="H33" i="170"/>
  <c r="H33" i="167"/>
  <c r="H42" i="176"/>
  <c r="H42" i="175"/>
  <c r="H42" i="174"/>
  <c r="H42" i="173"/>
  <c r="H42" i="170"/>
  <c r="D37" i="171"/>
  <c r="E37" i="171"/>
  <c r="H37" i="171" s="1"/>
  <c r="H42" i="171" s="1"/>
  <c r="H42" i="168"/>
  <c r="H46" i="168"/>
  <c r="H50" i="168" s="1"/>
  <c r="G13" i="168" s="1"/>
  <c r="H13" i="168" s="1"/>
  <c r="H19" i="168" s="1"/>
  <c r="H33" i="168"/>
  <c r="H42" i="167"/>
  <c r="H42" i="166"/>
  <c r="H42" i="165"/>
  <c r="H42" i="163"/>
  <c r="H42" i="164"/>
  <c r="H42" i="161"/>
  <c r="B37" i="162"/>
  <c r="E37" i="162"/>
  <c r="H37" i="162" s="1"/>
  <c r="H42" i="162" s="1"/>
  <c r="H42" i="160"/>
  <c r="H42" i="159"/>
  <c r="E37" i="158"/>
  <c r="H25" i="157"/>
  <c r="H42" i="157"/>
  <c r="F37" i="158"/>
  <c r="H52" i="168" l="1"/>
  <c r="H37" i="158"/>
  <c r="H42" i="158" s="1"/>
  <c r="E24" i="156" l="1"/>
  <c r="G24" i="156"/>
  <c r="H24" i="156" s="1"/>
  <c r="B24" i="156"/>
  <c r="G524" i="17"/>
  <c r="F524" i="17"/>
  <c r="E524" i="17"/>
  <c r="D524" i="17"/>
  <c r="B524" i="17"/>
  <c r="G523" i="17"/>
  <c r="F523" i="17"/>
  <c r="E523" i="17"/>
  <c r="D523" i="17"/>
  <c r="B523" i="17"/>
  <c r="G512" i="17"/>
  <c r="H512" i="17" s="1"/>
  <c r="E512" i="17"/>
  <c r="B512" i="17"/>
  <c r="H523" i="17" l="1"/>
  <c r="H524" i="17"/>
  <c r="H7" i="156" l="1"/>
  <c r="B8" i="156"/>
  <c r="A8" i="156"/>
  <c r="H49" i="156"/>
  <c r="G49" i="156"/>
  <c r="E49" i="156"/>
  <c r="B49" i="156"/>
  <c r="H48" i="156"/>
  <c r="G48" i="156"/>
  <c r="E48" i="156"/>
  <c r="B48" i="156"/>
  <c r="H47" i="156"/>
  <c r="G47" i="156"/>
  <c r="E47" i="156"/>
  <c r="B47" i="156"/>
  <c r="E46" i="156"/>
  <c r="B46" i="156"/>
  <c r="H41" i="156"/>
  <c r="G41" i="156"/>
  <c r="F41" i="156"/>
  <c r="E41" i="156"/>
  <c r="D41" i="156"/>
  <c r="B41" i="156"/>
  <c r="H40" i="156"/>
  <c r="G40" i="156"/>
  <c r="F40" i="156"/>
  <c r="E40" i="156"/>
  <c r="D40" i="156"/>
  <c r="B40" i="156"/>
  <c r="G39" i="156"/>
  <c r="F39" i="156"/>
  <c r="E39" i="156"/>
  <c r="D39" i="156"/>
  <c r="B39" i="156"/>
  <c r="H38" i="156"/>
  <c r="G38" i="156"/>
  <c r="F38" i="156"/>
  <c r="E38" i="156"/>
  <c r="D38" i="156"/>
  <c r="B38" i="156"/>
  <c r="H32" i="156"/>
  <c r="G32" i="156"/>
  <c r="E32" i="156"/>
  <c r="B32" i="156"/>
  <c r="H31" i="156"/>
  <c r="G31" i="156"/>
  <c r="E31" i="156"/>
  <c r="B31" i="156"/>
  <c r="H30" i="156"/>
  <c r="G30" i="156"/>
  <c r="E30" i="156"/>
  <c r="B30" i="156"/>
  <c r="H29" i="156"/>
  <c r="G29" i="156"/>
  <c r="E29" i="156"/>
  <c r="B29" i="156"/>
  <c r="H28" i="156"/>
  <c r="G28" i="156"/>
  <c r="E28" i="156"/>
  <c r="B28" i="156"/>
  <c r="H27" i="156"/>
  <c r="G27" i="156"/>
  <c r="E27" i="156"/>
  <c r="B27" i="156"/>
  <c r="H26" i="156"/>
  <c r="G26" i="156"/>
  <c r="E26" i="156"/>
  <c r="B26" i="156"/>
  <c r="E23" i="156"/>
  <c r="B23" i="156"/>
  <c r="H18" i="156"/>
  <c r="G18" i="156"/>
  <c r="E18" i="156"/>
  <c r="B18" i="156"/>
  <c r="H17" i="156"/>
  <c r="G17" i="156"/>
  <c r="E17" i="156"/>
  <c r="B17" i="156"/>
  <c r="H16" i="156"/>
  <c r="G16" i="156"/>
  <c r="E16" i="156"/>
  <c r="B16" i="156"/>
  <c r="H15" i="156"/>
  <c r="G15" i="156"/>
  <c r="E15" i="156"/>
  <c r="B15" i="156"/>
  <c r="H14" i="156"/>
  <c r="G14" i="156"/>
  <c r="E14" i="156"/>
  <c r="F13" i="156"/>
  <c r="E13" i="156"/>
  <c r="B13" i="156"/>
  <c r="F5" i="156"/>
  <c r="F3" i="156"/>
  <c r="F2" i="156"/>
  <c r="D2" i="156"/>
  <c r="H7" i="154"/>
  <c r="H7" i="155"/>
  <c r="B8" i="155"/>
  <c r="A8" i="155"/>
  <c r="H49" i="155"/>
  <c r="G49" i="155"/>
  <c r="E49" i="155"/>
  <c r="B49" i="155"/>
  <c r="H48" i="155"/>
  <c r="G48" i="155"/>
  <c r="E48" i="155"/>
  <c r="B48" i="155"/>
  <c r="H47" i="155"/>
  <c r="G47" i="155"/>
  <c r="E47" i="155"/>
  <c r="B47" i="155"/>
  <c r="E46" i="155"/>
  <c r="B46" i="155"/>
  <c r="H41" i="155"/>
  <c r="G41" i="155"/>
  <c r="F41" i="155"/>
  <c r="E41" i="155"/>
  <c r="D41" i="155"/>
  <c r="B41" i="155"/>
  <c r="H40" i="155"/>
  <c r="G40" i="155"/>
  <c r="F40" i="155"/>
  <c r="E40" i="155"/>
  <c r="D40" i="155"/>
  <c r="B40" i="155"/>
  <c r="G39" i="155"/>
  <c r="F39" i="155"/>
  <c r="E39" i="155"/>
  <c r="D39" i="155"/>
  <c r="B39" i="155"/>
  <c r="H38" i="155"/>
  <c r="G38" i="155"/>
  <c r="F38" i="155"/>
  <c r="E38" i="155"/>
  <c r="D38" i="155"/>
  <c r="B38" i="155"/>
  <c r="H37" i="155"/>
  <c r="G37" i="155"/>
  <c r="F37" i="155"/>
  <c r="E37" i="155"/>
  <c r="D37" i="155"/>
  <c r="B37" i="155"/>
  <c r="H32" i="155"/>
  <c r="G32" i="155"/>
  <c r="E32" i="155"/>
  <c r="B32" i="155"/>
  <c r="H31" i="155"/>
  <c r="G31" i="155"/>
  <c r="E31" i="155"/>
  <c r="B31" i="155"/>
  <c r="H30" i="155"/>
  <c r="G30" i="155"/>
  <c r="E30" i="155"/>
  <c r="B30" i="155"/>
  <c r="H29" i="155"/>
  <c r="G29" i="155"/>
  <c r="E29" i="155"/>
  <c r="B29" i="155"/>
  <c r="H28" i="155"/>
  <c r="G28" i="155"/>
  <c r="E28" i="155"/>
  <c r="B28" i="155"/>
  <c r="H27" i="155"/>
  <c r="G27" i="155"/>
  <c r="E27" i="155"/>
  <c r="B27" i="155"/>
  <c r="H26" i="155"/>
  <c r="G26" i="155"/>
  <c r="E26" i="155"/>
  <c r="B26" i="155"/>
  <c r="E23" i="155"/>
  <c r="B23" i="155"/>
  <c r="H18" i="155"/>
  <c r="G18" i="155"/>
  <c r="E18" i="155"/>
  <c r="B18" i="155"/>
  <c r="H17" i="155"/>
  <c r="G17" i="155"/>
  <c r="E17" i="155"/>
  <c r="B17" i="155"/>
  <c r="H16" i="155"/>
  <c r="G16" i="155"/>
  <c r="E16" i="155"/>
  <c r="B16" i="155"/>
  <c r="H15" i="155"/>
  <c r="G15" i="155"/>
  <c r="E15" i="155"/>
  <c r="B15" i="155"/>
  <c r="H14" i="155"/>
  <c r="G14" i="155"/>
  <c r="E14" i="155"/>
  <c r="F13" i="155"/>
  <c r="E13" i="155"/>
  <c r="B13" i="155"/>
  <c r="F5" i="155"/>
  <c r="F3" i="155"/>
  <c r="F2" i="155"/>
  <c r="D2" i="155"/>
  <c r="A8" i="154"/>
  <c r="H49" i="154"/>
  <c r="G49" i="154"/>
  <c r="E49" i="154"/>
  <c r="B49" i="154"/>
  <c r="H48" i="154"/>
  <c r="G48" i="154"/>
  <c r="E48" i="154"/>
  <c r="B48" i="154"/>
  <c r="H47" i="154"/>
  <c r="G47" i="154"/>
  <c r="E47" i="154"/>
  <c r="B47" i="154"/>
  <c r="E46" i="154"/>
  <c r="B46" i="154"/>
  <c r="H41" i="154"/>
  <c r="G41" i="154"/>
  <c r="F41" i="154"/>
  <c r="E41" i="154"/>
  <c r="D41" i="154"/>
  <c r="B41" i="154"/>
  <c r="H40" i="154"/>
  <c r="G40" i="154"/>
  <c r="F40" i="154"/>
  <c r="E40" i="154"/>
  <c r="D40" i="154"/>
  <c r="B40" i="154"/>
  <c r="H39" i="154"/>
  <c r="G39" i="154"/>
  <c r="F39" i="154"/>
  <c r="E39" i="154"/>
  <c r="D39" i="154"/>
  <c r="B39" i="154"/>
  <c r="H38" i="154"/>
  <c r="G38" i="154"/>
  <c r="F38" i="154"/>
  <c r="E38" i="154"/>
  <c r="D38" i="154"/>
  <c r="B38" i="154"/>
  <c r="A37" i="154"/>
  <c r="G37" i="154" s="1"/>
  <c r="H32" i="154"/>
  <c r="G32" i="154"/>
  <c r="E32" i="154"/>
  <c r="B32" i="154"/>
  <c r="H31" i="154"/>
  <c r="G31" i="154"/>
  <c r="E31" i="154"/>
  <c r="B31" i="154"/>
  <c r="H30" i="154"/>
  <c r="G30" i="154"/>
  <c r="E30" i="154"/>
  <c r="B30" i="154"/>
  <c r="H29" i="154"/>
  <c r="G29" i="154"/>
  <c r="E29" i="154"/>
  <c r="B29" i="154"/>
  <c r="H28" i="154"/>
  <c r="G28" i="154"/>
  <c r="E28" i="154"/>
  <c r="B28" i="154"/>
  <c r="H27" i="154"/>
  <c r="G27" i="154"/>
  <c r="E27" i="154"/>
  <c r="B27" i="154"/>
  <c r="H26" i="154"/>
  <c r="G26" i="154"/>
  <c r="E26" i="154"/>
  <c r="B26" i="154"/>
  <c r="H25" i="154"/>
  <c r="G25" i="154"/>
  <c r="E25" i="154"/>
  <c r="B25" i="154"/>
  <c r="H24" i="154"/>
  <c r="G24" i="154"/>
  <c r="E24" i="154"/>
  <c r="B24" i="154"/>
  <c r="G23" i="154"/>
  <c r="H23" i="154" s="1"/>
  <c r="E23" i="154"/>
  <c r="B23" i="154"/>
  <c r="H18" i="154"/>
  <c r="G18" i="154"/>
  <c r="E18" i="154"/>
  <c r="B18" i="154"/>
  <c r="H17" i="154"/>
  <c r="G17" i="154"/>
  <c r="E17" i="154"/>
  <c r="B17" i="154"/>
  <c r="H16" i="154"/>
  <c r="G16" i="154"/>
  <c r="E16" i="154"/>
  <c r="B16" i="154"/>
  <c r="H15" i="154"/>
  <c r="G15" i="154"/>
  <c r="E15" i="154"/>
  <c r="B15" i="154"/>
  <c r="E14" i="154"/>
  <c r="B14" i="154"/>
  <c r="F13" i="154"/>
  <c r="E13" i="154"/>
  <c r="B13" i="154"/>
  <c r="B8" i="154"/>
  <c r="F5" i="154"/>
  <c r="F3" i="154"/>
  <c r="F2" i="154"/>
  <c r="D2" i="154"/>
  <c r="B8" i="153"/>
  <c r="A8" i="153"/>
  <c r="H7" i="153"/>
  <c r="H49" i="153"/>
  <c r="G49" i="153"/>
  <c r="E49" i="153"/>
  <c r="B49" i="153"/>
  <c r="H48" i="153"/>
  <c r="G48" i="153"/>
  <c r="E48" i="153"/>
  <c r="B48" i="153"/>
  <c r="H47" i="153"/>
  <c r="G47" i="153"/>
  <c r="E47" i="153"/>
  <c r="B47" i="153"/>
  <c r="E46" i="153"/>
  <c r="B46" i="153"/>
  <c r="H41" i="153"/>
  <c r="G41" i="153"/>
  <c r="F41" i="153"/>
  <c r="E41" i="153"/>
  <c r="D41" i="153"/>
  <c r="B41" i="153"/>
  <c r="H40" i="153"/>
  <c r="G40" i="153"/>
  <c r="F40" i="153"/>
  <c r="E40" i="153"/>
  <c r="D40" i="153"/>
  <c r="B40" i="153"/>
  <c r="H39" i="153"/>
  <c r="G39" i="153"/>
  <c r="F39" i="153"/>
  <c r="E39" i="153"/>
  <c r="D39" i="153"/>
  <c r="B39" i="153"/>
  <c r="H38" i="153"/>
  <c r="G38" i="153"/>
  <c r="F38" i="153"/>
  <c r="E38" i="153"/>
  <c r="D38" i="153"/>
  <c r="B38" i="153"/>
  <c r="H37" i="153"/>
  <c r="G37" i="153"/>
  <c r="E37" i="153"/>
  <c r="D37" i="153"/>
  <c r="B37" i="153"/>
  <c r="H32" i="153"/>
  <c r="G32" i="153"/>
  <c r="E32" i="153"/>
  <c r="B32" i="153"/>
  <c r="H31" i="153"/>
  <c r="G31" i="153"/>
  <c r="E31" i="153"/>
  <c r="B31" i="153"/>
  <c r="H30" i="153"/>
  <c r="G30" i="153"/>
  <c r="E30" i="153"/>
  <c r="B30" i="153"/>
  <c r="H29" i="153"/>
  <c r="G29" i="153"/>
  <c r="E29" i="153"/>
  <c r="B29" i="153"/>
  <c r="H28" i="153"/>
  <c r="G28" i="153"/>
  <c r="E28" i="153"/>
  <c r="B28" i="153"/>
  <c r="H27" i="153"/>
  <c r="G27" i="153"/>
  <c r="E27" i="153"/>
  <c r="B27" i="153"/>
  <c r="H26" i="153"/>
  <c r="G26" i="153"/>
  <c r="E26" i="153"/>
  <c r="B26" i="153"/>
  <c r="H25" i="153"/>
  <c r="G25" i="153"/>
  <c r="E25" i="153"/>
  <c r="B25" i="153"/>
  <c r="H24" i="153"/>
  <c r="G24" i="153"/>
  <c r="E24" i="153"/>
  <c r="B24" i="153"/>
  <c r="H23" i="153"/>
  <c r="G23" i="153"/>
  <c r="E23" i="153"/>
  <c r="B23" i="153"/>
  <c r="H18" i="153"/>
  <c r="G18" i="153"/>
  <c r="E18" i="153"/>
  <c r="B18" i="153"/>
  <c r="H17" i="153"/>
  <c r="G17" i="153"/>
  <c r="E17" i="153"/>
  <c r="B17" i="153"/>
  <c r="H16" i="153"/>
  <c r="G16" i="153"/>
  <c r="E16" i="153"/>
  <c r="B16" i="153"/>
  <c r="H15" i="153"/>
  <c r="G15" i="153"/>
  <c r="E15" i="153"/>
  <c r="B15" i="153"/>
  <c r="H14" i="153"/>
  <c r="G14" i="153"/>
  <c r="E14" i="153"/>
  <c r="B14" i="153"/>
  <c r="F13" i="153"/>
  <c r="E13" i="153"/>
  <c r="B13" i="153"/>
  <c r="F5" i="153"/>
  <c r="F3" i="153"/>
  <c r="F2" i="153"/>
  <c r="D2" i="153"/>
  <c r="B8" i="126"/>
  <c r="E37" i="154" l="1"/>
  <c r="H37" i="154" s="1"/>
  <c r="H42" i="154" s="1"/>
  <c r="B37" i="154"/>
  <c r="D37" i="154"/>
  <c r="H33" i="154"/>
  <c r="H42" i="156"/>
  <c r="H42" i="155"/>
  <c r="H42" i="153"/>
  <c r="H33" i="153"/>
  <c r="BL207" i="149" l="1"/>
  <c r="D72" i="16" s="1"/>
  <c r="D66" i="240" s="1"/>
  <c r="BL199" i="149"/>
  <c r="BL198" i="149"/>
  <c r="D74" i="16" s="1"/>
  <c r="D68" i="240" s="1"/>
  <c r="DV27" i="149"/>
  <c r="D2" i="147"/>
  <c r="DU83" i="149"/>
  <c r="DU84" i="149"/>
  <c r="DU85" i="149"/>
  <c r="DU86" i="149"/>
  <c r="DU87" i="149"/>
  <c r="DU88" i="149"/>
  <c r="DU89" i="149"/>
  <c r="DU90" i="149"/>
  <c r="DU91" i="149"/>
  <c r="DU92" i="149"/>
  <c r="DU93" i="149"/>
  <c r="DU94" i="149"/>
  <c r="DU95" i="149"/>
  <c r="DU96" i="149"/>
  <c r="DU97" i="149"/>
  <c r="DU98" i="149"/>
  <c r="DU99" i="149"/>
  <c r="DU100" i="149"/>
  <c r="DU102" i="149"/>
  <c r="DU103" i="149"/>
  <c r="DU104" i="149"/>
  <c r="DU105" i="149"/>
  <c r="DU106" i="149"/>
  <c r="DU107" i="149"/>
  <c r="DU108" i="149"/>
  <c r="DU109" i="149"/>
  <c r="DU110" i="149"/>
  <c r="DU111" i="149"/>
  <c r="DU112" i="149"/>
  <c r="DU113" i="149"/>
  <c r="DU114" i="149"/>
  <c r="CV160" i="149"/>
  <c r="CU160" i="149"/>
  <c r="BK174" i="149" s="1"/>
  <c r="DF114" i="149"/>
  <c r="DI114" i="149" s="1"/>
  <c r="CW114" i="149"/>
  <c r="CT114" i="149"/>
  <c r="CS114" i="149"/>
  <c r="CF114" i="149"/>
  <c r="BM114" i="149"/>
  <c r="BK114" i="149"/>
  <c r="BJ114" i="149"/>
  <c r="BI114" i="149"/>
  <c r="DF113" i="149"/>
  <c r="DI113" i="149" s="1"/>
  <c r="CW113" i="149"/>
  <c r="CT113" i="149"/>
  <c r="CS113" i="149"/>
  <c r="CF113" i="149"/>
  <c r="BM113" i="149"/>
  <c r="BK113" i="149"/>
  <c r="BJ113" i="149"/>
  <c r="BI113" i="149"/>
  <c r="DF112" i="149"/>
  <c r="DI112" i="149" s="1"/>
  <c r="CW112" i="149"/>
  <c r="CT112" i="149"/>
  <c r="CS112" i="149"/>
  <c r="CF112" i="149"/>
  <c r="BM112" i="149"/>
  <c r="BJ112" i="149"/>
  <c r="BK112" i="149"/>
  <c r="BI112" i="149"/>
  <c r="DF111" i="149"/>
  <c r="DI111" i="149" s="1"/>
  <c r="CW111" i="149"/>
  <c r="CT111" i="149"/>
  <c r="CS111" i="149"/>
  <c r="CF111" i="149"/>
  <c r="BM111" i="149"/>
  <c r="BJ111" i="149"/>
  <c r="BI111" i="149"/>
  <c r="DF110" i="149"/>
  <c r="DI110" i="149" s="1"/>
  <c r="CW110" i="149"/>
  <c r="CT110" i="149"/>
  <c r="CS110" i="149"/>
  <c r="CF110" i="149"/>
  <c r="BM110" i="149"/>
  <c r="BJ110" i="149"/>
  <c r="BI110" i="149"/>
  <c r="DF109" i="149"/>
  <c r="CW109" i="149"/>
  <c r="CT109" i="149"/>
  <c r="CS109" i="149"/>
  <c r="CF109" i="149"/>
  <c r="BM109" i="149"/>
  <c r="BK109" i="149"/>
  <c r="BJ109" i="149"/>
  <c r="BI109" i="149"/>
  <c r="DF108" i="149"/>
  <c r="DI108" i="149" s="1"/>
  <c r="CW108" i="149"/>
  <c r="CT108" i="149"/>
  <c r="CS108" i="149"/>
  <c r="CF108" i="149"/>
  <c r="BM108" i="149"/>
  <c r="BK108" i="149"/>
  <c r="BI108" i="149"/>
  <c r="BJ108" i="149"/>
  <c r="DF107" i="149"/>
  <c r="DI107" i="149" s="1"/>
  <c r="CW107" i="149"/>
  <c r="CT107" i="149"/>
  <c r="CS107" i="149"/>
  <c r="CF107" i="149"/>
  <c r="BM107" i="149"/>
  <c r="BK107" i="149"/>
  <c r="BI107" i="149"/>
  <c r="BJ107" i="149"/>
  <c r="DF106" i="149"/>
  <c r="DI106" i="149" s="1"/>
  <c r="CW106" i="149"/>
  <c r="CT106" i="149"/>
  <c r="CS106" i="149"/>
  <c r="CF106" i="149"/>
  <c r="BM106" i="149"/>
  <c r="BK106" i="149"/>
  <c r="BJ106" i="149"/>
  <c r="BI106" i="149"/>
  <c r="DF105" i="149"/>
  <c r="DI105" i="149" s="1"/>
  <c r="CW105" i="149"/>
  <c r="CT105" i="149"/>
  <c r="CS105" i="149"/>
  <c r="CF105" i="149"/>
  <c r="BM105" i="149"/>
  <c r="BJ105" i="149"/>
  <c r="BI105" i="149"/>
  <c r="DF104" i="149"/>
  <c r="DI104" i="149" s="1"/>
  <c r="CW104" i="149"/>
  <c r="CT104" i="149"/>
  <c r="CS104" i="149"/>
  <c r="CF104" i="149"/>
  <c r="BM104" i="149"/>
  <c r="BJ104" i="149"/>
  <c r="BI104" i="149"/>
  <c r="DF103" i="149"/>
  <c r="DI103" i="149" s="1"/>
  <c r="CW103" i="149"/>
  <c r="CT103" i="149"/>
  <c r="CS103" i="149"/>
  <c r="CF103" i="149"/>
  <c r="BM103" i="149"/>
  <c r="BI103" i="149"/>
  <c r="BJ103" i="149"/>
  <c r="DF102" i="149"/>
  <c r="DI102" i="149" s="1"/>
  <c r="CW102" i="149"/>
  <c r="CT102" i="149"/>
  <c r="CS102" i="149"/>
  <c r="CF102" i="149"/>
  <c r="BM102" i="149"/>
  <c r="BK102" i="149"/>
  <c r="BJ102" i="149"/>
  <c r="BI102" i="149"/>
  <c r="DF100" i="149"/>
  <c r="DI100" i="149" s="1"/>
  <c r="CW100" i="149"/>
  <c r="CT100" i="149"/>
  <c r="CS100" i="149"/>
  <c r="CF100" i="149"/>
  <c r="BM100" i="149"/>
  <c r="BJ100" i="149"/>
  <c r="BI100" i="149"/>
  <c r="DF99" i="149"/>
  <c r="DI99" i="149" s="1"/>
  <c r="CW99" i="149"/>
  <c r="CT99" i="149"/>
  <c r="CS99" i="149"/>
  <c r="CF99" i="149"/>
  <c r="BM99" i="149"/>
  <c r="BJ99" i="149"/>
  <c r="BI99" i="149"/>
  <c r="DF98" i="149"/>
  <c r="DI98" i="149" s="1"/>
  <c r="CW98" i="149"/>
  <c r="CT98" i="149"/>
  <c r="CS98" i="149"/>
  <c r="CF98" i="149"/>
  <c r="BM98" i="149"/>
  <c r="BK98" i="149"/>
  <c r="BJ98" i="149"/>
  <c r="DF97" i="149"/>
  <c r="DI97" i="149" s="1"/>
  <c r="CW97" i="149"/>
  <c r="CT97" i="149"/>
  <c r="CS97" i="149"/>
  <c r="CF97" i="149"/>
  <c r="BM97" i="149"/>
  <c r="BK97" i="149"/>
  <c r="BJ97" i="149"/>
  <c r="BI97" i="149"/>
  <c r="DF96" i="149"/>
  <c r="DI96" i="149" s="1"/>
  <c r="CW96" i="149"/>
  <c r="CT96" i="149"/>
  <c r="CS96" i="149"/>
  <c r="CF96" i="149"/>
  <c r="BM96" i="149"/>
  <c r="BI96" i="149"/>
  <c r="BJ96" i="149"/>
  <c r="DF95" i="149"/>
  <c r="DI95" i="149" s="1"/>
  <c r="CW95" i="149"/>
  <c r="CT95" i="149"/>
  <c r="CS95" i="149"/>
  <c r="CF95" i="149"/>
  <c r="BM95" i="149"/>
  <c r="BJ95" i="149"/>
  <c r="BI95" i="149"/>
  <c r="DF94" i="149"/>
  <c r="DI94" i="149" s="1"/>
  <c r="CW94" i="149"/>
  <c r="CT94" i="149"/>
  <c r="CS94" i="149"/>
  <c r="CF94" i="149"/>
  <c r="BM94" i="149"/>
  <c r="BK94" i="149"/>
  <c r="BJ94" i="149"/>
  <c r="BI94" i="149"/>
  <c r="DF93" i="149"/>
  <c r="DI93" i="149" s="1"/>
  <c r="CW93" i="149"/>
  <c r="CT93" i="149"/>
  <c r="CS93" i="149"/>
  <c r="CF93" i="149"/>
  <c r="BM93" i="149"/>
  <c r="BK93" i="149"/>
  <c r="BJ93" i="149"/>
  <c r="DF92" i="149"/>
  <c r="DI92" i="149" s="1"/>
  <c r="CW92" i="149"/>
  <c r="CT92" i="149"/>
  <c r="CS92" i="149"/>
  <c r="CF92" i="149"/>
  <c r="BM92" i="149"/>
  <c r="BJ92" i="149"/>
  <c r="DF91" i="149"/>
  <c r="DI91" i="149" s="1"/>
  <c r="CW91" i="149"/>
  <c r="CT91" i="149"/>
  <c r="CS91" i="149"/>
  <c r="CF91" i="149"/>
  <c r="BM91" i="149"/>
  <c r="BI91" i="149"/>
  <c r="BJ91" i="149"/>
  <c r="DF90" i="149"/>
  <c r="DI90" i="149" s="1"/>
  <c r="CW90" i="149"/>
  <c r="CT90" i="149"/>
  <c r="CS90" i="149"/>
  <c r="CF90" i="149"/>
  <c r="BM90" i="149"/>
  <c r="BJ90" i="149"/>
  <c r="BI90" i="149"/>
  <c r="DF89" i="149"/>
  <c r="DI89" i="149" s="1"/>
  <c r="CW89" i="149"/>
  <c r="CT89" i="149"/>
  <c r="CS89" i="149"/>
  <c r="CF89" i="149"/>
  <c r="BM89" i="149"/>
  <c r="BK89" i="149"/>
  <c r="BJ89" i="149"/>
  <c r="DF88" i="149"/>
  <c r="DI88" i="149" s="1"/>
  <c r="CW88" i="149"/>
  <c r="CT88" i="149"/>
  <c r="CS88" i="149"/>
  <c r="CF88" i="149"/>
  <c r="BM88" i="149"/>
  <c r="BK88" i="149"/>
  <c r="BJ88" i="149"/>
  <c r="DF87" i="149"/>
  <c r="DI87" i="149" s="1"/>
  <c r="CW87" i="149"/>
  <c r="CT87" i="149"/>
  <c r="CS87" i="149"/>
  <c r="CF87" i="149"/>
  <c r="BM87" i="149"/>
  <c r="BK87" i="149"/>
  <c r="BI87" i="149"/>
  <c r="BJ87" i="149"/>
  <c r="DF86" i="149"/>
  <c r="DI86" i="149" s="1"/>
  <c r="CW86" i="149"/>
  <c r="CT86" i="149"/>
  <c r="CS86" i="149"/>
  <c r="CF86" i="149"/>
  <c r="BM86" i="149"/>
  <c r="BK86" i="149"/>
  <c r="BJ86" i="149"/>
  <c r="BI86" i="149"/>
  <c r="DF85" i="149"/>
  <c r="DI85" i="149" s="1"/>
  <c r="CW85" i="149"/>
  <c r="CT85" i="149"/>
  <c r="CS85" i="149"/>
  <c r="CF85" i="149"/>
  <c r="BM85" i="149"/>
  <c r="BK85" i="149"/>
  <c r="BJ85" i="149"/>
  <c r="BI85" i="149"/>
  <c r="DF84" i="149"/>
  <c r="DI84" i="149" s="1"/>
  <c r="CW84" i="149"/>
  <c r="CT84" i="149"/>
  <c r="CS84" i="149"/>
  <c r="CF84" i="149"/>
  <c r="BM84" i="149"/>
  <c r="BK84" i="149"/>
  <c r="BJ84" i="149"/>
  <c r="DF83" i="149"/>
  <c r="DI83" i="149" s="1"/>
  <c r="CW83" i="149"/>
  <c r="CT83" i="149"/>
  <c r="CS83" i="149"/>
  <c r="CF83" i="149"/>
  <c r="BM83" i="149"/>
  <c r="BI83" i="149"/>
  <c r="BJ83" i="149"/>
  <c r="BM36" i="149"/>
  <c r="BK36" i="149"/>
  <c r="BI36" i="149"/>
  <c r="DF33" i="149"/>
  <c r="DI33" i="149" s="1"/>
  <c r="CW33" i="149"/>
  <c r="CT33" i="149"/>
  <c r="CS33" i="149"/>
  <c r="CF33" i="149"/>
  <c r="BM33" i="149"/>
  <c r="BK33" i="149"/>
  <c r="BJ33" i="149"/>
  <c r="DF32" i="149"/>
  <c r="DI32" i="149" s="1"/>
  <c r="CW32" i="149"/>
  <c r="CT32" i="149"/>
  <c r="CS32" i="149"/>
  <c r="CF32" i="149"/>
  <c r="BM32" i="149"/>
  <c r="BK32" i="149"/>
  <c r="BI32" i="149"/>
  <c r="BJ32" i="149"/>
  <c r="DU32" i="149"/>
  <c r="DF31" i="149"/>
  <c r="DI31" i="149" s="1"/>
  <c r="CW31" i="149"/>
  <c r="CT31" i="149"/>
  <c r="CS31" i="149"/>
  <c r="CF31" i="149"/>
  <c r="BM31" i="149"/>
  <c r="BK31" i="149"/>
  <c r="BI31" i="149"/>
  <c r="BJ31" i="149"/>
  <c r="DU31" i="149"/>
  <c r="DU30" i="149"/>
  <c r="DF30" i="149"/>
  <c r="DI30" i="149" s="1"/>
  <c r="CW30" i="149"/>
  <c r="CT30" i="149"/>
  <c r="CS30" i="149"/>
  <c r="CF30" i="149"/>
  <c r="BM30" i="149"/>
  <c r="BJ30" i="149"/>
  <c r="BI30" i="149"/>
  <c r="DF29" i="149"/>
  <c r="DI29" i="149" s="1"/>
  <c r="CW29" i="149"/>
  <c r="CT29" i="149"/>
  <c r="CS29" i="149"/>
  <c r="CF29" i="149"/>
  <c r="BM29" i="149"/>
  <c r="BK29" i="149"/>
  <c r="BJ29" i="149"/>
  <c r="BI29" i="149"/>
  <c r="DU28" i="149"/>
  <c r="DF28" i="149"/>
  <c r="DI28" i="149" s="1"/>
  <c r="CW28" i="149"/>
  <c r="CT28" i="149"/>
  <c r="CS28" i="149"/>
  <c r="CF28" i="149"/>
  <c r="BM28" i="149"/>
  <c r="BJ28" i="149"/>
  <c r="BI28" i="149"/>
  <c r="DF27" i="149"/>
  <c r="DI27" i="149" s="1"/>
  <c r="CW27" i="149"/>
  <c r="CT27" i="149"/>
  <c r="CS27" i="149"/>
  <c r="CF27" i="149"/>
  <c r="BM27" i="149"/>
  <c r="BK27" i="149"/>
  <c r="BJ27" i="149"/>
  <c r="DU26" i="149"/>
  <c r="CT26" i="149"/>
  <c r="CS26" i="149"/>
  <c r="DF25" i="149"/>
  <c r="DI25" i="149" s="1"/>
  <c r="CW25" i="149"/>
  <c r="CT25" i="149"/>
  <c r="CS25" i="149"/>
  <c r="CF25" i="149"/>
  <c r="BM25" i="149"/>
  <c r="BK25" i="149"/>
  <c r="BJ25" i="149"/>
  <c r="BI25" i="149"/>
  <c r="DU24" i="149"/>
  <c r="DF24" i="149"/>
  <c r="DI24" i="149" s="1"/>
  <c r="CW24" i="149"/>
  <c r="CT24" i="149"/>
  <c r="CS24" i="149"/>
  <c r="CF24" i="149"/>
  <c r="BM24" i="149"/>
  <c r="BJ24" i="149"/>
  <c r="BI24" i="149"/>
  <c r="DF23" i="149"/>
  <c r="DI23" i="149" s="1"/>
  <c r="CW23" i="149"/>
  <c r="CT23" i="149"/>
  <c r="CS23" i="149"/>
  <c r="CF23" i="149"/>
  <c r="BM23" i="149"/>
  <c r="BK23" i="149"/>
  <c r="BJ23" i="149"/>
  <c r="BI23" i="149"/>
  <c r="DU23" i="149"/>
  <c r="DU22" i="149"/>
  <c r="DF22" i="149"/>
  <c r="DI22" i="149" s="1"/>
  <c r="CW22" i="149"/>
  <c r="CT22" i="149"/>
  <c r="CS22" i="149"/>
  <c r="CF22" i="149"/>
  <c r="BM22" i="149"/>
  <c r="BJ22" i="149"/>
  <c r="BI22" i="149"/>
  <c r="DU21" i="149"/>
  <c r="DF21" i="149"/>
  <c r="DI21" i="149" s="1"/>
  <c r="CW21" i="149"/>
  <c r="CT21" i="149"/>
  <c r="CS21" i="149"/>
  <c r="CF21" i="149"/>
  <c r="BM21" i="149"/>
  <c r="BJ21" i="149"/>
  <c r="BI21" i="149"/>
  <c r="DF20" i="149"/>
  <c r="DI20" i="149" s="1"/>
  <c r="CW20" i="149"/>
  <c r="CT20" i="149"/>
  <c r="CS20" i="149"/>
  <c r="CF20" i="149"/>
  <c r="BM20" i="149"/>
  <c r="BJ20" i="149"/>
  <c r="BI20" i="149"/>
  <c r="DF19" i="149"/>
  <c r="DI19" i="149" s="1"/>
  <c r="CW19" i="149"/>
  <c r="CT19" i="149"/>
  <c r="CS19" i="149"/>
  <c r="CF19" i="149"/>
  <c r="BM19" i="149"/>
  <c r="BK19" i="149"/>
  <c r="BJ19" i="149"/>
  <c r="DU19" i="149"/>
  <c r="DU18" i="149"/>
  <c r="DF18" i="149"/>
  <c r="DI18" i="149" s="1"/>
  <c r="CW18" i="149"/>
  <c r="CT18" i="149"/>
  <c r="CS18" i="149"/>
  <c r="CF18" i="149"/>
  <c r="BM18" i="149"/>
  <c r="BJ18" i="149"/>
  <c r="BI18" i="149"/>
  <c r="DF17" i="149"/>
  <c r="DI17" i="149" s="1"/>
  <c r="CW17" i="149"/>
  <c r="CT17" i="149"/>
  <c r="CS17" i="149"/>
  <c r="CF17" i="149"/>
  <c r="BM17" i="149"/>
  <c r="BJ17" i="149"/>
  <c r="BI17" i="149"/>
  <c r="DF16" i="149"/>
  <c r="DI16" i="149" s="1"/>
  <c r="CW16" i="149"/>
  <c r="CT16" i="149"/>
  <c r="CS16" i="149"/>
  <c r="CF16" i="149"/>
  <c r="BM16" i="149"/>
  <c r="BK16" i="149"/>
  <c r="BJ16" i="149"/>
  <c r="BI16" i="149"/>
  <c r="DU16" i="149"/>
  <c r="DF15" i="149"/>
  <c r="DI15" i="149" s="1"/>
  <c r="CW15" i="149"/>
  <c r="CT15" i="149"/>
  <c r="CS15" i="149"/>
  <c r="CF15" i="149"/>
  <c r="BM15" i="149"/>
  <c r="BK15" i="149"/>
  <c r="BJ15" i="149"/>
  <c r="DU15" i="149"/>
  <c r="DF14" i="149"/>
  <c r="DI14" i="149" s="1"/>
  <c r="CW14" i="149"/>
  <c r="CT14" i="149"/>
  <c r="CS14" i="149"/>
  <c r="CF14" i="149"/>
  <c r="BM14" i="149"/>
  <c r="BJ14" i="149"/>
  <c r="BI14" i="149"/>
  <c r="DU13" i="149"/>
  <c r="DF13" i="149"/>
  <c r="DI13" i="149" s="1"/>
  <c r="CW13" i="149"/>
  <c r="CT13" i="149"/>
  <c r="CS13" i="149"/>
  <c r="CF13" i="149"/>
  <c r="BM13" i="149"/>
  <c r="BI13" i="149"/>
  <c r="BK13" i="149"/>
  <c r="BJ13" i="149"/>
  <c r="DI12" i="149"/>
  <c r="CW12" i="149"/>
  <c r="CT12" i="149"/>
  <c r="CS12" i="149"/>
  <c r="CF12" i="149"/>
  <c r="BM12" i="149"/>
  <c r="BJ12" i="149"/>
  <c r="DU12" i="149"/>
  <c r="DI11" i="149"/>
  <c r="CF11" i="149"/>
  <c r="BM11" i="149"/>
  <c r="BK11" i="149"/>
  <c r="BH11" i="149"/>
  <c r="B7" i="124"/>
  <c r="CO11" i="149" l="1"/>
  <c r="CN11" i="149"/>
  <c r="DR11" i="149"/>
  <c r="BY11" i="149"/>
  <c r="DQ11" i="149"/>
  <c r="BY36" i="149"/>
  <c r="DR36" i="149"/>
  <c r="CN36" i="149"/>
  <c r="DQ36" i="149"/>
  <c r="CO36" i="149"/>
  <c r="BX11" i="149"/>
  <c r="BW11" i="149"/>
  <c r="BX36" i="149"/>
  <c r="BW36" i="149"/>
  <c r="D61" i="16"/>
  <c r="D55" i="240" s="1"/>
  <c r="DO98" i="149"/>
  <c r="DO85" i="149"/>
  <c r="DO102" i="149"/>
  <c r="DO109" i="149"/>
  <c r="DO112" i="149"/>
  <c r="DO16" i="149"/>
  <c r="DO94" i="149"/>
  <c r="DO15" i="149"/>
  <c r="DO19" i="149"/>
  <c r="DO23" i="149"/>
  <c r="DO33" i="149"/>
  <c r="DO84" i="149"/>
  <c r="DO97" i="149"/>
  <c r="DO108" i="149"/>
  <c r="DO88" i="149"/>
  <c r="DO36" i="149"/>
  <c r="DO93" i="149"/>
  <c r="DO107" i="149"/>
  <c r="DO32" i="149"/>
  <c r="DO114" i="149"/>
  <c r="DO29" i="149"/>
  <c r="DO87" i="149"/>
  <c r="DO13" i="149"/>
  <c r="DO27" i="149"/>
  <c r="DO25" i="149"/>
  <c r="DO31" i="149"/>
  <c r="DO86" i="149"/>
  <c r="DO106" i="149"/>
  <c r="DO89" i="149"/>
  <c r="DO113" i="149"/>
  <c r="CL87" i="149"/>
  <c r="CJ32" i="149"/>
  <c r="CD114" i="149"/>
  <c r="CJ27" i="149"/>
  <c r="CI15" i="149"/>
  <c r="CJ23" i="149"/>
  <c r="CJ31" i="149"/>
  <c r="CJ109" i="149"/>
  <c r="BN94" i="149"/>
  <c r="CD25" i="149"/>
  <c r="CL97" i="149"/>
  <c r="BS36" i="149"/>
  <c r="DG108" i="149"/>
  <c r="DH84" i="149"/>
  <c r="DH86" i="149"/>
  <c r="DH107" i="149"/>
  <c r="BL183" i="149"/>
  <c r="BL179" i="149"/>
  <c r="CW160" i="149"/>
  <c r="BK171" i="149" s="1"/>
  <c r="BL180" i="149"/>
  <c r="BL181" i="149"/>
  <c r="BL182" i="149"/>
  <c r="DG112" i="149"/>
  <c r="BK175" i="149"/>
  <c r="BL11" i="149"/>
  <c r="CA11" i="149"/>
  <c r="CI89" i="149"/>
  <c r="CI11" i="149"/>
  <c r="BN33" i="149"/>
  <c r="CJ25" i="149"/>
  <c r="BL84" i="149"/>
  <c r="CI84" i="149"/>
  <c r="DD87" i="149"/>
  <c r="BN36" i="149"/>
  <c r="DB11" i="149"/>
  <c r="CL89" i="149"/>
  <c r="CD97" i="149"/>
  <c r="DC11" i="149"/>
  <c r="BP36" i="149"/>
  <c r="DD25" i="149"/>
  <c r="BR36" i="149"/>
  <c r="BU36" i="149" s="1"/>
  <c r="CD108" i="149"/>
  <c r="DM11" i="149"/>
  <c r="CL33" i="149"/>
  <c r="BL87" i="149"/>
  <c r="DG25" i="149"/>
  <c r="DG114" i="149"/>
  <c r="BP11" i="149"/>
  <c r="BN84" i="149"/>
  <c r="BQ11" i="149"/>
  <c r="CJ87" i="149"/>
  <c r="BL33" i="149"/>
  <c r="CY11" i="149"/>
  <c r="DD31" i="149"/>
  <c r="BL107" i="149"/>
  <c r="CI114" i="149"/>
  <c r="BN11" i="149"/>
  <c r="DA11" i="149"/>
  <c r="CA33" i="149"/>
  <c r="BL36" i="149"/>
  <c r="BZ36" i="149" s="1"/>
  <c r="CJ114" i="149"/>
  <c r="CJ19" i="149"/>
  <c r="DG11" i="149"/>
  <c r="BL31" i="149"/>
  <c r="CJ84" i="149"/>
  <c r="DG87" i="149"/>
  <c r="DD114" i="149"/>
  <c r="CD11" i="149"/>
  <c r="DJ11" i="149"/>
  <c r="BQ36" i="149"/>
  <c r="BN109" i="149"/>
  <c r="BL114" i="149"/>
  <c r="CG11" i="149"/>
  <c r="DO11" i="149"/>
  <c r="BN114" i="149"/>
  <c r="CI109" i="149"/>
  <c r="CL11" i="149"/>
  <c r="BL13" i="149"/>
  <c r="CL13" i="149"/>
  <c r="CJ13" i="149"/>
  <c r="BN13" i="149"/>
  <c r="CI13" i="149"/>
  <c r="DH13" i="149"/>
  <c r="CE13" i="149"/>
  <c r="DG13" i="149"/>
  <c r="CD13" i="149"/>
  <c r="DD13" i="149"/>
  <c r="CJ16" i="149"/>
  <c r="CB11" i="149"/>
  <c r="CP11" i="149"/>
  <c r="DL11" i="149"/>
  <c r="BI12" i="149"/>
  <c r="DU14" i="149"/>
  <c r="DD29" i="149"/>
  <c r="CL16" i="149"/>
  <c r="CE11" i="149"/>
  <c r="CZ11" i="149"/>
  <c r="DN11" i="149"/>
  <c r="BK12" i="149"/>
  <c r="BI15" i="149"/>
  <c r="CJ15" i="149"/>
  <c r="BL16" i="149"/>
  <c r="DD16" i="149"/>
  <c r="DU25" i="149"/>
  <c r="DU27" i="149"/>
  <c r="BI27" i="149"/>
  <c r="CL15" i="149"/>
  <c r="BN16" i="149"/>
  <c r="BL15" i="149"/>
  <c r="BI19" i="149"/>
  <c r="BL29" i="149"/>
  <c r="CL29" i="149"/>
  <c r="CJ29" i="149"/>
  <c r="CI29" i="149"/>
  <c r="DH29" i="149"/>
  <c r="CE29" i="149"/>
  <c r="DG29" i="149"/>
  <c r="CD29" i="149"/>
  <c r="BN29" i="149"/>
  <c r="DU33" i="149"/>
  <c r="BI33" i="149"/>
  <c r="BR11" i="149"/>
  <c r="CJ11" i="149"/>
  <c r="DD11" i="149"/>
  <c r="DS11" i="149"/>
  <c r="DD15" i="149"/>
  <c r="CD16" i="149"/>
  <c r="DH23" i="149"/>
  <c r="CE23" i="149"/>
  <c r="DG23" i="149"/>
  <c r="CD23" i="149"/>
  <c r="BN23" i="149"/>
  <c r="DD23" i="149"/>
  <c r="BL23" i="149"/>
  <c r="CL23" i="149"/>
  <c r="CI23" i="149"/>
  <c r="BS11" i="149"/>
  <c r="CK11" i="149"/>
  <c r="DE11" i="149"/>
  <c r="BK14" i="149"/>
  <c r="BN15" i="149"/>
  <c r="CE16" i="149"/>
  <c r="DU17" i="149"/>
  <c r="DH19" i="149"/>
  <c r="CE19" i="149"/>
  <c r="DG19" i="149"/>
  <c r="CD19" i="149"/>
  <c r="BN19" i="149"/>
  <c r="DD19" i="149"/>
  <c r="BL19" i="149"/>
  <c r="CI19" i="149"/>
  <c r="CL19" i="149"/>
  <c r="DH32" i="149"/>
  <c r="CE32" i="149"/>
  <c r="DG32" i="149"/>
  <c r="CD32" i="149"/>
  <c r="BN32" i="149"/>
  <c r="DD32" i="149"/>
  <c r="CI32" i="149"/>
  <c r="CL32" i="149"/>
  <c r="BL32" i="149"/>
  <c r="BL188" i="149"/>
  <c r="BL187" i="149"/>
  <c r="CM11" i="149"/>
  <c r="DH11" i="149"/>
  <c r="CD15" i="149"/>
  <c r="DG15" i="149"/>
  <c r="CF160" i="149"/>
  <c r="BL192" i="149"/>
  <c r="BL191" i="149"/>
  <c r="CE15" i="149"/>
  <c r="DH15" i="149"/>
  <c r="CI16" i="149"/>
  <c r="BK17" i="149"/>
  <c r="BL25" i="149"/>
  <c r="CL25" i="149"/>
  <c r="CI25" i="149"/>
  <c r="DH25" i="149"/>
  <c r="CE25" i="149"/>
  <c r="BN25" i="149"/>
  <c r="DH16" i="149"/>
  <c r="DG16" i="149"/>
  <c r="BK21" i="149"/>
  <c r="BK20" i="149"/>
  <c r="BK24" i="149"/>
  <c r="CI27" i="149"/>
  <c r="BK28" i="149"/>
  <c r="BN31" i="149"/>
  <c r="DG31" i="149"/>
  <c r="CD31" i="149"/>
  <c r="DU29" i="149"/>
  <c r="CL27" i="149"/>
  <c r="CE31" i="149"/>
  <c r="BL27" i="149"/>
  <c r="CI33" i="149"/>
  <c r="DH33" i="149"/>
  <c r="CE33" i="149"/>
  <c r="DG33" i="149"/>
  <c r="CD33" i="149"/>
  <c r="CJ33" i="149"/>
  <c r="DD33" i="149"/>
  <c r="DU20" i="149"/>
  <c r="DD27" i="149"/>
  <c r="BK18" i="149"/>
  <c r="BK22" i="149"/>
  <c r="BN27" i="149"/>
  <c r="BK30" i="149"/>
  <c r="CI31" i="149"/>
  <c r="CD27" i="149"/>
  <c r="DG27" i="149"/>
  <c r="CL31" i="149"/>
  <c r="CE27" i="149"/>
  <c r="DH27" i="149"/>
  <c r="DH31" i="149"/>
  <c r="BK83" i="149"/>
  <c r="BI84" i="149"/>
  <c r="CJ85" i="149"/>
  <c r="CI85" i="149"/>
  <c r="DH85" i="149"/>
  <c r="CE85" i="149"/>
  <c r="DG85" i="149"/>
  <c r="CD85" i="149"/>
  <c r="BN85" i="149"/>
  <c r="DD85" i="149"/>
  <c r="BL85" i="149"/>
  <c r="CJ86" i="149"/>
  <c r="DG86" i="149"/>
  <c r="DD86" i="149"/>
  <c r="CL86" i="149"/>
  <c r="CI86" i="149"/>
  <c r="CE86" i="149"/>
  <c r="CD86" i="149"/>
  <c r="BN86" i="149"/>
  <c r="BL86" i="149"/>
  <c r="CL85" i="149"/>
  <c r="CJ93" i="149"/>
  <c r="CI93" i="149"/>
  <c r="DH93" i="149"/>
  <c r="CE93" i="149"/>
  <c r="DG93" i="149"/>
  <c r="CD93" i="149"/>
  <c r="BN93" i="149"/>
  <c r="DD93" i="149"/>
  <c r="BL93" i="149"/>
  <c r="CI98" i="149"/>
  <c r="DH98" i="149"/>
  <c r="CE98" i="149"/>
  <c r="DG98" i="149"/>
  <c r="CD98" i="149"/>
  <c r="BL98" i="149"/>
  <c r="DD98" i="149"/>
  <c r="BN98" i="149"/>
  <c r="CL98" i="149"/>
  <c r="CE88" i="149"/>
  <c r="CL84" i="149"/>
  <c r="BI89" i="149"/>
  <c r="CJ98" i="149"/>
  <c r="DG88" i="149"/>
  <c r="CD88" i="149"/>
  <c r="BN88" i="149"/>
  <c r="DD88" i="149"/>
  <c r="CJ88" i="149"/>
  <c r="CI88" i="149"/>
  <c r="DD84" i="149"/>
  <c r="BL88" i="149"/>
  <c r="DH88" i="149"/>
  <c r="CL93" i="149"/>
  <c r="CL88" i="149"/>
  <c r="BK95" i="149"/>
  <c r="BI88" i="149"/>
  <c r="BI93" i="149"/>
  <c r="CD84" i="149"/>
  <c r="DG84" i="149"/>
  <c r="CJ89" i="149"/>
  <c r="DH89" i="149"/>
  <c r="CE89" i="149"/>
  <c r="DG89" i="149"/>
  <c r="CD89" i="149"/>
  <c r="DD89" i="149"/>
  <c r="BL89" i="149"/>
  <c r="BK90" i="149"/>
  <c r="BK91" i="149"/>
  <c r="CE84" i="149"/>
  <c r="CD87" i="149"/>
  <c r="CI87" i="149"/>
  <c r="DH87" i="149"/>
  <c r="CE87" i="149"/>
  <c r="BN87" i="149"/>
  <c r="BN89" i="149"/>
  <c r="BI92" i="149"/>
  <c r="BK99" i="149"/>
  <c r="CD94" i="149"/>
  <c r="DG94" i="149"/>
  <c r="BK92" i="149"/>
  <c r="CE94" i="149"/>
  <c r="DH94" i="149"/>
  <c r="BK96" i="149"/>
  <c r="CJ102" i="149"/>
  <c r="CI102" i="149"/>
  <c r="DH102" i="149"/>
  <c r="CE102" i="149"/>
  <c r="DG102" i="149"/>
  <c r="CD102" i="149"/>
  <c r="BN102" i="149"/>
  <c r="BL102" i="149"/>
  <c r="DG106" i="149"/>
  <c r="CJ106" i="149"/>
  <c r="CE106" i="149"/>
  <c r="DD106" i="149"/>
  <c r="DH106" i="149"/>
  <c r="CI106" i="149"/>
  <c r="BL106" i="149"/>
  <c r="CL106" i="149"/>
  <c r="BN106" i="149"/>
  <c r="CI94" i="149"/>
  <c r="DH97" i="149"/>
  <c r="CE97" i="149"/>
  <c r="BN97" i="149"/>
  <c r="DD97" i="149"/>
  <c r="CJ97" i="149"/>
  <c r="CI97" i="149"/>
  <c r="DG97" i="149"/>
  <c r="DD102" i="149"/>
  <c r="CD106" i="149"/>
  <c r="CJ94" i="149"/>
  <c r="BL97" i="149"/>
  <c r="BK100" i="149"/>
  <c r="CL94" i="149"/>
  <c r="BL94" i="149"/>
  <c r="BI98" i="149"/>
  <c r="DD94" i="149"/>
  <c r="CL102" i="149"/>
  <c r="BN108" i="149"/>
  <c r="DD108" i="149"/>
  <c r="BL108" i="149"/>
  <c r="DH108" i="149"/>
  <c r="CL108" i="149"/>
  <c r="CJ108" i="149"/>
  <c r="CI108" i="149"/>
  <c r="BK104" i="149"/>
  <c r="CI113" i="149"/>
  <c r="CJ113" i="149"/>
  <c r="CE113" i="149"/>
  <c r="DH113" i="149"/>
  <c r="CL113" i="149"/>
  <c r="DG113" i="149"/>
  <c r="BL113" i="149"/>
  <c r="DD113" i="149"/>
  <c r="CD113" i="149"/>
  <c r="DG107" i="149"/>
  <c r="CE108" i="149"/>
  <c r="CJ112" i="149"/>
  <c r="CD112" i="149"/>
  <c r="BN112" i="149"/>
  <c r="BL112" i="149"/>
  <c r="DH112" i="149"/>
  <c r="CL112" i="149"/>
  <c r="DD112" i="149"/>
  <c r="CI112" i="149"/>
  <c r="CE112" i="149"/>
  <c r="BK105" i="149"/>
  <c r="CJ107" i="149"/>
  <c r="DI109" i="149"/>
  <c r="DG109" i="149"/>
  <c r="BN113" i="149"/>
  <c r="DD107" i="149"/>
  <c r="CI107" i="149"/>
  <c r="CE107" i="149"/>
  <c r="CD107" i="149"/>
  <c r="BN107" i="149"/>
  <c r="CL107" i="149"/>
  <c r="BK103" i="149"/>
  <c r="BK110" i="149"/>
  <c r="DD109" i="149"/>
  <c r="BL109" i="149"/>
  <c r="CL109" i="149"/>
  <c r="DH109" i="149"/>
  <c r="CE109" i="149"/>
  <c r="CD109" i="149"/>
  <c r="BK111" i="149"/>
  <c r="CL114" i="149"/>
  <c r="CE114" i="149"/>
  <c r="DH114" i="149"/>
  <c r="F5" i="147"/>
  <c r="D26" i="132"/>
  <c r="G26" i="132" s="1"/>
  <c r="B8" i="147"/>
  <c r="A8" i="147"/>
  <c r="B7" i="147"/>
  <c r="A7" i="147"/>
  <c r="F3" i="147"/>
  <c r="F2" i="147"/>
  <c r="H49" i="147"/>
  <c r="G49" i="147"/>
  <c r="E49" i="147"/>
  <c r="B49" i="147"/>
  <c r="H48" i="147"/>
  <c r="G48" i="147"/>
  <c r="E48" i="147"/>
  <c r="B48" i="147"/>
  <c r="H47" i="147"/>
  <c r="G47" i="147"/>
  <c r="E47" i="147"/>
  <c r="B47" i="147"/>
  <c r="E46" i="147"/>
  <c r="B46" i="147"/>
  <c r="H41" i="147"/>
  <c r="G41" i="147"/>
  <c r="F41" i="147"/>
  <c r="E41" i="147"/>
  <c r="D41" i="147"/>
  <c r="B41" i="147"/>
  <c r="H40" i="147"/>
  <c r="G40" i="147"/>
  <c r="F40" i="147"/>
  <c r="E40" i="147"/>
  <c r="D40" i="147"/>
  <c r="B40" i="147"/>
  <c r="H39" i="147"/>
  <c r="G39" i="147"/>
  <c r="F39" i="147"/>
  <c r="E39" i="147"/>
  <c r="D39" i="147"/>
  <c r="B39" i="147"/>
  <c r="H38" i="147"/>
  <c r="G38" i="147"/>
  <c r="F38" i="147"/>
  <c r="E38" i="147"/>
  <c r="D38" i="147"/>
  <c r="B38" i="147"/>
  <c r="H32" i="147"/>
  <c r="G32" i="147"/>
  <c r="E32" i="147"/>
  <c r="B32" i="147"/>
  <c r="H31" i="147"/>
  <c r="G31" i="147"/>
  <c r="E31" i="147"/>
  <c r="B31" i="147"/>
  <c r="H30" i="147"/>
  <c r="G30" i="147"/>
  <c r="E30" i="147"/>
  <c r="B30" i="147"/>
  <c r="H29" i="147"/>
  <c r="G29" i="147"/>
  <c r="E29" i="147"/>
  <c r="B29" i="147"/>
  <c r="H28" i="147"/>
  <c r="G28" i="147"/>
  <c r="E28" i="147"/>
  <c r="B28" i="147"/>
  <c r="H27" i="147"/>
  <c r="G27" i="147"/>
  <c r="E27" i="147"/>
  <c r="B27" i="147"/>
  <c r="H26" i="147"/>
  <c r="G26" i="147"/>
  <c r="E26" i="147"/>
  <c r="B26" i="147"/>
  <c r="H25" i="147"/>
  <c r="G25" i="147"/>
  <c r="E25" i="147"/>
  <c r="B25" i="147"/>
  <c r="G23" i="147"/>
  <c r="H23" i="147" s="1"/>
  <c r="E23" i="147"/>
  <c r="B23" i="147"/>
  <c r="H18" i="147"/>
  <c r="G18" i="147"/>
  <c r="E18" i="147"/>
  <c r="B18" i="147"/>
  <c r="H17" i="147"/>
  <c r="G17" i="147"/>
  <c r="E17" i="147"/>
  <c r="B17" i="147"/>
  <c r="H16" i="147"/>
  <c r="G16" i="147"/>
  <c r="E16" i="147"/>
  <c r="B16" i="147"/>
  <c r="H15" i="147"/>
  <c r="G15" i="147"/>
  <c r="E15" i="147"/>
  <c r="B15" i="147"/>
  <c r="G14" i="147"/>
  <c r="H14" i="147" s="1"/>
  <c r="E14" i="147"/>
  <c r="B14" i="147"/>
  <c r="F13" i="147"/>
  <c r="E13" i="147"/>
  <c r="B13" i="147"/>
  <c r="D60" i="16" l="1"/>
  <c r="D59" i="16"/>
  <c r="D58" i="16"/>
  <c r="D62" i="16"/>
  <c r="D56" i="240" s="1"/>
  <c r="D57" i="16"/>
  <c r="CM85" i="149"/>
  <c r="CA29" i="149"/>
  <c r="DO12" i="149"/>
  <c r="CB112" i="149"/>
  <c r="CG112" i="149" s="1"/>
  <c r="CB23" i="149"/>
  <c r="CG23" i="149" s="1"/>
  <c r="DO96" i="149"/>
  <c r="DO92" i="149"/>
  <c r="CB86" i="149"/>
  <c r="CG86" i="149" s="1"/>
  <c r="CM15" i="149"/>
  <c r="CM84" i="149"/>
  <c r="DO104" i="149"/>
  <c r="DO30" i="149"/>
  <c r="CM107" i="149"/>
  <c r="CA94" i="149"/>
  <c r="DO100" i="149"/>
  <c r="DO99" i="149"/>
  <c r="CB102" i="149"/>
  <c r="CG102" i="149" s="1"/>
  <c r="CM97" i="149"/>
  <c r="DO91" i="149"/>
  <c r="DO22" i="149"/>
  <c r="DO28" i="149"/>
  <c r="DO83" i="149"/>
  <c r="CM93" i="149"/>
  <c r="DO111" i="149"/>
  <c r="DO110" i="149"/>
  <c r="DO105" i="149"/>
  <c r="DO90" i="149"/>
  <c r="DO18" i="149"/>
  <c r="CA27" i="149"/>
  <c r="DO17" i="149"/>
  <c r="DO14" i="149"/>
  <c r="CB31" i="149"/>
  <c r="CG31" i="149" s="1"/>
  <c r="DO103" i="149"/>
  <c r="CB106" i="149"/>
  <c r="CG106" i="149" s="1"/>
  <c r="DO24" i="149"/>
  <c r="CA114" i="149"/>
  <c r="CM87" i="149"/>
  <c r="CA19" i="149"/>
  <c r="CM13" i="149"/>
  <c r="CM33" i="149"/>
  <c r="CB108" i="149"/>
  <c r="CG108" i="149" s="1"/>
  <c r="DO95" i="149"/>
  <c r="CB98" i="149"/>
  <c r="CG98" i="149" s="1"/>
  <c r="DO20" i="149"/>
  <c r="DO21" i="149"/>
  <c r="CA87" i="149"/>
  <c r="CB87" i="149"/>
  <c r="CG87" i="149" s="1"/>
  <c r="BK176" i="149"/>
  <c r="H42" i="147"/>
  <c r="CA31" i="149"/>
  <c r="CA108" i="149"/>
  <c r="CA84" i="149"/>
  <c r="CM31" i="149"/>
  <c r="CB114" i="149"/>
  <c r="CG114" i="149" s="1"/>
  <c r="BL184" i="149"/>
  <c r="DU160" i="149"/>
  <c r="BK160" i="149"/>
  <c r="CA85" i="149"/>
  <c r="CM114" i="149"/>
  <c r="CB15" i="149"/>
  <c r="CG15" i="149" s="1"/>
  <c r="CB84" i="149"/>
  <c r="CG84" i="149" s="1"/>
  <c r="CM23" i="149"/>
  <c r="CM112" i="149"/>
  <c r="CM106" i="149"/>
  <c r="CB107" i="149"/>
  <c r="CG107" i="149" s="1"/>
  <c r="CM108" i="149"/>
  <c r="CA106" i="149"/>
  <c r="CA107" i="149"/>
  <c r="CA112" i="149"/>
  <c r="CA23" i="149"/>
  <c r="CB13" i="149"/>
  <c r="CG13" i="149" s="1"/>
  <c r="CA15" i="149"/>
  <c r="CB33" i="149"/>
  <c r="CG33" i="149" s="1"/>
  <c r="CB29" i="149"/>
  <c r="CG29" i="149" s="1"/>
  <c r="CM94" i="149"/>
  <c r="CB85" i="149"/>
  <c r="CG85" i="149" s="1"/>
  <c r="CA13" i="149"/>
  <c r="CB94" i="149"/>
  <c r="CG94" i="149" s="1"/>
  <c r="CA93" i="149"/>
  <c r="CM29" i="149"/>
  <c r="CM113" i="149"/>
  <c r="CA113" i="149"/>
  <c r="CA86" i="149"/>
  <c r="CL17" i="149"/>
  <c r="CI17" i="149"/>
  <c r="BN17" i="149"/>
  <c r="DD17" i="149"/>
  <c r="CD17" i="149"/>
  <c r="DG17" i="149"/>
  <c r="DH17" i="149"/>
  <c r="CJ17" i="149"/>
  <c r="CE17" i="149"/>
  <c r="BL17" i="149"/>
  <c r="CI100" i="149"/>
  <c r="DH100" i="149"/>
  <c r="BN100" i="149"/>
  <c r="BL100" i="149"/>
  <c r="CL100" i="149"/>
  <c r="CJ100" i="149"/>
  <c r="DG100" i="149"/>
  <c r="CE100" i="149"/>
  <c r="DD100" i="149"/>
  <c r="CD100" i="149"/>
  <c r="CB89" i="149"/>
  <c r="CG89" i="149" s="1"/>
  <c r="CA89" i="149"/>
  <c r="CM89" i="149"/>
  <c r="CM88" i="149"/>
  <c r="CA88" i="149"/>
  <c r="CB88" i="149"/>
  <c r="CG88" i="149" s="1"/>
  <c r="BN83" i="149"/>
  <c r="DD83" i="149"/>
  <c r="CL83" i="149"/>
  <c r="CJ83" i="149"/>
  <c r="CI83" i="149"/>
  <c r="DG83" i="149"/>
  <c r="CD83" i="149"/>
  <c r="BL83" i="149"/>
  <c r="CE83" i="149"/>
  <c r="DH83" i="149"/>
  <c r="BN22" i="149"/>
  <c r="DD22" i="149"/>
  <c r="CL22" i="149"/>
  <c r="CJ22" i="149"/>
  <c r="DH22" i="149"/>
  <c r="CE22" i="149"/>
  <c r="BL22" i="149"/>
  <c r="CI22" i="149"/>
  <c r="DG22" i="149"/>
  <c r="CD22" i="149"/>
  <c r="BL104" i="149"/>
  <c r="CL104" i="149"/>
  <c r="CJ104" i="149"/>
  <c r="DH104" i="149"/>
  <c r="CI104" i="149"/>
  <c r="BN104" i="149"/>
  <c r="DD104" i="149"/>
  <c r="CE104" i="149"/>
  <c r="CD104" i="149"/>
  <c r="DG104" i="149"/>
  <c r="BP83" i="149"/>
  <c r="DH92" i="149"/>
  <c r="CE92" i="149"/>
  <c r="DG92" i="149"/>
  <c r="CD92" i="149"/>
  <c r="BN92" i="149"/>
  <c r="DD92" i="149"/>
  <c r="CL92" i="149"/>
  <c r="CJ92" i="149"/>
  <c r="CI92" i="149"/>
  <c r="BL92" i="149"/>
  <c r="CB93" i="149"/>
  <c r="CG93" i="149" s="1"/>
  <c r="BN30" i="149"/>
  <c r="DD30" i="149"/>
  <c r="BL30" i="149"/>
  <c r="CL30" i="149"/>
  <c r="CJ30" i="149"/>
  <c r="CI30" i="149"/>
  <c r="DH30" i="149"/>
  <c r="CE30" i="149"/>
  <c r="DG30" i="149"/>
  <c r="CD30" i="149"/>
  <c r="BN14" i="149"/>
  <c r="DD14" i="149"/>
  <c r="BL14" i="149"/>
  <c r="CL14" i="149"/>
  <c r="CJ14" i="149"/>
  <c r="DH14" i="149"/>
  <c r="CI14" i="149"/>
  <c r="DG14" i="149"/>
  <c r="CD14" i="149"/>
  <c r="CE14" i="149"/>
  <c r="CA97" i="149"/>
  <c r="CJ28" i="149"/>
  <c r="CI28" i="149"/>
  <c r="DH28" i="149"/>
  <c r="CE28" i="149"/>
  <c r="DG28" i="149"/>
  <c r="CD28" i="149"/>
  <c r="BN28" i="149"/>
  <c r="DD28" i="149"/>
  <c r="BL28" i="149"/>
  <c r="CL28" i="149"/>
  <c r="CB25" i="149"/>
  <c r="CG25" i="149" s="1"/>
  <c r="CA25" i="149"/>
  <c r="CB19" i="149"/>
  <c r="CG19" i="149" s="1"/>
  <c r="CM19" i="149"/>
  <c r="CM16" i="149"/>
  <c r="CA16" i="149"/>
  <c r="CA109" i="149"/>
  <c r="CB109" i="149"/>
  <c r="CG109" i="149" s="1"/>
  <c r="DG91" i="149"/>
  <c r="CD91" i="149"/>
  <c r="DD91" i="149"/>
  <c r="BL91" i="149"/>
  <c r="CL91" i="149"/>
  <c r="CI91" i="149"/>
  <c r="CJ91" i="149"/>
  <c r="CE91" i="149"/>
  <c r="DH91" i="149"/>
  <c r="BN91" i="149"/>
  <c r="CL95" i="149"/>
  <c r="CJ95" i="149"/>
  <c r="CI95" i="149"/>
  <c r="DD95" i="149"/>
  <c r="CD95" i="149"/>
  <c r="BL95" i="149"/>
  <c r="DH95" i="149"/>
  <c r="DG95" i="149"/>
  <c r="BN95" i="149"/>
  <c r="CE95" i="149"/>
  <c r="CM86" i="149"/>
  <c r="CB32" i="149"/>
  <c r="CG32" i="149" s="1"/>
  <c r="CM32" i="149"/>
  <c r="BP102" i="149"/>
  <c r="CM25" i="149"/>
  <c r="CM109" i="149"/>
  <c r="BL103" i="149"/>
  <c r="CI103" i="149"/>
  <c r="CD103" i="149"/>
  <c r="DH103" i="149"/>
  <c r="DG103" i="149"/>
  <c r="CL103" i="149"/>
  <c r="DD103" i="149"/>
  <c r="CE103" i="149"/>
  <c r="BN103" i="149"/>
  <c r="CJ103" i="149"/>
  <c r="CL105" i="149"/>
  <c r="CI105" i="149"/>
  <c r="CJ105" i="149"/>
  <c r="DD105" i="149"/>
  <c r="CE105" i="149"/>
  <c r="CD105" i="149"/>
  <c r="BL105" i="149"/>
  <c r="DH105" i="149"/>
  <c r="DG105" i="149"/>
  <c r="BN105" i="149"/>
  <c r="CB113" i="149"/>
  <c r="CG113" i="149" s="1"/>
  <c r="BL21" i="149"/>
  <c r="CL21" i="149"/>
  <c r="CI21" i="149"/>
  <c r="BN21" i="149"/>
  <c r="CJ21" i="149"/>
  <c r="DH21" i="149"/>
  <c r="CE21" i="149"/>
  <c r="DG21" i="149"/>
  <c r="CD21" i="149"/>
  <c r="DD21" i="149"/>
  <c r="CA32" i="149"/>
  <c r="CB97" i="149"/>
  <c r="CG97" i="149" s="1"/>
  <c r="DD90" i="149"/>
  <c r="BL90" i="149"/>
  <c r="CJ90" i="149"/>
  <c r="CI90" i="149"/>
  <c r="DH90" i="149"/>
  <c r="CE90" i="149"/>
  <c r="DG90" i="149"/>
  <c r="CD90" i="149"/>
  <c r="BN90" i="149"/>
  <c r="CL90" i="149"/>
  <c r="CA102" i="149"/>
  <c r="CM102" i="149"/>
  <c r="BN96" i="149"/>
  <c r="BL96" i="149"/>
  <c r="CL96" i="149"/>
  <c r="DG96" i="149"/>
  <c r="CD96" i="149"/>
  <c r="CJ96" i="149"/>
  <c r="DH96" i="149"/>
  <c r="CI96" i="149"/>
  <c r="DD96" i="149"/>
  <c r="CE96" i="149"/>
  <c r="CA98" i="149"/>
  <c r="CM98" i="149"/>
  <c r="CB27" i="149"/>
  <c r="CG27" i="149" s="1"/>
  <c r="CM27" i="149"/>
  <c r="CJ20" i="149"/>
  <c r="CI20" i="149"/>
  <c r="DH20" i="149"/>
  <c r="CE20" i="149"/>
  <c r="DG20" i="149"/>
  <c r="CD20" i="149"/>
  <c r="CL20" i="149"/>
  <c r="DD20" i="149"/>
  <c r="BN20" i="149"/>
  <c r="BL20" i="149"/>
  <c r="CI111" i="149"/>
  <c r="DD111" i="149"/>
  <c r="CL111" i="149"/>
  <c r="CE111" i="149"/>
  <c r="CD111" i="149"/>
  <c r="DH111" i="149"/>
  <c r="CJ111" i="149"/>
  <c r="BN111" i="149"/>
  <c r="DG111" i="149"/>
  <c r="BL111" i="149"/>
  <c r="CB16" i="149"/>
  <c r="CG16" i="149" s="1"/>
  <c r="BN18" i="149"/>
  <c r="DD18" i="149"/>
  <c r="CL18" i="149"/>
  <c r="CJ18" i="149"/>
  <c r="DH18" i="149"/>
  <c r="CE18" i="149"/>
  <c r="CI18" i="149"/>
  <c r="BL18" i="149"/>
  <c r="DG18" i="149"/>
  <c r="CD18" i="149"/>
  <c r="CI12" i="149"/>
  <c r="CE12" i="149"/>
  <c r="DH12" i="149"/>
  <c r="CD12" i="149"/>
  <c r="BP12" i="149"/>
  <c r="DV12" i="149" s="1"/>
  <c r="DG12" i="149"/>
  <c r="BL12" i="149"/>
  <c r="BN12" i="149"/>
  <c r="DD12" i="149"/>
  <c r="CL12" i="149"/>
  <c r="CJ12" i="149"/>
  <c r="BL110" i="149"/>
  <c r="CL110" i="149"/>
  <c r="DG110" i="149"/>
  <c r="CD110" i="149"/>
  <c r="DH110" i="149"/>
  <c r="CJ110" i="149"/>
  <c r="CI110" i="149"/>
  <c r="DD110" i="149"/>
  <c r="BN110" i="149"/>
  <c r="CE110" i="149"/>
  <c r="CL99" i="149"/>
  <c r="CJ99" i="149"/>
  <c r="CI99" i="149"/>
  <c r="DD99" i="149"/>
  <c r="BN99" i="149"/>
  <c r="DH99" i="149"/>
  <c r="BL99" i="149"/>
  <c r="DG99" i="149"/>
  <c r="CE99" i="149"/>
  <c r="CD99" i="149"/>
  <c r="CJ24" i="149"/>
  <c r="CI24" i="149"/>
  <c r="DH24" i="149"/>
  <c r="CE24" i="149"/>
  <c r="DG24" i="149"/>
  <c r="CD24" i="149"/>
  <c r="BN24" i="149"/>
  <c r="CL24" i="149"/>
  <c r="DD24" i="149"/>
  <c r="BL24" i="149"/>
  <c r="BQ12" i="149"/>
  <c r="H33" i="147"/>
  <c r="C1" i="132"/>
  <c r="B4" i="133" l="1"/>
  <c r="A2" i="134" s="1"/>
  <c r="B3" i="254"/>
  <c r="D50" i="16"/>
  <c r="D44" i="240" s="1"/>
  <c r="D51" i="240"/>
  <c r="D51" i="16"/>
  <c r="D45" i="240" s="1"/>
  <c r="D52" i="240"/>
  <c r="D52" i="16"/>
  <c r="D46" i="240" s="1"/>
  <c r="D53" i="240"/>
  <c r="D53" i="16"/>
  <c r="D54" i="240"/>
  <c r="CA99" i="149"/>
  <c r="CM90" i="149"/>
  <c r="CA21" i="149"/>
  <c r="CM14" i="149"/>
  <c r="CM24" i="149"/>
  <c r="CB18" i="149"/>
  <c r="CG18" i="149" s="1"/>
  <c r="CB110" i="149"/>
  <c r="CG110" i="149" s="1"/>
  <c r="CA100" i="149"/>
  <c r="CA20" i="149"/>
  <c r="CA96" i="149"/>
  <c r="CM92" i="149"/>
  <c r="CM111" i="149"/>
  <c r="CM105" i="149"/>
  <c r="CB83" i="149"/>
  <c r="CG83" i="149" s="1"/>
  <c r="CB95" i="149"/>
  <c r="CG95" i="149" s="1"/>
  <c r="CB91" i="149"/>
  <c r="CG91" i="149" s="1"/>
  <c r="CM104" i="149"/>
  <c r="CA22" i="149"/>
  <c r="CM103" i="149"/>
  <c r="CM28" i="149"/>
  <c r="CM30" i="149"/>
  <c r="CA17" i="149"/>
  <c r="BK163" i="149"/>
  <c r="CB105" i="149"/>
  <c r="CG105" i="149" s="1"/>
  <c r="CA90" i="149"/>
  <c r="DH160" i="149"/>
  <c r="DG160" i="149"/>
  <c r="BK167" i="149"/>
  <c r="D35" i="16" s="1"/>
  <c r="D29" i="240" s="1"/>
  <c r="CA30" i="149"/>
  <c r="CA12" i="149"/>
  <c r="BL160" i="149"/>
  <c r="DO160" i="149"/>
  <c r="DD160" i="149"/>
  <c r="CM17" i="149"/>
  <c r="BN160" i="149"/>
  <c r="BK164" i="149"/>
  <c r="D32" i="16" s="1"/>
  <c r="D26" i="240" s="1"/>
  <c r="BK165" i="149"/>
  <c r="D33" i="16" s="1"/>
  <c r="D27" i="240" s="1"/>
  <c r="BK166" i="149"/>
  <c r="D34" i="16" s="1"/>
  <c r="D28" i="240" s="1"/>
  <c r="CM83" i="149"/>
  <c r="CB17" i="149"/>
  <c r="CG17" i="149" s="1"/>
  <c r="CM12" i="149"/>
  <c r="CM21" i="149"/>
  <c r="CM91" i="149"/>
  <c r="CB90" i="149"/>
  <c r="CG90" i="149" s="1"/>
  <c r="CB30" i="149"/>
  <c r="CG30" i="149" s="1"/>
  <c r="CA103" i="149"/>
  <c r="CB24" i="149"/>
  <c r="CG24" i="149" s="1"/>
  <c r="CA28" i="149"/>
  <c r="CB99" i="149"/>
  <c r="CG99" i="149" s="1"/>
  <c r="CB14" i="149"/>
  <c r="CG14" i="149" s="1"/>
  <c r="CA24" i="149"/>
  <c r="CM99" i="149"/>
  <c r="CA14" i="149"/>
  <c r="CB100" i="149"/>
  <c r="CG100" i="149" s="1"/>
  <c r="CA104" i="149"/>
  <c r="CA110" i="149"/>
  <c r="CM110" i="149"/>
  <c r="CM96" i="149"/>
  <c r="CB104" i="149"/>
  <c r="CG104" i="149" s="1"/>
  <c r="CB22" i="149"/>
  <c r="CG22" i="149" s="1"/>
  <c r="CB96" i="149"/>
  <c r="CG96" i="149" s="1"/>
  <c r="CB103" i="149"/>
  <c r="CG103" i="149" s="1"/>
  <c r="CA91" i="149"/>
  <c r="DV83" i="149"/>
  <c r="CB111" i="149"/>
  <c r="CG111" i="149" s="1"/>
  <c r="CM20" i="149"/>
  <c r="CA105" i="149"/>
  <c r="CA92" i="149"/>
  <c r="CM22" i="149"/>
  <c r="CD160" i="149"/>
  <c r="CI160" i="149"/>
  <c r="CA18" i="149"/>
  <c r="CJ160" i="149"/>
  <c r="CA111" i="149"/>
  <c r="CB92" i="149"/>
  <c r="CG92" i="149" s="1"/>
  <c r="CA83" i="149"/>
  <c r="BQ102" i="149"/>
  <c r="BR102" i="149" s="1"/>
  <c r="BU102" i="149" s="1"/>
  <c r="CB12" i="149"/>
  <c r="BR12" i="149"/>
  <c r="BU12" i="149" s="1"/>
  <c r="CM18" i="149"/>
  <c r="CB20" i="149"/>
  <c r="CG20" i="149" s="1"/>
  <c r="CA95" i="149"/>
  <c r="CM100" i="149"/>
  <c r="EB12" i="149"/>
  <c r="DY12" i="149"/>
  <c r="CL160" i="149"/>
  <c r="CM95" i="149"/>
  <c r="CB28" i="149"/>
  <c r="CG28" i="149" s="1"/>
  <c r="CE160" i="149"/>
  <c r="CB21" i="149"/>
  <c r="CG21" i="149" s="1"/>
  <c r="DV102" i="149"/>
  <c r="H7" i="146"/>
  <c r="B8" i="146"/>
  <c r="A8" i="146"/>
  <c r="H49" i="146"/>
  <c r="G49" i="146"/>
  <c r="E49" i="146"/>
  <c r="B49" i="146"/>
  <c r="H48" i="146"/>
  <c r="G48" i="146"/>
  <c r="E48" i="146"/>
  <c r="B48" i="146"/>
  <c r="H47" i="146"/>
  <c r="G47" i="146"/>
  <c r="E47" i="146"/>
  <c r="B47" i="146"/>
  <c r="E46" i="146"/>
  <c r="B46" i="146"/>
  <c r="H41" i="146"/>
  <c r="G41" i="146"/>
  <c r="F41" i="146"/>
  <c r="E41" i="146"/>
  <c r="D41" i="146"/>
  <c r="B41" i="146"/>
  <c r="H40" i="146"/>
  <c r="G40" i="146"/>
  <c r="F40" i="146"/>
  <c r="E40" i="146"/>
  <c r="D40" i="146"/>
  <c r="B40" i="146"/>
  <c r="H39" i="146"/>
  <c r="G39" i="146"/>
  <c r="F39" i="146"/>
  <c r="E39" i="146"/>
  <c r="D39" i="146"/>
  <c r="B39" i="146"/>
  <c r="H38" i="146"/>
  <c r="G38" i="146"/>
  <c r="F38" i="146"/>
  <c r="E38" i="146"/>
  <c r="D38" i="146"/>
  <c r="B38" i="146"/>
  <c r="H37" i="146"/>
  <c r="G37" i="146"/>
  <c r="E37" i="146"/>
  <c r="D37" i="146"/>
  <c r="B37" i="146"/>
  <c r="H32" i="146"/>
  <c r="G32" i="146"/>
  <c r="E32" i="146"/>
  <c r="B32" i="146"/>
  <c r="H31" i="146"/>
  <c r="G31" i="146"/>
  <c r="E31" i="146"/>
  <c r="B31" i="146"/>
  <c r="H30" i="146"/>
  <c r="G30" i="146"/>
  <c r="E30" i="146"/>
  <c r="B30" i="146"/>
  <c r="H29" i="146"/>
  <c r="G29" i="146"/>
  <c r="E29" i="146"/>
  <c r="B29" i="146"/>
  <c r="H28" i="146"/>
  <c r="G28" i="146"/>
  <c r="E28" i="146"/>
  <c r="B28" i="146"/>
  <c r="H27" i="146"/>
  <c r="G27" i="146"/>
  <c r="E27" i="146"/>
  <c r="B27" i="146"/>
  <c r="H26" i="146"/>
  <c r="G26" i="146"/>
  <c r="E26" i="146"/>
  <c r="B26" i="146"/>
  <c r="H25" i="146"/>
  <c r="G25" i="146"/>
  <c r="E25" i="146"/>
  <c r="B25" i="146"/>
  <c r="H24" i="146"/>
  <c r="G24" i="146"/>
  <c r="E24" i="146"/>
  <c r="B24" i="146"/>
  <c r="H23" i="146"/>
  <c r="G23" i="146"/>
  <c r="E23" i="146"/>
  <c r="B23" i="146"/>
  <c r="H18" i="146"/>
  <c r="G18" i="146"/>
  <c r="E18" i="146"/>
  <c r="B18" i="146"/>
  <c r="H17" i="146"/>
  <c r="G17" i="146"/>
  <c r="E17" i="146"/>
  <c r="B17" i="146"/>
  <c r="H16" i="146"/>
  <c r="G16" i="146"/>
  <c r="E16" i="146"/>
  <c r="B16" i="146"/>
  <c r="H15" i="146"/>
  <c r="G15" i="146"/>
  <c r="E15" i="146"/>
  <c r="B15" i="146"/>
  <c r="H14" i="146"/>
  <c r="G14" i="146"/>
  <c r="E14" i="146"/>
  <c r="B14" i="146"/>
  <c r="F13" i="146"/>
  <c r="E13" i="146"/>
  <c r="B13" i="146"/>
  <c r="B7" i="146"/>
  <c r="A7" i="146"/>
  <c r="F5" i="146"/>
  <c r="F3" i="146"/>
  <c r="F2" i="146"/>
  <c r="D2" i="146"/>
  <c r="B470" i="14"/>
  <c r="G23" i="242"/>
  <c r="H23" i="242" s="1"/>
  <c r="H33" i="242" s="1"/>
  <c r="H52" i="242" s="1"/>
  <c r="E25" i="16" s="1"/>
  <c r="E19" i="240" s="1"/>
  <c r="G23" i="243"/>
  <c r="H23" i="243" s="1"/>
  <c r="H33" i="243" s="1"/>
  <c r="H52" i="243" s="1"/>
  <c r="E26" i="16" s="1"/>
  <c r="E20" i="240" s="1"/>
  <c r="G23" i="245"/>
  <c r="H23" i="245" s="1"/>
  <c r="H33" i="245" s="1"/>
  <c r="H52" i="245" s="1"/>
  <c r="E28" i="16" s="1"/>
  <c r="E22" i="240" s="1"/>
  <c r="G23" i="248"/>
  <c r="H23" i="248" s="1"/>
  <c r="H33" i="248" s="1"/>
  <c r="H52" i="248" s="1"/>
  <c r="E51" i="16" s="1"/>
  <c r="G23" i="249"/>
  <c r="H23" i="249" s="1"/>
  <c r="H33" i="249" s="1"/>
  <c r="H52" i="249" s="1"/>
  <c r="E52" i="16" s="1"/>
  <c r="F52" i="16" l="1"/>
  <c r="F46" i="240" s="1"/>
  <c r="E46" i="240"/>
  <c r="F51" i="16"/>
  <c r="F45" i="240" s="1"/>
  <c r="E45" i="240"/>
  <c r="F53" i="16"/>
  <c r="F47" i="240" s="1"/>
  <c r="D47" i="240"/>
  <c r="D27" i="16"/>
  <c r="D21" i="240" s="1"/>
  <c r="D28" i="16"/>
  <c r="D26" i="16"/>
  <c r="D25" i="16"/>
  <c r="G23" i="246"/>
  <c r="H23" i="246" s="1"/>
  <c r="H33" i="246" s="1"/>
  <c r="H52" i="246" s="1"/>
  <c r="E50" i="16" s="1"/>
  <c r="G23" i="158"/>
  <c r="H23" i="158" s="1"/>
  <c r="G23" i="244"/>
  <c r="H23" i="244" s="1"/>
  <c r="H33" i="244" s="1"/>
  <c r="H52" i="244" s="1"/>
  <c r="E27" i="16" s="1"/>
  <c r="E21" i="240" s="1"/>
  <c r="G25" i="210"/>
  <c r="H25" i="210" s="1"/>
  <c r="H33" i="210" s="1"/>
  <c r="H32" i="213"/>
  <c r="G24" i="211"/>
  <c r="H24" i="211" s="1"/>
  <c r="H34" i="211" s="1"/>
  <c r="H34" i="206"/>
  <c r="H38" i="206" s="1"/>
  <c r="H43" i="206" s="1"/>
  <c r="G23" i="180"/>
  <c r="H23" i="180" s="1"/>
  <c r="G23" i="189"/>
  <c r="H23" i="189" s="1"/>
  <c r="G24" i="158"/>
  <c r="H24" i="158" s="1"/>
  <c r="G24" i="180"/>
  <c r="H24" i="180" s="1"/>
  <c r="G24" i="189"/>
  <c r="H24" i="189" s="1"/>
  <c r="G25" i="158"/>
  <c r="H25" i="158" s="1"/>
  <c r="G25" i="197"/>
  <c r="H25" i="197" s="1"/>
  <c r="H33" i="197" s="1"/>
  <c r="G25" i="180"/>
  <c r="H25" i="180" s="1"/>
  <c r="G25" i="189"/>
  <c r="H25" i="189" s="1"/>
  <c r="G25" i="190"/>
  <c r="H25" i="190" s="1"/>
  <c r="H33" i="190" s="1"/>
  <c r="BK168" i="149"/>
  <c r="CM160" i="149"/>
  <c r="CA160" i="149"/>
  <c r="BT102" i="149"/>
  <c r="BV102" i="149"/>
  <c r="CY102" i="149"/>
  <c r="BS102" i="149"/>
  <c r="BQ83" i="149"/>
  <c r="BR83" i="149" s="1"/>
  <c r="BU83" i="149" s="1"/>
  <c r="BP103" i="149"/>
  <c r="DV103" i="149" s="1"/>
  <c r="BP13" i="149"/>
  <c r="EB83" i="149"/>
  <c r="DY83" i="149"/>
  <c r="DY102" i="149"/>
  <c r="EB102" i="149"/>
  <c r="EC12" i="149"/>
  <c r="BT12" i="149"/>
  <c r="BV12" i="149"/>
  <c r="BS12" i="149"/>
  <c r="CY12" i="149"/>
  <c r="CB160" i="149"/>
  <c r="CG12" i="149"/>
  <c r="CG160" i="149" s="1"/>
  <c r="H42" i="146"/>
  <c r="H33" i="146"/>
  <c r="H7" i="145"/>
  <c r="B8" i="145"/>
  <c r="A8" i="145"/>
  <c r="AP47" i="240" l="1"/>
  <c r="AR47" i="240"/>
  <c r="AO47" i="240"/>
  <c r="AQ47" i="240"/>
  <c r="AL46" i="240"/>
  <c r="AN46" i="240"/>
  <c r="AM46" i="240"/>
  <c r="S45" i="240"/>
  <c r="T45" i="240"/>
  <c r="U45" i="240"/>
  <c r="V45" i="240"/>
  <c r="W45" i="240"/>
  <c r="X45" i="240"/>
  <c r="Y45" i="240"/>
  <c r="AA45" i="240"/>
  <c r="AB45" i="240"/>
  <c r="AC45" i="240"/>
  <c r="AE45" i="240"/>
  <c r="AF45" i="240"/>
  <c r="AG45" i="240"/>
  <c r="AH45" i="240"/>
  <c r="AI45" i="240"/>
  <c r="AK45" i="240"/>
  <c r="Q45" i="240"/>
  <c r="R45" i="240"/>
  <c r="Z45" i="240"/>
  <c r="AD45" i="240"/>
  <c r="AJ45" i="240"/>
  <c r="F50" i="16"/>
  <c r="E44" i="240"/>
  <c r="F26" i="16"/>
  <c r="F20" i="240" s="1"/>
  <c r="D20" i="240"/>
  <c r="F25" i="16"/>
  <c r="D19" i="240"/>
  <c r="F28" i="16"/>
  <c r="F22" i="240" s="1"/>
  <c r="D22" i="240"/>
  <c r="BY102" i="149"/>
  <c r="BZ102" i="149"/>
  <c r="BY12" i="149"/>
  <c r="BZ12" i="149"/>
  <c r="BW12" i="149"/>
  <c r="BX12" i="149"/>
  <c r="BW102" i="149"/>
  <c r="BX102" i="149"/>
  <c r="F27" i="16"/>
  <c r="F21" i="240" s="1"/>
  <c r="D16" i="16"/>
  <c r="D10" i="240" s="1"/>
  <c r="BQ193" i="149"/>
  <c r="H33" i="158"/>
  <c r="H33" i="189"/>
  <c r="H33" i="180"/>
  <c r="DY103" i="149"/>
  <c r="EB103" i="149"/>
  <c r="EC83" i="149"/>
  <c r="EE83" i="149" s="1"/>
  <c r="CX102" i="149"/>
  <c r="DB102" i="149"/>
  <c r="DC102" i="149"/>
  <c r="DA102" i="149"/>
  <c r="ED12" i="149"/>
  <c r="EE12" i="149"/>
  <c r="DV13" i="149"/>
  <c r="BP84" i="149"/>
  <c r="DV84" i="149" s="1"/>
  <c r="BQ103" i="149"/>
  <c r="BR103" i="149" s="1"/>
  <c r="BU103" i="149" s="1"/>
  <c r="BQ13" i="149"/>
  <c r="BR13" i="149" s="1"/>
  <c r="BU13" i="149" s="1"/>
  <c r="BV83" i="149"/>
  <c r="BT83" i="149"/>
  <c r="BS83" i="149"/>
  <c r="CY83" i="149"/>
  <c r="EC102" i="149"/>
  <c r="CX12" i="149"/>
  <c r="DA12" i="149"/>
  <c r="DB12" i="149"/>
  <c r="DC12" i="149"/>
  <c r="CK12" i="149"/>
  <c r="CK102" i="149"/>
  <c r="H49" i="145"/>
  <c r="G49" i="145"/>
  <c r="E49" i="145"/>
  <c r="B49" i="145"/>
  <c r="H48" i="145"/>
  <c r="G48" i="145"/>
  <c r="E48" i="145"/>
  <c r="B48" i="145"/>
  <c r="H47" i="145"/>
  <c r="G47" i="145"/>
  <c r="E47" i="145"/>
  <c r="B47" i="145"/>
  <c r="E46" i="145"/>
  <c r="B46" i="145"/>
  <c r="H41" i="145"/>
  <c r="G41" i="145"/>
  <c r="F41" i="145"/>
  <c r="E41" i="145"/>
  <c r="D41" i="145"/>
  <c r="B41" i="145"/>
  <c r="H40" i="145"/>
  <c r="G40" i="145"/>
  <c r="F40" i="145"/>
  <c r="E40" i="145"/>
  <c r="D40" i="145"/>
  <c r="B40" i="145"/>
  <c r="G39" i="145"/>
  <c r="F39" i="145"/>
  <c r="E39" i="145"/>
  <c r="D39" i="145"/>
  <c r="B39" i="145"/>
  <c r="H38" i="145"/>
  <c r="G38" i="145"/>
  <c r="F38" i="145"/>
  <c r="E38" i="145"/>
  <c r="D38" i="145"/>
  <c r="B38" i="145"/>
  <c r="H37" i="145"/>
  <c r="G37" i="145"/>
  <c r="F37" i="145"/>
  <c r="E37" i="145"/>
  <c r="D37" i="145"/>
  <c r="B37" i="145"/>
  <c r="H32" i="145"/>
  <c r="G32" i="145"/>
  <c r="E32" i="145"/>
  <c r="B32" i="145"/>
  <c r="H31" i="145"/>
  <c r="G31" i="145"/>
  <c r="E31" i="145"/>
  <c r="B31" i="145"/>
  <c r="H30" i="145"/>
  <c r="G30" i="145"/>
  <c r="E30" i="145"/>
  <c r="B30" i="145"/>
  <c r="H29" i="145"/>
  <c r="G29" i="145"/>
  <c r="E29" i="145"/>
  <c r="B29" i="145"/>
  <c r="H28" i="145"/>
  <c r="G28" i="145"/>
  <c r="E28" i="145"/>
  <c r="B28" i="145"/>
  <c r="H27" i="145"/>
  <c r="G27" i="145"/>
  <c r="E27" i="145"/>
  <c r="B27" i="145"/>
  <c r="H26" i="145"/>
  <c r="G26" i="145"/>
  <c r="E26" i="145"/>
  <c r="B26" i="145"/>
  <c r="E25" i="145"/>
  <c r="B25" i="145"/>
  <c r="E24" i="145"/>
  <c r="B24" i="145"/>
  <c r="E23" i="145"/>
  <c r="B23" i="145"/>
  <c r="H18" i="145"/>
  <c r="G18" i="145"/>
  <c r="E18" i="145"/>
  <c r="B18" i="145"/>
  <c r="H17" i="145"/>
  <c r="G17" i="145"/>
  <c r="E17" i="145"/>
  <c r="B17" i="145"/>
  <c r="H16" i="145"/>
  <c r="G16" i="145"/>
  <c r="E16" i="145"/>
  <c r="B16" i="145"/>
  <c r="H15" i="145"/>
  <c r="G15" i="145"/>
  <c r="E15" i="145"/>
  <c r="B15" i="145"/>
  <c r="H14" i="145"/>
  <c r="G14" i="145"/>
  <c r="E14" i="145"/>
  <c r="F13" i="145"/>
  <c r="E13" i="145"/>
  <c r="B13" i="145"/>
  <c r="F5" i="145"/>
  <c r="F3" i="145"/>
  <c r="F2" i="145"/>
  <c r="D2" i="145"/>
  <c r="F19" i="240" l="1"/>
  <c r="Q19" i="240" s="1"/>
  <c r="X20" i="240"/>
  <c r="Y20" i="240"/>
  <c r="Z20" i="240"/>
  <c r="W20" i="240"/>
  <c r="AJ22" i="240"/>
  <c r="AK22" i="240"/>
  <c r="AL22" i="240"/>
  <c r="AM22" i="240"/>
  <c r="AN22" i="240"/>
  <c r="AO22" i="240"/>
  <c r="AP22" i="240"/>
  <c r="AI22" i="240"/>
  <c r="AB21" i="240"/>
  <c r="AC21" i="240"/>
  <c r="AA21" i="240"/>
  <c r="AD21" i="240"/>
  <c r="AE21" i="240"/>
  <c r="AF21" i="240"/>
  <c r="AG21" i="240"/>
  <c r="AH21" i="240"/>
  <c r="S19" i="240"/>
  <c r="T19" i="240"/>
  <c r="W19" i="240"/>
  <c r="X19" i="240"/>
  <c r="AA19" i="240"/>
  <c r="AB19" i="240"/>
  <c r="P19" i="240"/>
  <c r="P79" i="240" s="1"/>
  <c r="P80" i="240" s="1"/>
  <c r="F54" i="16"/>
  <c r="F48" i="240" s="1"/>
  <c r="F44" i="240"/>
  <c r="CO12" i="149"/>
  <c r="CN12" i="149"/>
  <c r="BY83" i="149"/>
  <c r="BZ83" i="149"/>
  <c r="CN102" i="149"/>
  <c r="CO102" i="149"/>
  <c r="BX83" i="149"/>
  <c r="BW83" i="149"/>
  <c r="F29" i="16"/>
  <c r="EC103" i="149"/>
  <c r="DY84" i="149"/>
  <c r="EB84" i="149"/>
  <c r="ED83" i="149"/>
  <c r="EF83" i="149" s="1"/>
  <c r="BV103" i="149"/>
  <c r="BT103" i="149"/>
  <c r="CY103" i="149"/>
  <c r="BS103" i="149"/>
  <c r="BV13" i="149"/>
  <c r="BT13" i="149"/>
  <c r="BS13" i="149"/>
  <c r="CY13" i="149"/>
  <c r="DE12" i="149"/>
  <c r="DP12" i="149" s="1"/>
  <c r="CZ12" i="149"/>
  <c r="EF12" i="149"/>
  <c r="EB13" i="149"/>
  <c r="DY13" i="149"/>
  <c r="BP104" i="149"/>
  <c r="DV104" i="149" s="1"/>
  <c r="BQ84" i="149"/>
  <c r="BR84" i="149" s="1"/>
  <c r="BU84" i="149" s="1"/>
  <c r="CX83" i="149"/>
  <c r="DB83" i="149"/>
  <c r="DA83" i="149"/>
  <c r="DC83" i="149"/>
  <c r="CK83" i="149"/>
  <c r="ED102" i="149"/>
  <c r="EF102" i="149" s="1"/>
  <c r="EE102" i="149"/>
  <c r="CZ102" i="149"/>
  <c r="DE102" i="149"/>
  <c r="DP102" i="149" s="1"/>
  <c r="G46" i="147"/>
  <c r="H46" i="147" s="1"/>
  <c r="H50" i="147" s="1"/>
  <c r="G13" i="147" s="1"/>
  <c r="H13" i="147" s="1"/>
  <c r="H19" i="147" s="1"/>
  <c r="H52" i="147" s="1"/>
  <c r="H42" i="145"/>
  <c r="H7" i="144"/>
  <c r="B8" i="144"/>
  <c r="A8" i="144"/>
  <c r="H49" i="144"/>
  <c r="G49" i="144"/>
  <c r="E49" i="144"/>
  <c r="B49" i="144"/>
  <c r="H48" i="144"/>
  <c r="G48" i="144"/>
  <c r="E48" i="144"/>
  <c r="B48" i="144"/>
  <c r="H47" i="144"/>
  <c r="G47" i="144"/>
  <c r="E47" i="144"/>
  <c r="B47" i="144"/>
  <c r="E46" i="144"/>
  <c r="B46" i="144"/>
  <c r="H41" i="144"/>
  <c r="G41" i="144"/>
  <c r="F41" i="144"/>
  <c r="E41" i="144"/>
  <c r="D41" i="144"/>
  <c r="B41" i="144"/>
  <c r="H40" i="144"/>
  <c r="G40" i="144"/>
  <c r="F40" i="144"/>
  <c r="E40" i="144"/>
  <c r="D40" i="144"/>
  <c r="B40" i="144"/>
  <c r="H39" i="144"/>
  <c r="G39" i="144"/>
  <c r="F39" i="144"/>
  <c r="E39" i="144"/>
  <c r="D39" i="144"/>
  <c r="B39" i="144"/>
  <c r="H38" i="144"/>
  <c r="G38" i="144"/>
  <c r="F38" i="144"/>
  <c r="E38" i="144"/>
  <c r="D38" i="144"/>
  <c r="B38" i="144"/>
  <c r="H32" i="144"/>
  <c r="G32" i="144"/>
  <c r="E32" i="144"/>
  <c r="B32" i="144"/>
  <c r="H31" i="144"/>
  <c r="G31" i="144"/>
  <c r="E31" i="144"/>
  <c r="B31" i="144"/>
  <c r="H30" i="144"/>
  <c r="G30" i="144"/>
  <c r="E30" i="144"/>
  <c r="B30" i="144"/>
  <c r="H29" i="144"/>
  <c r="G29" i="144"/>
  <c r="E29" i="144"/>
  <c r="B29" i="144"/>
  <c r="H28" i="144"/>
  <c r="G28" i="144"/>
  <c r="E28" i="144"/>
  <c r="B28" i="144"/>
  <c r="H18" i="144"/>
  <c r="G18" i="144"/>
  <c r="E18" i="144"/>
  <c r="B18" i="144"/>
  <c r="H17" i="144"/>
  <c r="G17" i="144"/>
  <c r="E17" i="144"/>
  <c r="B17" i="144"/>
  <c r="H16" i="144"/>
  <c r="G16" i="144"/>
  <c r="E16" i="144"/>
  <c r="B16" i="144"/>
  <c r="H15" i="144"/>
  <c r="G15" i="144"/>
  <c r="E15" i="144"/>
  <c r="B15" i="144"/>
  <c r="E14" i="144"/>
  <c r="B14" i="144"/>
  <c r="F13" i="144"/>
  <c r="E13" i="144"/>
  <c r="B13" i="144"/>
  <c r="F5" i="144"/>
  <c r="F3" i="144"/>
  <c r="F2" i="144"/>
  <c r="D2" i="144"/>
  <c r="AD19" i="240" l="1"/>
  <c r="Z19" i="240"/>
  <c r="V19" i="240"/>
  <c r="R19" i="240"/>
  <c r="AC19" i="240"/>
  <c r="Y19" i="240"/>
  <c r="U19" i="240"/>
  <c r="H53" i="147"/>
  <c r="H54" i="147" s="1"/>
  <c r="T44" i="240"/>
  <c r="T79" i="240" s="1"/>
  <c r="T80" i="240" s="1"/>
  <c r="AR44" i="240"/>
  <c r="AR79" i="240" s="1"/>
  <c r="AR80" i="240" s="1"/>
  <c r="U44" i="240"/>
  <c r="U79" i="240" s="1"/>
  <c r="U80" i="240" s="1"/>
  <c r="Q44" i="240"/>
  <c r="Q79" i="240" s="1"/>
  <c r="Q80" i="240" s="1"/>
  <c r="V44" i="240"/>
  <c r="V79" i="240" s="1"/>
  <c r="V80" i="240" s="1"/>
  <c r="W44" i="240"/>
  <c r="W79" i="240" s="1"/>
  <c r="W80" i="240" s="1"/>
  <c r="X44" i="240"/>
  <c r="X79" i="240" s="1"/>
  <c r="X80" i="240" s="1"/>
  <c r="Y44" i="240"/>
  <c r="Z44" i="240"/>
  <c r="AA44" i="240"/>
  <c r="AA79" i="240" s="1"/>
  <c r="AA80" i="240" s="1"/>
  <c r="AB44" i="240"/>
  <c r="AB79" i="240" s="1"/>
  <c r="AB80" i="240" s="1"/>
  <c r="AF44" i="240"/>
  <c r="AF79" i="240" s="1"/>
  <c r="AF80" i="240" s="1"/>
  <c r="AG44" i="240"/>
  <c r="AG79" i="240" s="1"/>
  <c r="AG80" i="240" s="1"/>
  <c r="AH44" i="240"/>
  <c r="AH79" i="240" s="1"/>
  <c r="AH80" i="240" s="1"/>
  <c r="AI44" i="240"/>
  <c r="AI79" i="240" s="1"/>
  <c r="AI80" i="240" s="1"/>
  <c r="AK44" i="240"/>
  <c r="AK79" i="240" s="1"/>
  <c r="AK80" i="240" s="1"/>
  <c r="AL44" i="240"/>
  <c r="AL79" i="240" s="1"/>
  <c r="AL80" i="240" s="1"/>
  <c r="AM44" i="240"/>
  <c r="AM79" i="240" s="1"/>
  <c r="AM80" i="240" s="1"/>
  <c r="AN44" i="240"/>
  <c r="AN79" i="240" s="1"/>
  <c r="AN80" i="240" s="1"/>
  <c r="R44" i="240"/>
  <c r="R79" i="240" s="1"/>
  <c r="R80" i="240" s="1"/>
  <c r="AP44" i="240"/>
  <c r="AP79" i="240" s="1"/>
  <c r="AP80" i="240" s="1"/>
  <c r="AQ44" i="240"/>
  <c r="AQ79" i="240" s="1"/>
  <c r="AQ80" i="240" s="1"/>
  <c r="AC44" i="240"/>
  <c r="AC79" i="240" s="1"/>
  <c r="AC80" i="240" s="1"/>
  <c r="AD44" i="240"/>
  <c r="AD79" i="240" s="1"/>
  <c r="AD80" i="240" s="1"/>
  <c r="AE44" i="240"/>
  <c r="AE79" i="240" s="1"/>
  <c r="AE80" i="240" s="1"/>
  <c r="AJ44" i="240"/>
  <c r="AJ79" i="240" s="1"/>
  <c r="AJ80" i="240" s="1"/>
  <c r="AO44" i="240"/>
  <c r="AO79" i="240" s="1"/>
  <c r="AO80" i="240" s="1"/>
  <c r="S44" i="240"/>
  <c r="S79" i="240" s="1"/>
  <c r="S80" i="240" s="1"/>
  <c r="F78" i="16"/>
  <c r="F23" i="240"/>
  <c r="BY103" i="149"/>
  <c r="BZ103" i="149"/>
  <c r="CN83" i="149"/>
  <c r="CO83" i="149"/>
  <c r="BY13" i="149"/>
  <c r="BZ13" i="149"/>
  <c r="BX13" i="149"/>
  <c r="BW13" i="149"/>
  <c r="BX103" i="149"/>
  <c r="BW103" i="149"/>
  <c r="EC84" i="149"/>
  <c r="EB104" i="149"/>
  <c r="DY104" i="149"/>
  <c r="ED103" i="149"/>
  <c r="EF103" i="149" s="1"/>
  <c r="EE103" i="149"/>
  <c r="BV84" i="149"/>
  <c r="BS84" i="149"/>
  <c r="CY84" i="149"/>
  <c r="BT84" i="149"/>
  <c r="DJ12" i="149"/>
  <c r="EC13" i="149"/>
  <c r="DM12" i="149"/>
  <c r="DL12" i="149"/>
  <c r="CP12" i="149"/>
  <c r="CK103" i="149"/>
  <c r="CX13" i="149"/>
  <c r="DA13" i="149"/>
  <c r="DC13" i="149"/>
  <c r="DB13" i="149"/>
  <c r="CX103" i="149"/>
  <c r="DB103" i="149"/>
  <c r="DA103" i="149"/>
  <c r="DC103" i="149"/>
  <c r="CK13" i="149"/>
  <c r="BQ104" i="149"/>
  <c r="BR104" i="149" s="1"/>
  <c r="BU104" i="149" s="1"/>
  <c r="DJ102" i="149"/>
  <c r="DM102" i="149"/>
  <c r="DL102" i="149"/>
  <c r="CP102" i="149"/>
  <c r="DE83" i="149"/>
  <c r="DP83" i="149" s="1"/>
  <c r="CZ83" i="149"/>
  <c r="BP85" i="149"/>
  <c r="DV85" i="149" s="1"/>
  <c r="H42" i="144"/>
  <c r="E16" i="16" l="1"/>
  <c r="E16" i="256"/>
  <c r="F16" i="256" s="1"/>
  <c r="F22" i="256" s="1"/>
  <c r="Y79" i="240"/>
  <c r="Y80" i="240" s="1"/>
  <c r="Z79" i="240"/>
  <c r="Z80" i="240" s="1"/>
  <c r="E10" i="240"/>
  <c r="F16" i="16"/>
  <c r="F79" i="16"/>
  <c r="F80" i="16" s="1"/>
  <c r="D11" i="255"/>
  <c r="CN103" i="149"/>
  <c r="CO103" i="149"/>
  <c r="CO13" i="149"/>
  <c r="CN13" i="149"/>
  <c r="BY84" i="149"/>
  <c r="BZ84" i="149"/>
  <c r="BX84" i="149"/>
  <c r="BW84" i="149"/>
  <c r="EC104" i="149"/>
  <c r="EB85" i="149"/>
  <c r="DY85" i="149"/>
  <c r="ED84" i="149"/>
  <c r="EF84" i="149" s="1"/>
  <c r="EE84" i="149"/>
  <c r="DN102" i="149"/>
  <c r="BT104" i="149"/>
  <c r="BV104" i="149"/>
  <c r="BS104" i="149"/>
  <c r="CY104" i="149"/>
  <c r="BQ85" i="149"/>
  <c r="BR85" i="149" s="1"/>
  <c r="BU85" i="149" s="1"/>
  <c r="CZ13" i="149"/>
  <c r="DE13" i="149"/>
  <c r="DP13" i="149" s="1"/>
  <c r="BP105" i="149"/>
  <c r="DV105" i="149" s="1"/>
  <c r="DJ83" i="149"/>
  <c r="DM83" i="149"/>
  <c r="DL83" i="149"/>
  <c r="CP83" i="149"/>
  <c r="DC84" i="149"/>
  <c r="DA84" i="149"/>
  <c r="CX84" i="149"/>
  <c r="DB84" i="149"/>
  <c r="CK84" i="149"/>
  <c r="CZ103" i="149"/>
  <c r="DE103" i="149"/>
  <c r="DP103" i="149" s="1"/>
  <c r="EE13" i="149"/>
  <c r="ED13" i="149"/>
  <c r="DN12" i="149"/>
  <c r="A8" i="142"/>
  <c r="H7" i="142"/>
  <c r="B8" i="142"/>
  <c r="H49" i="142"/>
  <c r="G49" i="142"/>
  <c r="E49" i="142"/>
  <c r="B49" i="142"/>
  <c r="H48" i="142"/>
  <c r="G48" i="142"/>
  <c r="E48" i="142"/>
  <c r="B48" i="142"/>
  <c r="H47" i="142"/>
  <c r="G47" i="142"/>
  <c r="E47" i="142"/>
  <c r="B47" i="142"/>
  <c r="E46" i="142"/>
  <c r="B46" i="142"/>
  <c r="H41" i="142"/>
  <c r="G41" i="142"/>
  <c r="F41" i="142"/>
  <c r="E41" i="142"/>
  <c r="D41" i="142"/>
  <c r="B41" i="142"/>
  <c r="H40" i="142"/>
  <c r="G40" i="142"/>
  <c r="F40" i="142"/>
  <c r="E40" i="142"/>
  <c r="D40" i="142"/>
  <c r="B40" i="142"/>
  <c r="H39" i="142"/>
  <c r="G39" i="142"/>
  <c r="F39" i="142"/>
  <c r="E39" i="142"/>
  <c r="D39" i="142"/>
  <c r="B39" i="142"/>
  <c r="H38" i="142"/>
  <c r="G38" i="142"/>
  <c r="F38" i="142"/>
  <c r="E38" i="142"/>
  <c r="D38" i="142"/>
  <c r="B38" i="142"/>
  <c r="H32" i="142"/>
  <c r="G32" i="142"/>
  <c r="E32" i="142"/>
  <c r="B32" i="142"/>
  <c r="H31" i="142"/>
  <c r="G31" i="142"/>
  <c r="E31" i="142"/>
  <c r="B31" i="142"/>
  <c r="H30" i="142"/>
  <c r="G30" i="142"/>
  <c r="E30" i="142"/>
  <c r="B30" i="142"/>
  <c r="H29" i="142"/>
  <c r="G29" i="142"/>
  <c r="E29" i="142"/>
  <c r="B29" i="142"/>
  <c r="H28" i="142"/>
  <c r="G28" i="142"/>
  <c r="E28" i="142"/>
  <c r="H27" i="142"/>
  <c r="G27" i="142"/>
  <c r="E27" i="142"/>
  <c r="H26" i="142"/>
  <c r="G26" i="142"/>
  <c r="E26" i="142"/>
  <c r="H24" i="142"/>
  <c r="H23" i="142"/>
  <c r="H18" i="142"/>
  <c r="G18" i="142"/>
  <c r="E18" i="142"/>
  <c r="B18" i="142"/>
  <c r="H17" i="142"/>
  <c r="G17" i="142"/>
  <c r="E17" i="142"/>
  <c r="B17" i="142"/>
  <c r="H16" i="142"/>
  <c r="G16" i="142"/>
  <c r="E16" i="142"/>
  <c r="B16" i="142"/>
  <c r="H15" i="142"/>
  <c r="G15" i="142"/>
  <c r="E15" i="142"/>
  <c r="B15" i="142"/>
  <c r="G14" i="142"/>
  <c r="H14" i="142" s="1"/>
  <c r="E14" i="142"/>
  <c r="F13" i="142"/>
  <c r="E13" i="142"/>
  <c r="B13" i="142"/>
  <c r="F5" i="142"/>
  <c r="F3" i="142"/>
  <c r="F2" i="142"/>
  <c r="D2" i="142"/>
  <c r="F10" i="240" l="1"/>
  <c r="F79" i="240"/>
  <c r="I72" i="240"/>
  <c r="I74" i="240" s="1"/>
  <c r="H72" i="240"/>
  <c r="H74" i="240" s="1"/>
  <c r="D31" i="255"/>
  <c r="D32" i="255" s="1"/>
  <c r="D15" i="255"/>
  <c r="D19" i="255"/>
  <c r="D18" i="255"/>
  <c r="D24" i="255"/>
  <c r="D26" i="255"/>
  <c r="D20" i="255"/>
  <c r="D16" i="255"/>
  <c r="D27" i="255"/>
  <c r="D25" i="255"/>
  <c r="D17" i="255"/>
  <c r="CN84" i="149"/>
  <c r="CO84" i="149"/>
  <c r="BY104" i="149"/>
  <c r="BZ104" i="149"/>
  <c r="DR102" i="149"/>
  <c r="DS102" i="149" s="1"/>
  <c r="DQ102" i="149"/>
  <c r="BW104" i="149"/>
  <c r="BX104" i="149"/>
  <c r="DR12" i="149"/>
  <c r="DQ12" i="149"/>
  <c r="EC85" i="149"/>
  <c r="ED85" i="149" s="1"/>
  <c r="EF85" i="149" s="1"/>
  <c r="DY105" i="149"/>
  <c r="EB105" i="149"/>
  <c r="EE104" i="149"/>
  <c r="ED104" i="149"/>
  <c r="EF104" i="149" s="1"/>
  <c r="DN83" i="149"/>
  <c r="BT85" i="149"/>
  <c r="BV85" i="149"/>
  <c r="CY85" i="149"/>
  <c r="BS85" i="149"/>
  <c r="DM13" i="149"/>
  <c r="DL13" i="149"/>
  <c r="CP13" i="149"/>
  <c r="DL103" i="149"/>
  <c r="DM103" i="149"/>
  <c r="CP103" i="149"/>
  <c r="DE84" i="149"/>
  <c r="DP84" i="149" s="1"/>
  <c r="CZ84" i="149"/>
  <c r="EF13" i="149"/>
  <c r="BP86" i="149"/>
  <c r="DV86" i="149" s="1"/>
  <c r="DJ103" i="149"/>
  <c r="CX104" i="149"/>
  <c r="DB104" i="149"/>
  <c r="DA104" i="149"/>
  <c r="DC104" i="149"/>
  <c r="DJ13" i="149"/>
  <c r="CK104" i="149"/>
  <c r="BQ105" i="149"/>
  <c r="BR105" i="149" s="1"/>
  <c r="BU105" i="149" s="1"/>
  <c r="H42" i="142"/>
  <c r="H33" i="142"/>
  <c r="U10" i="240" l="1"/>
  <c r="P10" i="240"/>
  <c r="AL10" i="240"/>
  <c r="AG10" i="240"/>
  <c r="AK10" i="240"/>
  <c r="T10" i="240"/>
  <c r="AR10" i="240"/>
  <c r="R10" i="240"/>
  <c r="Z10" i="240"/>
  <c r="O10" i="240"/>
  <c r="AP10" i="240"/>
  <c r="AC10" i="240"/>
  <c r="AJ10" i="240"/>
  <c r="AH10" i="240"/>
  <c r="AI10" i="240"/>
  <c r="AO10" i="240"/>
  <c r="AN10" i="240"/>
  <c r="Y10" i="240"/>
  <c r="AA10" i="240"/>
  <c r="AF10" i="240"/>
  <c r="AE10" i="240"/>
  <c r="AD10" i="240"/>
  <c r="AQ10" i="240"/>
  <c r="Q10" i="240"/>
  <c r="AM10" i="240"/>
  <c r="V10" i="240"/>
  <c r="S10" i="240"/>
  <c r="X10" i="240"/>
  <c r="AB10" i="240"/>
  <c r="W10" i="240"/>
  <c r="H75" i="240"/>
  <c r="H77" i="240"/>
  <c r="H76" i="240"/>
  <c r="H83" i="240" s="1"/>
  <c r="H89" i="240" s="1"/>
  <c r="I75" i="240"/>
  <c r="I77" i="240"/>
  <c r="I76" i="240"/>
  <c r="D21" i="255"/>
  <c r="D28" i="255"/>
  <c r="BY85" i="149"/>
  <c r="BZ85" i="149"/>
  <c r="CO104" i="149"/>
  <c r="CN104" i="149"/>
  <c r="DQ83" i="149"/>
  <c r="DR83" i="149"/>
  <c r="DS83" i="149" s="1"/>
  <c r="BX85" i="149"/>
  <c r="BW85" i="149"/>
  <c r="EE85" i="149"/>
  <c r="DN13" i="149"/>
  <c r="EC105" i="149"/>
  <c r="DY86" i="149"/>
  <c r="EB86" i="149"/>
  <c r="DN103" i="149"/>
  <c r="BV105" i="149"/>
  <c r="BT105" i="149"/>
  <c r="CY105" i="149"/>
  <c r="BS105" i="149"/>
  <c r="DJ84" i="149"/>
  <c r="DM84" i="149"/>
  <c r="DL84" i="149"/>
  <c r="CP84" i="149"/>
  <c r="BP106" i="149"/>
  <c r="DV106" i="149" s="1"/>
  <c r="BQ86" i="149"/>
  <c r="BR86" i="149" s="1"/>
  <c r="BU86" i="149" s="1"/>
  <c r="DS12" i="149"/>
  <c r="CK85" i="149"/>
  <c r="DE104" i="149"/>
  <c r="DP104" i="149" s="1"/>
  <c r="CZ104" i="149"/>
  <c r="CX85" i="149"/>
  <c r="DB85" i="149"/>
  <c r="DC85" i="149"/>
  <c r="DA85" i="149"/>
  <c r="D34" i="255" l="1"/>
  <c r="I83" i="240"/>
  <c r="I89" i="240" s="1"/>
  <c r="G93" i="240"/>
  <c r="G94" i="240" s="1"/>
  <c r="CN85" i="149"/>
  <c r="CO85" i="149"/>
  <c r="BY105" i="149"/>
  <c r="BZ105" i="149"/>
  <c r="DQ103" i="149"/>
  <c r="DR103" i="149"/>
  <c r="DS103" i="149" s="1"/>
  <c r="DQ13" i="149"/>
  <c r="DR13" i="149"/>
  <c r="DS13" i="149" s="1"/>
  <c r="BW105" i="149"/>
  <c r="BX105" i="149"/>
  <c r="DY106" i="149"/>
  <c r="EB106" i="149"/>
  <c r="ED105" i="149"/>
  <c r="EF105" i="149" s="1"/>
  <c r="EE105" i="149"/>
  <c r="EC86" i="149"/>
  <c r="DN84" i="149"/>
  <c r="DM104" i="149"/>
  <c r="DL104" i="149"/>
  <c r="CP104" i="149"/>
  <c r="CK105" i="149"/>
  <c r="CX105" i="149"/>
  <c r="DB105" i="149"/>
  <c r="DA105" i="149"/>
  <c r="DC105" i="149"/>
  <c r="BP87" i="149"/>
  <c r="DV87" i="149" s="1"/>
  <c r="CZ85" i="149"/>
  <c r="DE85" i="149"/>
  <c r="DP85" i="149" s="1"/>
  <c r="BQ106" i="149"/>
  <c r="BR106" i="149" s="1"/>
  <c r="BU106" i="149" s="1"/>
  <c r="BV86" i="149"/>
  <c r="BT86" i="149"/>
  <c r="CY86" i="149"/>
  <c r="BS86" i="149"/>
  <c r="DJ104" i="149"/>
  <c r="H7" i="141"/>
  <c r="B8" i="141"/>
  <c r="A8" i="141"/>
  <c r="B7" i="141"/>
  <c r="A7" i="141"/>
  <c r="A62" i="141"/>
  <c r="A61" i="141"/>
  <c r="A60" i="141"/>
  <c r="A59" i="141"/>
  <c r="H49" i="141"/>
  <c r="G49" i="141"/>
  <c r="E49" i="141"/>
  <c r="B49" i="141"/>
  <c r="H48" i="141"/>
  <c r="G48" i="141"/>
  <c r="E48" i="141"/>
  <c r="B48" i="141"/>
  <c r="H47" i="141"/>
  <c r="G47" i="141"/>
  <c r="E47" i="141"/>
  <c r="B47" i="141"/>
  <c r="H41" i="141"/>
  <c r="G41" i="141"/>
  <c r="F41" i="141"/>
  <c r="E41" i="141"/>
  <c r="D41" i="141"/>
  <c r="B41" i="141"/>
  <c r="H40" i="141"/>
  <c r="G40" i="141"/>
  <c r="F40" i="141"/>
  <c r="E40" i="141"/>
  <c r="D40" i="141"/>
  <c r="B40" i="141"/>
  <c r="H39" i="141"/>
  <c r="G39" i="141"/>
  <c r="F39" i="141"/>
  <c r="E39" i="141"/>
  <c r="D39" i="141"/>
  <c r="B39" i="141"/>
  <c r="H38" i="141"/>
  <c r="G38" i="141"/>
  <c r="F38" i="141"/>
  <c r="E38" i="141"/>
  <c r="D38" i="141"/>
  <c r="B38" i="141"/>
  <c r="H37" i="141"/>
  <c r="G37" i="141"/>
  <c r="E37" i="141"/>
  <c r="D37" i="141"/>
  <c r="B37" i="141"/>
  <c r="H32" i="141"/>
  <c r="G32" i="141"/>
  <c r="E32" i="141"/>
  <c r="B32" i="141"/>
  <c r="H31" i="141"/>
  <c r="G31" i="141"/>
  <c r="E31" i="141"/>
  <c r="B31" i="141"/>
  <c r="H30" i="141"/>
  <c r="G30" i="141"/>
  <c r="E30" i="141"/>
  <c r="B30" i="141"/>
  <c r="H29" i="141"/>
  <c r="G29" i="141"/>
  <c r="E29" i="141"/>
  <c r="B29" i="141"/>
  <c r="H28" i="141"/>
  <c r="G28" i="141"/>
  <c r="E28" i="141"/>
  <c r="B28" i="141"/>
  <c r="H27" i="141"/>
  <c r="G27" i="141"/>
  <c r="E27" i="141"/>
  <c r="B27" i="141"/>
  <c r="H26" i="141"/>
  <c r="G26" i="141"/>
  <c r="E26" i="141"/>
  <c r="B26" i="141"/>
  <c r="H25" i="141"/>
  <c r="G25" i="141"/>
  <c r="E25" i="141"/>
  <c r="B25" i="141"/>
  <c r="H24" i="141"/>
  <c r="G24" i="141"/>
  <c r="E24" i="141"/>
  <c r="B24" i="141"/>
  <c r="H23" i="141"/>
  <c r="G23" i="141"/>
  <c r="E23" i="141"/>
  <c r="B23" i="141"/>
  <c r="H18" i="141"/>
  <c r="G18" i="141"/>
  <c r="E18" i="141"/>
  <c r="B18" i="141"/>
  <c r="H17" i="141"/>
  <c r="G17" i="141"/>
  <c r="E17" i="141"/>
  <c r="B17" i="141"/>
  <c r="H16" i="141"/>
  <c r="G16" i="141"/>
  <c r="E16" i="141"/>
  <c r="B16" i="141"/>
  <c r="H15" i="141"/>
  <c r="G15" i="141"/>
  <c r="E15" i="141"/>
  <c r="B15" i="141"/>
  <c r="G14" i="141"/>
  <c r="H14" i="141" s="1"/>
  <c r="E14" i="141"/>
  <c r="B14" i="141"/>
  <c r="D2" i="141"/>
  <c r="F41" i="18"/>
  <c r="C43" i="18"/>
  <c r="D43" i="18"/>
  <c r="F43" i="18"/>
  <c r="C44" i="18"/>
  <c r="D44" i="18"/>
  <c r="F44" i="18"/>
  <c r="D42" i="18"/>
  <c r="F42" i="18"/>
  <c r="CO105" i="149" l="1"/>
  <c r="CN105" i="149"/>
  <c r="BY86" i="149"/>
  <c r="BZ86" i="149"/>
  <c r="DQ84" i="149"/>
  <c r="DR84" i="149"/>
  <c r="DS84" i="149" s="1"/>
  <c r="BX86" i="149"/>
  <c r="BW86" i="149"/>
  <c r="EC106" i="149"/>
  <c r="ED106" i="149" s="1"/>
  <c r="EF106" i="149" s="1"/>
  <c r="ED86" i="149"/>
  <c r="EF86" i="149" s="1"/>
  <c r="EE86" i="149"/>
  <c r="EB87" i="149"/>
  <c r="DY87" i="149"/>
  <c r="DN104" i="149"/>
  <c r="BV106" i="149"/>
  <c r="BT106" i="149"/>
  <c r="BS106" i="149"/>
  <c r="CY106" i="149"/>
  <c r="BQ87" i="149"/>
  <c r="BR87" i="149" s="1"/>
  <c r="BU87" i="149" s="1"/>
  <c r="CK86" i="149"/>
  <c r="DJ85" i="149"/>
  <c r="CX86" i="149"/>
  <c r="DC86" i="149"/>
  <c r="DB86" i="149"/>
  <c r="DA86" i="149"/>
  <c r="BP107" i="149"/>
  <c r="DV107" i="149" s="1"/>
  <c r="DM85" i="149"/>
  <c r="DL85" i="149"/>
  <c r="CP85" i="149"/>
  <c r="DE105" i="149"/>
  <c r="DP105" i="149" s="1"/>
  <c r="CZ105" i="149"/>
  <c r="H19" i="141"/>
  <c r="H42" i="141"/>
  <c r="H33" i="141"/>
  <c r="H50" i="141"/>
  <c r="BY106" i="149" l="1"/>
  <c r="BZ106" i="149"/>
  <c r="CO86" i="149"/>
  <c r="CN86" i="149"/>
  <c r="DQ104" i="149"/>
  <c r="DR104" i="149"/>
  <c r="DS104" i="149" s="1"/>
  <c r="BX106" i="149"/>
  <c r="BW106" i="149"/>
  <c r="EE106" i="149"/>
  <c r="EC87" i="149"/>
  <c r="EB107" i="149"/>
  <c r="DY107" i="149"/>
  <c r="DN85" i="149"/>
  <c r="BT87" i="149"/>
  <c r="BV87" i="149"/>
  <c r="CY87" i="149"/>
  <c r="BS87" i="149"/>
  <c r="BP21" i="149"/>
  <c r="DL105" i="149"/>
  <c r="DM105" i="149"/>
  <c r="CP105" i="149"/>
  <c r="DE86" i="149"/>
  <c r="DP86" i="149" s="1"/>
  <c r="CZ86" i="149"/>
  <c r="BP88" i="149"/>
  <c r="DV88" i="149" s="1"/>
  <c r="CX106" i="149"/>
  <c r="DA106" i="149"/>
  <c r="DC106" i="149"/>
  <c r="DB106" i="149"/>
  <c r="BQ107" i="149"/>
  <c r="BR107" i="149" s="1"/>
  <c r="BU107" i="149" s="1"/>
  <c r="CK106" i="149"/>
  <c r="DJ105" i="149"/>
  <c r="H52" i="141"/>
  <c r="H53" i="141" l="1"/>
  <c r="H54" i="141" s="1"/>
  <c r="E19" i="16" s="1"/>
  <c r="E13" i="240" s="1"/>
  <c r="CN106" i="149"/>
  <c r="CO106" i="149"/>
  <c r="BY87" i="149"/>
  <c r="BZ87" i="149"/>
  <c r="DQ85" i="149"/>
  <c r="DR85" i="149"/>
  <c r="DS85" i="149" s="1"/>
  <c r="BX87" i="149"/>
  <c r="BW87" i="149"/>
  <c r="EC107" i="149"/>
  <c r="ED107" i="149" s="1"/>
  <c r="EF107" i="149" s="1"/>
  <c r="DY88" i="149"/>
  <c r="EB88" i="149"/>
  <c r="ED87" i="149"/>
  <c r="EF87" i="149" s="1"/>
  <c r="EE87" i="149"/>
  <c r="DN105" i="149"/>
  <c r="BP108" i="149"/>
  <c r="DV108" i="149" s="1"/>
  <c r="DJ86" i="149"/>
  <c r="DV21" i="149"/>
  <c r="BQ21" i="149"/>
  <c r="BR21" i="149" s="1"/>
  <c r="BU21" i="149" s="1"/>
  <c r="BV107" i="149"/>
  <c r="CY107" i="149"/>
  <c r="BT107" i="149"/>
  <c r="BS107" i="149"/>
  <c r="DM86" i="149"/>
  <c r="DL86" i="149"/>
  <c r="CP86" i="149"/>
  <c r="CK87" i="149"/>
  <c r="CX87" i="149"/>
  <c r="DA87" i="149"/>
  <c r="DC87" i="149"/>
  <c r="DB87" i="149"/>
  <c r="BQ88" i="149"/>
  <c r="BR88" i="149" s="1"/>
  <c r="BU88" i="149" s="1"/>
  <c r="CZ106" i="149"/>
  <c r="DE106" i="149"/>
  <c r="DP106" i="149" s="1"/>
  <c r="BY107" i="149" l="1"/>
  <c r="BZ107" i="149"/>
  <c r="CN87" i="149"/>
  <c r="CO87" i="149"/>
  <c r="DQ105" i="149"/>
  <c r="DR105" i="149"/>
  <c r="DS105" i="149" s="1"/>
  <c r="BW107" i="149"/>
  <c r="BX107" i="149"/>
  <c r="EE107" i="149"/>
  <c r="EC88" i="149"/>
  <c r="EE88" i="149" s="1"/>
  <c r="DY108" i="149"/>
  <c r="EB108" i="149"/>
  <c r="DN86" i="149"/>
  <c r="BV21" i="149"/>
  <c r="BT21" i="149"/>
  <c r="CY21" i="149"/>
  <c r="BS21" i="149"/>
  <c r="BV88" i="149"/>
  <c r="BT88" i="149"/>
  <c r="CY88" i="149"/>
  <c r="BS88" i="149"/>
  <c r="CZ87" i="149"/>
  <c r="DE87" i="149"/>
  <c r="DP87" i="149" s="1"/>
  <c r="DJ106" i="149"/>
  <c r="BP89" i="149"/>
  <c r="DV89" i="149" s="1"/>
  <c r="CK107" i="149"/>
  <c r="BP15" i="149"/>
  <c r="DM106" i="149"/>
  <c r="DL106" i="149"/>
  <c r="CP106" i="149"/>
  <c r="CX107" i="149"/>
  <c r="DC107" i="149"/>
  <c r="DB107" i="149"/>
  <c r="DA107" i="149"/>
  <c r="BQ108" i="149"/>
  <c r="BR108" i="149" s="1"/>
  <c r="BU108" i="149" s="1"/>
  <c r="EB21" i="149"/>
  <c r="DY21" i="149"/>
  <c r="BY21" i="149" l="1"/>
  <c r="BZ21" i="149"/>
  <c r="CN107" i="149"/>
  <c r="CO107" i="149"/>
  <c r="BY88" i="149"/>
  <c r="BZ88" i="149"/>
  <c r="DQ86" i="149"/>
  <c r="DR86" i="149"/>
  <c r="DS86" i="149" s="1"/>
  <c r="BX88" i="149"/>
  <c r="BW88" i="149"/>
  <c r="BW21" i="149"/>
  <c r="BX21" i="149"/>
  <c r="EC108" i="149"/>
  <c r="EE108" i="149" s="1"/>
  <c r="ED88" i="149"/>
  <c r="EF88" i="149" s="1"/>
  <c r="DY89" i="149"/>
  <c r="EB89" i="149"/>
  <c r="EC21" i="149"/>
  <c r="EE21" i="149" s="1"/>
  <c r="DN106" i="149"/>
  <c r="BP109" i="149"/>
  <c r="DV109" i="149" s="1"/>
  <c r="DE107" i="149"/>
  <c r="DP107" i="149" s="1"/>
  <c r="CZ107" i="149"/>
  <c r="DJ87" i="149"/>
  <c r="BQ89" i="149"/>
  <c r="BR89" i="149" s="1"/>
  <c r="BU89" i="149" s="1"/>
  <c r="CK88" i="149"/>
  <c r="CX88" i="149"/>
  <c r="DC88" i="149"/>
  <c r="DB88" i="149"/>
  <c r="DA88" i="149"/>
  <c r="DV15" i="149"/>
  <c r="BT108" i="149"/>
  <c r="BV108" i="149"/>
  <c r="BS108" i="149"/>
  <c r="CY108" i="149"/>
  <c r="BQ15" i="149"/>
  <c r="BR15" i="149" s="1"/>
  <c r="BU15" i="149" s="1"/>
  <c r="CK21" i="149"/>
  <c r="CX21" i="149"/>
  <c r="DA21" i="149"/>
  <c r="DC21" i="149"/>
  <c r="DB21" i="149"/>
  <c r="DL87" i="149"/>
  <c r="DM87" i="149"/>
  <c r="CP87" i="149"/>
  <c r="CN21" i="149" l="1"/>
  <c r="CO21" i="149"/>
  <c r="CO88" i="149"/>
  <c r="CN88" i="149"/>
  <c r="BY108" i="149"/>
  <c r="BZ108" i="149"/>
  <c r="DQ106" i="149"/>
  <c r="DR106" i="149"/>
  <c r="DS106" i="149" s="1"/>
  <c r="BX108" i="149"/>
  <c r="BW108" i="149"/>
  <c r="ED108" i="149"/>
  <c r="EF108" i="149" s="1"/>
  <c r="ED21" i="149"/>
  <c r="EF21" i="149" s="1"/>
  <c r="EC89" i="149"/>
  <c r="ED89" i="149" s="1"/>
  <c r="EF89" i="149" s="1"/>
  <c r="DY109" i="149"/>
  <c r="EB109" i="149"/>
  <c r="DN87" i="149"/>
  <c r="CY15" i="149"/>
  <c r="BV15" i="149"/>
  <c r="BT15" i="149"/>
  <c r="BS15" i="149"/>
  <c r="BP90" i="149"/>
  <c r="DV90" i="149" s="1"/>
  <c r="CX108" i="149"/>
  <c r="DB108" i="149"/>
  <c r="DA108" i="149"/>
  <c r="DC108" i="149"/>
  <c r="CK108" i="149"/>
  <c r="DL107" i="149"/>
  <c r="DM107" i="149"/>
  <c r="CP107" i="149"/>
  <c r="CZ21" i="149"/>
  <c r="DE21" i="149"/>
  <c r="DP21" i="149" s="1"/>
  <c r="BQ109" i="149"/>
  <c r="BR109" i="149" s="1"/>
  <c r="BU109" i="149" s="1"/>
  <c r="BV89" i="149"/>
  <c r="CY89" i="149"/>
  <c r="BT89" i="149"/>
  <c r="BS89" i="149"/>
  <c r="EB15" i="149"/>
  <c r="DY15" i="149"/>
  <c r="DJ107" i="149"/>
  <c r="BP16" i="149"/>
  <c r="CZ88" i="149"/>
  <c r="DE88" i="149"/>
  <c r="DP88" i="149" s="1"/>
  <c r="CN108" i="149" l="1"/>
  <c r="CO108" i="149"/>
  <c r="BY89" i="149"/>
  <c r="BZ89" i="149"/>
  <c r="BY15" i="149"/>
  <c r="BZ15" i="149"/>
  <c r="DQ87" i="149"/>
  <c r="DR87" i="149"/>
  <c r="DS87" i="149" s="1"/>
  <c r="BW89" i="149"/>
  <c r="BX89" i="149"/>
  <c r="BW15" i="149"/>
  <c r="BX15" i="149"/>
  <c r="EE89" i="149"/>
  <c r="EC109" i="149"/>
  <c r="ED109" i="149" s="1"/>
  <c r="EF109" i="149" s="1"/>
  <c r="DY90" i="149"/>
  <c r="EB90" i="149"/>
  <c r="DN107" i="149"/>
  <c r="EC15" i="149"/>
  <c r="EE15" i="149" s="1"/>
  <c r="BV109" i="149"/>
  <c r="BT109" i="149"/>
  <c r="BS109" i="149"/>
  <c r="CY109" i="149"/>
  <c r="BQ16" i="149"/>
  <c r="BR16" i="149" s="1"/>
  <c r="BU16" i="149" s="1"/>
  <c r="CX89" i="149"/>
  <c r="DB89" i="149"/>
  <c r="DA89" i="149"/>
  <c r="DC89" i="149"/>
  <c r="DE108" i="149"/>
  <c r="DP108" i="149" s="1"/>
  <c r="CZ108" i="149"/>
  <c r="DL21" i="149"/>
  <c r="DM21" i="149"/>
  <c r="CP21" i="149"/>
  <c r="CK15" i="149"/>
  <c r="DJ88" i="149"/>
  <c r="BQ90" i="149"/>
  <c r="BR90" i="149" s="1"/>
  <c r="BU90" i="149" s="1"/>
  <c r="BP110" i="149"/>
  <c r="DV110" i="149" s="1"/>
  <c r="DJ21" i="149"/>
  <c r="DA15" i="149"/>
  <c r="CX15" i="149"/>
  <c r="DC15" i="149"/>
  <c r="DB15" i="149"/>
  <c r="BP29" i="149"/>
  <c r="DM88" i="149"/>
  <c r="DL88" i="149"/>
  <c r="CP88" i="149"/>
  <c r="DV16" i="149"/>
  <c r="CK89" i="149"/>
  <c r="CN89" i="149" l="1"/>
  <c r="CO89" i="149"/>
  <c r="CN15" i="149"/>
  <c r="CO15" i="149"/>
  <c r="BY109" i="149"/>
  <c r="BZ109" i="149"/>
  <c r="DQ107" i="149"/>
  <c r="DR107" i="149"/>
  <c r="DS107" i="149" s="1"/>
  <c r="BX109" i="149"/>
  <c r="BW109" i="149"/>
  <c r="EE109" i="149"/>
  <c r="ED15" i="149"/>
  <c r="EF15" i="149" s="1"/>
  <c r="EC90" i="149"/>
  <c r="DY110" i="149"/>
  <c r="EB110" i="149"/>
  <c r="DN21" i="149"/>
  <c r="DN88" i="149"/>
  <c r="BV90" i="149"/>
  <c r="BT90" i="149"/>
  <c r="BS90" i="149"/>
  <c r="CY90" i="149"/>
  <c r="BP91" i="149"/>
  <c r="DV91" i="149" s="1"/>
  <c r="DJ108" i="149"/>
  <c r="CX109" i="149"/>
  <c r="DA109" i="149"/>
  <c r="DC109" i="149"/>
  <c r="DB109" i="149"/>
  <c r="BQ29" i="149"/>
  <c r="BR29" i="149" s="1"/>
  <c r="BU29" i="149" s="1"/>
  <c r="CK109" i="149"/>
  <c r="DM108" i="149"/>
  <c r="DL108" i="149"/>
  <c r="CP108" i="149"/>
  <c r="DE89" i="149"/>
  <c r="DP89" i="149" s="1"/>
  <c r="CZ89" i="149"/>
  <c r="BT16" i="149"/>
  <c r="BV16" i="149"/>
  <c r="BS16" i="149"/>
  <c r="CY16" i="149"/>
  <c r="EB16" i="149"/>
  <c r="DY16" i="149"/>
  <c r="DE15" i="149"/>
  <c r="DP15" i="149" s="1"/>
  <c r="CZ15" i="149"/>
  <c r="BQ110" i="149"/>
  <c r="BR110" i="149" s="1"/>
  <c r="BU110" i="149" s="1"/>
  <c r="DV29" i="149"/>
  <c r="BP17" i="149"/>
  <c r="CN109" i="149" l="1"/>
  <c r="CO109" i="149"/>
  <c r="BY16" i="149"/>
  <c r="BZ16" i="149"/>
  <c r="BY90" i="149"/>
  <c r="BZ90" i="149"/>
  <c r="DQ88" i="149"/>
  <c r="DR88" i="149"/>
  <c r="DS88" i="149" s="1"/>
  <c r="DQ21" i="149"/>
  <c r="DR21" i="149"/>
  <c r="DS21" i="149" s="1"/>
  <c r="BX90" i="149"/>
  <c r="BW90" i="149"/>
  <c r="BX16" i="149"/>
  <c r="BW16" i="149"/>
  <c r="EC110" i="149"/>
  <c r="DY91" i="149"/>
  <c r="EB91" i="149"/>
  <c r="ED90" i="149"/>
  <c r="EF90" i="149" s="1"/>
  <c r="EE90" i="149"/>
  <c r="DN108" i="149"/>
  <c r="BV110" i="149"/>
  <c r="BT110" i="149"/>
  <c r="CY110" i="149"/>
  <c r="BS110" i="149"/>
  <c r="EB29" i="149"/>
  <c r="DY29" i="149"/>
  <c r="CZ109" i="149"/>
  <c r="DE109" i="149"/>
  <c r="DP109" i="149" s="1"/>
  <c r="BP14" i="149"/>
  <c r="DJ89" i="149"/>
  <c r="BQ91" i="149"/>
  <c r="BR91" i="149" s="1"/>
  <c r="BU91" i="149" s="1"/>
  <c r="DL15" i="149"/>
  <c r="DM15" i="149"/>
  <c r="CP15" i="149"/>
  <c r="CX90" i="149"/>
  <c r="DC90" i="149"/>
  <c r="DB90" i="149"/>
  <c r="DA90" i="149"/>
  <c r="DV17" i="149"/>
  <c r="BQ17" i="149"/>
  <c r="BR17" i="149" s="1"/>
  <c r="BU17" i="149" s="1"/>
  <c r="DM89" i="149"/>
  <c r="DL89" i="149"/>
  <c r="CP89" i="149"/>
  <c r="CK90" i="149"/>
  <c r="BP111" i="149"/>
  <c r="DV111" i="149" s="1"/>
  <c r="BP30" i="149"/>
  <c r="EC16" i="149"/>
  <c r="DJ15" i="149"/>
  <c r="CX16" i="149"/>
  <c r="DA16" i="149"/>
  <c r="DC16" i="149"/>
  <c r="DB16" i="149"/>
  <c r="BV29" i="149"/>
  <c r="BT29" i="149"/>
  <c r="CY29" i="149"/>
  <c r="BS29" i="149"/>
  <c r="CK16" i="149"/>
  <c r="A7" i="124"/>
  <c r="G20" i="132"/>
  <c r="G35" i="132"/>
  <c r="D38" i="132"/>
  <c r="G38" i="132" s="1"/>
  <c r="D31" i="132"/>
  <c r="G31" i="132" s="1"/>
  <c r="D24" i="132"/>
  <c r="G24" i="132" s="1"/>
  <c r="G37" i="132"/>
  <c r="G37" i="124"/>
  <c r="K38" i="136"/>
  <c r="K37" i="136"/>
  <c r="A27" i="136"/>
  <c r="A28" i="136"/>
  <c r="C15" i="136"/>
  <c r="D15" i="136" s="1"/>
  <c r="E15" i="136" s="1"/>
  <c r="F15" i="136" s="1"/>
  <c r="G15" i="136" s="1"/>
  <c r="H15" i="136" s="1"/>
  <c r="F22" i="133"/>
  <c r="F23" i="133" s="1"/>
  <c r="F18" i="133"/>
  <c r="F17" i="133"/>
  <c r="F16" i="133"/>
  <c r="F15" i="133"/>
  <c r="F14" i="133"/>
  <c r="F13" i="133"/>
  <c r="F12" i="133"/>
  <c r="F11" i="133"/>
  <c r="F10" i="133"/>
  <c r="K36" i="136"/>
  <c r="K35" i="136"/>
  <c r="A26" i="136"/>
  <c r="A24" i="136"/>
  <c r="A23" i="136"/>
  <c r="A22" i="136"/>
  <c r="C16" i="136"/>
  <c r="D16" i="136" s="1"/>
  <c r="E16" i="136" s="1"/>
  <c r="F16" i="136" s="1"/>
  <c r="C11" i="136"/>
  <c r="D11" i="136" s="1"/>
  <c r="E11" i="136" s="1"/>
  <c r="F11" i="136" s="1"/>
  <c r="C10" i="136"/>
  <c r="D10" i="136" s="1"/>
  <c r="E10" i="136" s="1"/>
  <c r="F10" i="136" s="1"/>
  <c r="G10" i="136" s="1"/>
  <c r="H10" i="136" s="1"/>
  <c r="I10" i="136" s="1"/>
  <c r="I47" i="135"/>
  <c r="I39" i="135"/>
  <c r="I27" i="135"/>
  <c r="I10" i="135"/>
  <c r="I12" i="135" s="1"/>
  <c r="I9" i="135"/>
  <c r="F22" i="134"/>
  <c r="F23" i="134" s="1"/>
  <c r="F17" i="134"/>
  <c r="F15" i="134"/>
  <c r="F14" i="134"/>
  <c r="F13" i="134"/>
  <c r="F12" i="134"/>
  <c r="G40" i="132"/>
  <c r="G39" i="132"/>
  <c r="G36" i="132"/>
  <c r="G30" i="132"/>
  <c r="G15" i="132"/>
  <c r="H7" i="129"/>
  <c r="B8" i="129"/>
  <c r="A8" i="129"/>
  <c r="H49" i="129"/>
  <c r="G49" i="129"/>
  <c r="E49" i="129"/>
  <c r="B49" i="129"/>
  <c r="H48" i="129"/>
  <c r="G48" i="129"/>
  <c r="E48" i="129"/>
  <c r="B48" i="129"/>
  <c r="H47" i="129"/>
  <c r="G47" i="129"/>
  <c r="E47" i="129"/>
  <c r="B47" i="129"/>
  <c r="E46" i="129"/>
  <c r="B46" i="129"/>
  <c r="H41" i="129"/>
  <c r="G41" i="129"/>
  <c r="F41" i="129"/>
  <c r="E41" i="129"/>
  <c r="D41" i="129"/>
  <c r="B41" i="129"/>
  <c r="H40" i="129"/>
  <c r="G40" i="129"/>
  <c r="F40" i="129"/>
  <c r="E40" i="129"/>
  <c r="D40" i="129"/>
  <c r="B40" i="129"/>
  <c r="H39" i="129"/>
  <c r="G39" i="129"/>
  <c r="F39" i="129"/>
  <c r="E39" i="129"/>
  <c r="D39" i="129"/>
  <c r="B39" i="129"/>
  <c r="H38" i="129"/>
  <c r="G38" i="129"/>
  <c r="F38" i="129"/>
  <c r="E38" i="129"/>
  <c r="D38" i="129"/>
  <c r="B38" i="129"/>
  <c r="H37" i="129"/>
  <c r="G37" i="129"/>
  <c r="F37" i="129"/>
  <c r="E37" i="129"/>
  <c r="D37" i="129"/>
  <c r="B37" i="129"/>
  <c r="H32" i="129"/>
  <c r="G32" i="129"/>
  <c r="E32" i="129"/>
  <c r="B32" i="129"/>
  <c r="H31" i="129"/>
  <c r="G31" i="129"/>
  <c r="E31" i="129"/>
  <c r="B31" i="129"/>
  <c r="H30" i="129"/>
  <c r="G30" i="129"/>
  <c r="E30" i="129"/>
  <c r="B30" i="129"/>
  <c r="H29" i="129"/>
  <c r="G29" i="129"/>
  <c r="E29" i="129"/>
  <c r="B29" i="129"/>
  <c r="H28" i="129"/>
  <c r="G28" i="129"/>
  <c r="E28" i="129"/>
  <c r="B28" i="129"/>
  <c r="H27" i="129"/>
  <c r="G27" i="129"/>
  <c r="E27" i="129"/>
  <c r="B27" i="129"/>
  <c r="H26" i="129"/>
  <c r="G26" i="129"/>
  <c r="E26" i="129"/>
  <c r="B26" i="129"/>
  <c r="E25" i="129"/>
  <c r="E24" i="129"/>
  <c r="H18" i="129"/>
  <c r="G18" i="129"/>
  <c r="E18" i="129"/>
  <c r="B18" i="129"/>
  <c r="H17" i="129"/>
  <c r="G17" i="129"/>
  <c r="E17" i="129"/>
  <c r="B17" i="129"/>
  <c r="H16" i="129"/>
  <c r="G16" i="129"/>
  <c r="E16" i="129"/>
  <c r="B16" i="129"/>
  <c r="H15" i="129"/>
  <c r="G15" i="129"/>
  <c r="E15" i="129"/>
  <c r="B15" i="129"/>
  <c r="H14" i="129"/>
  <c r="G14" i="129"/>
  <c r="E14" i="129"/>
  <c r="B14" i="129"/>
  <c r="F13" i="129"/>
  <c r="E13" i="129"/>
  <c r="B13" i="129"/>
  <c r="F5" i="129"/>
  <c r="F3" i="129"/>
  <c r="F2" i="129"/>
  <c r="D2" i="129"/>
  <c r="H7" i="128"/>
  <c r="B8" i="128"/>
  <c r="A8" i="128"/>
  <c r="H49" i="128"/>
  <c r="G49" i="128"/>
  <c r="E49" i="128"/>
  <c r="B49" i="128"/>
  <c r="H48" i="128"/>
  <c r="G48" i="128"/>
  <c r="E48" i="128"/>
  <c r="B48" i="128"/>
  <c r="H47" i="128"/>
  <c r="G47" i="128"/>
  <c r="E47" i="128"/>
  <c r="B47" i="128"/>
  <c r="E46" i="128"/>
  <c r="B46" i="128"/>
  <c r="H41" i="128"/>
  <c r="G41" i="128"/>
  <c r="F41" i="128"/>
  <c r="E41" i="128"/>
  <c r="D41" i="128"/>
  <c r="B41" i="128"/>
  <c r="H40" i="128"/>
  <c r="G40" i="128"/>
  <c r="F40" i="128"/>
  <c r="E40" i="128"/>
  <c r="D40" i="128"/>
  <c r="B40" i="128"/>
  <c r="H39" i="128"/>
  <c r="G39" i="128"/>
  <c r="F39" i="128"/>
  <c r="E39" i="128"/>
  <c r="D39" i="128"/>
  <c r="B39" i="128"/>
  <c r="H38" i="128"/>
  <c r="G38" i="128"/>
  <c r="F38" i="128"/>
  <c r="E38" i="128"/>
  <c r="D38" i="128"/>
  <c r="B38" i="128"/>
  <c r="H37" i="128"/>
  <c r="G37" i="128"/>
  <c r="F37" i="128"/>
  <c r="E37" i="128"/>
  <c r="D37" i="128"/>
  <c r="B37" i="128"/>
  <c r="H32" i="128"/>
  <c r="G32" i="128"/>
  <c r="E32" i="128"/>
  <c r="B32" i="128"/>
  <c r="H31" i="128"/>
  <c r="G31" i="128"/>
  <c r="E31" i="128"/>
  <c r="B31" i="128"/>
  <c r="H30" i="128"/>
  <c r="G30" i="128"/>
  <c r="E30" i="128"/>
  <c r="B30" i="128"/>
  <c r="H29" i="128"/>
  <c r="G29" i="128"/>
  <c r="E29" i="128"/>
  <c r="B29" i="128"/>
  <c r="H28" i="128"/>
  <c r="G28" i="128"/>
  <c r="E28" i="128"/>
  <c r="B28" i="128"/>
  <c r="H27" i="128"/>
  <c r="G27" i="128"/>
  <c r="E27" i="128"/>
  <c r="B27" i="128"/>
  <c r="H26" i="128"/>
  <c r="G26" i="128"/>
  <c r="E26" i="128"/>
  <c r="B26" i="128"/>
  <c r="E25" i="128"/>
  <c r="E24" i="128"/>
  <c r="H18" i="128"/>
  <c r="G18" i="128"/>
  <c r="E18" i="128"/>
  <c r="B18" i="128"/>
  <c r="H17" i="128"/>
  <c r="G17" i="128"/>
  <c r="E17" i="128"/>
  <c r="B17" i="128"/>
  <c r="H16" i="128"/>
  <c r="G16" i="128"/>
  <c r="E16" i="128"/>
  <c r="B16" i="128"/>
  <c r="H15" i="128"/>
  <c r="G15" i="128"/>
  <c r="E15" i="128"/>
  <c r="B15" i="128"/>
  <c r="H14" i="128"/>
  <c r="G14" i="128"/>
  <c r="E14" i="128"/>
  <c r="B14" i="128"/>
  <c r="F13" i="128"/>
  <c r="E13" i="128"/>
  <c r="B13" i="128"/>
  <c r="F5" i="128"/>
  <c r="F3" i="128"/>
  <c r="F2" i="128"/>
  <c r="D2" i="128"/>
  <c r="H37" i="127"/>
  <c r="H7" i="127"/>
  <c r="B8" i="127"/>
  <c r="A8" i="127"/>
  <c r="H49" i="127"/>
  <c r="G49" i="127"/>
  <c r="E49" i="127"/>
  <c r="B49" i="127"/>
  <c r="H48" i="127"/>
  <c r="G48" i="127"/>
  <c r="E48" i="127"/>
  <c r="B48" i="127"/>
  <c r="H47" i="127"/>
  <c r="G47" i="127"/>
  <c r="E47" i="127"/>
  <c r="B47" i="127"/>
  <c r="E46" i="127"/>
  <c r="B46" i="127"/>
  <c r="H41" i="127"/>
  <c r="G41" i="127"/>
  <c r="F41" i="127"/>
  <c r="E41" i="127"/>
  <c r="D41" i="127"/>
  <c r="B41" i="127"/>
  <c r="H40" i="127"/>
  <c r="G40" i="127"/>
  <c r="F40" i="127"/>
  <c r="E40" i="127"/>
  <c r="D40" i="127"/>
  <c r="B40" i="127"/>
  <c r="H39" i="127"/>
  <c r="G39" i="127"/>
  <c r="F39" i="127"/>
  <c r="E39" i="127"/>
  <c r="D39" i="127"/>
  <c r="B39" i="127"/>
  <c r="H38" i="127"/>
  <c r="G38" i="127"/>
  <c r="F38" i="127"/>
  <c r="E38" i="127"/>
  <c r="D38" i="127"/>
  <c r="B38" i="127"/>
  <c r="D37" i="127"/>
  <c r="H32" i="127"/>
  <c r="G32" i="127"/>
  <c r="E32" i="127"/>
  <c r="B32" i="127"/>
  <c r="H31" i="127"/>
  <c r="G31" i="127"/>
  <c r="E31" i="127"/>
  <c r="B31" i="127"/>
  <c r="H30" i="127"/>
  <c r="G30" i="127"/>
  <c r="E30" i="127"/>
  <c r="B30" i="127"/>
  <c r="H29" i="127"/>
  <c r="G29" i="127"/>
  <c r="E29" i="127"/>
  <c r="B29" i="127"/>
  <c r="H28" i="127"/>
  <c r="G28" i="127"/>
  <c r="E28" i="127"/>
  <c r="B28" i="127"/>
  <c r="H27" i="127"/>
  <c r="G27" i="127"/>
  <c r="E27" i="127"/>
  <c r="B27" i="127"/>
  <c r="H26" i="127"/>
  <c r="G26" i="127"/>
  <c r="E26" i="127"/>
  <c r="B26" i="127"/>
  <c r="E25" i="127"/>
  <c r="E24" i="127"/>
  <c r="H18" i="127"/>
  <c r="G18" i="127"/>
  <c r="E18" i="127"/>
  <c r="B18" i="127"/>
  <c r="H17" i="127"/>
  <c r="G17" i="127"/>
  <c r="E17" i="127"/>
  <c r="B17" i="127"/>
  <c r="H16" i="127"/>
  <c r="G16" i="127"/>
  <c r="E16" i="127"/>
  <c r="B16" i="127"/>
  <c r="H15" i="127"/>
  <c r="G15" i="127"/>
  <c r="E15" i="127"/>
  <c r="B15" i="127"/>
  <c r="H14" i="127"/>
  <c r="G14" i="127"/>
  <c r="E14" i="127"/>
  <c r="B14" i="127"/>
  <c r="F13" i="127"/>
  <c r="E13" i="127"/>
  <c r="B13" i="127"/>
  <c r="F5" i="127"/>
  <c r="F3" i="127"/>
  <c r="F2" i="127"/>
  <c r="D2" i="127"/>
  <c r="G37" i="127"/>
  <c r="E37" i="127"/>
  <c r="F37" i="127"/>
  <c r="B37" i="127"/>
  <c r="H24" i="126"/>
  <c r="H25" i="126"/>
  <c r="H7" i="126"/>
  <c r="A8" i="126"/>
  <c r="H49" i="126"/>
  <c r="G49" i="126"/>
  <c r="E49" i="126"/>
  <c r="B49" i="126"/>
  <c r="H48" i="126"/>
  <c r="G48" i="126"/>
  <c r="E48" i="126"/>
  <c r="B48" i="126"/>
  <c r="H47" i="126"/>
  <c r="G47" i="126"/>
  <c r="E47" i="126"/>
  <c r="B47" i="126"/>
  <c r="E46" i="126"/>
  <c r="B46" i="126"/>
  <c r="H41" i="126"/>
  <c r="G41" i="126"/>
  <c r="F41" i="126"/>
  <c r="E41" i="126"/>
  <c r="D41" i="126"/>
  <c r="B41" i="126"/>
  <c r="H40" i="126"/>
  <c r="G40" i="126"/>
  <c r="F40" i="126"/>
  <c r="E40" i="126"/>
  <c r="D40" i="126"/>
  <c r="B40" i="126"/>
  <c r="H39" i="126"/>
  <c r="G39" i="126"/>
  <c r="F39" i="126"/>
  <c r="E39" i="126"/>
  <c r="D39" i="126"/>
  <c r="B39" i="126"/>
  <c r="H38" i="126"/>
  <c r="G38" i="126"/>
  <c r="F38" i="126"/>
  <c r="E38" i="126"/>
  <c r="D38" i="126"/>
  <c r="B38" i="126"/>
  <c r="H32" i="126"/>
  <c r="G32" i="126"/>
  <c r="E32" i="126"/>
  <c r="B32" i="126"/>
  <c r="H31" i="126"/>
  <c r="G31" i="126"/>
  <c r="E31" i="126"/>
  <c r="B31" i="126"/>
  <c r="H30" i="126"/>
  <c r="G30" i="126"/>
  <c r="E30" i="126"/>
  <c r="B30" i="126"/>
  <c r="H29" i="126"/>
  <c r="G29" i="126"/>
  <c r="E29" i="126"/>
  <c r="B29" i="126"/>
  <c r="H28" i="126"/>
  <c r="G28" i="126"/>
  <c r="E28" i="126"/>
  <c r="H27" i="126"/>
  <c r="G27" i="126"/>
  <c r="E27" i="126"/>
  <c r="H18" i="126"/>
  <c r="G18" i="126"/>
  <c r="E18" i="126"/>
  <c r="B18" i="126"/>
  <c r="H17" i="126"/>
  <c r="G17" i="126"/>
  <c r="E17" i="126"/>
  <c r="B17" i="126"/>
  <c r="H16" i="126"/>
  <c r="G16" i="126"/>
  <c r="E16" i="126"/>
  <c r="B16" i="126"/>
  <c r="H15" i="126"/>
  <c r="G15" i="126"/>
  <c r="E15" i="126"/>
  <c r="B15" i="126"/>
  <c r="H14" i="126"/>
  <c r="G14" i="126"/>
  <c r="E14" i="126"/>
  <c r="B14" i="126"/>
  <c r="F13" i="126"/>
  <c r="E13" i="126"/>
  <c r="B13" i="126"/>
  <c r="F5" i="126"/>
  <c r="F3" i="126"/>
  <c r="F2" i="126"/>
  <c r="D2" i="126"/>
  <c r="H7" i="124"/>
  <c r="B8" i="124"/>
  <c r="A8" i="124"/>
  <c r="H49" i="124"/>
  <c r="G49" i="124"/>
  <c r="E49" i="124"/>
  <c r="B49" i="124"/>
  <c r="H48" i="124"/>
  <c r="G48" i="124"/>
  <c r="E48" i="124"/>
  <c r="B48" i="124"/>
  <c r="H47" i="124"/>
  <c r="G47" i="124"/>
  <c r="E47" i="124"/>
  <c r="B47" i="124"/>
  <c r="E46" i="124"/>
  <c r="B46" i="124"/>
  <c r="H41" i="124"/>
  <c r="G41" i="124"/>
  <c r="F41" i="124"/>
  <c r="E41" i="124"/>
  <c r="D41" i="124"/>
  <c r="B41" i="124"/>
  <c r="H40" i="124"/>
  <c r="G40" i="124"/>
  <c r="F40" i="124"/>
  <c r="E40" i="124"/>
  <c r="D40" i="124"/>
  <c r="B40" i="124"/>
  <c r="H39" i="124"/>
  <c r="G39" i="124"/>
  <c r="F39" i="124"/>
  <c r="E39" i="124"/>
  <c r="D39" i="124"/>
  <c r="B39" i="124"/>
  <c r="H38" i="124"/>
  <c r="G38" i="124"/>
  <c r="F38" i="124"/>
  <c r="E38" i="124"/>
  <c r="D38" i="124"/>
  <c r="B38" i="124"/>
  <c r="H37" i="124"/>
  <c r="H32" i="124"/>
  <c r="G32" i="124"/>
  <c r="E32" i="124"/>
  <c r="B32" i="124"/>
  <c r="H31" i="124"/>
  <c r="G31" i="124"/>
  <c r="E31" i="124"/>
  <c r="B31" i="124"/>
  <c r="H30" i="124"/>
  <c r="G30" i="124"/>
  <c r="E30" i="124"/>
  <c r="B30" i="124"/>
  <c r="H29" i="124"/>
  <c r="G29" i="124"/>
  <c r="E29" i="124"/>
  <c r="B29" i="124"/>
  <c r="H28" i="124"/>
  <c r="G28" i="124"/>
  <c r="E28" i="124"/>
  <c r="B28" i="124"/>
  <c r="H27" i="124"/>
  <c r="G27" i="124"/>
  <c r="E27" i="124"/>
  <c r="B27" i="124"/>
  <c r="H26" i="124"/>
  <c r="G26" i="124"/>
  <c r="E26" i="124"/>
  <c r="B26" i="124"/>
  <c r="H25" i="124"/>
  <c r="G25" i="124"/>
  <c r="E25" i="124"/>
  <c r="B25" i="124"/>
  <c r="H24" i="124"/>
  <c r="G24" i="124"/>
  <c r="E24" i="124"/>
  <c r="H18" i="124"/>
  <c r="G18" i="124"/>
  <c r="E18" i="124"/>
  <c r="B18" i="124"/>
  <c r="H17" i="124"/>
  <c r="G17" i="124"/>
  <c r="E17" i="124"/>
  <c r="B17" i="124"/>
  <c r="H16" i="124"/>
  <c r="G16" i="124"/>
  <c r="E16" i="124"/>
  <c r="B16" i="124"/>
  <c r="H15" i="124"/>
  <c r="G15" i="124"/>
  <c r="E15" i="124"/>
  <c r="B15" i="124"/>
  <c r="G14" i="124"/>
  <c r="H14" i="124" s="1"/>
  <c r="E14" i="124"/>
  <c r="B14" i="124"/>
  <c r="F13" i="124"/>
  <c r="E13" i="124"/>
  <c r="B13" i="124"/>
  <c r="F5" i="124"/>
  <c r="F3" i="124"/>
  <c r="F2" i="124"/>
  <c r="D2" i="124"/>
  <c r="H37" i="123"/>
  <c r="H49" i="123"/>
  <c r="G49" i="123"/>
  <c r="E49" i="123"/>
  <c r="B49" i="123"/>
  <c r="H48" i="123"/>
  <c r="G48" i="123"/>
  <c r="E48" i="123"/>
  <c r="B48" i="123"/>
  <c r="H47" i="123"/>
  <c r="G47" i="123"/>
  <c r="E47" i="123"/>
  <c r="B47" i="123"/>
  <c r="E46" i="123"/>
  <c r="B46" i="123"/>
  <c r="H41" i="123"/>
  <c r="G41" i="123"/>
  <c r="F41" i="123"/>
  <c r="E41" i="123"/>
  <c r="D41" i="123"/>
  <c r="B41" i="123"/>
  <c r="H40" i="123"/>
  <c r="G40" i="123"/>
  <c r="F40" i="123"/>
  <c r="E40" i="123"/>
  <c r="D40" i="123"/>
  <c r="B40" i="123"/>
  <c r="G39" i="123"/>
  <c r="F39" i="123"/>
  <c r="E39" i="123"/>
  <c r="D39" i="123"/>
  <c r="B39" i="123"/>
  <c r="H38" i="123"/>
  <c r="G38" i="123"/>
  <c r="F38" i="123"/>
  <c r="E38" i="123"/>
  <c r="D38" i="123"/>
  <c r="B38" i="123"/>
  <c r="B37" i="123"/>
  <c r="H32" i="123"/>
  <c r="G32" i="123"/>
  <c r="E32" i="123"/>
  <c r="B32" i="123"/>
  <c r="H31" i="123"/>
  <c r="G31" i="123"/>
  <c r="E31" i="123"/>
  <c r="B31" i="123"/>
  <c r="H30" i="123"/>
  <c r="G30" i="123"/>
  <c r="E30" i="123"/>
  <c r="B30" i="123"/>
  <c r="H29" i="123"/>
  <c r="G29" i="123"/>
  <c r="E29" i="123"/>
  <c r="B29" i="123"/>
  <c r="H28" i="123"/>
  <c r="G28" i="123"/>
  <c r="E28" i="123"/>
  <c r="B28" i="123"/>
  <c r="H27" i="123"/>
  <c r="G27" i="123"/>
  <c r="E27" i="123"/>
  <c r="B27" i="123"/>
  <c r="H26" i="123"/>
  <c r="G26" i="123"/>
  <c r="E26" i="123"/>
  <c r="B26" i="123"/>
  <c r="B25" i="123"/>
  <c r="B24" i="123"/>
  <c r="E23" i="123"/>
  <c r="B23" i="123"/>
  <c r="H18" i="123"/>
  <c r="G18" i="123"/>
  <c r="E18" i="123"/>
  <c r="B18" i="123"/>
  <c r="H17" i="123"/>
  <c r="G17" i="123"/>
  <c r="E17" i="123"/>
  <c r="B17" i="123"/>
  <c r="H16" i="123"/>
  <c r="G16" i="123"/>
  <c r="E16" i="123"/>
  <c r="B16" i="123"/>
  <c r="H15" i="123"/>
  <c r="G15" i="123"/>
  <c r="E15" i="123"/>
  <c r="B15" i="123"/>
  <c r="G14" i="123"/>
  <c r="H14" i="123"/>
  <c r="E14" i="123"/>
  <c r="F13" i="123"/>
  <c r="E13" i="123"/>
  <c r="B13" i="123"/>
  <c r="F5" i="123"/>
  <c r="F3" i="123"/>
  <c r="F2" i="123"/>
  <c r="D2" i="123"/>
  <c r="H7" i="122"/>
  <c r="B8" i="122"/>
  <c r="A8" i="122"/>
  <c r="H49" i="122"/>
  <c r="G49" i="122"/>
  <c r="E49" i="122"/>
  <c r="B49" i="122"/>
  <c r="H48" i="122"/>
  <c r="G48" i="122"/>
  <c r="E48" i="122"/>
  <c r="B48" i="122"/>
  <c r="H47" i="122"/>
  <c r="G47" i="122"/>
  <c r="E47" i="122"/>
  <c r="B47" i="122"/>
  <c r="E46" i="122"/>
  <c r="B46" i="122"/>
  <c r="H41" i="122"/>
  <c r="G41" i="122"/>
  <c r="F41" i="122"/>
  <c r="E41" i="122"/>
  <c r="D41" i="122"/>
  <c r="B41" i="122"/>
  <c r="H40" i="122"/>
  <c r="G40" i="122"/>
  <c r="F40" i="122"/>
  <c r="E40" i="122"/>
  <c r="D40" i="122"/>
  <c r="B40" i="122"/>
  <c r="H39" i="122"/>
  <c r="G39" i="122"/>
  <c r="F39" i="122"/>
  <c r="E39" i="122"/>
  <c r="D39" i="122"/>
  <c r="B39" i="122"/>
  <c r="H38" i="122"/>
  <c r="G38" i="122"/>
  <c r="F38" i="122"/>
  <c r="E38" i="122"/>
  <c r="D38" i="122"/>
  <c r="B38" i="122"/>
  <c r="H32" i="122"/>
  <c r="G32" i="122"/>
  <c r="E32" i="122"/>
  <c r="B32" i="122"/>
  <c r="H31" i="122"/>
  <c r="G31" i="122"/>
  <c r="E31" i="122"/>
  <c r="B31" i="122"/>
  <c r="H30" i="122"/>
  <c r="G30" i="122"/>
  <c r="E30" i="122"/>
  <c r="B30" i="122"/>
  <c r="H29" i="122"/>
  <c r="G29" i="122"/>
  <c r="E29" i="122"/>
  <c r="B29" i="122"/>
  <c r="H28" i="122"/>
  <c r="G28" i="122"/>
  <c r="E28" i="122"/>
  <c r="B28" i="122"/>
  <c r="H27" i="122"/>
  <c r="G27" i="122"/>
  <c r="E27" i="122"/>
  <c r="B27" i="122"/>
  <c r="H26" i="122"/>
  <c r="G26" i="122"/>
  <c r="E26" i="122"/>
  <c r="B26" i="122"/>
  <c r="E25" i="122"/>
  <c r="E24" i="122"/>
  <c r="H18" i="122"/>
  <c r="G18" i="122"/>
  <c r="E18" i="122"/>
  <c r="B18" i="122"/>
  <c r="H17" i="122"/>
  <c r="G17" i="122"/>
  <c r="E17" i="122"/>
  <c r="B17" i="122"/>
  <c r="H16" i="122"/>
  <c r="G16" i="122"/>
  <c r="E16" i="122"/>
  <c r="B16" i="122"/>
  <c r="H15" i="122"/>
  <c r="G15" i="122"/>
  <c r="E15" i="122"/>
  <c r="B15" i="122"/>
  <c r="H14" i="122"/>
  <c r="G14" i="122"/>
  <c r="E14" i="122"/>
  <c r="B14" i="122"/>
  <c r="F13" i="122"/>
  <c r="E13" i="122"/>
  <c r="B13" i="122"/>
  <c r="F5" i="122"/>
  <c r="F3" i="122"/>
  <c r="F2" i="122"/>
  <c r="D2" i="122"/>
  <c r="D37" i="123"/>
  <c r="E37" i="123"/>
  <c r="F37" i="123"/>
  <c r="G37" i="123"/>
  <c r="H7" i="121"/>
  <c r="B8" i="121"/>
  <c r="A8" i="121"/>
  <c r="H49" i="121"/>
  <c r="G49" i="121"/>
  <c r="E49" i="121"/>
  <c r="B49" i="121"/>
  <c r="H48" i="121"/>
  <c r="G48" i="121"/>
  <c r="E48" i="121"/>
  <c r="B48" i="121"/>
  <c r="H47" i="121"/>
  <c r="G47" i="121"/>
  <c r="E47" i="121"/>
  <c r="B47" i="121"/>
  <c r="E46" i="121"/>
  <c r="B46" i="121"/>
  <c r="H41" i="121"/>
  <c r="G41" i="121"/>
  <c r="F41" i="121"/>
  <c r="E41" i="121"/>
  <c r="D41" i="121"/>
  <c r="B41" i="121"/>
  <c r="H40" i="121"/>
  <c r="G40" i="121"/>
  <c r="F40" i="121"/>
  <c r="E40" i="121"/>
  <c r="D40" i="121"/>
  <c r="B40" i="121"/>
  <c r="H39" i="121"/>
  <c r="G39" i="121"/>
  <c r="F39" i="121"/>
  <c r="E39" i="121"/>
  <c r="D39" i="121"/>
  <c r="B39" i="121"/>
  <c r="H38" i="121"/>
  <c r="G38" i="121"/>
  <c r="F38" i="121"/>
  <c r="E38" i="121"/>
  <c r="D38" i="121"/>
  <c r="B38" i="121"/>
  <c r="H32" i="121"/>
  <c r="G32" i="121"/>
  <c r="E32" i="121"/>
  <c r="B32" i="121"/>
  <c r="H31" i="121"/>
  <c r="G31" i="121"/>
  <c r="E31" i="121"/>
  <c r="B31" i="121"/>
  <c r="H30" i="121"/>
  <c r="G30" i="121"/>
  <c r="E30" i="121"/>
  <c r="B30" i="121"/>
  <c r="H29" i="121"/>
  <c r="G29" i="121"/>
  <c r="E29" i="121"/>
  <c r="B29" i="121"/>
  <c r="H28" i="121"/>
  <c r="G28" i="121"/>
  <c r="E28" i="121"/>
  <c r="B28" i="121"/>
  <c r="E23" i="121"/>
  <c r="B23" i="121"/>
  <c r="H18" i="121"/>
  <c r="G18" i="121"/>
  <c r="E18" i="121"/>
  <c r="B18" i="121"/>
  <c r="H17" i="121"/>
  <c r="G17" i="121"/>
  <c r="E17" i="121"/>
  <c r="B17" i="121"/>
  <c r="H16" i="121"/>
  <c r="G16" i="121"/>
  <c r="E16" i="121"/>
  <c r="B16" i="121"/>
  <c r="H15" i="121"/>
  <c r="G15" i="121"/>
  <c r="E15" i="121"/>
  <c r="B15" i="121"/>
  <c r="E14" i="121"/>
  <c r="B14" i="121"/>
  <c r="F13" i="121"/>
  <c r="E13" i="121"/>
  <c r="B13" i="121"/>
  <c r="F5" i="121"/>
  <c r="F3" i="121"/>
  <c r="F2" i="121"/>
  <c r="D2" i="121"/>
  <c r="H7" i="120"/>
  <c r="B8" i="120"/>
  <c r="A8" i="120"/>
  <c r="H49" i="120"/>
  <c r="G49" i="120"/>
  <c r="E49" i="120"/>
  <c r="B49" i="120"/>
  <c r="H48" i="120"/>
  <c r="G48" i="120"/>
  <c r="E48" i="120"/>
  <c r="B48" i="120"/>
  <c r="H47" i="120"/>
  <c r="G47" i="120"/>
  <c r="E47" i="120"/>
  <c r="B47" i="120"/>
  <c r="E46" i="120"/>
  <c r="B46" i="120"/>
  <c r="H41" i="120"/>
  <c r="G41" i="120"/>
  <c r="F41" i="120"/>
  <c r="E41" i="120"/>
  <c r="D41" i="120"/>
  <c r="B41" i="120"/>
  <c r="H40" i="120"/>
  <c r="G40" i="120"/>
  <c r="F40" i="120"/>
  <c r="E40" i="120"/>
  <c r="D40" i="120"/>
  <c r="B40" i="120"/>
  <c r="H39" i="120"/>
  <c r="G39" i="120"/>
  <c r="F39" i="120"/>
  <c r="E39" i="120"/>
  <c r="D39" i="120"/>
  <c r="B39" i="120"/>
  <c r="H38" i="120"/>
  <c r="G38" i="120"/>
  <c r="F38" i="120"/>
  <c r="E38" i="120"/>
  <c r="D38" i="120"/>
  <c r="B38" i="120"/>
  <c r="H32" i="120"/>
  <c r="G32" i="120"/>
  <c r="E32" i="120"/>
  <c r="B32" i="120"/>
  <c r="H31" i="120"/>
  <c r="G31" i="120"/>
  <c r="E31" i="120"/>
  <c r="B31" i="120"/>
  <c r="H30" i="120"/>
  <c r="G30" i="120"/>
  <c r="E30" i="120"/>
  <c r="B30" i="120"/>
  <c r="H29" i="120"/>
  <c r="G29" i="120"/>
  <c r="E29" i="120"/>
  <c r="B29" i="120"/>
  <c r="H28" i="120"/>
  <c r="G28" i="120"/>
  <c r="E28" i="120"/>
  <c r="B28" i="120"/>
  <c r="E25" i="120"/>
  <c r="B25" i="120"/>
  <c r="E24" i="120"/>
  <c r="E23" i="120"/>
  <c r="B23" i="120"/>
  <c r="H18" i="120"/>
  <c r="G18" i="120"/>
  <c r="E18" i="120"/>
  <c r="B18" i="120"/>
  <c r="H17" i="120"/>
  <c r="G17" i="120"/>
  <c r="E17" i="120"/>
  <c r="B17" i="120"/>
  <c r="H16" i="120"/>
  <c r="G16" i="120"/>
  <c r="E16" i="120"/>
  <c r="B16" i="120"/>
  <c r="H15" i="120"/>
  <c r="G15" i="120"/>
  <c r="E15" i="120"/>
  <c r="B15" i="120"/>
  <c r="E14" i="120"/>
  <c r="B14" i="120"/>
  <c r="F13" i="120"/>
  <c r="E13" i="120"/>
  <c r="B13" i="120"/>
  <c r="F5" i="120"/>
  <c r="F3" i="120"/>
  <c r="F2" i="120"/>
  <c r="D2" i="120"/>
  <c r="H7" i="117"/>
  <c r="B8" i="117"/>
  <c r="A8" i="117"/>
  <c r="H49" i="117"/>
  <c r="G49" i="117"/>
  <c r="E49" i="117"/>
  <c r="B49" i="117"/>
  <c r="H48" i="117"/>
  <c r="G48" i="117"/>
  <c r="E48" i="117"/>
  <c r="B48" i="117"/>
  <c r="H47" i="117"/>
  <c r="G47" i="117"/>
  <c r="E47" i="117"/>
  <c r="B47" i="117"/>
  <c r="E46" i="117"/>
  <c r="B46" i="117"/>
  <c r="H41" i="117"/>
  <c r="G41" i="117"/>
  <c r="F41" i="117"/>
  <c r="E41" i="117"/>
  <c r="D41" i="117"/>
  <c r="B41" i="117"/>
  <c r="H40" i="117"/>
  <c r="G40" i="117"/>
  <c r="F40" i="117"/>
  <c r="E40" i="117"/>
  <c r="D40" i="117"/>
  <c r="B40" i="117"/>
  <c r="H39" i="117"/>
  <c r="G39" i="117"/>
  <c r="F39" i="117"/>
  <c r="E39" i="117"/>
  <c r="D39" i="117"/>
  <c r="B39" i="117"/>
  <c r="H38" i="117"/>
  <c r="G38" i="117"/>
  <c r="F38" i="117"/>
  <c r="E38" i="117"/>
  <c r="D38" i="117"/>
  <c r="B38" i="117"/>
  <c r="H32" i="117"/>
  <c r="G32" i="117"/>
  <c r="E32" i="117"/>
  <c r="B32" i="117"/>
  <c r="H31" i="117"/>
  <c r="G31" i="117"/>
  <c r="E31" i="117"/>
  <c r="B31" i="117"/>
  <c r="H30" i="117"/>
  <c r="G30" i="117"/>
  <c r="E30" i="117"/>
  <c r="B30" i="117"/>
  <c r="H29" i="117"/>
  <c r="G29" i="117"/>
  <c r="E29" i="117"/>
  <c r="B29" i="117"/>
  <c r="H28" i="117"/>
  <c r="G28" i="117"/>
  <c r="E28" i="117"/>
  <c r="B28" i="117"/>
  <c r="H27" i="117"/>
  <c r="G27" i="117"/>
  <c r="E27" i="117"/>
  <c r="B27" i="117"/>
  <c r="H26" i="117"/>
  <c r="G26" i="117"/>
  <c r="E26" i="117"/>
  <c r="B26" i="117"/>
  <c r="E25" i="117"/>
  <c r="E24" i="117"/>
  <c r="H18" i="117"/>
  <c r="G18" i="117"/>
  <c r="E18" i="117"/>
  <c r="B18" i="117"/>
  <c r="H17" i="117"/>
  <c r="G17" i="117"/>
  <c r="E17" i="117"/>
  <c r="B17" i="117"/>
  <c r="H16" i="117"/>
  <c r="G16" i="117"/>
  <c r="E16" i="117"/>
  <c r="B16" i="117"/>
  <c r="H15" i="117"/>
  <c r="G15" i="117"/>
  <c r="E15" i="117"/>
  <c r="B15" i="117"/>
  <c r="H14" i="117"/>
  <c r="G14" i="117"/>
  <c r="E14" i="117"/>
  <c r="B14" i="117"/>
  <c r="F13" i="117"/>
  <c r="E13" i="117"/>
  <c r="B13" i="117"/>
  <c r="F5" i="117"/>
  <c r="F3" i="117"/>
  <c r="F2" i="117"/>
  <c r="D2" i="117"/>
  <c r="H7" i="116"/>
  <c r="B8" i="116"/>
  <c r="A8" i="116"/>
  <c r="H49" i="116"/>
  <c r="G49" i="116"/>
  <c r="E49" i="116"/>
  <c r="B49" i="116"/>
  <c r="H48" i="116"/>
  <c r="G48" i="116"/>
  <c r="E48" i="116"/>
  <c r="B48" i="116"/>
  <c r="H47" i="116"/>
  <c r="G47" i="116"/>
  <c r="E47" i="116"/>
  <c r="B47" i="116"/>
  <c r="E46" i="116"/>
  <c r="B46" i="116"/>
  <c r="H41" i="116"/>
  <c r="G41" i="116"/>
  <c r="F41" i="116"/>
  <c r="E41" i="116"/>
  <c r="D41" i="116"/>
  <c r="B41" i="116"/>
  <c r="H40" i="116"/>
  <c r="G40" i="116"/>
  <c r="F40" i="116"/>
  <c r="E40" i="116"/>
  <c r="D40" i="116"/>
  <c r="B40" i="116"/>
  <c r="H39" i="116"/>
  <c r="G39" i="116"/>
  <c r="F39" i="116"/>
  <c r="E39" i="116"/>
  <c r="D39" i="116"/>
  <c r="B39" i="116"/>
  <c r="H38" i="116"/>
  <c r="G38" i="116"/>
  <c r="F38" i="116"/>
  <c r="E38" i="116"/>
  <c r="D38" i="116"/>
  <c r="B38" i="116"/>
  <c r="H32" i="116"/>
  <c r="G32" i="116"/>
  <c r="E32" i="116"/>
  <c r="B32" i="116"/>
  <c r="H31" i="116"/>
  <c r="G31" i="116"/>
  <c r="E31" i="116"/>
  <c r="B31" i="116"/>
  <c r="H30" i="116"/>
  <c r="G30" i="116"/>
  <c r="E30" i="116"/>
  <c r="B30" i="116"/>
  <c r="H29" i="116"/>
  <c r="G29" i="116"/>
  <c r="E29" i="116"/>
  <c r="B29" i="116"/>
  <c r="H28" i="116"/>
  <c r="G28" i="116"/>
  <c r="E28" i="116"/>
  <c r="B28" i="116"/>
  <c r="H27" i="116"/>
  <c r="G27" i="116"/>
  <c r="E27" i="116"/>
  <c r="B27" i="116"/>
  <c r="H26" i="116"/>
  <c r="G26" i="116"/>
  <c r="E26" i="116"/>
  <c r="B26" i="116"/>
  <c r="E25" i="116"/>
  <c r="E24" i="116"/>
  <c r="H18" i="116"/>
  <c r="G18" i="116"/>
  <c r="E18" i="116"/>
  <c r="B18" i="116"/>
  <c r="H17" i="116"/>
  <c r="G17" i="116"/>
  <c r="E17" i="116"/>
  <c r="B17" i="116"/>
  <c r="H16" i="116"/>
  <c r="G16" i="116"/>
  <c r="E16" i="116"/>
  <c r="B16" i="116"/>
  <c r="H15" i="116"/>
  <c r="G15" i="116"/>
  <c r="E15" i="116"/>
  <c r="B15" i="116"/>
  <c r="H14" i="116"/>
  <c r="G14" i="116"/>
  <c r="E14" i="116"/>
  <c r="B14" i="116"/>
  <c r="F13" i="116"/>
  <c r="E13" i="116"/>
  <c r="B13" i="116"/>
  <c r="F5" i="116"/>
  <c r="F3" i="116"/>
  <c r="F2" i="116"/>
  <c r="D2" i="116"/>
  <c r="H7" i="115"/>
  <c r="B8" i="115"/>
  <c r="A8" i="115"/>
  <c r="H49" i="115"/>
  <c r="G49" i="115"/>
  <c r="E49" i="115"/>
  <c r="B49" i="115"/>
  <c r="H48" i="115"/>
  <c r="G48" i="115"/>
  <c r="E48" i="115"/>
  <c r="B48" i="115"/>
  <c r="H47" i="115"/>
  <c r="G47" i="115"/>
  <c r="E47" i="115"/>
  <c r="B47" i="115"/>
  <c r="E46" i="115"/>
  <c r="B46" i="115"/>
  <c r="H41" i="115"/>
  <c r="G41" i="115"/>
  <c r="F41" i="115"/>
  <c r="E41" i="115"/>
  <c r="D41" i="115"/>
  <c r="B41" i="115"/>
  <c r="H40" i="115"/>
  <c r="G40" i="115"/>
  <c r="F40" i="115"/>
  <c r="E40" i="115"/>
  <c r="D40" i="115"/>
  <c r="B40" i="115"/>
  <c r="H39" i="115"/>
  <c r="G39" i="115"/>
  <c r="F39" i="115"/>
  <c r="E39" i="115"/>
  <c r="D39" i="115"/>
  <c r="B39" i="115"/>
  <c r="H38" i="115"/>
  <c r="G38" i="115"/>
  <c r="F38" i="115"/>
  <c r="E38" i="115"/>
  <c r="D38" i="115"/>
  <c r="B38" i="115"/>
  <c r="H32" i="115"/>
  <c r="G32" i="115"/>
  <c r="E32" i="115"/>
  <c r="B32" i="115"/>
  <c r="H31" i="115"/>
  <c r="G31" i="115"/>
  <c r="E31" i="115"/>
  <c r="B31" i="115"/>
  <c r="H30" i="115"/>
  <c r="G30" i="115"/>
  <c r="E30" i="115"/>
  <c r="B30" i="115"/>
  <c r="H29" i="115"/>
  <c r="G29" i="115"/>
  <c r="E29" i="115"/>
  <c r="B29" i="115"/>
  <c r="H28" i="115"/>
  <c r="G28" i="115"/>
  <c r="E28" i="115"/>
  <c r="B28" i="115"/>
  <c r="H27" i="115"/>
  <c r="G27" i="115"/>
  <c r="E27" i="115"/>
  <c r="B27" i="115"/>
  <c r="H26" i="115"/>
  <c r="G26" i="115"/>
  <c r="E26" i="115"/>
  <c r="B26" i="115"/>
  <c r="E25" i="115"/>
  <c r="E24" i="115"/>
  <c r="H18" i="115"/>
  <c r="G18" i="115"/>
  <c r="E18" i="115"/>
  <c r="B18" i="115"/>
  <c r="H17" i="115"/>
  <c r="G17" i="115"/>
  <c r="E17" i="115"/>
  <c r="B17" i="115"/>
  <c r="H16" i="115"/>
  <c r="G16" i="115"/>
  <c r="E16" i="115"/>
  <c r="B16" i="115"/>
  <c r="H15" i="115"/>
  <c r="G15" i="115"/>
  <c r="E15" i="115"/>
  <c r="B15" i="115"/>
  <c r="H14" i="115"/>
  <c r="G14" i="115"/>
  <c r="E14" i="115"/>
  <c r="B14" i="115"/>
  <c r="F13" i="115"/>
  <c r="E13" i="115"/>
  <c r="B13" i="115"/>
  <c r="F5" i="115"/>
  <c r="F3" i="115"/>
  <c r="F2" i="115"/>
  <c r="D2" i="115"/>
  <c r="H7" i="41"/>
  <c r="B8" i="41"/>
  <c r="A8" i="41"/>
  <c r="H7" i="44"/>
  <c r="B8" i="44"/>
  <c r="A8" i="44"/>
  <c r="B7" i="44"/>
  <c r="A7" i="44"/>
  <c r="H533" i="17"/>
  <c r="G533" i="17"/>
  <c r="E533" i="17"/>
  <c r="B533" i="17"/>
  <c r="H532" i="17"/>
  <c r="G532" i="17"/>
  <c r="E532" i="17"/>
  <c r="B532" i="17"/>
  <c r="H531" i="17"/>
  <c r="G531" i="17"/>
  <c r="E531" i="17"/>
  <c r="B531" i="17"/>
  <c r="E530" i="17"/>
  <c r="B530" i="17"/>
  <c r="H525" i="17"/>
  <c r="G525" i="17"/>
  <c r="F525" i="17"/>
  <c r="E525" i="17"/>
  <c r="D525" i="17"/>
  <c r="B525" i="17"/>
  <c r="H518" i="17"/>
  <c r="G518" i="17"/>
  <c r="E518" i="17"/>
  <c r="B518" i="17"/>
  <c r="H517" i="17"/>
  <c r="G517" i="17"/>
  <c r="E517" i="17"/>
  <c r="B517" i="17"/>
  <c r="H516" i="17"/>
  <c r="G516" i="17"/>
  <c r="E516" i="17"/>
  <c r="B516" i="17"/>
  <c r="H515" i="17"/>
  <c r="G515" i="17"/>
  <c r="E515" i="17"/>
  <c r="B515" i="17"/>
  <c r="H514" i="17"/>
  <c r="G514" i="17"/>
  <c r="E514" i="17"/>
  <c r="B514" i="17"/>
  <c r="H513" i="17"/>
  <c r="G513" i="17"/>
  <c r="E513" i="17"/>
  <c r="B513" i="17"/>
  <c r="E511" i="17"/>
  <c r="B511" i="17"/>
  <c r="E510" i="17"/>
  <c r="B510" i="17"/>
  <c r="E509" i="17"/>
  <c r="B509" i="17"/>
  <c r="G508" i="17"/>
  <c r="H508" i="17" s="1"/>
  <c r="E508" i="17"/>
  <c r="B508" i="17"/>
  <c r="H503" i="17"/>
  <c r="G503" i="17"/>
  <c r="E503" i="17"/>
  <c r="B503" i="17"/>
  <c r="H502" i="17"/>
  <c r="G502" i="17"/>
  <c r="E502" i="17"/>
  <c r="B502" i="17"/>
  <c r="H501" i="17"/>
  <c r="G501" i="17"/>
  <c r="E501" i="17"/>
  <c r="B501" i="17"/>
  <c r="H500" i="17"/>
  <c r="G500" i="17"/>
  <c r="E500" i="17"/>
  <c r="B500" i="17"/>
  <c r="G499" i="17"/>
  <c r="H499" i="17" s="1"/>
  <c r="E499" i="17"/>
  <c r="B499" i="17"/>
  <c r="F498" i="17"/>
  <c r="E498" i="17"/>
  <c r="B498" i="17"/>
  <c r="B563" i="17"/>
  <c r="E563" i="17"/>
  <c r="F563" i="17"/>
  <c r="B564" i="17"/>
  <c r="E564" i="17"/>
  <c r="G564" i="17"/>
  <c r="H564" i="17" s="1"/>
  <c r="B565" i="17"/>
  <c r="E565" i="17"/>
  <c r="G565" i="17"/>
  <c r="H565" i="17"/>
  <c r="B566" i="17"/>
  <c r="E566" i="17"/>
  <c r="G566" i="17"/>
  <c r="H566" i="17"/>
  <c r="B567" i="17"/>
  <c r="E567" i="17"/>
  <c r="G567" i="17"/>
  <c r="H567" i="17"/>
  <c r="H7" i="89"/>
  <c r="B8" i="89"/>
  <c r="A8" i="89"/>
  <c r="H7" i="88"/>
  <c r="B8" i="88"/>
  <c r="A8" i="88"/>
  <c r="H49" i="89"/>
  <c r="G49" i="89"/>
  <c r="E49" i="89"/>
  <c r="B49" i="89"/>
  <c r="H48" i="89"/>
  <c r="G48" i="89"/>
  <c r="E48" i="89"/>
  <c r="B48" i="89"/>
  <c r="H47" i="89"/>
  <c r="G47" i="89"/>
  <c r="E47" i="89"/>
  <c r="B47" i="89"/>
  <c r="E46" i="89"/>
  <c r="B46" i="89"/>
  <c r="H41" i="89"/>
  <c r="G41" i="89"/>
  <c r="F41" i="89"/>
  <c r="E41" i="89"/>
  <c r="D41" i="89"/>
  <c r="B41" i="89"/>
  <c r="H40" i="89"/>
  <c r="G40" i="89"/>
  <c r="F40" i="89"/>
  <c r="E40" i="89"/>
  <c r="D40" i="89"/>
  <c r="B40" i="89"/>
  <c r="H39" i="89"/>
  <c r="G39" i="89"/>
  <c r="F39" i="89"/>
  <c r="E39" i="89"/>
  <c r="D39" i="89"/>
  <c r="B39" i="89"/>
  <c r="H38" i="89"/>
  <c r="G38" i="89"/>
  <c r="F38" i="89"/>
  <c r="E38" i="89"/>
  <c r="D38" i="89"/>
  <c r="B38" i="89"/>
  <c r="A37" i="89"/>
  <c r="H32" i="89"/>
  <c r="G32" i="89"/>
  <c r="E32" i="89"/>
  <c r="B32" i="89"/>
  <c r="H31" i="89"/>
  <c r="G31" i="89"/>
  <c r="E31" i="89"/>
  <c r="B31" i="89"/>
  <c r="H30" i="89"/>
  <c r="G30" i="89"/>
  <c r="E30" i="89"/>
  <c r="B30" i="89"/>
  <c r="H29" i="89"/>
  <c r="G29" i="89"/>
  <c r="E29" i="89"/>
  <c r="B29" i="89"/>
  <c r="H28" i="89"/>
  <c r="G28" i="89"/>
  <c r="E28" i="89"/>
  <c r="B28" i="89"/>
  <c r="H27" i="89"/>
  <c r="G27" i="89"/>
  <c r="E27" i="89"/>
  <c r="B27" i="89"/>
  <c r="H26" i="89"/>
  <c r="G26" i="89"/>
  <c r="E26" i="89"/>
  <c r="B26" i="89"/>
  <c r="H25" i="89"/>
  <c r="G25" i="89"/>
  <c r="E25" i="89"/>
  <c r="B25" i="89"/>
  <c r="H24" i="89"/>
  <c r="G24" i="89"/>
  <c r="E24" i="89"/>
  <c r="B24" i="89"/>
  <c r="E23" i="89"/>
  <c r="B23" i="89"/>
  <c r="H18" i="89"/>
  <c r="G18" i="89"/>
  <c r="E18" i="89"/>
  <c r="B18" i="89"/>
  <c r="H17" i="89"/>
  <c r="G17" i="89"/>
  <c r="E17" i="89"/>
  <c r="B17" i="89"/>
  <c r="H16" i="89"/>
  <c r="G16" i="89"/>
  <c r="E16" i="89"/>
  <c r="B16" i="89"/>
  <c r="H15" i="89"/>
  <c r="G15" i="89"/>
  <c r="E15" i="89"/>
  <c r="B15" i="89"/>
  <c r="E14" i="89"/>
  <c r="B14" i="89"/>
  <c r="F13" i="89"/>
  <c r="E13" i="89"/>
  <c r="B13" i="89"/>
  <c r="F5" i="89"/>
  <c r="F3" i="89"/>
  <c r="F2" i="89"/>
  <c r="D2" i="89"/>
  <c r="H49" i="88"/>
  <c r="G49" i="88"/>
  <c r="E49" i="88"/>
  <c r="B49" i="88"/>
  <c r="H48" i="88"/>
  <c r="G48" i="88"/>
  <c r="E48" i="88"/>
  <c r="B48" i="88"/>
  <c r="H47" i="88"/>
  <c r="G47" i="88"/>
  <c r="E47" i="88"/>
  <c r="B47" i="88"/>
  <c r="E46" i="88"/>
  <c r="B46" i="88"/>
  <c r="H41" i="88"/>
  <c r="G41" i="88"/>
  <c r="F41" i="88"/>
  <c r="E41" i="88"/>
  <c r="D41" i="88"/>
  <c r="B41" i="88"/>
  <c r="H40" i="88"/>
  <c r="G40" i="88"/>
  <c r="F40" i="88"/>
  <c r="E40" i="88"/>
  <c r="D40" i="88"/>
  <c r="B40" i="88"/>
  <c r="H39" i="88"/>
  <c r="G39" i="88"/>
  <c r="F39" i="88"/>
  <c r="E39" i="88"/>
  <c r="D39" i="88"/>
  <c r="B39" i="88"/>
  <c r="H38" i="88"/>
  <c r="G38" i="88"/>
  <c r="F38" i="88"/>
  <c r="E38" i="88"/>
  <c r="D38" i="88"/>
  <c r="B38" i="88"/>
  <c r="H37" i="88"/>
  <c r="G37" i="88"/>
  <c r="E37" i="88"/>
  <c r="D37" i="88"/>
  <c r="B37" i="88"/>
  <c r="H32" i="88"/>
  <c r="G32" i="88"/>
  <c r="E32" i="88"/>
  <c r="B32" i="88"/>
  <c r="H31" i="88"/>
  <c r="G31" i="88"/>
  <c r="E31" i="88"/>
  <c r="B31" i="88"/>
  <c r="H30" i="88"/>
  <c r="G30" i="88"/>
  <c r="E30" i="88"/>
  <c r="B30" i="88"/>
  <c r="H29" i="88"/>
  <c r="G29" i="88"/>
  <c r="E29" i="88"/>
  <c r="B29" i="88"/>
  <c r="H28" i="88"/>
  <c r="G28" i="88"/>
  <c r="E28" i="88"/>
  <c r="B28" i="88"/>
  <c r="H27" i="88"/>
  <c r="G27" i="88"/>
  <c r="E27" i="88"/>
  <c r="B27" i="88"/>
  <c r="H26" i="88"/>
  <c r="G26" i="88"/>
  <c r="E26" i="88"/>
  <c r="B26" i="88"/>
  <c r="H25" i="88"/>
  <c r="G25" i="88"/>
  <c r="E25" i="88"/>
  <c r="B25" i="88"/>
  <c r="H24" i="88"/>
  <c r="G24" i="88"/>
  <c r="E24" i="88"/>
  <c r="B24" i="88"/>
  <c r="H23" i="88"/>
  <c r="G23" i="88"/>
  <c r="E23" i="88"/>
  <c r="B23" i="88"/>
  <c r="H18" i="88"/>
  <c r="G18" i="88"/>
  <c r="E18" i="88"/>
  <c r="B18" i="88"/>
  <c r="H17" i="88"/>
  <c r="G17" i="88"/>
  <c r="E17" i="88"/>
  <c r="B17" i="88"/>
  <c r="H16" i="88"/>
  <c r="G16" i="88"/>
  <c r="E16" i="88"/>
  <c r="B16" i="88"/>
  <c r="H15" i="88"/>
  <c r="G15" i="88"/>
  <c r="E15" i="88"/>
  <c r="B15" i="88"/>
  <c r="E14" i="88"/>
  <c r="B14" i="88"/>
  <c r="F13" i="88"/>
  <c r="E13" i="88"/>
  <c r="B13" i="88"/>
  <c r="F5" i="88"/>
  <c r="F3" i="88"/>
  <c r="F2" i="88"/>
  <c r="D2" i="88"/>
  <c r="E128" i="14"/>
  <c r="E127" i="14"/>
  <c r="E126" i="14"/>
  <c r="E125" i="14"/>
  <c r="E124" i="14"/>
  <c r="H49" i="44"/>
  <c r="G49" i="44"/>
  <c r="E49" i="44"/>
  <c r="B49" i="44"/>
  <c r="H48" i="44"/>
  <c r="G48" i="44"/>
  <c r="E48" i="44"/>
  <c r="B48" i="44"/>
  <c r="H47" i="44"/>
  <c r="G47" i="44"/>
  <c r="E47" i="44"/>
  <c r="B47" i="44"/>
  <c r="E46" i="44"/>
  <c r="B46" i="44"/>
  <c r="H41" i="44"/>
  <c r="G41" i="44"/>
  <c r="F41" i="44"/>
  <c r="E41" i="44"/>
  <c r="D41" i="44"/>
  <c r="B41" i="44"/>
  <c r="H40" i="44"/>
  <c r="G40" i="44"/>
  <c r="F40" i="44"/>
  <c r="E40" i="44"/>
  <c r="D40" i="44"/>
  <c r="B40" i="44"/>
  <c r="H39" i="44"/>
  <c r="G39" i="44"/>
  <c r="F39" i="44"/>
  <c r="E39" i="44"/>
  <c r="D39" i="44"/>
  <c r="B39" i="44"/>
  <c r="H38" i="44"/>
  <c r="G38" i="44"/>
  <c r="F38" i="44"/>
  <c r="E38" i="44"/>
  <c r="D38" i="44"/>
  <c r="B38" i="44"/>
  <c r="H37" i="44"/>
  <c r="G37" i="44"/>
  <c r="E37" i="44"/>
  <c r="D37" i="44"/>
  <c r="B37" i="44"/>
  <c r="H32" i="44"/>
  <c r="G32" i="44"/>
  <c r="E32" i="44"/>
  <c r="B32" i="44"/>
  <c r="H31" i="44"/>
  <c r="G31" i="44"/>
  <c r="E31" i="44"/>
  <c r="B31" i="44"/>
  <c r="H30" i="44"/>
  <c r="G30" i="44"/>
  <c r="E30" i="44"/>
  <c r="B30" i="44"/>
  <c r="H29" i="44"/>
  <c r="G29" i="44"/>
  <c r="E29" i="44"/>
  <c r="B29" i="44"/>
  <c r="H28" i="44"/>
  <c r="G28" i="44"/>
  <c r="E28" i="44"/>
  <c r="B28" i="44"/>
  <c r="H27" i="44"/>
  <c r="G27" i="44"/>
  <c r="E27" i="44"/>
  <c r="B27" i="44"/>
  <c r="H26" i="44"/>
  <c r="G26" i="44"/>
  <c r="E26" i="44"/>
  <c r="B26" i="44"/>
  <c r="H25" i="44"/>
  <c r="G25" i="44"/>
  <c r="E25" i="44"/>
  <c r="B25" i="44"/>
  <c r="H24" i="44"/>
  <c r="G24" i="44"/>
  <c r="E24" i="44"/>
  <c r="B24" i="44"/>
  <c r="H23" i="44"/>
  <c r="G23" i="44"/>
  <c r="E23" i="44"/>
  <c r="B23" i="44"/>
  <c r="H18" i="44"/>
  <c r="G18" i="44"/>
  <c r="E18" i="44"/>
  <c r="B18" i="44"/>
  <c r="H17" i="44"/>
  <c r="G17" i="44"/>
  <c r="E17" i="44"/>
  <c r="B17" i="44"/>
  <c r="H16" i="44"/>
  <c r="G16" i="44"/>
  <c r="E16" i="44"/>
  <c r="B16" i="44"/>
  <c r="H15" i="44"/>
  <c r="G15" i="44"/>
  <c r="E15" i="44"/>
  <c r="B15" i="44"/>
  <c r="H14" i="44"/>
  <c r="G14" i="44"/>
  <c r="E14" i="44"/>
  <c r="B14" i="44"/>
  <c r="F13" i="44"/>
  <c r="E13" i="44"/>
  <c r="B13" i="44"/>
  <c r="F5" i="44"/>
  <c r="F3" i="44"/>
  <c r="F2" i="44"/>
  <c r="D2" i="44"/>
  <c r="H49" i="41"/>
  <c r="G49" i="41"/>
  <c r="E49" i="41"/>
  <c r="B49" i="41"/>
  <c r="H48" i="41"/>
  <c r="G48" i="41"/>
  <c r="E48" i="41"/>
  <c r="B48" i="41"/>
  <c r="H47" i="41"/>
  <c r="G47" i="41"/>
  <c r="E47" i="41"/>
  <c r="B47" i="41"/>
  <c r="E46" i="41"/>
  <c r="B46" i="41"/>
  <c r="H41" i="41"/>
  <c r="G41" i="41"/>
  <c r="F41" i="41"/>
  <c r="E41" i="41"/>
  <c r="D41" i="41"/>
  <c r="B41" i="41"/>
  <c r="H40" i="41"/>
  <c r="G40" i="41"/>
  <c r="F40" i="41"/>
  <c r="E40" i="41"/>
  <c r="D40" i="41"/>
  <c r="B40" i="41"/>
  <c r="H39" i="41"/>
  <c r="G39" i="41"/>
  <c r="F39" i="41"/>
  <c r="E39" i="41"/>
  <c r="D39" i="41"/>
  <c r="B39" i="41"/>
  <c r="H38" i="41"/>
  <c r="G38" i="41"/>
  <c r="F38" i="41"/>
  <c r="E38" i="41"/>
  <c r="D38" i="41"/>
  <c r="B38" i="41"/>
  <c r="H32" i="41"/>
  <c r="G32" i="41"/>
  <c r="E32" i="41"/>
  <c r="B32" i="41"/>
  <c r="H31" i="41"/>
  <c r="G31" i="41"/>
  <c r="E31" i="41"/>
  <c r="B31" i="41"/>
  <c r="H30" i="41"/>
  <c r="G30" i="41"/>
  <c r="E30" i="41"/>
  <c r="B30" i="41"/>
  <c r="H29" i="41"/>
  <c r="G29" i="41"/>
  <c r="E29" i="41"/>
  <c r="B29" i="41"/>
  <c r="H28" i="41"/>
  <c r="G28" i="41"/>
  <c r="E28" i="41"/>
  <c r="B28" i="41"/>
  <c r="H27" i="41"/>
  <c r="G27" i="41"/>
  <c r="E27" i="41"/>
  <c r="B27" i="41"/>
  <c r="H26" i="41"/>
  <c r="G26" i="41"/>
  <c r="E26" i="41"/>
  <c r="B26" i="41"/>
  <c r="E25" i="41"/>
  <c r="E24" i="41"/>
  <c r="H18" i="41"/>
  <c r="G18" i="41"/>
  <c r="E18" i="41"/>
  <c r="B18" i="41"/>
  <c r="H17" i="41"/>
  <c r="G17" i="41"/>
  <c r="E17" i="41"/>
  <c r="B17" i="41"/>
  <c r="H16" i="41"/>
  <c r="G16" i="41"/>
  <c r="E16" i="41"/>
  <c r="B16" i="41"/>
  <c r="H15" i="41"/>
  <c r="G15" i="41"/>
  <c r="E15" i="41"/>
  <c r="B15" i="41"/>
  <c r="E14" i="41"/>
  <c r="B14" i="41"/>
  <c r="F13" i="41"/>
  <c r="E13" i="41"/>
  <c r="B13" i="41"/>
  <c r="F5" i="41"/>
  <c r="F3" i="41"/>
  <c r="F2" i="41"/>
  <c r="D2" i="41"/>
  <c r="D633" i="14"/>
  <c r="E633" i="14" s="1"/>
  <c r="D632" i="14"/>
  <c r="E632" i="14" s="1"/>
  <c r="D631" i="14"/>
  <c r="E631" i="14" s="1"/>
  <c r="D630" i="14"/>
  <c r="E630" i="14" s="1"/>
  <c r="D629" i="14"/>
  <c r="E629" i="14" s="1"/>
  <c r="D628" i="14"/>
  <c r="E628" i="14" s="1"/>
  <c r="D627" i="14"/>
  <c r="E627" i="14" s="1"/>
  <c r="D626" i="14"/>
  <c r="E626" i="14" s="1"/>
  <c r="D566" i="14"/>
  <c r="E566" i="14" s="1"/>
  <c r="D567" i="14"/>
  <c r="E567" i="14" s="1"/>
  <c r="D568" i="14"/>
  <c r="E568" i="14" s="1"/>
  <c r="D569" i="14"/>
  <c r="E569" i="14" s="1"/>
  <c r="D570" i="14"/>
  <c r="E570" i="14" s="1"/>
  <c r="D571" i="14"/>
  <c r="E571" i="14" s="1"/>
  <c r="D572" i="14"/>
  <c r="E572" i="14" s="1"/>
  <c r="D573" i="14"/>
  <c r="E573" i="14" s="1"/>
  <c r="D574" i="14"/>
  <c r="E574" i="14" s="1"/>
  <c r="D575" i="14"/>
  <c r="E575" i="14" s="1"/>
  <c r="D576" i="14"/>
  <c r="E576" i="14" s="1"/>
  <c r="D577" i="14"/>
  <c r="E577" i="14" s="1"/>
  <c r="D578" i="14"/>
  <c r="E578" i="14" s="1"/>
  <c r="D579" i="14"/>
  <c r="E579" i="14" s="1"/>
  <c r="D580" i="14"/>
  <c r="E580" i="14" s="1"/>
  <c r="D581" i="14"/>
  <c r="E581" i="14" s="1"/>
  <c r="G29" i="20" s="1"/>
  <c r="H29" i="20" s="1"/>
  <c r="D582" i="14"/>
  <c r="E582" i="14" s="1"/>
  <c r="D583" i="14"/>
  <c r="E583" i="14" s="1"/>
  <c r="D584" i="14"/>
  <c r="E584" i="14" s="1"/>
  <c r="D585" i="14"/>
  <c r="E585" i="14" s="1"/>
  <c r="D586" i="14"/>
  <c r="E586" i="14" s="1"/>
  <c r="D587" i="14"/>
  <c r="E587" i="14" s="1"/>
  <c r="D588" i="14"/>
  <c r="E588" i="14" s="1"/>
  <c r="D589" i="14"/>
  <c r="E589" i="14" s="1"/>
  <c r="D590" i="14"/>
  <c r="E590" i="14" s="1"/>
  <c r="D591" i="14"/>
  <c r="D592" i="14"/>
  <c r="E592" i="14" s="1"/>
  <c r="D593" i="14"/>
  <c r="E593" i="14" s="1"/>
  <c r="D594" i="14"/>
  <c r="E594" i="14" s="1"/>
  <c r="D595" i="14"/>
  <c r="E595" i="14" s="1"/>
  <c r="D596" i="14"/>
  <c r="E596" i="14" s="1"/>
  <c r="D597" i="14"/>
  <c r="E597" i="14" s="1"/>
  <c r="D598" i="14"/>
  <c r="E598" i="14" s="1"/>
  <c r="D599" i="14"/>
  <c r="E599" i="14" s="1"/>
  <c r="D600" i="14"/>
  <c r="E600" i="14" s="1"/>
  <c r="D601" i="14"/>
  <c r="E601" i="14" s="1"/>
  <c r="D602" i="14"/>
  <c r="E602" i="14" s="1"/>
  <c r="D565" i="14"/>
  <c r="E565" i="14" s="1"/>
  <c r="D496" i="14"/>
  <c r="E496" i="14" s="1"/>
  <c r="D495" i="14"/>
  <c r="E495" i="14" s="1"/>
  <c r="D494" i="14"/>
  <c r="E494" i="14" s="1"/>
  <c r="D493" i="14"/>
  <c r="E493" i="14" s="1"/>
  <c r="D492" i="14"/>
  <c r="E492" i="14" s="1"/>
  <c r="D491" i="14"/>
  <c r="E491" i="14" s="1"/>
  <c r="D490" i="14"/>
  <c r="E490" i="14" s="1"/>
  <c r="D489" i="14"/>
  <c r="E489" i="14" s="1"/>
  <c r="D488" i="14"/>
  <c r="E488" i="14" s="1"/>
  <c r="D487" i="14"/>
  <c r="E487" i="14" s="1"/>
  <c r="D486" i="14"/>
  <c r="E486" i="14" s="1"/>
  <c r="D485" i="14"/>
  <c r="E485" i="14" s="1"/>
  <c r="D484" i="14"/>
  <c r="E484" i="14" s="1"/>
  <c r="E158" i="14"/>
  <c r="E159" i="14"/>
  <c r="E160" i="14"/>
  <c r="E161" i="14"/>
  <c r="E157" i="14"/>
  <c r="E156" i="14"/>
  <c r="G15" i="20"/>
  <c r="G16" i="20"/>
  <c r="G17" i="20"/>
  <c r="G18" i="20"/>
  <c r="H15" i="20"/>
  <c r="H16" i="20"/>
  <c r="H17" i="20"/>
  <c r="H18" i="20"/>
  <c r="Q28" i="14"/>
  <c r="D28" i="14" s="1"/>
  <c r="B42" i="20"/>
  <c r="D42" i="20"/>
  <c r="E42" i="20"/>
  <c r="F42" i="20"/>
  <c r="G42" i="20"/>
  <c r="B43" i="20"/>
  <c r="D43" i="20"/>
  <c r="E43" i="20"/>
  <c r="F43" i="20"/>
  <c r="G43" i="20"/>
  <c r="H43" i="20"/>
  <c r="B44" i="20"/>
  <c r="D44" i="20"/>
  <c r="E44" i="20"/>
  <c r="F44" i="20"/>
  <c r="G44" i="20"/>
  <c r="H44" i="20"/>
  <c r="B45" i="20"/>
  <c r="D45" i="20"/>
  <c r="E45" i="20"/>
  <c r="F45" i="20"/>
  <c r="G45" i="20"/>
  <c r="H45" i="20"/>
  <c r="H7" i="20"/>
  <c r="G53" i="20"/>
  <c r="H53" i="20"/>
  <c r="E53" i="20"/>
  <c r="B53" i="20"/>
  <c r="G52" i="20"/>
  <c r="H52" i="20"/>
  <c r="E52" i="20"/>
  <c r="B52" i="20"/>
  <c r="G51" i="20"/>
  <c r="H51" i="20"/>
  <c r="E51" i="20"/>
  <c r="B51" i="20"/>
  <c r="E50" i="20"/>
  <c r="B50" i="20"/>
  <c r="H1006" i="17"/>
  <c r="G1006" i="17"/>
  <c r="E1006" i="17"/>
  <c r="B1006" i="17"/>
  <c r="H1005" i="17"/>
  <c r="G1005" i="17"/>
  <c r="E1005" i="17"/>
  <c r="B1005" i="17"/>
  <c r="H1004" i="17"/>
  <c r="G1004" i="17"/>
  <c r="E1004" i="17"/>
  <c r="B1004" i="17"/>
  <c r="E1003" i="17"/>
  <c r="B1003" i="17"/>
  <c r="H938" i="17"/>
  <c r="G938" i="17"/>
  <c r="E938" i="17"/>
  <c r="B938" i="17"/>
  <c r="H937" i="17"/>
  <c r="G937" i="17"/>
  <c r="E937" i="17"/>
  <c r="B937" i="17"/>
  <c r="H936" i="17"/>
  <c r="G936" i="17"/>
  <c r="E936" i="17"/>
  <c r="B936" i="17"/>
  <c r="E935" i="17"/>
  <c r="B935" i="17"/>
  <c r="H870" i="17"/>
  <c r="G870" i="17"/>
  <c r="E870" i="17"/>
  <c r="B870" i="17"/>
  <c r="H869" i="17"/>
  <c r="G869" i="17"/>
  <c r="E869" i="17"/>
  <c r="B869" i="17"/>
  <c r="H868" i="17"/>
  <c r="G868" i="17"/>
  <c r="E868" i="17"/>
  <c r="B868" i="17"/>
  <c r="E867" i="17"/>
  <c r="B867" i="17"/>
  <c r="H802" i="17"/>
  <c r="G802" i="17"/>
  <c r="E802" i="17"/>
  <c r="B802" i="17"/>
  <c r="H801" i="17"/>
  <c r="G801" i="17"/>
  <c r="E801" i="17"/>
  <c r="B801" i="17"/>
  <c r="H800" i="17"/>
  <c r="G800" i="17"/>
  <c r="E800" i="17"/>
  <c r="B800" i="17"/>
  <c r="E799" i="17"/>
  <c r="B799" i="17"/>
  <c r="H734" i="17"/>
  <c r="G734" i="17"/>
  <c r="E734" i="17"/>
  <c r="B734" i="17"/>
  <c r="H733" i="17"/>
  <c r="G733" i="17"/>
  <c r="E733" i="17"/>
  <c r="B733" i="17"/>
  <c r="H732" i="17"/>
  <c r="G732" i="17"/>
  <c r="E732" i="17"/>
  <c r="B732" i="17"/>
  <c r="E731" i="17"/>
  <c r="B731" i="17"/>
  <c r="H666" i="17"/>
  <c r="G666" i="17"/>
  <c r="E666" i="17"/>
  <c r="B666" i="17"/>
  <c r="H665" i="17"/>
  <c r="G665" i="17"/>
  <c r="E665" i="17"/>
  <c r="B665" i="17"/>
  <c r="H664" i="17"/>
  <c r="G664" i="17"/>
  <c r="E664" i="17"/>
  <c r="B664" i="17"/>
  <c r="E663" i="17"/>
  <c r="B663" i="17"/>
  <c r="H598" i="17"/>
  <c r="G598" i="17"/>
  <c r="E598" i="17"/>
  <c r="B598" i="17"/>
  <c r="H597" i="17"/>
  <c r="G597" i="17"/>
  <c r="E597" i="17"/>
  <c r="B597" i="17"/>
  <c r="H596" i="17"/>
  <c r="G596" i="17"/>
  <c r="E596" i="17"/>
  <c r="B596" i="17"/>
  <c r="E595" i="17"/>
  <c r="B595" i="17"/>
  <c r="H473" i="17"/>
  <c r="G473" i="17"/>
  <c r="E473" i="17"/>
  <c r="B473" i="17"/>
  <c r="H472" i="17"/>
  <c r="G472" i="17"/>
  <c r="E472" i="17"/>
  <c r="B472" i="17"/>
  <c r="H471" i="17"/>
  <c r="G471" i="17"/>
  <c r="E471" i="17"/>
  <c r="B471" i="17"/>
  <c r="E470" i="17"/>
  <c r="B470" i="17"/>
  <c r="H405" i="17"/>
  <c r="G405" i="17"/>
  <c r="E405" i="17"/>
  <c r="B405" i="17"/>
  <c r="H404" i="17"/>
  <c r="G404" i="17"/>
  <c r="E404" i="17"/>
  <c r="B404" i="17"/>
  <c r="H403" i="17"/>
  <c r="G403" i="17"/>
  <c r="E403" i="17"/>
  <c r="B403" i="17"/>
  <c r="E402" i="17"/>
  <c r="B402" i="17"/>
  <c r="H288" i="17"/>
  <c r="G288" i="17"/>
  <c r="E288" i="17"/>
  <c r="B288" i="17"/>
  <c r="H287" i="17"/>
  <c r="G287" i="17"/>
  <c r="E287" i="17"/>
  <c r="B287" i="17"/>
  <c r="H286" i="17"/>
  <c r="G286" i="17"/>
  <c r="E286" i="17"/>
  <c r="B286" i="17"/>
  <c r="E285" i="17"/>
  <c r="B285" i="17"/>
  <c r="H168" i="17"/>
  <c r="G168" i="17"/>
  <c r="E168" i="17"/>
  <c r="B168" i="17"/>
  <c r="H167" i="17"/>
  <c r="G167" i="17"/>
  <c r="E167" i="17"/>
  <c r="B167" i="17"/>
  <c r="H166" i="17"/>
  <c r="G166" i="17"/>
  <c r="E166" i="17"/>
  <c r="B166" i="17"/>
  <c r="E165" i="17"/>
  <c r="B165" i="17"/>
  <c r="H105" i="17"/>
  <c r="G105" i="17"/>
  <c r="E105" i="17"/>
  <c r="B105" i="17"/>
  <c r="H104" i="17"/>
  <c r="G104" i="17"/>
  <c r="E104" i="17"/>
  <c r="B104" i="17"/>
  <c r="H103" i="17"/>
  <c r="G103" i="17"/>
  <c r="E103" i="17"/>
  <c r="B103" i="17"/>
  <c r="E102" i="17"/>
  <c r="B102" i="17"/>
  <c r="H46" i="17"/>
  <c r="B15" i="17"/>
  <c r="B16" i="17"/>
  <c r="B17" i="17"/>
  <c r="B18" i="17"/>
  <c r="B15" i="20"/>
  <c r="B14" i="20"/>
  <c r="B16" i="20"/>
  <c r="B17" i="20"/>
  <c r="B18" i="20"/>
  <c r="D769" i="14"/>
  <c r="E769" i="14" s="1"/>
  <c r="E30" i="20"/>
  <c r="B31" i="20"/>
  <c r="E31" i="20"/>
  <c r="G31" i="20"/>
  <c r="H31" i="20"/>
  <c r="B32" i="20"/>
  <c r="E32" i="20"/>
  <c r="G32" i="20"/>
  <c r="H32" i="20"/>
  <c r="B33" i="20"/>
  <c r="E33" i="20"/>
  <c r="G33" i="20"/>
  <c r="H33" i="20"/>
  <c r="B34" i="20"/>
  <c r="E34" i="20"/>
  <c r="G34" i="20"/>
  <c r="H34" i="20"/>
  <c r="B35" i="20"/>
  <c r="E35" i="20"/>
  <c r="G35" i="20"/>
  <c r="H35" i="20"/>
  <c r="B36" i="20"/>
  <c r="E36" i="20"/>
  <c r="G36" i="20"/>
  <c r="H36" i="20"/>
  <c r="D763" i="14"/>
  <c r="E763" i="14" s="1"/>
  <c r="D762" i="14"/>
  <c r="E762" i="14" s="1"/>
  <c r="D759" i="14"/>
  <c r="E759" i="14" s="1"/>
  <c r="D760" i="14"/>
  <c r="E760" i="14" s="1"/>
  <c r="D761" i="14"/>
  <c r="E761" i="14" s="1"/>
  <c r="D758" i="14"/>
  <c r="E758" i="14" s="1"/>
  <c r="B750" i="14"/>
  <c r="B751" i="14"/>
  <c r="B23" i="248" s="1"/>
  <c r="B752" i="14"/>
  <c r="B23" i="249" s="1"/>
  <c r="B753" i="14"/>
  <c r="B754" i="14"/>
  <c r="B755" i="14"/>
  <c r="B23" i="250" s="1"/>
  <c r="B749" i="14"/>
  <c r="B737" i="14"/>
  <c r="B738" i="14"/>
  <c r="B739" i="14"/>
  <c r="B740" i="14"/>
  <c r="B741" i="14"/>
  <c r="B742" i="14"/>
  <c r="B743" i="14"/>
  <c r="B744" i="14"/>
  <c r="B745" i="14"/>
  <c r="B746" i="14"/>
  <c r="B718" i="14"/>
  <c r="B719" i="14"/>
  <c r="B720" i="14"/>
  <c r="B721" i="14"/>
  <c r="B722" i="14"/>
  <c r="B723" i="14"/>
  <c r="B724" i="14"/>
  <c r="B725" i="14"/>
  <c r="B726" i="14"/>
  <c r="B727" i="14"/>
  <c r="B728" i="14"/>
  <c r="B729" i="14"/>
  <c r="B730" i="14"/>
  <c r="B731" i="14"/>
  <c r="B732" i="14"/>
  <c r="B733" i="14"/>
  <c r="B734" i="14"/>
  <c r="B735" i="14"/>
  <c r="B736" i="14"/>
  <c r="B717" i="14"/>
  <c r="D701" i="14"/>
  <c r="E701" i="14" s="1"/>
  <c r="D702" i="14"/>
  <c r="E702" i="14" s="1"/>
  <c r="D703" i="14"/>
  <c r="E703" i="14" s="1"/>
  <c r="D704" i="14"/>
  <c r="E704" i="14" s="1"/>
  <c r="D705" i="14"/>
  <c r="E705" i="14" s="1"/>
  <c r="D706" i="14"/>
  <c r="E706" i="14" s="1"/>
  <c r="D707" i="14"/>
  <c r="E707" i="14" s="1"/>
  <c r="D708" i="14"/>
  <c r="E708" i="14" s="1"/>
  <c r="D709" i="14"/>
  <c r="E709" i="14" s="1"/>
  <c r="D710" i="14"/>
  <c r="E710" i="14" s="1"/>
  <c r="D711" i="14"/>
  <c r="E711" i="14" s="1"/>
  <c r="D712" i="14"/>
  <c r="E712" i="14" s="1"/>
  <c r="B701" i="14"/>
  <c r="B702" i="14"/>
  <c r="B703" i="14"/>
  <c r="B704" i="14"/>
  <c r="B705" i="14"/>
  <c r="B706" i="14"/>
  <c r="B707" i="14"/>
  <c r="B708" i="14"/>
  <c r="B709" i="14"/>
  <c r="B710" i="14"/>
  <c r="B711" i="14"/>
  <c r="B712" i="14"/>
  <c r="B680" i="14"/>
  <c r="B681" i="14"/>
  <c r="B682" i="14"/>
  <c r="B683" i="14"/>
  <c r="B684" i="14"/>
  <c r="B685" i="14"/>
  <c r="B686" i="14"/>
  <c r="B687" i="14"/>
  <c r="B688" i="14"/>
  <c r="B689" i="14"/>
  <c r="B690" i="14"/>
  <c r="B691" i="14"/>
  <c r="B692" i="14"/>
  <c r="B693" i="14"/>
  <c r="B694" i="14"/>
  <c r="B695" i="14"/>
  <c r="B696" i="14"/>
  <c r="B697" i="14"/>
  <c r="B698" i="14"/>
  <c r="B699" i="14"/>
  <c r="B700" i="14"/>
  <c r="B679" i="14"/>
  <c r="D680" i="14"/>
  <c r="E680" i="14" s="1"/>
  <c r="D681" i="14"/>
  <c r="E681" i="14" s="1"/>
  <c r="D682" i="14"/>
  <c r="E682" i="14" s="1"/>
  <c r="D683" i="14"/>
  <c r="E683" i="14" s="1"/>
  <c r="D684" i="14"/>
  <c r="E684" i="14" s="1"/>
  <c r="D685" i="14"/>
  <c r="E685" i="14" s="1"/>
  <c r="D686" i="14"/>
  <c r="E686" i="14" s="1"/>
  <c r="D687" i="14"/>
  <c r="E687" i="14" s="1"/>
  <c r="D688" i="14"/>
  <c r="E688" i="14" s="1"/>
  <c r="D689" i="14"/>
  <c r="E689" i="14" s="1"/>
  <c r="D690" i="14"/>
  <c r="E690" i="14" s="1"/>
  <c r="D691" i="14"/>
  <c r="E691" i="14" s="1"/>
  <c r="D692" i="14"/>
  <c r="E692" i="14" s="1"/>
  <c r="D693" i="14"/>
  <c r="E693" i="14" s="1"/>
  <c r="D694" i="14"/>
  <c r="E694" i="14" s="1"/>
  <c r="D695" i="14"/>
  <c r="E695" i="14" s="1"/>
  <c r="D696" i="14"/>
  <c r="E696" i="14" s="1"/>
  <c r="D697" i="14"/>
  <c r="E697" i="14" s="1"/>
  <c r="D698" i="14"/>
  <c r="E698" i="14" s="1"/>
  <c r="D699" i="14"/>
  <c r="E699" i="14" s="1"/>
  <c r="D700" i="14"/>
  <c r="E700" i="14" s="1"/>
  <c r="D679" i="14"/>
  <c r="E679" i="14" s="1"/>
  <c r="B670" i="14"/>
  <c r="B671" i="14"/>
  <c r="B672" i="14"/>
  <c r="B673" i="14"/>
  <c r="B674" i="14"/>
  <c r="B675" i="14"/>
  <c r="B676" i="14"/>
  <c r="B669" i="14"/>
  <c r="B660" i="14"/>
  <c r="D660" i="14"/>
  <c r="E660" i="14" s="1"/>
  <c r="B661" i="14"/>
  <c r="D661" i="14"/>
  <c r="E661" i="14" s="1"/>
  <c r="B662" i="14"/>
  <c r="D662" i="14"/>
  <c r="E662" i="14" s="1"/>
  <c r="B663" i="14"/>
  <c r="D663" i="14"/>
  <c r="E663" i="14" s="1"/>
  <c r="B664" i="14"/>
  <c r="D664" i="14"/>
  <c r="E664" i="14" s="1"/>
  <c r="B665" i="14"/>
  <c r="D665" i="14"/>
  <c r="E665" i="14" s="1"/>
  <c r="B666" i="14"/>
  <c r="D666" i="14"/>
  <c r="E666" i="14" s="1"/>
  <c r="D659" i="14"/>
  <c r="E659" i="14" s="1"/>
  <c r="B659" i="14"/>
  <c r="B655" i="14"/>
  <c r="B654" i="14"/>
  <c r="B650" i="14"/>
  <c r="B651" i="14"/>
  <c r="B652" i="14"/>
  <c r="B653" i="14"/>
  <c r="B649" i="14"/>
  <c r="B638" i="14"/>
  <c r="B639" i="14"/>
  <c r="B640" i="14"/>
  <c r="B641" i="14"/>
  <c r="B642" i="14"/>
  <c r="B643" i="14"/>
  <c r="B644" i="14"/>
  <c r="B645" i="14"/>
  <c r="B637" i="14"/>
  <c r="B627" i="14"/>
  <c r="B628" i="14"/>
  <c r="B629" i="14"/>
  <c r="B630" i="14"/>
  <c r="B631" i="14"/>
  <c r="B632" i="14"/>
  <c r="B633" i="14"/>
  <c r="B626" i="14"/>
  <c r="B616" i="14"/>
  <c r="D616" i="14"/>
  <c r="E616" i="14" s="1"/>
  <c r="B617" i="14"/>
  <c r="D617" i="14"/>
  <c r="E617" i="14" s="1"/>
  <c r="B618" i="14"/>
  <c r="D618" i="14"/>
  <c r="E618" i="14" s="1"/>
  <c r="B619" i="14"/>
  <c r="D619" i="14"/>
  <c r="E619" i="14" s="1"/>
  <c r="B620" i="14"/>
  <c r="D620" i="14"/>
  <c r="E620" i="14" s="1"/>
  <c r="B621" i="14"/>
  <c r="D621" i="14"/>
  <c r="E621" i="14" s="1"/>
  <c r="B622" i="14"/>
  <c r="D622" i="14"/>
  <c r="E622" i="14" s="1"/>
  <c r="B623" i="14"/>
  <c r="D623" i="14"/>
  <c r="E623" i="14" s="1"/>
  <c r="B615" i="14"/>
  <c r="D615" i="14"/>
  <c r="E615" i="14" s="1"/>
  <c r="B612" i="14"/>
  <c r="D612" i="14"/>
  <c r="E612" i="14" s="1"/>
  <c r="B606" i="14"/>
  <c r="D606" i="14"/>
  <c r="E606" i="14" s="1"/>
  <c r="B607" i="14"/>
  <c r="D607" i="14"/>
  <c r="E607" i="14" s="1"/>
  <c r="B608" i="14"/>
  <c r="D608" i="14"/>
  <c r="E608" i="14" s="1"/>
  <c r="B609" i="14"/>
  <c r="D609" i="14"/>
  <c r="E609" i="14" s="1"/>
  <c r="B610" i="14"/>
  <c r="D610" i="14"/>
  <c r="E610" i="14" s="1"/>
  <c r="B611" i="14"/>
  <c r="D611" i="14"/>
  <c r="E611" i="14" s="1"/>
  <c r="D605" i="14"/>
  <c r="E605" i="14" s="1"/>
  <c r="B605" i="14"/>
  <c r="B601" i="14"/>
  <c r="B574" i="14"/>
  <c r="B575" i="14"/>
  <c r="B576" i="14"/>
  <c r="B577" i="14"/>
  <c r="B578" i="14"/>
  <c r="B579" i="14"/>
  <c r="B580" i="14"/>
  <c r="B581" i="14"/>
  <c r="B29" i="20" s="1"/>
  <c r="B582" i="14"/>
  <c r="B583" i="14"/>
  <c r="B584" i="14"/>
  <c r="B585" i="14"/>
  <c r="B586" i="14"/>
  <c r="B587" i="14"/>
  <c r="B588" i="14"/>
  <c r="B589" i="14"/>
  <c r="B590" i="14"/>
  <c r="B591" i="14"/>
  <c r="E591" i="14"/>
  <c r="B592" i="14"/>
  <c r="B593" i="14"/>
  <c r="B594" i="14"/>
  <c r="B595" i="14"/>
  <c r="B596" i="14"/>
  <c r="B597" i="14"/>
  <c r="B598" i="14"/>
  <c r="B28" i="20" s="1"/>
  <c r="G28" i="20"/>
  <c r="H28" i="20" s="1"/>
  <c r="B599" i="14"/>
  <c r="B600" i="14"/>
  <c r="B602" i="14"/>
  <c r="B573" i="14"/>
  <c r="B566" i="14"/>
  <c r="B567" i="14"/>
  <c r="B568" i="14"/>
  <c r="B569" i="14"/>
  <c r="B570" i="14"/>
  <c r="B571" i="14"/>
  <c r="B572" i="14"/>
  <c r="B565" i="14"/>
  <c r="B559" i="14"/>
  <c r="D559" i="14"/>
  <c r="E559" i="14" s="1"/>
  <c r="B560" i="14"/>
  <c r="D560" i="14"/>
  <c r="E560" i="14" s="1"/>
  <c r="B561" i="14"/>
  <c r="D561" i="14"/>
  <c r="E561" i="14" s="1"/>
  <c r="B558" i="14"/>
  <c r="D558" i="14"/>
  <c r="E558" i="14" s="1"/>
  <c r="B555" i="14"/>
  <c r="D555" i="14"/>
  <c r="E555" i="14" s="1"/>
  <c r="B550" i="14"/>
  <c r="D550" i="14"/>
  <c r="E550" i="14" s="1"/>
  <c r="B551" i="14"/>
  <c r="D551" i="14"/>
  <c r="E551" i="14" s="1"/>
  <c r="B552" i="14"/>
  <c r="D552" i="14"/>
  <c r="E552" i="14" s="1"/>
  <c r="B553" i="14"/>
  <c r="D553" i="14"/>
  <c r="E553" i="14" s="1"/>
  <c r="B554" i="14"/>
  <c r="D554" i="14"/>
  <c r="E554" i="14" s="1"/>
  <c r="B549" i="14"/>
  <c r="D549" i="14"/>
  <c r="E549" i="14" s="1"/>
  <c r="B541" i="14"/>
  <c r="D541" i="14"/>
  <c r="E541" i="14" s="1"/>
  <c r="B542" i="14"/>
  <c r="D542" i="14"/>
  <c r="E542" i="14" s="1"/>
  <c r="B543" i="14"/>
  <c r="D543" i="14"/>
  <c r="E543" i="14" s="1"/>
  <c r="B544" i="14"/>
  <c r="D544" i="14"/>
  <c r="E544" i="14" s="1"/>
  <c r="B545" i="14"/>
  <c r="D545" i="14"/>
  <c r="E545" i="14" s="1"/>
  <c r="B546" i="14"/>
  <c r="D546" i="14"/>
  <c r="E546" i="14" s="1"/>
  <c r="B540" i="14"/>
  <c r="D540" i="14"/>
  <c r="E540" i="14" s="1"/>
  <c r="B528" i="14"/>
  <c r="D528" i="14"/>
  <c r="E528" i="14" s="1"/>
  <c r="B529" i="14"/>
  <c r="D529" i="14"/>
  <c r="E529" i="14" s="1"/>
  <c r="B530" i="14"/>
  <c r="D530" i="14"/>
  <c r="E530" i="14" s="1"/>
  <c r="B531" i="14"/>
  <c r="D531" i="14"/>
  <c r="E531" i="14" s="1"/>
  <c r="B532" i="14"/>
  <c r="D532" i="14"/>
  <c r="E532" i="14" s="1"/>
  <c r="B533" i="14"/>
  <c r="D533" i="14"/>
  <c r="E533" i="14" s="1"/>
  <c r="B534" i="14"/>
  <c r="D534" i="14"/>
  <c r="E534" i="14" s="1"/>
  <c r="B535" i="14"/>
  <c r="D535" i="14"/>
  <c r="E535" i="14" s="1"/>
  <c r="B536" i="14"/>
  <c r="D536" i="14"/>
  <c r="E536" i="14" s="1"/>
  <c r="B537" i="14"/>
  <c r="D537" i="14"/>
  <c r="E537" i="14" s="1"/>
  <c r="B527" i="14"/>
  <c r="D527" i="14"/>
  <c r="E527" i="14" s="1"/>
  <c r="B514" i="14"/>
  <c r="D514" i="14"/>
  <c r="E514" i="14" s="1"/>
  <c r="B515" i="14"/>
  <c r="D515" i="14"/>
  <c r="E515" i="14" s="1"/>
  <c r="B516" i="14"/>
  <c r="D516" i="14"/>
  <c r="E516" i="14" s="1"/>
  <c r="B517" i="14"/>
  <c r="D517" i="14"/>
  <c r="E517" i="14" s="1"/>
  <c r="B518" i="14"/>
  <c r="D518" i="14"/>
  <c r="E518" i="14" s="1"/>
  <c r="B519" i="14"/>
  <c r="D519" i="14"/>
  <c r="E519" i="14" s="1"/>
  <c r="B520" i="14"/>
  <c r="D520" i="14"/>
  <c r="E520" i="14" s="1"/>
  <c r="B521" i="14"/>
  <c r="D521" i="14"/>
  <c r="E521" i="14" s="1"/>
  <c r="B522" i="14"/>
  <c r="D522" i="14"/>
  <c r="E522" i="14" s="1"/>
  <c r="B523" i="14"/>
  <c r="D523" i="14"/>
  <c r="E523" i="14" s="1"/>
  <c r="B524" i="14"/>
  <c r="D524" i="14"/>
  <c r="E524" i="14" s="1"/>
  <c r="B513" i="14"/>
  <c r="D513" i="14"/>
  <c r="E513" i="14" s="1"/>
  <c r="B500" i="14"/>
  <c r="D500" i="14"/>
  <c r="E500" i="14" s="1"/>
  <c r="B501" i="14"/>
  <c r="D501" i="14"/>
  <c r="E501" i="14" s="1"/>
  <c r="B502" i="14"/>
  <c r="D502" i="14"/>
  <c r="E502" i="14" s="1"/>
  <c r="B503" i="14"/>
  <c r="D503" i="14"/>
  <c r="E503" i="14" s="1"/>
  <c r="B504" i="14"/>
  <c r="D504" i="14"/>
  <c r="E504" i="14" s="1"/>
  <c r="B505" i="14"/>
  <c r="D505" i="14"/>
  <c r="E505" i="14" s="1"/>
  <c r="B506" i="14"/>
  <c r="D506" i="14"/>
  <c r="E506" i="14" s="1"/>
  <c r="B507" i="14"/>
  <c r="D507" i="14"/>
  <c r="E507" i="14" s="1"/>
  <c r="B508" i="14"/>
  <c r="D508" i="14"/>
  <c r="E508" i="14" s="1"/>
  <c r="B509" i="14"/>
  <c r="D509" i="14"/>
  <c r="E509" i="14" s="1"/>
  <c r="B510" i="14"/>
  <c r="D510" i="14"/>
  <c r="E510" i="14" s="1"/>
  <c r="B499" i="14"/>
  <c r="D499" i="14"/>
  <c r="E499" i="14" s="1"/>
  <c r="B485" i="14"/>
  <c r="B486" i="14"/>
  <c r="B487" i="14"/>
  <c r="B488" i="14"/>
  <c r="B489" i="14"/>
  <c r="B490" i="14"/>
  <c r="B491" i="14"/>
  <c r="B492" i="14"/>
  <c r="B493" i="14"/>
  <c r="B494" i="14"/>
  <c r="B495" i="14"/>
  <c r="B496" i="14"/>
  <c r="B484" i="14"/>
  <c r="D475" i="14"/>
  <c r="E475" i="14" s="1"/>
  <c r="D476" i="14"/>
  <c r="E476" i="14" s="1"/>
  <c r="D477" i="14"/>
  <c r="E477" i="14" s="1"/>
  <c r="D478" i="14"/>
  <c r="E478" i="14" s="1"/>
  <c r="D479" i="14"/>
  <c r="E479" i="14" s="1"/>
  <c r="D480" i="14"/>
  <c r="E480" i="14" s="1"/>
  <c r="D481" i="14"/>
  <c r="E481" i="14" s="1"/>
  <c r="B481" i="14"/>
  <c r="B475" i="14"/>
  <c r="B476" i="14"/>
  <c r="B477" i="14"/>
  <c r="B478" i="14"/>
  <c r="B479" i="14"/>
  <c r="B480" i="14"/>
  <c r="B474" i="14"/>
  <c r="D474" i="14"/>
  <c r="E474" i="14" s="1"/>
  <c r="D447" i="14"/>
  <c r="E447" i="14" s="1"/>
  <c r="D448" i="14"/>
  <c r="E448" i="14" s="1"/>
  <c r="D449" i="14"/>
  <c r="E449" i="14" s="1"/>
  <c r="D450" i="14"/>
  <c r="E450" i="14" s="1"/>
  <c r="D451" i="14"/>
  <c r="E451" i="14" s="1"/>
  <c r="D452" i="14"/>
  <c r="E452" i="14" s="1"/>
  <c r="D446" i="14"/>
  <c r="E446" i="14" s="1"/>
  <c r="B467" i="14"/>
  <c r="B468" i="14"/>
  <c r="B469" i="14"/>
  <c r="B466" i="14"/>
  <c r="G25" i="41"/>
  <c r="H25" i="41" s="1"/>
  <c r="G24" i="41"/>
  <c r="H24" i="41" s="1"/>
  <c r="B463" i="14"/>
  <c r="B456" i="14"/>
  <c r="B457" i="14"/>
  <c r="B458" i="14"/>
  <c r="B459" i="14"/>
  <c r="B460" i="14"/>
  <c r="B455" i="14"/>
  <c r="K453" i="14"/>
  <c r="B447" i="14"/>
  <c r="B448" i="14"/>
  <c r="B449" i="14"/>
  <c r="B450" i="14"/>
  <c r="B451" i="14"/>
  <c r="B452" i="14"/>
  <c r="B446" i="14"/>
  <c r="B442" i="14"/>
  <c r="D442" i="14"/>
  <c r="E442" i="14" s="1"/>
  <c r="B443" i="14"/>
  <c r="D443" i="14"/>
  <c r="E443" i="14" s="1"/>
  <c r="B441" i="14"/>
  <c r="D441" i="14"/>
  <c r="E441" i="14" s="1"/>
  <c r="D434" i="14"/>
  <c r="E434" i="14" s="1"/>
  <c r="D435" i="14"/>
  <c r="E435" i="14" s="1"/>
  <c r="D436" i="14"/>
  <c r="E436" i="14" s="1"/>
  <c r="D437" i="14"/>
  <c r="E437" i="14" s="1"/>
  <c r="D438" i="14"/>
  <c r="E438" i="14" s="1"/>
  <c r="B437" i="14"/>
  <c r="B438" i="14"/>
  <c r="B434" i="14"/>
  <c r="B435" i="14"/>
  <c r="B436" i="14"/>
  <c r="B433" i="14"/>
  <c r="D433" i="14"/>
  <c r="E433" i="14" s="1"/>
  <c r="B423" i="14"/>
  <c r="D423" i="14"/>
  <c r="E423" i="14" s="1"/>
  <c r="B424" i="14"/>
  <c r="D424" i="14"/>
  <c r="E424" i="14" s="1"/>
  <c r="B425" i="14"/>
  <c r="D425" i="14"/>
  <c r="E425" i="14" s="1"/>
  <c r="B426" i="14"/>
  <c r="D426" i="14"/>
  <c r="E426" i="14" s="1"/>
  <c r="B427" i="14"/>
  <c r="D427" i="14"/>
  <c r="E427" i="14" s="1"/>
  <c r="B428" i="14"/>
  <c r="D428" i="14"/>
  <c r="E428" i="14" s="1"/>
  <c r="B429" i="14"/>
  <c r="D429" i="14"/>
  <c r="E429" i="14" s="1"/>
  <c r="B430" i="14"/>
  <c r="D430" i="14"/>
  <c r="E430" i="14" s="1"/>
  <c r="B422" i="14"/>
  <c r="D422" i="14"/>
  <c r="E422" i="14" s="1"/>
  <c r="B411" i="14"/>
  <c r="D411" i="14"/>
  <c r="E411" i="14" s="1"/>
  <c r="B412" i="14"/>
  <c r="D412" i="14"/>
  <c r="E412" i="14" s="1"/>
  <c r="B413" i="14"/>
  <c r="D413" i="14"/>
  <c r="E413" i="14" s="1"/>
  <c r="B414" i="14"/>
  <c r="D414" i="14"/>
  <c r="E414" i="14" s="1"/>
  <c r="B415" i="14"/>
  <c r="D415" i="14"/>
  <c r="E415" i="14" s="1"/>
  <c r="B416" i="14"/>
  <c r="D416" i="14"/>
  <c r="E416" i="14" s="1"/>
  <c r="B417" i="14"/>
  <c r="D417" i="14"/>
  <c r="E417" i="14" s="1"/>
  <c r="B418" i="14"/>
  <c r="D418" i="14"/>
  <c r="E418" i="14" s="1"/>
  <c r="B419" i="14"/>
  <c r="D419" i="14"/>
  <c r="E419" i="14" s="1"/>
  <c r="B410" i="14"/>
  <c r="D410" i="14"/>
  <c r="E410" i="14" s="1"/>
  <c r="B400" i="14"/>
  <c r="D400" i="14"/>
  <c r="E400" i="14" s="1"/>
  <c r="B401" i="14"/>
  <c r="D401" i="14"/>
  <c r="E401" i="14" s="1"/>
  <c r="B402" i="14"/>
  <c r="D402" i="14"/>
  <c r="E402" i="14" s="1"/>
  <c r="B403" i="14"/>
  <c r="D403" i="14"/>
  <c r="E403" i="14" s="1"/>
  <c r="B404" i="14"/>
  <c r="D404" i="14"/>
  <c r="E404" i="14" s="1"/>
  <c r="B405" i="14"/>
  <c r="D405" i="14"/>
  <c r="E405" i="14" s="1"/>
  <c r="B406" i="14"/>
  <c r="D406" i="14"/>
  <c r="E406" i="14" s="1"/>
  <c r="B407" i="14"/>
  <c r="D407" i="14"/>
  <c r="E407" i="14" s="1"/>
  <c r="B399" i="14"/>
  <c r="D399" i="14"/>
  <c r="E399" i="14" s="1"/>
  <c r="B389" i="14"/>
  <c r="D389" i="14"/>
  <c r="E389" i="14" s="1"/>
  <c r="B390" i="14"/>
  <c r="D390" i="14"/>
  <c r="E390" i="14" s="1"/>
  <c r="B391" i="14"/>
  <c r="D391" i="14"/>
  <c r="E391" i="14" s="1"/>
  <c r="B392" i="14"/>
  <c r="D392" i="14"/>
  <c r="E392" i="14" s="1"/>
  <c r="B393" i="14"/>
  <c r="D393" i="14"/>
  <c r="E393" i="14" s="1"/>
  <c r="B394" i="14"/>
  <c r="D394" i="14"/>
  <c r="E394" i="14" s="1"/>
  <c r="B395" i="14"/>
  <c r="D395" i="14"/>
  <c r="E395" i="14" s="1"/>
  <c r="B396" i="14"/>
  <c r="D396" i="14"/>
  <c r="E396" i="14" s="1"/>
  <c r="B388" i="14"/>
  <c r="D388" i="14"/>
  <c r="E388" i="14" s="1"/>
  <c r="D378" i="14"/>
  <c r="E378" i="14" s="1"/>
  <c r="D379" i="14"/>
  <c r="E379" i="14" s="1"/>
  <c r="D380" i="14"/>
  <c r="E380" i="14" s="1"/>
  <c r="D381" i="14"/>
  <c r="E381" i="14" s="1"/>
  <c r="D382" i="14"/>
  <c r="E382" i="14" s="1"/>
  <c r="D383" i="14"/>
  <c r="E383" i="14" s="1"/>
  <c r="D384" i="14"/>
  <c r="E384" i="14" s="1"/>
  <c r="D385" i="14"/>
  <c r="E385" i="14" s="1"/>
  <c r="B378" i="14"/>
  <c r="B379" i="14"/>
  <c r="B380" i="14"/>
  <c r="B381" i="14"/>
  <c r="B382" i="14"/>
  <c r="B383" i="14"/>
  <c r="B384" i="14"/>
  <c r="B385" i="14"/>
  <c r="B377" i="14"/>
  <c r="D377" i="14"/>
  <c r="E377" i="14" s="1"/>
  <c r="B374" i="14"/>
  <c r="D374" i="14"/>
  <c r="E374" i="14" s="1"/>
  <c r="B363" i="14"/>
  <c r="D363" i="14"/>
  <c r="E363" i="14" s="1"/>
  <c r="B364" i="14"/>
  <c r="D364" i="14"/>
  <c r="E364" i="14" s="1"/>
  <c r="B365" i="14"/>
  <c r="D365" i="14"/>
  <c r="E365" i="14" s="1"/>
  <c r="B366" i="14"/>
  <c r="D366" i="14"/>
  <c r="E366" i="14" s="1"/>
  <c r="B367" i="14"/>
  <c r="D367" i="14"/>
  <c r="E367" i="14" s="1"/>
  <c r="B368" i="14"/>
  <c r="D368" i="14"/>
  <c r="E368" i="14" s="1"/>
  <c r="B369" i="14"/>
  <c r="D369" i="14"/>
  <c r="E369" i="14" s="1"/>
  <c r="B370" i="14"/>
  <c r="D370" i="14"/>
  <c r="E370" i="14" s="1"/>
  <c r="B371" i="14"/>
  <c r="D371" i="14"/>
  <c r="E371" i="14" s="1"/>
  <c r="B362" i="14"/>
  <c r="D362" i="14"/>
  <c r="E362" i="14" s="1"/>
  <c r="B359" i="14"/>
  <c r="D359" i="14"/>
  <c r="E359" i="14" s="1"/>
  <c r="B337" i="14"/>
  <c r="D337" i="14"/>
  <c r="E337" i="14" s="1"/>
  <c r="B338" i="14"/>
  <c r="D338" i="14"/>
  <c r="E338" i="14" s="1"/>
  <c r="B339" i="14"/>
  <c r="D339" i="14"/>
  <c r="E339" i="14" s="1"/>
  <c r="B340" i="14"/>
  <c r="D340" i="14"/>
  <c r="E340" i="14" s="1"/>
  <c r="B341" i="14"/>
  <c r="D341" i="14"/>
  <c r="E341" i="14" s="1"/>
  <c r="B342" i="14"/>
  <c r="D342" i="14"/>
  <c r="E342" i="14" s="1"/>
  <c r="B343" i="14"/>
  <c r="D343" i="14"/>
  <c r="E343" i="14" s="1"/>
  <c r="B344" i="14"/>
  <c r="D344" i="14"/>
  <c r="E344" i="14" s="1"/>
  <c r="B345" i="14"/>
  <c r="D345" i="14"/>
  <c r="E345" i="14" s="1"/>
  <c r="B346" i="14"/>
  <c r="D346" i="14"/>
  <c r="E346" i="14" s="1"/>
  <c r="B347" i="14"/>
  <c r="D347" i="14"/>
  <c r="E347" i="14" s="1"/>
  <c r="B348" i="14"/>
  <c r="D348" i="14"/>
  <c r="E348" i="14" s="1"/>
  <c r="B349" i="14"/>
  <c r="D349" i="14"/>
  <c r="E349" i="14" s="1"/>
  <c r="B350" i="14"/>
  <c r="D350" i="14"/>
  <c r="E350" i="14" s="1"/>
  <c r="B351" i="14"/>
  <c r="D351" i="14"/>
  <c r="E351" i="14" s="1"/>
  <c r="B352" i="14"/>
  <c r="D352" i="14"/>
  <c r="E352" i="14" s="1"/>
  <c r="B353" i="14"/>
  <c r="D353" i="14"/>
  <c r="E353" i="14" s="1"/>
  <c r="B354" i="14"/>
  <c r="D354" i="14"/>
  <c r="E354" i="14" s="1"/>
  <c r="B355" i="14"/>
  <c r="D355" i="14"/>
  <c r="E355" i="14" s="1"/>
  <c r="B356" i="14"/>
  <c r="D356" i="14"/>
  <c r="E356" i="14" s="1"/>
  <c r="B357" i="14"/>
  <c r="D357" i="14"/>
  <c r="E357" i="14" s="1"/>
  <c r="B358" i="14"/>
  <c r="D358" i="14"/>
  <c r="E358" i="14" s="1"/>
  <c r="B336" i="14"/>
  <c r="D336" i="14"/>
  <c r="E336" i="14" s="1"/>
  <c r="D315" i="14"/>
  <c r="E315" i="14" s="1"/>
  <c r="D316" i="14"/>
  <c r="E316" i="14" s="1"/>
  <c r="D317" i="14"/>
  <c r="E317" i="14" s="1"/>
  <c r="D318" i="14"/>
  <c r="E318" i="14" s="1"/>
  <c r="G30" i="20"/>
  <c r="H30" i="20"/>
  <c r="D319" i="14"/>
  <c r="E319" i="14" s="1"/>
  <c r="D320" i="14"/>
  <c r="E320" i="14" s="1"/>
  <c r="D321" i="14"/>
  <c r="E321" i="14" s="1"/>
  <c r="D322" i="14"/>
  <c r="E322" i="14" s="1"/>
  <c r="D323" i="14"/>
  <c r="E323" i="14" s="1"/>
  <c r="D324" i="14"/>
  <c r="E324" i="14" s="1"/>
  <c r="D325" i="14"/>
  <c r="E325" i="14" s="1"/>
  <c r="D326" i="14"/>
  <c r="E326" i="14" s="1"/>
  <c r="D327" i="14"/>
  <c r="E327" i="14" s="1"/>
  <c r="D328" i="14"/>
  <c r="E328" i="14" s="1"/>
  <c r="D329" i="14"/>
  <c r="E329" i="14" s="1"/>
  <c r="D330" i="14"/>
  <c r="E330" i="14" s="1"/>
  <c r="D331" i="14"/>
  <c r="E331" i="14" s="1"/>
  <c r="D332" i="14"/>
  <c r="E332" i="14" s="1"/>
  <c r="D333" i="14"/>
  <c r="E333" i="14" s="1"/>
  <c r="B315" i="14"/>
  <c r="B316" i="14"/>
  <c r="B317" i="14"/>
  <c r="B318" i="14"/>
  <c r="B30" i="20"/>
  <c r="B319" i="14"/>
  <c r="B320" i="14"/>
  <c r="B321" i="14"/>
  <c r="B322" i="14"/>
  <c r="B323" i="14"/>
  <c r="B324" i="14"/>
  <c r="B325" i="14"/>
  <c r="B326" i="14"/>
  <c r="B327" i="14"/>
  <c r="B328" i="14"/>
  <c r="B329" i="14"/>
  <c r="B330" i="14"/>
  <c r="B331" i="14"/>
  <c r="B332" i="14"/>
  <c r="B333" i="14"/>
  <c r="B314" i="14"/>
  <c r="D314" i="14"/>
  <c r="E314" i="14" s="1"/>
  <c r="D304" i="14"/>
  <c r="E304" i="14" s="1"/>
  <c r="D305" i="14"/>
  <c r="E305" i="14" s="1"/>
  <c r="D306" i="14"/>
  <c r="E306" i="14" s="1"/>
  <c r="D307" i="14"/>
  <c r="E307" i="14" s="1"/>
  <c r="D308" i="14"/>
  <c r="E308" i="14" s="1"/>
  <c r="D309" i="14"/>
  <c r="E309" i="14" s="1"/>
  <c r="D310" i="14"/>
  <c r="E310" i="14" s="1"/>
  <c r="D311" i="14"/>
  <c r="E311" i="14" s="1"/>
  <c r="G27" i="20" s="1"/>
  <c r="H27" i="20" s="1"/>
  <c r="D303" i="14"/>
  <c r="E303" i="14" s="1"/>
  <c r="B304" i="14"/>
  <c r="B305" i="14"/>
  <c r="B306" i="14"/>
  <c r="B307" i="14"/>
  <c r="B308" i="14"/>
  <c r="B309" i="14"/>
  <c r="B310" i="14"/>
  <c r="B311" i="14"/>
  <c r="B27" i="20" s="1"/>
  <c r="B303" i="14"/>
  <c r="D291" i="14"/>
  <c r="E291" i="14" s="1"/>
  <c r="D292" i="14"/>
  <c r="E292" i="14" s="1"/>
  <c r="D293" i="14"/>
  <c r="E293" i="14" s="1"/>
  <c r="D294" i="14"/>
  <c r="E294" i="14" s="1"/>
  <c r="D295" i="14"/>
  <c r="E295" i="14" s="1"/>
  <c r="D296" i="14"/>
  <c r="E296" i="14" s="1"/>
  <c r="D297" i="14"/>
  <c r="E297" i="14" s="1"/>
  <c r="D298" i="14"/>
  <c r="E298" i="14" s="1"/>
  <c r="D299" i="14"/>
  <c r="E299" i="14" s="1"/>
  <c r="D300" i="14"/>
  <c r="E300" i="14" s="1"/>
  <c r="D290" i="14"/>
  <c r="E290" i="14" s="1"/>
  <c r="B291" i="14"/>
  <c r="B292" i="14"/>
  <c r="B293" i="14"/>
  <c r="B294" i="14"/>
  <c r="B295" i="14"/>
  <c r="B296" i="14"/>
  <c r="B297" i="14"/>
  <c r="B298" i="14"/>
  <c r="B299" i="14"/>
  <c r="B300" i="14"/>
  <c r="B290" i="14"/>
  <c r="D269" i="14"/>
  <c r="E269" i="14" s="1"/>
  <c r="D270" i="14"/>
  <c r="E270" i="14" s="1"/>
  <c r="D271" i="14"/>
  <c r="E271" i="14" s="1"/>
  <c r="D272" i="14"/>
  <c r="E272" i="14" s="1"/>
  <c r="D273" i="14"/>
  <c r="E273" i="14" s="1"/>
  <c r="D274" i="14"/>
  <c r="E274" i="14" s="1"/>
  <c r="D275" i="14"/>
  <c r="E275" i="14" s="1"/>
  <c r="D276" i="14"/>
  <c r="E276" i="14" s="1"/>
  <c r="D277" i="14"/>
  <c r="E277" i="14" s="1"/>
  <c r="D278" i="14"/>
  <c r="E278" i="14" s="1"/>
  <c r="D279" i="14"/>
  <c r="E279" i="14" s="1"/>
  <c r="D280" i="14"/>
  <c r="E280" i="14" s="1"/>
  <c r="D281" i="14"/>
  <c r="E281" i="14" s="1"/>
  <c r="D282" i="14"/>
  <c r="E282" i="14" s="1"/>
  <c r="D283" i="14"/>
  <c r="E283" i="14" s="1"/>
  <c r="D284" i="14"/>
  <c r="E284" i="14" s="1"/>
  <c r="D285" i="14"/>
  <c r="E285" i="14" s="1"/>
  <c r="D286" i="14"/>
  <c r="E286" i="14" s="1"/>
  <c r="D268" i="14"/>
  <c r="E268" i="14" s="1"/>
  <c r="B8" i="20"/>
  <c r="A8" i="20"/>
  <c r="B7" i="20"/>
  <c r="A7" i="20"/>
  <c r="F13" i="20"/>
  <c r="E13" i="20"/>
  <c r="B13" i="20"/>
  <c r="A66" i="20"/>
  <c r="A65" i="20"/>
  <c r="A64" i="20"/>
  <c r="A63" i="20"/>
  <c r="F26" i="18"/>
  <c r="H998" i="17"/>
  <c r="G998" i="17"/>
  <c r="F998" i="17"/>
  <c r="E998" i="17"/>
  <c r="D998" i="17"/>
  <c r="B998" i="17"/>
  <c r="H997" i="17"/>
  <c r="G997" i="17"/>
  <c r="F997" i="17"/>
  <c r="E997" i="17"/>
  <c r="D997" i="17"/>
  <c r="B997" i="17"/>
  <c r="G996" i="17"/>
  <c r="F996" i="17"/>
  <c r="E996" i="17"/>
  <c r="D996" i="17"/>
  <c r="B996" i="17"/>
  <c r="H991" i="17"/>
  <c r="G991" i="17"/>
  <c r="E991" i="17"/>
  <c r="B991" i="17"/>
  <c r="H990" i="17"/>
  <c r="G990" i="17"/>
  <c r="E990" i="17"/>
  <c r="B990" i="17"/>
  <c r="H989" i="17"/>
  <c r="G989" i="17"/>
  <c r="E989" i="17"/>
  <c r="B989" i="17"/>
  <c r="H988" i="17"/>
  <c r="G988" i="17"/>
  <c r="E988" i="17"/>
  <c r="B988" i="17"/>
  <c r="H987" i="17"/>
  <c r="G987" i="17"/>
  <c r="E987" i="17"/>
  <c r="B987" i="17"/>
  <c r="H986" i="17"/>
  <c r="G986" i="17"/>
  <c r="E986" i="17"/>
  <c r="B986" i="17"/>
  <c r="H985" i="17"/>
  <c r="G985" i="17"/>
  <c r="E985" i="17"/>
  <c r="B985" i="17"/>
  <c r="H984" i="17"/>
  <c r="G984" i="17"/>
  <c r="E984" i="17"/>
  <c r="B984" i="17"/>
  <c r="E983" i="17"/>
  <c r="B983" i="17"/>
  <c r="E982" i="17"/>
  <c r="B982" i="17"/>
  <c r="G981" i="17"/>
  <c r="H981" i="17" s="1"/>
  <c r="E981" i="17"/>
  <c r="B981" i="17"/>
  <c r="H976" i="17"/>
  <c r="G976" i="17"/>
  <c r="E976" i="17"/>
  <c r="B976" i="17"/>
  <c r="H975" i="17"/>
  <c r="G975" i="17"/>
  <c r="E975" i="17"/>
  <c r="B975" i="17"/>
  <c r="H974" i="17"/>
  <c r="G974" i="17"/>
  <c r="E974" i="17"/>
  <c r="B974" i="17"/>
  <c r="H973" i="17"/>
  <c r="G973" i="17"/>
  <c r="E973" i="17"/>
  <c r="B973" i="17"/>
  <c r="E972" i="17"/>
  <c r="B972" i="17"/>
  <c r="F971" i="17"/>
  <c r="E971" i="17"/>
  <c r="B971" i="17"/>
  <c r="H930" i="17"/>
  <c r="G930" i="17"/>
  <c r="F930" i="17"/>
  <c r="E930" i="17"/>
  <c r="D930" i="17"/>
  <c r="B930" i="17"/>
  <c r="H929" i="17"/>
  <c r="G929" i="17"/>
  <c r="F929" i="17"/>
  <c r="E929" i="17"/>
  <c r="D929" i="17"/>
  <c r="B929" i="17"/>
  <c r="G928" i="17"/>
  <c r="F928" i="17"/>
  <c r="E928" i="17"/>
  <c r="D928" i="17"/>
  <c r="B928" i="17"/>
  <c r="H923" i="17"/>
  <c r="G923" i="17"/>
  <c r="E923" i="17"/>
  <c r="B923" i="17"/>
  <c r="H922" i="17"/>
  <c r="G922" i="17"/>
  <c r="E922" i="17"/>
  <c r="B922" i="17"/>
  <c r="H921" i="17"/>
  <c r="G921" i="17"/>
  <c r="E921" i="17"/>
  <c r="B921" i="17"/>
  <c r="H920" i="17"/>
  <c r="G920" i="17"/>
  <c r="E920" i="17"/>
  <c r="B920" i="17"/>
  <c r="H919" i="17"/>
  <c r="G919" i="17"/>
  <c r="E919" i="17"/>
  <c r="B919" i="17"/>
  <c r="H918" i="17"/>
  <c r="G918" i="17"/>
  <c r="E918" i="17"/>
  <c r="B918" i="17"/>
  <c r="H917" i="17"/>
  <c r="G917" i="17"/>
  <c r="E917" i="17"/>
  <c r="B917" i="17"/>
  <c r="H916" i="17"/>
  <c r="G916" i="17"/>
  <c r="E916" i="17"/>
  <c r="B916" i="17"/>
  <c r="E915" i="17"/>
  <c r="B915" i="17"/>
  <c r="E914" i="17"/>
  <c r="B914" i="17"/>
  <c r="G913" i="17"/>
  <c r="H913" i="17" s="1"/>
  <c r="E913" i="17"/>
  <c r="B913" i="17"/>
  <c r="H908" i="17"/>
  <c r="G908" i="17"/>
  <c r="E908" i="17"/>
  <c r="B908" i="17"/>
  <c r="H907" i="17"/>
  <c r="G907" i="17"/>
  <c r="E907" i="17"/>
  <c r="B907" i="17"/>
  <c r="H906" i="17"/>
  <c r="G906" i="17"/>
  <c r="E906" i="17"/>
  <c r="B906" i="17"/>
  <c r="H905" i="17"/>
  <c r="G905" i="17"/>
  <c r="E905" i="17"/>
  <c r="B905" i="17"/>
  <c r="E904" i="17"/>
  <c r="B904" i="17"/>
  <c r="F903" i="17"/>
  <c r="E903" i="17"/>
  <c r="B903" i="17"/>
  <c r="H862" i="17"/>
  <c r="G862" i="17"/>
  <c r="F862" i="17"/>
  <c r="E862" i="17"/>
  <c r="D862" i="17"/>
  <c r="B862" i="17"/>
  <c r="H861" i="17"/>
  <c r="G861" i="17"/>
  <c r="F861" i="17"/>
  <c r="E861" i="17"/>
  <c r="D861" i="17"/>
  <c r="B861" i="17"/>
  <c r="G860" i="17"/>
  <c r="F860" i="17"/>
  <c r="E860" i="17"/>
  <c r="D860" i="17"/>
  <c r="B860" i="17"/>
  <c r="H855" i="17"/>
  <c r="G855" i="17"/>
  <c r="E855" i="17"/>
  <c r="B855" i="17"/>
  <c r="H854" i="17"/>
  <c r="G854" i="17"/>
  <c r="E854" i="17"/>
  <c r="B854" i="17"/>
  <c r="H853" i="17"/>
  <c r="G853" i="17"/>
  <c r="E853" i="17"/>
  <c r="B853" i="17"/>
  <c r="H852" i="17"/>
  <c r="G852" i="17"/>
  <c r="E852" i="17"/>
  <c r="B852" i="17"/>
  <c r="H851" i="17"/>
  <c r="G851" i="17"/>
  <c r="E851" i="17"/>
  <c r="B851" i="17"/>
  <c r="H850" i="17"/>
  <c r="G850" i="17"/>
  <c r="E850" i="17"/>
  <c r="B850" i="17"/>
  <c r="H849" i="17"/>
  <c r="G849" i="17"/>
  <c r="E849" i="17"/>
  <c r="B849" i="17"/>
  <c r="G848" i="17"/>
  <c r="H848" i="17" s="1"/>
  <c r="E848" i="17"/>
  <c r="B848" i="17"/>
  <c r="E847" i="17"/>
  <c r="B847" i="17"/>
  <c r="E846" i="17"/>
  <c r="B846" i="17"/>
  <c r="G845" i="17"/>
  <c r="H845" i="17" s="1"/>
  <c r="E845" i="17"/>
  <c r="B845" i="17"/>
  <c r="H840" i="17"/>
  <c r="G840" i="17"/>
  <c r="E840" i="17"/>
  <c r="B840" i="17"/>
  <c r="H839" i="17"/>
  <c r="G839" i="17"/>
  <c r="E839" i="17"/>
  <c r="B839" i="17"/>
  <c r="H838" i="17"/>
  <c r="G838" i="17"/>
  <c r="E838" i="17"/>
  <c r="B838" i="17"/>
  <c r="H837" i="17"/>
  <c r="G837" i="17"/>
  <c r="E837" i="17"/>
  <c r="B837" i="17"/>
  <c r="E836" i="17"/>
  <c r="B836" i="17"/>
  <c r="F835" i="17"/>
  <c r="E835" i="17"/>
  <c r="B835" i="17"/>
  <c r="H794" i="17"/>
  <c r="G794" i="17"/>
  <c r="F794" i="17"/>
  <c r="E794" i="17"/>
  <c r="D794" i="17"/>
  <c r="B794" i="17"/>
  <c r="H793" i="17"/>
  <c r="G793" i="17"/>
  <c r="F793" i="17"/>
  <c r="E793" i="17"/>
  <c r="D793" i="17"/>
  <c r="B793" i="17"/>
  <c r="G792" i="17"/>
  <c r="F792" i="17"/>
  <c r="E792" i="17"/>
  <c r="D792" i="17"/>
  <c r="B792" i="17"/>
  <c r="H787" i="17"/>
  <c r="G787" i="17"/>
  <c r="E787" i="17"/>
  <c r="B787" i="17"/>
  <c r="H786" i="17"/>
  <c r="G786" i="17"/>
  <c r="E786" i="17"/>
  <c r="B786" i="17"/>
  <c r="H785" i="17"/>
  <c r="G785" i="17"/>
  <c r="E785" i="17"/>
  <c r="B785" i="17"/>
  <c r="H784" i="17"/>
  <c r="G784" i="17"/>
  <c r="E784" i="17"/>
  <c r="B784" i="17"/>
  <c r="H783" i="17"/>
  <c r="G783" i="17"/>
  <c r="E783" i="17"/>
  <c r="B783" i="17"/>
  <c r="H782" i="17"/>
  <c r="G782" i="17"/>
  <c r="E782" i="17"/>
  <c r="B782" i="17"/>
  <c r="H781" i="17"/>
  <c r="G781" i="17"/>
  <c r="E781" i="17"/>
  <c r="B781" i="17"/>
  <c r="H780" i="17"/>
  <c r="G780" i="17"/>
  <c r="E780" i="17"/>
  <c r="B780" i="17"/>
  <c r="E779" i="17"/>
  <c r="B779" i="17"/>
  <c r="E778" i="17"/>
  <c r="B778" i="17"/>
  <c r="G777" i="17"/>
  <c r="H777" i="17" s="1"/>
  <c r="E777" i="17"/>
  <c r="B777" i="17"/>
  <c r="H772" i="17"/>
  <c r="G772" i="17"/>
  <c r="E772" i="17"/>
  <c r="B772" i="17"/>
  <c r="H771" i="17"/>
  <c r="G771" i="17"/>
  <c r="E771" i="17"/>
  <c r="B771" i="17"/>
  <c r="H770" i="17"/>
  <c r="G770" i="17"/>
  <c r="E770" i="17"/>
  <c r="B770" i="17"/>
  <c r="H769" i="17"/>
  <c r="G769" i="17"/>
  <c r="E769" i="17"/>
  <c r="B769" i="17"/>
  <c r="E768" i="17"/>
  <c r="B768" i="17"/>
  <c r="F767" i="17"/>
  <c r="E767" i="17"/>
  <c r="B767" i="17"/>
  <c r="H726" i="17"/>
  <c r="G726" i="17"/>
  <c r="F726" i="17"/>
  <c r="E726" i="17"/>
  <c r="D726" i="17"/>
  <c r="B726" i="17"/>
  <c r="H725" i="17"/>
  <c r="G725" i="17"/>
  <c r="F725" i="17"/>
  <c r="E725" i="17"/>
  <c r="D725" i="17"/>
  <c r="B725" i="17"/>
  <c r="G724" i="17"/>
  <c r="F724" i="17"/>
  <c r="E724" i="17"/>
  <c r="D724" i="17"/>
  <c r="B724" i="17"/>
  <c r="H719" i="17"/>
  <c r="G719" i="17"/>
  <c r="E719" i="17"/>
  <c r="B719" i="17"/>
  <c r="H718" i="17"/>
  <c r="G718" i="17"/>
  <c r="E718" i="17"/>
  <c r="B718" i="17"/>
  <c r="H717" i="17"/>
  <c r="G717" i="17"/>
  <c r="E717" i="17"/>
  <c r="B717" i="17"/>
  <c r="H716" i="17"/>
  <c r="G716" i="17"/>
  <c r="E716" i="17"/>
  <c r="B716" i="17"/>
  <c r="H715" i="17"/>
  <c r="G715" i="17"/>
  <c r="E715" i="17"/>
  <c r="B715" i="17"/>
  <c r="H714" i="17"/>
  <c r="G714" i="17"/>
  <c r="E714" i="17"/>
  <c r="B714" i="17"/>
  <c r="H713" i="17"/>
  <c r="G713" i="17"/>
  <c r="E713" i="17"/>
  <c r="B713" i="17"/>
  <c r="G712" i="17"/>
  <c r="H712" i="17" s="1"/>
  <c r="E712" i="17"/>
  <c r="B712" i="17"/>
  <c r="E711" i="17"/>
  <c r="B711" i="17"/>
  <c r="E710" i="17"/>
  <c r="B710" i="17"/>
  <c r="G709" i="17"/>
  <c r="H709" i="17" s="1"/>
  <c r="E709" i="17"/>
  <c r="B709" i="17"/>
  <c r="H704" i="17"/>
  <c r="G704" i="17"/>
  <c r="E704" i="17"/>
  <c r="B704" i="17"/>
  <c r="H703" i="17"/>
  <c r="G703" i="17"/>
  <c r="E703" i="17"/>
  <c r="B703" i="17"/>
  <c r="H702" i="17"/>
  <c r="G702" i="17"/>
  <c r="E702" i="17"/>
  <c r="B702" i="17"/>
  <c r="H701" i="17"/>
  <c r="G701" i="17"/>
  <c r="E701" i="17"/>
  <c r="B701" i="17"/>
  <c r="E700" i="17"/>
  <c r="B700" i="17"/>
  <c r="F699" i="17"/>
  <c r="E699" i="17"/>
  <c r="B699" i="17"/>
  <c r="H658" i="17"/>
  <c r="G658" i="17"/>
  <c r="F658" i="17"/>
  <c r="E658" i="17"/>
  <c r="D658" i="17"/>
  <c r="B658" i="17"/>
  <c r="H657" i="17"/>
  <c r="G657" i="17"/>
  <c r="F657" i="17"/>
  <c r="E657" i="17"/>
  <c r="D657" i="17"/>
  <c r="B657" i="17"/>
  <c r="G656" i="17"/>
  <c r="F656" i="17"/>
  <c r="E656" i="17"/>
  <c r="D656" i="17"/>
  <c r="B656" i="17"/>
  <c r="H651" i="17"/>
  <c r="G651" i="17"/>
  <c r="E651" i="17"/>
  <c r="B651" i="17"/>
  <c r="H650" i="17"/>
  <c r="G650" i="17"/>
  <c r="E650" i="17"/>
  <c r="B650" i="17"/>
  <c r="H649" i="17"/>
  <c r="G649" i="17"/>
  <c r="E649" i="17"/>
  <c r="B649" i="17"/>
  <c r="H648" i="17"/>
  <c r="G648" i="17"/>
  <c r="E648" i="17"/>
  <c r="B648" i="17"/>
  <c r="H647" i="17"/>
  <c r="G647" i="17"/>
  <c r="E647" i="17"/>
  <c r="B647" i="17"/>
  <c r="H646" i="17"/>
  <c r="G646" i="17"/>
  <c r="E646" i="17"/>
  <c r="B646" i="17"/>
  <c r="H645" i="17"/>
  <c r="G645" i="17"/>
  <c r="E645" i="17"/>
  <c r="B645" i="17"/>
  <c r="H644" i="17"/>
  <c r="G644" i="17"/>
  <c r="E644" i="17"/>
  <c r="B644" i="17"/>
  <c r="E643" i="17"/>
  <c r="B643" i="17"/>
  <c r="E642" i="17"/>
  <c r="B642" i="17"/>
  <c r="G641" i="17"/>
  <c r="H641" i="17" s="1"/>
  <c r="E641" i="17"/>
  <c r="B641" i="17"/>
  <c r="H636" i="17"/>
  <c r="G636" i="17"/>
  <c r="E636" i="17"/>
  <c r="B636" i="17"/>
  <c r="H635" i="17"/>
  <c r="G635" i="17"/>
  <c r="E635" i="17"/>
  <c r="B635" i="17"/>
  <c r="H634" i="17"/>
  <c r="G634" i="17"/>
  <c r="E634" i="17"/>
  <c r="B634" i="17"/>
  <c r="H633" i="17"/>
  <c r="G633" i="17"/>
  <c r="E633" i="17"/>
  <c r="B633" i="17"/>
  <c r="E632" i="17"/>
  <c r="B632" i="17"/>
  <c r="F631" i="17"/>
  <c r="E631" i="17"/>
  <c r="B631" i="17"/>
  <c r="F438" i="17"/>
  <c r="E438" i="17"/>
  <c r="B438" i="17"/>
  <c r="F370" i="17"/>
  <c r="E370" i="17"/>
  <c r="B370" i="17"/>
  <c r="F253" i="17"/>
  <c r="E253" i="17"/>
  <c r="B253" i="17"/>
  <c r="F133" i="17"/>
  <c r="E133" i="17"/>
  <c r="B133" i="17"/>
  <c r="F70" i="17"/>
  <c r="E70" i="17"/>
  <c r="B70" i="17"/>
  <c r="F13" i="17"/>
  <c r="E14" i="17"/>
  <c r="E13" i="17"/>
  <c r="H590" i="17"/>
  <c r="G590" i="17"/>
  <c r="F590" i="17"/>
  <c r="E590" i="17"/>
  <c r="D590" i="17"/>
  <c r="B590" i="17"/>
  <c r="G589" i="17"/>
  <c r="F589" i="17"/>
  <c r="E589" i="17"/>
  <c r="D589" i="17"/>
  <c r="B589" i="17"/>
  <c r="G588" i="17"/>
  <c r="F588" i="17"/>
  <c r="E588" i="17"/>
  <c r="D588" i="17"/>
  <c r="B588" i="17"/>
  <c r="H583" i="17"/>
  <c r="G583" i="17"/>
  <c r="E583" i="17"/>
  <c r="B583" i="17"/>
  <c r="H582" i="17"/>
  <c r="G582" i="17"/>
  <c r="E582" i="17"/>
  <c r="B582" i="17"/>
  <c r="H581" i="17"/>
  <c r="G581" i="17"/>
  <c r="E581" i="17"/>
  <c r="B581" i="17"/>
  <c r="H580" i="17"/>
  <c r="G580" i="17"/>
  <c r="E580" i="17"/>
  <c r="B580" i="17"/>
  <c r="H579" i="17"/>
  <c r="G579" i="17"/>
  <c r="E579" i="17"/>
  <c r="B579" i="17"/>
  <c r="H578" i="17"/>
  <c r="G578" i="17"/>
  <c r="E578" i="17"/>
  <c r="B578" i="17"/>
  <c r="H577" i="17"/>
  <c r="G577" i="17"/>
  <c r="E577" i="17"/>
  <c r="B577" i="17"/>
  <c r="H576" i="17"/>
  <c r="G576" i="17"/>
  <c r="E576" i="17"/>
  <c r="B576" i="17"/>
  <c r="E575" i="17"/>
  <c r="B575" i="17"/>
  <c r="E574" i="17"/>
  <c r="B574" i="17"/>
  <c r="G573" i="17"/>
  <c r="H573" i="17" s="1"/>
  <c r="E573" i="17"/>
  <c r="B573" i="17"/>
  <c r="H568" i="17"/>
  <c r="G568" i="17"/>
  <c r="E568" i="17"/>
  <c r="B568" i="17"/>
  <c r="H465" i="17"/>
  <c r="G465" i="17"/>
  <c r="F465" i="17"/>
  <c r="E465" i="17"/>
  <c r="D465" i="17"/>
  <c r="B465" i="17"/>
  <c r="G464" i="17"/>
  <c r="F464" i="17"/>
  <c r="E464" i="17"/>
  <c r="D464" i="17"/>
  <c r="B464" i="17"/>
  <c r="G463" i="17"/>
  <c r="F463" i="17"/>
  <c r="E463" i="17"/>
  <c r="D463" i="17"/>
  <c r="B463" i="17"/>
  <c r="H458" i="17"/>
  <c r="G458" i="17"/>
  <c r="E458" i="17"/>
  <c r="B458" i="17"/>
  <c r="H457" i="17"/>
  <c r="G457" i="17"/>
  <c r="E457" i="17"/>
  <c r="B457" i="17"/>
  <c r="H456" i="17"/>
  <c r="G456" i="17"/>
  <c r="E456" i="17"/>
  <c r="B456" i="17"/>
  <c r="H455" i="17"/>
  <c r="G455" i="17"/>
  <c r="E455" i="17"/>
  <c r="B455" i="17"/>
  <c r="H454" i="17"/>
  <c r="G454" i="17"/>
  <c r="E454" i="17"/>
  <c r="B454" i="17"/>
  <c r="H453" i="17"/>
  <c r="G453" i="17"/>
  <c r="E453" i="17"/>
  <c r="B453" i="17"/>
  <c r="H452" i="17"/>
  <c r="G452" i="17"/>
  <c r="E452" i="17"/>
  <c r="B452" i="17"/>
  <c r="E451" i="17"/>
  <c r="B451" i="17"/>
  <c r="E450" i="17"/>
  <c r="B450" i="17"/>
  <c r="E449" i="17"/>
  <c r="B449" i="17"/>
  <c r="G448" i="17"/>
  <c r="H448" i="17" s="1"/>
  <c r="E448" i="17"/>
  <c r="B448" i="17"/>
  <c r="H443" i="17"/>
  <c r="G443" i="17"/>
  <c r="E443" i="17"/>
  <c r="B443" i="17"/>
  <c r="H442" i="17"/>
  <c r="G442" i="17"/>
  <c r="E442" i="17"/>
  <c r="B442" i="17"/>
  <c r="H441" i="17"/>
  <c r="G441" i="17"/>
  <c r="E441" i="17"/>
  <c r="B441" i="17"/>
  <c r="H440" i="17"/>
  <c r="G440" i="17"/>
  <c r="E440" i="17"/>
  <c r="B440" i="17"/>
  <c r="E439" i="17"/>
  <c r="B439" i="17"/>
  <c r="H397" i="17"/>
  <c r="G397" i="17"/>
  <c r="F397" i="17"/>
  <c r="E397" i="17"/>
  <c r="D397" i="17"/>
  <c r="B397" i="17"/>
  <c r="G396" i="17"/>
  <c r="F396" i="17"/>
  <c r="E396" i="17"/>
  <c r="D396" i="17"/>
  <c r="B396" i="17"/>
  <c r="G395" i="17"/>
  <c r="F395" i="17"/>
  <c r="E395" i="17"/>
  <c r="D395" i="17"/>
  <c r="B395" i="17"/>
  <c r="H390" i="17"/>
  <c r="G390" i="17"/>
  <c r="E390" i="17"/>
  <c r="B390" i="17"/>
  <c r="H389" i="17"/>
  <c r="G389" i="17"/>
  <c r="E389" i="17"/>
  <c r="B389" i="17"/>
  <c r="H388" i="17"/>
  <c r="G388" i="17"/>
  <c r="E388" i="17"/>
  <c r="B388" i="17"/>
  <c r="H387" i="17"/>
  <c r="G387" i="17"/>
  <c r="E387" i="17"/>
  <c r="B387" i="17"/>
  <c r="H386" i="17"/>
  <c r="G386" i="17"/>
  <c r="E386" i="17"/>
  <c r="B386" i="17"/>
  <c r="H385" i="17"/>
  <c r="G385" i="17"/>
  <c r="E385" i="17"/>
  <c r="B385" i="17"/>
  <c r="H384" i="17"/>
  <c r="G384" i="17"/>
  <c r="E384" i="17"/>
  <c r="B384" i="17"/>
  <c r="E383" i="17"/>
  <c r="B383" i="17"/>
  <c r="E382" i="17"/>
  <c r="B382" i="17"/>
  <c r="E381" i="17"/>
  <c r="B381" i="17"/>
  <c r="G380" i="17"/>
  <c r="H380" i="17" s="1"/>
  <c r="E380" i="17"/>
  <c r="B380" i="17"/>
  <c r="H375" i="17"/>
  <c r="G375" i="17"/>
  <c r="E375" i="17"/>
  <c r="B375" i="17"/>
  <c r="H374" i="17"/>
  <c r="G374" i="17"/>
  <c r="E374" i="17"/>
  <c r="B374" i="17"/>
  <c r="H373" i="17"/>
  <c r="G373" i="17"/>
  <c r="E373" i="17"/>
  <c r="B373" i="17"/>
  <c r="H372" i="17"/>
  <c r="G372" i="17"/>
  <c r="E372" i="17"/>
  <c r="B372" i="17"/>
  <c r="E371" i="17"/>
  <c r="B371" i="17"/>
  <c r="H280" i="17"/>
  <c r="G280" i="17"/>
  <c r="F280" i="17"/>
  <c r="E280" i="17"/>
  <c r="D280" i="17"/>
  <c r="B280" i="17"/>
  <c r="G279" i="17"/>
  <c r="F279" i="17"/>
  <c r="E279" i="17"/>
  <c r="D279" i="17"/>
  <c r="B279" i="17"/>
  <c r="G278" i="17"/>
  <c r="F278" i="17"/>
  <c r="E278" i="17"/>
  <c r="D278" i="17"/>
  <c r="B278" i="17"/>
  <c r="H273" i="17"/>
  <c r="G273" i="17"/>
  <c r="E273" i="17"/>
  <c r="B273" i="17"/>
  <c r="H272" i="17"/>
  <c r="G272" i="17"/>
  <c r="E272" i="17"/>
  <c r="B272" i="17"/>
  <c r="H271" i="17"/>
  <c r="G271" i="17"/>
  <c r="E271" i="17"/>
  <c r="B271" i="17"/>
  <c r="H270" i="17"/>
  <c r="G270" i="17"/>
  <c r="E270" i="17"/>
  <c r="B270" i="17"/>
  <c r="H269" i="17"/>
  <c r="G269" i="17"/>
  <c r="E269" i="17"/>
  <c r="B269" i="17"/>
  <c r="H268" i="17"/>
  <c r="G268" i="17"/>
  <c r="E268" i="17"/>
  <c r="B268" i="17"/>
  <c r="H267" i="17"/>
  <c r="G267" i="17"/>
  <c r="E267" i="17"/>
  <c r="B267" i="17"/>
  <c r="E266" i="17"/>
  <c r="B266" i="17"/>
  <c r="E265" i="17"/>
  <c r="B265" i="17"/>
  <c r="E264" i="17"/>
  <c r="B264" i="17"/>
  <c r="G263" i="17"/>
  <c r="H263" i="17" s="1"/>
  <c r="E263" i="17"/>
  <c r="B263" i="17"/>
  <c r="H258" i="17"/>
  <c r="G258" i="17"/>
  <c r="E258" i="17"/>
  <c r="B258" i="17"/>
  <c r="H257" i="17"/>
  <c r="G257" i="17"/>
  <c r="E257" i="17"/>
  <c r="B257" i="17"/>
  <c r="H256" i="17"/>
  <c r="G256" i="17"/>
  <c r="E256" i="17"/>
  <c r="B256" i="17"/>
  <c r="H255" i="17"/>
  <c r="G255" i="17"/>
  <c r="E255" i="17"/>
  <c r="B255" i="17"/>
  <c r="E254" i="17"/>
  <c r="B254" i="17"/>
  <c r="F158" i="17"/>
  <c r="F159" i="17"/>
  <c r="H160" i="17"/>
  <c r="G160" i="17"/>
  <c r="F160" i="17"/>
  <c r="E160" i="17"/>
  <c r="D160" i="17"/>
  <c r="B160" i="17"/>
  <c r="G159" i="17"/>
  <c r="E159" i="17"/>
  <c r="D159" i="17"/>
  <c r="B159" i="17"/>
  <c r="G158" i="17"/>
  <c r="E158" i="17"/>
  <c r="D158" i="17"/>
  <c r="B158" i="17"/>
  <c r="H153" i="17"/>
  <c r="G153" i="17"/>
  <c r="E153" i="17"/>
  <c r="B153" i="17"/>
  <c r="H152" i="17"/>
  <c r="G152" i="17"/>
  <c r="E152" i="17"/>
  <c r="B152" i="17"/>
  <c r="H151" i="17"/>
  <c r="G151" i="17"/>
  <c r="E151" i="17"/>
  <c r="B151" i="17"/>
  <c r="H150" i="17"/>
  <c r="G150" i="17"/>
  <c r="E150" i="17"/>
  <c r="B150" i="17"/>
  <c r="H149" i="17"/>
  <c r="G149" i="17"/>
  <c r="E149" i="17"/>
  <c r="B149" i="17"/>
  <c r="H148" i="17"/>
  <c r="G148" i="17"/>
  <c r="E148" i="17"/>
  <c r="B148" i="17"/>
  <c r="H147" i="17"/>
  <c r="G147" i="17"/>
  <c r="E147" i="17"/>
  <c r="B147" i="17"/>
  <c r="E146" i="17"/>
  <c r="B146" i="17"/>
  <c r="E145" i="17"/>
  <c r="B145" i="17"/>
  <c r="E144" i="17"/>
  <c r="B144" i="17"/>
  <c r="G143" i="17"/>
  <c r="H143" i="17" s="1"/>
  <c r="E143" i="17"/>
  <c r="B143" i="17"/>
  <c r="H138" i="17"/>
  <c r="G138" i="17"/>
  <c r="E138" i="17"/>
  <c r="B138" i="17"/>
  <c r="H137" i="17"/>
  <c r="G137" i="17"/>
  <c r="E137" i="17"/>
  <c r="B137" i="17"/>
  <c r="H136" i="17"/>
  <c r="G136" i="17"/>
  <c r="E136" i="17"/>
  <c r="B136" i="17"/>
  <c r="H135" i="17"/>
  <c r="G135" i="17"/>
  <c r="E135" i="17"/>
  <c r="B135" i="17"/>
  <c r="E134" i="17"/>
  <c r="B134" i="17"/>
  <c r="F96" i="17"/>
  <c r="F95" i="17"/>
  <c r="H97" i="17"/>
  <c r="G97" i="17"/>
  <c r="F97" i="17"/>
  <c r="E97" i="17"/>
  <c r="D97" i="17"/>
  <c r="B97" i="17"/>
  <c r="G96" i="17"/>
  <c r="E96" i="17"/>
  <c r="D96" i="17"/>
  <c r="B96" i="17"/>
  <c r="G95" i="17"/>
  <c r="E95" i="17"/>
  <c r="D95" i="17"/>
  <c r="B95" i="17"/>
  <c r="H90" i="17"/>
  <c r="G90" i="17"/>
  <c r="E90" i="17"/>
  <c r="B90" i="17"/>
  <c r="H89" i="17"/>
  <c r="G89" i="17"/>
  <c r="E89" i="17"/>
  <c r="B89" i="17"/>
  <c r="H88" i="17"/>
  <c r="G88" i="17"/>
  <c r="E88" i="17"/>
  <c r="B88" i="17"/>
  <c r="H87" i="17"/>
  <c r="G87" i="17"/>
  <c r="E87" i="17"/>
  <c r="B87" i="17"/>
  <c r="H86" i="17"/>
  <c r="G86" i="17"/>
  <c r="E86" i="17"/>
  <c r="B86" i="17"/>
  <c r="H85" i="17"/>
  <c r="G85" i="17"/>
  <c r="E85" i="17"/>
  <c r="B85" i="17"/>
  <c r="H84" i="17"/>
  <c r="G84" i="17"/>
  <c r="E84" i="17"/>
  <c r="B84" i="17"/>
  <c r="E83" i="17"/>
  <c r="B83" i="17"/>
  <c r="E82" i="17"/>
  <c r="B82" i="17"/>
  <c r="E81" i="17"/>
  <c r="B81" i="17"/>
  <c r="G80" i="17"/>
  <c r="H80" i="17" s="1"/>
  <c r="E80" i="17"/>
  <c r="B80" i="17"/>
  <c r="H75" i="17"/>
  <c r="G75" i="17"/>
  <c r="E75" i="17"/>
  <c r="B75" i="17"/>
  <c r="H74" i="17"/>
  <c r="G74" i="17"/>
  <c r="E74" i="17"/>
  <c r="B74" i="17"/>
  <c r="H73" i="17"/>
  <c r="G73" i="17"/>
  <c r="E73" i="17"/>
  <c r="B73" i="17"/>
  <c r="H72" i="17"/>
  <c r="G72" i="17"/>
  <c r="E72" i="17"/>
  <c r="B72" i="17"/>
  <c r="E71" i="17"/>
  <c r="B71" i="17"/>
  <c r="G41" i="20"/>
  <c r="F41" i="20"/>
  <c r="E41" i="20"/>
  <c r="D41" i="20"/>
  <c r="B41" i="20"/>
  <c r="E29" i="20"/>
  <c r="E28" i="20"/>
  <c r="E27" i="20"/>
  <c r="E26" i="20"/>
  <c r="B26" i="20"/>
  <c r="E25" i="20"/>
  <c r="B25" i="20"/>
  <c r="E24" i="20"/>
  <c r="B24" i="20"/>
  <c r="G23" i="20"/>
  <c r="H23" i="20" s="1"/>
  <c r="E23" i="20"/>
  <c r="B23" i="20"/>
  <c r="E18" i="20"/>
  <c r="E17" i="20"/>
  <c r="E16" i="20"/>
  <c r="E15" i="20"/>
  <c r="E14" i="20"/>
  <c r="F5" i="20"/>
  <c r="F3" i="20"/>
  <c r="F2" i="20"/>
  <c r="D2" i="20"/>
  <c r="H589" i="17"/>
  <c r="F39" i="17"/>
  <c r="F40" i="17"/>
  <c r="F38" i="17"/>
  <c r="Q9" i="14"/>
  <c r="G836" i="17"/>
  <c r="H836" i="17" s="1"/>
  <c r="D19" i="14"/>
  <c r="D20" i="14"/>
  <c r="Q4" i="14"/>
  <c r="E261" i="14"/>
  <c r="E260" i="14"/>
  <c r="E259" i="14"/>
  <c r="E258" i="14"/>
  <c r="E257" i="14"/>
  <c r="E256" i="14"/>
  <c r="E255" i="14"/>
  <c r="E254" i="14"/>
  <c r="E253" i="14"/>
  <c r="E252" i="14"/>
  <c r="E251" i="14"/>
  <c r="E250" i="14"/>
  <c r="E249" i="14"/>
  <c r="E248" i="14"/>
  <c r="E247" i="14"/>
  <c r="E246" i="14"/>
  <c r="E245" i="14"/>
  <c r="E244" i="14"/>
  <c r="E243" i="14"/>
  <c r="E242" i="14"/>
  <c r="E241" i="14"/>
  <c r="E240" i="14"/>
  <c r="E239" i="14"/>
  <c r="E238" i="14"/>
  <c r="E237" i="14"/>
  <c r="E236" i="14"/>
  <c r="E235" i="14"/>
  <c r="E234" i="14"/>
  <c r="E233" i="14"/>
  <c r="E232" i="14"/>
  <c r="E231" i="14"/>
  <c r="E230" i="14"/>
  <c r="E229" i="14"/>
  <c r="E228" i="14"/>
  <c r="E227" i="14"/>
  <c r="E226" i="14"/>
  <c r="E225" i="14"/>
  <c r="E224" i="14"/>
  <c r="E223" i="14"/>
  <c r="E222" i="14"/>
  <c r="E221" i="14"/>
  <c r="E220" i="14"/>
  <c r="E219" i="14"/>
  <c r="E218" i="14"/>
  <c r="E217" i="14"/>
  <c r="E216" i="14"/>
  <c r="E215" i="14"/>
  <c r="E214" i="14"/>
  <c r="E213" i="14"/>
  <c r="E212" i="14"/>
  <c r="E211" i="14"/>
  <c r="E210" i="14"/>
  <c r="E209" i="14"/>
  <c r="E208" i="14"/>
  <c r="E207" i="14"/>
  <c r="E206" i="14"/>
  <c r="E205" i="14"/>
  <c r="E204" i="14"/>
  <c r="E203" i="14"/>
  <c r="E202" i="14"/>
  <c r="E201" i="14"/>
  <c r="E200" i="14"/>
  <c r="E199" i="14"/>
  <c r="E198" i="14"/>
  <c r="E197" i="14"/>
  <c r="E196" i="14"/>
  <c r="E195" i="14"/>
  <c r="E194" i="14"/>
  <c r="E193" i="14"/>
  <c r="E192" i="14"/>
  <c r="E191" i="14"/>
  <c r="E190" i="14"/>
  <c r="E189" i="14"/>
  <c r="E188" i="14"/>
  <c r="E187" i="14"/>
  <c r="E186" i="14"/>
  <c r="E185" i="14"/>
  <c r="E184" i="14"/>
  <c r="E183" i="14"/>
  <c r="E182" i="14"/>
  <c r="E181" i="14"/>
  <c r="E180" i="14"/>
  <c r="E179" i="14"/>
  <c r="E178" i="14"/>
  <c r="E177" i="14"/>
  <c r="E176" i="14"/>
  <c r="E175" i="14"/>
  <c r="E174" i="14"/>
  <c r="E173" i="14"/>
  <c r="E172" i="14"/>
  <c r="E171" i="14"/>
  <c r="E170" i="14"/>
  <c r="E169" i="14"/>
  <c r="E168" i="14"/>
  <c r="E167" i="14"/>
  <c r="E166" i="14"/>
  <c r="E165" i="14"/>
  <c r="E164" i="14"/>
  <c r="E163" i="14"/>
  <c r="E162" i="14"/>
  <c r="E122" i="14"/>
  <c r="E120" i="14"/>
  <c r="E119" i="14"/>
  <c r="E118" i="14"/>
  <c r="E117" i="14"/>
  <c r="E116" i="14"/>
  <c r="E115" i="14"/>
  <c r="E113" i="14"/>
  <c r="E112" i="14"/>
  <c r="E111" i="14"/>
  <c r="E109" i="14"/>
  <c r="G25" i="239" s="1"/>
  <c r="H25" i="239" s="1"/>
  <c r="E107" i="14"/>
  <c r="E106" i="14"/>
  <c r="E105" i="14"/>
  <c r="E104" i="14"/>
  <c r="E102" i="14"/>
  <c r="E100" i="14"/>
  <c r="E99" i="14"/>
  <c r="E98" i="14"/>
  <c r="E93" i="14"/>
  <c r="E80" i="14"/>
  <c r="G509" i="17"/>
  <c r="H509" i="17" s="1"/>
  <c r="G145" i="17"/>
  <c r="H145" i="17" s="1"/>
  <c r="G23" i="89"/>
  <c r="H23" i="89" s="1"/>
  <c r="G914" i="17"/>
  <c r="H914" i="17" s="1"/>
  <c r="G982" i="17"/>
  <c r="H982" i="17" s="1"/>
  <c r="E46" i="17"/>
  <c r="G46" i="17"/>
  <c r="E47" i="17"/>
  <c r="G47" i="17"/>
  <c r="H47" i="17"/>
  <c r="E48" i="17"/>
  <c r="G48" i="17"/>
  <c r="H48" i="17"/>
  <c r="B46" i="17"/>
  <c r="B47" i="17"/>
  <c r="B48" i="17"/>
  <c r="E45" i="17"/>
  <c r="B45" i="17"/>
  <c r="B13" i="17"/>
  <c r="B16" i="12"/>
  <c r="I40" i="12"/>
  <c r="I39" i="12"/>
  <c r="I41" i="12" s="1"/>
  <c r="G40" i="12"/>
  <c r="G39" i="12"/>
  <c r="E40" i="12"/>
  <c r="E39" i="12"/>
  <c r="S11" i="12"/>
  <c r="S15" i="12" s="1"/>
  <c r="S35" i="12" s="1"/>
  <c r="T35" i="12" s="1"/>
  <c r="F8" i="18"/>
  <c r="F9" i="18"/>
  <c r="F10" i="18"/>
  <c r="F11" i="18"/>
  <c r="F12" i="18"/>
  <c r="F13" i="18"/>
  <c r="F14" i="18"/>
  <c r="F15" i="18"/>
  <c r="F16" i="18"/>
  <c r="F17" i="18"/>
  <c r="F18" i="18"/>
  <c r="F19" i="18"/>
  <c r="F20" i="18"/>
  <c r="F21" i="18"/>
  <c r="F22" i="18"/>
  <c r="F23" i="18"/>
  <c r="F24" i="18"/>
  <c r="F25" i="18"/>
  <c r="F27" i="18"/>
  <c r="F28" i="18"/>
  <c r="F29" i="18"/>
  <c r="F30" i="18"/>
  <c r="F31" i="18"/>
  <c r="F32" i="18"/>
  <c r="F33" i="18"/>
  <c r="F34" i="18"/>
  <c r="F35" i="18"/>
  <c r="F36" i="18"/>
  <c r="F37" i="18"/>
  <c r="F38" i="18"/>
  <c r="F39" i="18"/>
  <c r="F40" i="18"/>
  <c r="F7" i="18"/>
  <c r="E16" i="17"/>
  <c r="G16" i="17"/>
  <c r="H16" i="17"/>
  <c r="B26" i="17"/>
  <c r="E26" i="17"/>
  <c r="B28" i="17"/>
  <c r="E28" i="17"/>
  <c r="G28" i="17"/>
  <c r="H28" i="17"/>
  <c r="B29" i="17"/>
  <c r="E29" i="17"/>
  <c r="G29" i="17"/>
  <c r="H29" i="17"/>
  <c r="B30" i="17"/>
  <c r="E30" i="17"/>
  <c r="G30" i="17"/>
  <c r="H30" i="17"/>
  <c r="B31" i="17"/>
  <c r="E31" i="17"/>
  <c r="G31" i="17"/>
  <c r="H31" i="17"/>
  <c r="B32" i="17"/>
  <c r="E32" i="17"/>
  <c r="G32" i="17"/>
  <c r="H32" i="17"/>
  <c r="B39" i="17"/>
  <c r="D39" i="17"/>
  <c r="E39" i="17"/>
  <c r="G39" i="17"/>
  <c r="B40" i="17"/>
  <c r="D40" i="17"/>
  <c r="E40" i="17"/>
  <c r="G40" i="17"/>
  <c r="G38" i="17"/>
  <c r="E38" i="17"/>
  <c r="D38" i="17"/>
  <c r="B38" i="17"/>
  <c r="H33" i="17"/>
  <c r="G33" i="17"/>
  <c r="G23" i="17"/>
  <c r="H23" i="17" s="1"/>
  <c r="E24" i="17"/>
  <c r="E25" i="17"/>
  <c r="E33" i="17"/>
  <c r="E23" i="17"/>
  <c r="B14" i="17"/>
  <c r="B24" i="17"/>
  <c r="B25" i="17"/>
  <c r="B33" i="17"/>
  <c r="B23" i="17"/>
  <c r="H17" i="17"/>
  <c r="H18" i="17"/>
  <c r="G15" i="17"/>
  <c r="H15" i="17"/>
  <c r="G17" i="17"/>
  <c r="G18" i="17"/>
  <c r="E15" i="17"/>
  <c r="E17" i="17"/>
  <c r="E18" i="17"/>
  <c r="F5" i="17"/>
  <c r="F3" i="17"/>
  <c r="F2" i="17"/>
  <c r="D2" i="17"/>
  <c r="O11" i="14"/>
  <c r="P11" i="14" s="1"/>
  <c r="Q11" i="14" s="1"/>
  <c r="O12" i="14"/>
  <c r="P12" i="14" s="1"/>
  <c r="Q12" i="14" s="1"/>
  <c r="D12" i="14" s="1"/>
  <c r="O13" i="14"/>
  <c r="P13" i="14" s="1"/>
  <c r="G14" i="157"/>
  <c r="H14" i="157" s="1"/>
  <c r="O21" i="14"/>
  <c r="P21" i="14" s="1"/>
  <c r="O22" i="14"/>
  <c r="P22" i="14" s="1"/>
  <c r="O23" i="14"/>
  <c r="P23" i="14" s="1"/>
  <c r="D23" i="14"/>
  <c r="O24" i="14"/>
  <c r="P24" i="14" s="1"/>
  <c r="D24" i="14"/>
  <c r="O25" i="14"/>
  <c r="P25" i="14" s="1"/>
  <c r="D25" i="14"/>
  <c r="O26" i="14"/>
  <c r="P26" i="14" s="1"/>
  <c r="Q26" i="14" s="1"/>
  <c r="D26" i="14" s="1"/>
  <c r="O27" i="14"/>
  <c r="P27" i="14" s="1"/>
  <c r="Q27" i="14" s="1"/>
  <c r="O32" i="14"/>
  <c r="P32" i="14" s="1"/>
  <c r="Q32" i="14" s="1"/>
  <c r="D32" i="14" s="1"/>
  <c r="O18" i="14"/>
  <c r="O9" i="14"/>
  <c r="O8" i="14"/>
  <c r="P8" i="14" s="1"/>
  <c r="Q8" i="14" s="1"/>
  <c r="D8" i="14" s="1"/>
  <c r="O7" i="14"/>
  <c r="P7" i="14" s="1"/>
  <c r="Q7" i="14" s="1"/>
  <c r="D7" i="14" s="1"/>
  <c r="O6" i="14"/>
  <c r="P6" i="14" s="1"/>
  <c r="Q6" i="14" s="1"/>
  <c r="D6" i="14" s="1"/>
  <c r="O5" i="14"/>
  <c r="P5" i="14" s="1"/>
  <c r="Q5" i="14" s="1"/>
  <c r="D5" i="14" s="1"/>
  <c r="E291" i="13"/>
  <c r="E285" i="13"/>
  <c r="E284" i="13"/>
  <c r="E283" i="13"/>
  <c r="E282" i="13"/>
  <c r="E281" i="13"/>
  <c r="E280" i="13"/>
  <c r="E276" i="13"/>
  <c r="E275" i="13"/>
  <c r="E260" i="13"/>
  <c r="E259" i="13"/>
  <c r="E257" i="13"/>
  <c r="E256" i="13"/>
  <c r="E252" i="13"/>
  <c r="E250" i="13"/>
  <c r="D243" i="13"/>
  <c r="D242" i="13"/>
  <c r="E240" i="13"/>
  <c r="E239" i="13"/>
  <c r="F235" i="13"/>
  <c r="E219" i="13"/>
  <c r="D217" i="13"/>
  <c r="D211" i="13"/>
  <c r="D205" i="13"/>
  <c r="G197" i="13"/>
  <c r="F197" i="13"/>
  <c r="I190" i="13"/>
  <c r="D186" i="13"/>
  <c r="D136" i="13"/>
  <c r="D135" i="13"/>
  <c r="D134" i="13"/>
  <c r="D126" i="13"/>
  <c r="D124" i="13"/>
  <c r="D120" i="13"/>
  <c r="D108" i="13"/>
  <c r="I101" i="13"/>
  <c r="H69" i="13"/>
  <c r="H64" i="13"/>
  <c r="F42" i="13"/>
  <c r="E23" i="13"/>
  <c r="D22" i="13"/>
  <c r="D21" i="13"/>
  <c r="D15" i="13"/>
  <c r="D10" i="13"/>
  <c r="D9" i="13"/>
  <c r="D8" i="13"/>
  <c r="D7" i="13"/>
  <c r="D6" i="13"/>
  <c r="D5" i="13"/>
  <c r="S49" i="12"/>
  <c r="S50" i="12" s="1"/>
  <c r="Q49" i="12"/>
  <c r="Q50" i="12" s="1"/>
  <c r="O49" i="12"/>
  <c r="O50" i="12" s="1"/>
  <c r="M49" i="12"/>
  <c r="M50" i="12" s="1"/>
  <c r="K49" i="12"/>
  <c r="K50" i="12" s="1"/>
  <c r="I49" i="12"/>
  <c r="I50" i="12" s="1"/>
  <c r="G49" i="12"/>
  <c r="G50" i="12" s="1"/>
  <c r="E49" i="12"/>
  <c r="E50" i="12" s="1"/>
  <c r="C49" i="12"/>
  <c r="C50" i="12" s="1"/>
  <c r="K41" i="12"/>
  <c r="C41" i="12"/>
  <c r="H40" i="17"/>
  <c r="G82" i="17"/>
  <c r="H82" i="17" s="1"/>
  <c r="G25" i="17"/>
  <c r="H25" i="17" s="1"/>
  <c r="G382" i="17"/>
  <c r="H382" i="17" s="1"/>
  <c r="G265" i="17"/>
  <c r="H265" i="17" s="1"/>
  <c r="G25" i="20"/>
  <c r="H25" i="20" s="1"/>
  <c r="G450" i="17"/>
  <c r="H450" i="17" s="1"/>
  <c r="G439" i="17"/>
  <c r="H439" i="17" s="1"/>
  <c r="G768" i="17"/>
  <c r="H768" i="17" s="1"/>
  <c r="G14" i="17"/>
  <c r="H14" i="17" s="1"/>
  <c r="G71" i="17"/>
  <c r="H71" i="17" s="1"/>
  <c r="G904" i="17"/>
  <c r="H904" i="17" s="1"/>
  <c r="G972" i="17"/>
  <c r="H972" i="17" s="1"/>
  <c r="G449" i="17"/>
  <c r="H449" i="17" s="1"/>
  <c r="G14" i="20"/>
  <c r="H14" i="20" s="1"/>
  <c r="G632" i="17"/>
  <c r="H632" i="17" s="1"/>
  <c r="G371" i="17"/>
  <c r="H371" i="17" s="1"/>
  <c r="G254" i="17"/>
  <c r="H254" i="17" s="1"/>
  <c r="G134" i="17"/>
  <c r="H134" i="17" s="1"/>
  <c r="G700" i="17"/>
  <c r="H700" i="17" s="1"/>
  <c r="G778" i="17"/>
  <c r="H778" i="17" s="1"/>
  <c r="G642" i="17"/>
  <c r="H642" i="17" s="1"/>
  <c r="G574" i="17"/>
  <c r="H574" i="17" s="1"/>
  <c r="G846" i="17"/>
  <c r="H846" i="17" s="1"/>
  <c r="G14" i="41"/>
  <c r="H14" i="41"/>
  <c r="G25" i="115"/>
  <c r="H25" i="115" s="1"/>
  <c r="G25" i="127"/>
  <c r="H25" i="127" s="1"/>
  <c r="G25" i="117"/>
  <c r="H25" i="117" s="1"/>
  <c r="G25" i="122"/>
  <c r="H25" i="122" s="1"/>
  <c r="G25" i="116"/>
  <c r="H25" i="116" s="1"/>
  <c r="G25" i="128"/>
  <c r="H25" i="128" s="1"/>
  <c r="G24" i="127"/>
  <c r="H24" i="127" s="1"/>
  <c r="G24" i="129"/>
  <c r="H24" i="129" s="1"/>
  <c r="G24" i="116"/>
  <c r="H24" i="116" s="1"/>
  <c r="G24" i="122"/>
  <c r="H24" i="122" s="1"/>
  <c r="G16" i="132"/>
  <c r="D25" i="132"/>
  <c r="G25" i="132" s="1"/>
  <c r="K15" i="136"/>
  <c r="E27" i="136" l="1"/>
  <c r="K40" i="136"/>
  <c r="L45" i="136" s="1"/>
  <c r="CN16" i="149"/>
  <c r="CO16" i="149"/>
  <c r="BY29" i="149"/>
  <c r="BZ29" i="149"/>
  <c r="BY110" i="149"/>
  <c r="BZ110" i="149"/>
  <c r="CN90" i="149"/>
  <c r="CO90" i="149"/>
  <c r="DQ108" i="149"/>
  <c r="DR108" i="149"/>
  <c r="DS108" i="149" s="1"/>
  <c r="BW29" i="149"/>
  <c r="BX29" i="149"/>
  <c r="BX110" i="149"/>
  <c r="BW110" i="149"/>
  <c r="B23" i="245"/>
  <c r="B37" i="245"/>
  <c r="B23" i="244"/>
  <c r="B37" i="244"/>
  <c r="B23" i="243"/>
  <c r="B37" i="243"/>
  <c r="B23" i="242"/>
  <c r="B37" i="242"/>
  <c r="B23" i="246"/>
  <c r="B37" i="246"/>
  <c r="F18" i="134"/>
  <c r="F25" i="134" s="1"/>
  <c r="F84" i="16" s="1"/>
  <c r="F83" i="240" s="1"/>
  <c r="I21" i="135"/>
  <c r="B25" i="211"/>
  <c r="B24" i="210"/>
  <c r="B25" i="210"/>
  <c r="B24" i="211"/>
  <c r="G25" i="235"/>
  <c r="H25" i="235" s="1"/>
  <c r="G25" i="214"/>
  <c r="H25" i="214" s="1"/>
  <c r="G25" i="203"/>
  <c r="H25" i="203" s="1"/>
  <c r="G847" i="17"/>
  <c r="H847" i="17" s="1"/>
  <c r="H856" i="17" s="1"/>
  <c r="G323" i="17"/>
  <c r="G24" i="215"/>
  <c r="H24" i="215" s="1"/>
  <c r="G41" i="12"/>
  <c r="G14" i="221"/>
  <c r="H14" i="221" s="1"/>
  <c r="G14" i="229"/>
  <c r="H14" i="229" s="1"/>
  <c r="G14" i="223"/>
  <c r="H14" i="223" s="1"/>
  <c r="B24" i="180"/>
  <c r="B24" i="189"/>
  <c r="G14" i="201"/>
  <c r="H14" i="201" s="1"/>
  <c r="G14" i="198"/>
  <c r="H14" i="198" s="1"/>
  <c r="G14" i="181"/>
  <c r="H14" i="181" s="1"/>
  <c r="G14" i="184"/>
  <c r="H14" i="184" s="1"/>
  <c r="B37" i="197"/>
  <c r="B23" i="189"/>
  <c r="B23" i="180"/>
  <c r="B37" i="190"/>
  <c r="B37" i="180"/>
  <c r="B37" i="189"/>
  <c r="B25" i="158"/>
  <c r="B25" i="197"/>
  <c r="B25" i="180"/>
  <c r="B25" i="189"/>
  <c r="B25" i="190"/>
  <c r="B24" i="197"/>
  <c r="B24" i="190"/>
  <c r="G24" i="157"/>
  <c r="H24" i="157" s="1"/>
  <c r="B24" i="128"/>
  <c r="B24" i="158"/>
  <c r="B25" i="41"/>
  <c r="G14" i="154"/>
  <c r="H14" i="154" s="1"/>
  <c r="G14" i="171"/>
  <c r="H14" i="171" s="1"/>
  <c r="G14" i="162"/>
  <c r="H14" i="162" s="1"/>
  <c r="B23" i="158"/>
  <c r="B37" i="158"/>
  <c r="B25" i="122"/>
  <c r="G14" i="121"/>
  <c r="H14" i="121" s="1"/>
  <c r="G14" i="144"/>
  <c r="H14" i="144" s="1"/>
  <c r="B24" i="122"/>
  <c r="G25" i="123"/>
  <c r="H25" i="123" s="1"/>
  <c r="G25" i="145"/>
  <c r="H25" i="145" s="1"/>
  <c r="EC91" i="149"/>
  <c r="EE91" i="149" s="1"/>
  <c r="DY111" i="149"/>
  <c r="EB111" i="149"/>
  <c r="ED110" i="149"/>
  <c r="EF110" i="149" s="1"/>
  <c r="EE110" i="149"/>
  <c r="DN15" i="149"/>
  <c r="DN89" i="149"/>
  <c r="BT17" i="149"/>
  <c r="BV17" i="149"/>
  <c r="BS17" i="149"/>
  <c r="CY17" i="149"/>
  <c r="BV91" i="149"/>
  <c r="BT91" i="149"/>
  <c r="BS91" i="149"/>
  <c r="CY91" i="149"/>
  <c r="CK29" i="149"/>
  <c r="BQ30" i="149"/>
  <c r="BR30" i="149" s="1"/>
  <c r="BU30" i="149" s="1"/>
  <c r="DM109" i="149"/>
  <c r="DL109" i="149"/>
  <c r="CP109" i="149"/>
  <c r="BQ14" i="149"/>
  <c r="BR14" i="149" s="1"/>
  <c r="BU14" i="149" s="1"/>
  <c r="CX29" i="149"/>
  <c r="DC29" i="149"/>
  <c r="DA29" i="149"/>
  <c r="DB29" i="149"/>
  <c r="BP18" i="149"/>
  <c r="EC29" i="149"/>
  <c r="EE16" i="149"/>
  <c r="ED16" i="149"/>
  <c r="EF16" i="149" s="1"/>
  <c r="EB17" i="149"/>
  <c r="DY17" i="149"/>
  <c r="BP92" i="149"/>
  <c r="DV92" i="149" s="1"/>
  <c r="CK110" i="149"/>
  <c r="DV14" i="149"/>
  <c r="DJ109" i="149"/>
  <c r="CX110" i="149"/>
  <c r="DC110" i="149"/>
  <c r="DB110" i="149"/>
  <c r="DA110" i="149"/>
  <c r="BQ111" i="149"/>
  <c r="BR111" i="149" s="1"/>
  <c r="BU111" i="149" s="1"/>
  <c r="DE90" i="149"/>
  <c r="DP90" i="149" s="1"/>
  <c r="CZ90" i="149"/>
  <c r="DE16" i="149"/>
  <c r="DP16" i="149" s="1"/>
  <c r="CZ16" i="149"/>
  <c r="DV30" i="149"/>
  <c r="G24" i="145"/>
  <c r="H24" i="145" s="1"/>
  <c r="H42" i="128"/>
  <c r="G17" i="132"/>
  <c r="G42" i="132"/>
  <c r="H33" i="89"/>
  <c r="G266" i="17"/>
  <c r="H266" i="17" s="1"/>
  <c r="G383" i="17"/>
  <c r="H383" i="17" s="1"/>
  <c r="H33" i="44"/>
  <c r="H42" i="127"/>
  <c r="H33" i="126"/>
  <c r="H33" i="88"/>
  <c r="H42" i="123"/>
  <c r="H33" i="124"/>
  <c r="H42" i="88"/>
  <c r="H279" i="17"/>
  <c r="I11" i="12"/>
  <c r="I15" i="12" s="1"/>
  <c r="I29" i="12" s="1"/>
  <c r="J29" i="12" s="1"/>
  <c r="K11" i="12"/>
  <c r="K25" i="12" s="1"/>
  <c r="Q36" i="12"/>
  <c r="O11" i="12"/>
  <c r="O12" i="12" s="1"/>
  <c r="O16" i="12" s="1"/>
  <c r="E11" i="12"/>
  <c r="E24" i="12" s="1"/>
  <c r="H860" i="17"/>
  <c r="H863" i="17" s="1"/>
  <c r="H159" i="17"/>
  <c r="O36" i="12"/>
  <c r="H42" i="124"/>
  <c r="H42" i="126"/>
  <c r="I36" i="12"/>
  <c r="S36" i="12"/>
  <c r="T36" i="12" s="1"/>
  <c r="H42" i="20"/>
  <c r="H792" i="17"/>
  <c r="H795" i="17" s="1"/>
  <c r="C15" i="12"/>
  <c r="H464" i="17"/>
  <c r="Q11" i="12"/>
  <c r="Q12" i="12" s="1"/>
  <c r="Q16" i="12" s="1"/>
  <c r="G36" i="12"/>
  <c r="C36" i="12"/>
  <c r="M36" i="12"/>
  <c r="H95" i="17"/>
  <c r="H96" i="17"/>
  <c r="H656" i="17"/>
  <c r="H659" i="17" s="1"/>
  <c r="E36" i="12"/>
  <c r="M11" i="12"/>
  <c r="M25" i="12" s="1"/>
  <c r="G11" i="12"/>
  <c r="G12" i="12" s="1"/>
  <c r="G16" i="12" s="1"/>
  <c r="K36" i="12"/>
  <c r="H526" i="17"/>
  <c r="H463" i="17"/>
  <c r="H39" i="17"/>
  <c r="H158" i="17"/>
  <c r="H38" i="17"/>
  <c r="H396" i="17"/>
  <c r="H724" i="17"/>
  <c r="H727" i="17" s="1"/>
  <c r="H996" i="17"/>
  <c r="H999" i="17" s="1"/>
  <c r="H41" i="20"/>
  <c r="H278" i="17"/>
  <c r="H588" i="17"/>
  <c r="H591" i="17" s="1"/>
  <c r="H928" i="17"/>
  <c r="H931" i="17" s="1"/>
  <c r="H42" i="44"/>
  <c r="H42" i="120"/>
  <c r="H33" i="127"/>
  <c r="S25" i="12"/>
  <c r="T25" i="12" s="1"/>
  <c r="I52" i="135"/>
  <c r="I53" i="135" s="1"/>
  <c r="D7" i="254" s="1"/>
  <c r="H14" i="254" s="1"/>
  <c r="I14" i="254" s="1"/>
  <c r="F19" i="133"/>
  <c r="G24" i="117"/>
  <c r="H24" i="117" s="1"/>
  <c r="G24" i="20"/>
  <c r="H24" i="20" s="1"/>
  <c r="G32" i="132"/>
  <c r="G710" i="17"/>
  <c r="H710" i="17" s="1"/>
  <c r="G24" i="128"/>
  <c r="H24" i="128" s="1"/>
  <c r="H33" i="128" s="1"/>
  <c r="T40" i="12"/>
  <c r="G381" i="17"/>
  <c r="H381" i="17" s="1"/>
  <c r="H395" i="17"/>
  <c r="H42" i="121"/>
  <c r="G264" i="17"/>
  <c r="H264" i="17" s="1"/>
  <c r="G144" i="17"/>
  <c r="H144" i="17" s="1"/>
  <c r="G24" i="17"/>
  <c r="H24" i="17" s="1"/>
  <c r="G25" i="129"/>
  <c r="H25" i="129" s="1"/>
  <c r="H33" i="129" s="1"/>
  <c r="G24" i="115"/>
  <c r="H24" i="115" s="1"/>
  <c r="G81" i="17"/>
  <c r="H81" i="17" s="1"/>
  <c r="E41" i="12"/>
  <c r="G16" i="136"/>
  <c r="H16" i="136" s="1"/>
  <c r="G11" i="136"/>
  <c r="H11" i="136" s="1"/>
  <c r="I11" i="136" s="1"/>
  <c r="G14" i="88"/>
  <c r="H14" i="88" s="1"/>
  <c r="G14" i="89"/>
  <c r="H14" i="89" s="1"/>
  <c r="G18" i="132"/>
  <c r="G27" i="132"/>
  <c r="S28" i="12"/>
  <c r="S34" i="12"/>
  <c r="T34" i="12" s="1"/>
  <c r="T39" i="12"/>
  <c r="S29" i="12"/>
  <c r="T29" i="12" s="1"/>
  <c r="S33" i="12"/>
  <c r="S30" i="12"/>
  <c r="T30" i="12" s="1"/>
  <c r="G511" i="17"/>
  <c r="H511" i="17" s="1"/>
  <c r="G711" i="17"/>
  <c r="H711" i="17" s="1"/>
  <c r="G26" i="20"/>
  <c r="H26" i="20" s="1"/>
  <c r="G575" i="17"/>
  <c r="H575" i="17" s="1"/>
  <c r="H584" i="17" s="1"/>
  <c r="G643" i="17"/>
  <c r="H643" i="17" s="1"/>
  <c r="H652" i="17" s="1"/>
  <c r="G26" i="17"/>
  <c r="H26" i="17" s="1"/>
  <c r="G146" i="17"/>
  <c r="H146" i="17" s="1"/>
  <c r="G83" i="17"/>
  <c r="H83" i="17" s="1"/>
  <c r="G983" i="17"/>
  <c r="H983" i="17" s="1"/>
  <c r="H992" i="17" s="1"/>
  <c r="G451" i="17"/>
  <c r="H451" i="17" s="1"/>
  <c r="H459" i="17" s="1"/>
  <c r="G915" i="17"/>
  <c r="H915" i="17" s="1"/>
  <c r="H924" i="17" s="1"/>
  <c r="G779" i="17"/>
  <c r="H779" i="17" s="1"/>
  <c r="H788" i="17" s="1"/>
  <c r="S24" i="12"/>
  <c r="T24" i="12" s="1"/>
  <c r="S12" i="12"/>
  <c r="H33" i="116"/>
  <c r="H33" i="41"/>
  <c r="H33" i="122"/>
  <c r="G510" i="17"/>
  <c r="H510" i="17" s="1"/>
  <c r="G14" i="120"/>
  <c r="H14" i="120" s="1"/>
  <c r="G24" i="120"/>
  <c r="H24" i="120" s="1"/>
  <c r="B37" i="89"/>
  <c r="D37" i="89"/>
  <c r="E37" i="89"/>
  <c r="G37" i="89"/>
  <c r="H42" i="129"/>
  <c r="B24" i="41"/>
  <c r="B24" i="116"/>
  <c r="B25" i="116"/>
  <c r="B24" i="127"/>
  <c r="B25" i="128"/>
  <c r="B24" i="129"/>
  <c r="B24" i="115"/>
  <c r="B25" i="127"/>
  <c r="K10" i="136"/>
  <c r="E23" i="136" s="1"/>
  <c r="B25" i="129"/>
  <c r="B25" i="115"/>
  <c r="B24" i="117"/>
  <c r="B25" i="117"/>
  <c r="H12" i="254" l="1"/>
  <c r="I12" i="254" s="1"/>
  <c r="H13" i="254"/>
  <c r="I13" i="254" s="1"/>
  <c r="H17" i="254"/>
  <c r="I17" i="254" s="1"/>
  <c r="W83" i="240"/>
  <c r="V83" i="240"/>
  <c r="R83" i="240"/>
  <c r="Q83" i="240"/>
  <c r="P83" i="240"/>
  <c r="O83" i="240"/>
  <c r="AH83" i="240"/>
  <c r="AT83" i="240"/>
  <c r="AM83" i="240"/>
  <c r="AF83" i="240"/>
  <c r="AC83" i="240"/>
  <c r="AS83" i="240"/>
  <c r="U83" i="240"/>
  <c r="T83" i="240"/>
  <c r="S83" i="240"/>
  <c r="AP83" i="240"/>
  <c r="AO83" i="240"/>
  <c r="AN83" i="240"/>
  <c r="AL83" i="240"/>
  <c r="AK83" i="240"/>
  <c r="AI83" i="240"/>
  <c r="AG83" i="240"/>
  <c r="AD83" i="240"/>
  <c r="AR83" i="240"/>
  <c r="X83" i="240"/>
  <c r="AQ83" i="240"/>
  <c r="AJ83" i="240"/>
  <c r="AA83" i="240"/>
  <c r="AE83" i="240"/>
  <c r="Y83" i="240"/>
  <c r="Z83" i="240"/>
  <c r="AB83" i="240"/>
  <c r="CO29" i="149"/>
  <c r="CN29" i="149"/>
  <c r="BY91" i="149"/>
  <c r="BZ91" i="149"/>
  <c r="CN110" i="149"/>
  <c r="CO110" i="149"/>
  <c r="BY17" i="149"/>
  <c r="BZ17" i="149"/>
  <c r="DQ89" i="149"/>
  <c r="DR89" i="149"/>
  <c r="DS89" i="149" s="1"/>
  <c r="DQ15" i="149"/>
  <c r="DR15" i="149"/>
  <c r="DS15" i="149" s="1"/>
  <c r="BX17" i="149"/>
  <c r="BW17" i="149"/>
  <c r="BW91" i="149"/>
  <c r="BX91" i="149"/>
  <c r="K24" i="12"/>
  <c r="H323" i="17"/>
  <c r="H331" i="17" s="1"/>
  <c r="ED91" i="149"/>
  <c r="EF91" i="149" s="1"/>
  <c r="E25" i="12"/>
  <c r="M12" i="12"/>
  <c r="M16" i="12" s="1"/>
  <c r="EC111" i="149"/>
  <c r="DY92" i="149"/>
  <c r="EB92" i="149"/>
  <c r="DN109" i="149"/>
  <c r="EB30" i="149"/>
  <c r="DY30" i="149"/>
  <c r="BQ18" i="149"/>
  <c r="BR18" i="149" s="1"/>
  <c r="BU18" i="149" s="1"/>
  <c r="CX91" i="149"/>
  <c r="DB91" i="149"/>
  <c r="DA91" i="149"/>
  <c r="DC91" i="149"/>
  <c r="EC17" i="149"/>
  <c r="CK91" i="149"/>
  <c r="DJ16" i="149"/>
  <c r="DM90" i="149"/>
  <c r="DL90" i="149"/>
  <c r="CP90" i="149"/>
  <c r="CZ29" i="149"/>
  <c r="DE29" i="149"/>
  <c r="DP29" i="149" s="1"/>
  <c r="BP112" i="149"/>
  <c r="DV112" i="149" s="1"/>
  <c r="BV111" i="149"/>
  <c r="BT111" i="149"/>
  <c r="CY111" i="149"/>
  <c r="BS111" i="149"/>
  <c r="BT14" i="149"/>
  <c r="BV14" i="149"/>
  <c r="CY14" i="149"/>
  <c r="BS14" i="149"/>
  <c r="DL16" i="149"/>
  <c r="DM16" i="149"/>
  <c r="CP16" i="149"/>
  <c r="EB14" i="149"/>
  <c r="DY14" i="149"/>
  <c r="BP31" i="149"/>
  <c r="EE29" i="149"/>
  <c r="ED29" i="149"/>
  <c r="EF29" i="149" s="1"/>
  <c r="BQ92" i="149"/>
  <c r="BR92" i="149" s="1"/>
  <c r="BU92" i="149" s="1"/>
  <c r="CX17" i="149"/>
  <c r="DC17" i="149"/>
  <c r="DB17" i="149"/>
  <c r="DA17" i="149"/>
  <c r="CK17" i="149"/>
  <c r="CZ110" i="149"/>
  <c r="DE110" i="149"/>
  <c r="DP110" i="149" s="1"/>
  <c r="DV18" i="149"/>
  <c r="BV30" i="149"/>
  <c r="BT30" i="149"/>
  <c r="CY30" i="149"/>
  <c r="BS30" i="149"/>
  <c r="DJ90" i="149"/>
  <c r="F25" i="133"/>
  <c r="F83" i="16" s="1"/>
  <c r="F82" i="240" s="1"/>
  <c r="H274" i="17"/>
  <c r="H391" i="17"/>
  <c r="C12" i="12"/>
  <c r="C16" i="12" s="1"/>
  <c r="C17" i="12" s="1"/>
  <c r="C22" i="12" s="1"/>
  <c r="D22" i="12" s="1"/>
  <c r="H91" i="17"/>
  <c r="Q25" i="12"/>
  <c r="Q13" i="12"/>
  <c r="Q14" i="12" s="1"/>
  <c r="K12" i="12"/>
  <c r="K16" i="12" s="1"/>
  <c r="E12" i="12"/>
  <c r="K15" i="12"/>
  <c r="H37" i="20"/>
  <c r="I33" i="12"/>
  <c r="J39" i="12"/>
  <c r="I25" i="12"/>
  <c r="J25" i="12" s="1"/>
  <c r="J36" i="12"/>
  <c r="C35" i="12"/>
  <c r="D35" i="12" s="1"/>
  <c r="D36" i="12"/>
  <c r="H37" i="89"/>
  <c r="H42" i="89" s="1"/>
  <c r="I34" i="12"/>
  <c r="J34" i="12" s="1"/>
  <c r="H98" i="17"/>
  <c r="I12" i="12"/>
  <c r="I13" i="12" s="1"/>
  <c r="I14" i="12" s="1"/>
  <c r="E37" i="7" s="1"/>
  <c r="G37" i="7" s="1"/>
  <c r="I24" i="12"/>
  <c r="J24" i="12" s="1"/>
  <c r="I30" i="12"/>
  <c r="J30" i="12" s="1"/>
  <c r="I35" i="12"/>
  <c r="J35" i="12" s="1"/>
  <c r="O25" i="12"/>
  <c r="H33" i="117"/>
  <c r="J40" i="12"/>
  <c r="O13" i="12"/>
  <c r="O14" i="12" s="1"/>
  <c r="X13" i="12" s="1"/>
  <c r="Y13" i="12" s="1"/>
  <c r="Q15" i="12"/>
  <c r="R36" i="12" s="1"/>
  <c r="Q24" i="12"/>
  <c r="I28" i="12"/>
  <c r="J28" i="12" s="1"/>
  <c r="E15" i="12"/>
  <c r="F24" i="12" s="1"/>
  <c r="O15" i="12"/>
  <c r="O30" i="12" s="1"/>
  <c r="P30" i="12" s="1"/>
  <c r="H281" i="17"/>
  <c r="H42" i="122"/>
  <c r="O24" i="12"/>
  <c r="M15" i="12"/>
  <c r="M29" i="12" s="1"/>
  <c r="N29" i="12" s="1"/>
  <c r="C33" i="12"/>
  <c r="D33" i="12" s="1"/>
  <c r="H161" i="17"/>
  <c r="H46" i="20"/>
  <c r="H33" i="115"/>
  <c r="C29" i="12"/>
  <c r="D29" i="12" s="1"/>
  <c r="C30" i="12"/>
  <c r="D30" i="12" s="1"/>
  <c r="D40" i="12"/>
  <c r="D39" i="12"/>
  <c r="C28" i="12"/>
  <c r="D28" i="12" s="1"/>
  <c r="C34" i="12"/>
  <c r="D34" i="12" s="1"/>
  <c r="H398" i="17"/>
  <c r="C25" i="12"/>
  <c r="D25" i="12" s="1"/>
  <c r="C24" i="12"/>
  <c r="D24" i="12" s="1"/>
  <c r="H42" i="115"/>
  <c r="H41" i="17"/>
  <c r="M24" i="12"/>
  <c r="G15" i="12"/>
  <c r="G25" i="12"/>
  <c r="G24" i="12"/>
  <c r="H42" i="117"/>
  <c r="H466" i="17"/>
  <c r="H154" i="17"/>
  <c r="I27" i="136"/>
  <c r="L27" i="136" s="1"/>
  <c r="I28" i="136"/>
  <c r="I24" i="136"/>
  <c r="I23" i="136"/>
  <c r="L23" i="136" s="1"/>
  <c r="H34" i="17"/>
  <c r="H519" i="17"/>
  <c r="H720" i="17"/>
  <c r="K11" i="136"/>
  <c r="E24" i="136" s="1"/>
  <c r="H42" i="41"/>
  <c r="S31" i="12"/>
  <c r="T28" i="12"/>
  <c r="T33" i="12"/>
  <c r="S37" i="12"/>
  <c r="S16" i="12"/>
  <c r="S17" i="12" s="1"/>
  <c r="S22" i="12" s="1"/>
  <c r="S13" i="12"/>
  <c r="S14" i="12" s="1"/>
  <c r="G13" i="12"/>
  <c r="G14" i="12" s="1"/>
  <c r="H42" i="116"/>
  <c r="K16" i="136"/>
  <c r="E28" i="136" s="1"/>
  <c r="I18" i="254" l="1"/>
  <c r="I26" i="254" s="1"/>
  <c r="I28" i="254" s="1"/>
  <c r="I30" i="254" s="1"/>
  <c r="F92" i="16" s="1"/>
  <c r="AE82" i="240"/>
  <c r="AD82" i="240"/>
  <c r="AB82" i="240"/>
  <c r="AA82" i="240"/>
  <c r="AR82" i="240"/>
  <c r="AS82" i="240"/>
  <c r="AP82" i="240"/>
  <c r="AL82" i="240"/>
  <c r="AC82" i="240"/>
  <c r="AK82" i="240"/>
  <c r="Z82" i="240"/>
  <c r="Y82" i="240"/>
  <c r="X82" i="240"/>
  <c r="AT82" i="240"/>
  <c r="U82" i="240"/>
  <c r="T82" i="240"/>
  <c r="S82" i="240"/>
  <c r="R82" i="240"/>
  <c r="Q82" i="240"/>
  <c r="W82" i="240"/>
  <c r="V82" i="240"/>
  <c r="AQ82" i="240"/>
  <c r="AO82" i="240"/>
  <c r="AM82" i="240"/>
  <c r="P82" i="240"/>
  <c r="AN82" i="240"/>
  <c r="O82" i="240"/>
  <c r="AI82" i="240"/>
  <c r="AG82" i="240"/>
  <c r="AJ82" i="240"/>
  <c r="AF82" i="240"/>
  <c r="AH82" i="240"/>
  <c r="CN91" i="149"/>
  <c r="CO91" i="149"/>
  <c r="BY111" i="149"/>
  <c r="BZ111" i="149"/>
  <c r="CO17" i="149"/>
  <c r="CN17" i="149"/>
  <c r="BY14" i="149"/>
  <c r="BZ14" i="149"/>
  <c r="BY30" i="149"/>
  <c r="BZ30" i="149"/>
  <c r="DQ109" i="149"/>
  <c r="DR109" i="149"/>
  <c r="DS109" i="149" s="1"/>
  <c r="BX14" i="149"/>
  <c r="BW14" i="149"/>
  <c r="BX111" i="149"/>
  <c r="BW111" i="149"/>
  <c r="BW30" i="149"/>
  <c r="BX30" i="149"/>
  <c r="M13" i="12"/>
  <c r="M14" i="12" s="1"/>
  <c r="E20" i="7" s="1"/>
  <c r="G20" i="7" s="1"/>
  <c r="H24" i="239"/>
  <c r="H24" i="235"/>
  <c r="H27" i="144"/>
  <c r="H27" i="121"/>
  <c r="O17" i="12"/>
  <c r="O22" i="12" s="1"/>
  <c r="P22" i="12" s="1"/>
  <c r="DY112" i="149"/>
  <c r="EB112" i="149"/>
  <c r="EC92" i="149"/>
  <c r="ED111" i="149"/>
  <c r="EF111" i="149" s="1"/>
  <c r="EE111" i="149"/>
  <c r="DN90" i="149"/>
  <c r="DN16" i="149"/>
  <c r="BV92" i="149"/>
  <c r="BT92" i="149"/>
  <c r="CY92" i="149"/>
  <c r="BS92" i="149"/>
  <c r="BP93" i="149"/>
  <c r="DV93" i="149" s="1"/>
  <c r="CX30" i="149"/>
  <c r="DB30" i="149"/>
  <c r="DA30" i="149"/>
  <c r="DC30" i="149"/>
  <c r="DV31" i="149"/>
  <c r="BQ112" i="149"/>
  <c r="BR112" i="149" s="1"/>
  <c r="BU112" i="149" s="1"/>
  <c r="BQ31" i="149"/>
  <c r="BR31" i="149" s="1"/>
  <c r="BU31" i="149" s="1"/>
  <c r="CK111" i="149"/>
  <c r="DJ29" i="149"/>
  <c r="BP19" i="149"/>
  <c r="CX111" i="149"/>
  <c r="DC111" i="149"/>
  <c r="DB111" i="149"/>
  <c r="DA111" i="149"/>
  <c r="EE17" i="149"/>
  <c r="ED17" i="149"/>
  <c r="EF17" i="149" s="1"/>
  <c r="DM29" i="149"/>
  <c r="DL29" i="149"/>
  <c r="CP29" i="149"/>
  <c r="CZ17" i="149"/>
  <c r="DE17" i="149"/>
  <c r="DP17" i="149" s="1"/>
  <c r="EC14" i="149"/>
  <c r="EC30" i="149"/>
  <c r="DM110" i="149"/>
  <c r="DL110" i="149"/>
  <c r="CP110" i="149"/>
  <c r="BV18" i="149"/>
  <c r="BT18" i="149"/>
  <c r="CY18" i="149"/>
  <c r="BS18" i="149"/>
  <c r="EB18" i="149"/>
  <c r="DY18" i="149"/>
  <c r="CK14" i="149"/>
  <c r="CK30" i="149"/>
  <c r="DJ110" i="149"/>
  <c r="CX14" i="149"/>
  <c r="DC14" i="149"/>
  <c r="DA14" i="149"/>
  <c r="DB14" i="149"/>
  <c r="DE91" i="149"/>
  <c r="DP91" i="149" s="1"/>
  <c r="CZ91" i="149"/>
  <c r="L24" i="136"/>
  <c r="L28" i="136"/>
  <c r="N24" i="12"/>
  <c r="N25" i="12"/>
  <c r="C13" i="12"/>
  <c r="C14" i="12" s="1"/>
  <c r="K17" i="12"/>
  <c r="K22" i="12" s="1"/>
  <c r="L22" i="12" s="1"/>
  <c r="L24" i="12"/>
  <c r="K35" i="12"/>
  <c r="L35" i="12" s="1"/>
  <c r="X10" i="12"/>
  <c r="Y10" i="12" s="1"/>
  <c r="I37" i="12"/>
  <c r="K13" i="12"/>
  <c r="K14" i="12" s="1"/>
  <c r="E33" i="7" s="1"/>
  <c r="G33" i="7" s="1"/>
  <c r="M34" i="12"/>
  <c r="N34" i="12" s="1"/>
  <c r="K34" i="12"/>
  <c r="L34" i="12" s="1"/>
  <c r="K28" i="12"/>
  <c r="L28" i="12" s="1"/>
  <c r="M17" i="12"/>
  <c r="M22" i="12" s="1"/>
  <c r="N22" i="12" s="1"/>
  <c r="E23" i="7"/>
  <c r="G23" i="7" s="1"/>
  <c r="L40" i="12"/>
  <c r="K33" i="12"/>
  <c r="L33" i="12" s="1"/>
  <c r="N40" i="12"/>
  <c r="M33" i="12"/>
  <c r="N33" i="12" s="1"/>
  <c r="E16" i="12"/>
  <c r="E17" i="12" s="1"/>
  <c r="E22" i="12" s="1"/>
  <c r="E23" i="12" s="1"/>
  <c r="F23" i="12" s="1"/>
  <c r="E13" i="12"/>
  <c r="E14" i="12" s="1"/>
  <c r="K30" i="12"/>
  <c r="L30" i="12" s="1"/>
  <c r="Q28" i="12"/>
  <c r="R28" i="12" s="1"/>
  <c r="K29" i="12"/>
  <c r="L29" i="12" s="1"/>
  <c r="Q33" i="12"/>
  <c r="R24" i="12"/>
  <c r="L36" i="12"/>
  <c r="L39" i="12"/>
  <c r="E29" i="12"/>
  <c r="F29" i="12" s="1"/>
  <c r="Q34" i="12"/>
  <c r="R34" i="12" s="1"/>
  <c r="L25" i="12"/>
  <c r="Q29" i="12"/>
  <c r="R29" i="12" s="1"/>
  <c r="J33" i="12"/>
  <c r="Q30" i="12"/>
  <c r="R30" i="12" s="1"/>
  <c r="R25" i="12"/>
  <c r="Q35" i="12"/>
  <c r="R35" i="12" s="1"/>
  <c r="Q17" i="12"/>
  <c r="Q22" i="12" s="1"/>
  <c r="Q23" i="12" s="1"/>
  <c r="R23" i="12" s="1"/>
  <c r="F36" i="12"/>
  <c r="E40" i="7"/>
  <c r="G40" i="7" s="1"/>
  <c r="R39" i="12"/>
  <c r="C23" i="12"/>
  <c r="D23" i="12" s="1"/>
  <c r="D42" i="12" s="1"/>
  <c r="H24" i="12"/>
  <c r="R40" i="12"/>
  <c r="H25" i="12"/>
  <c r="E9" i="7"/>
  <c r="G9" i="7" s="1"/>
  <c r="P25" i="12"/>
  <c r="I16" i="12"/>
  <c r="I17" i="12" s="1"/>
  <c r="I22" i="12" s="1"/>
  <c r="I23" i="12" s="1"/>
  <c r="J23" i="12" s="1"/>
  <c r="O34" i="12"/>
  <c r="P34" i="12" s="1"/>
  <c r="E18" i="7"/>
  <c r="G18" i="7" s="1"/>
  <c r="E34" i="7"/>
  <c r="G34" i="7" s="1"/>
  <c r="E12" i="7"/>
  <c r="G12" i="7" s="1"/>
  <c r="P24" i="12"/>
  <c r="I31" i="12"/>
  <c r="N36" i="12"/>
  <c r="F25" i="12"/>
  <c r="X12" i="12"/>
  <c r="Y12" i="12" s="1"/>
  <c r="M28" i="12"/>
  <c r="N28" i="12" s="1"/>
  <c r="F39" i="12"/>
  <c r="E29" i="7"/>
  <c r="G29" i="7" s="1"/>
  <c r="E33" i="12"/>
  <c r="F33" i="12" s="1"/>
  <c r="M35" i="12"/>
  <c r="N35" i="12" s="1"/>
  <c r="F40" i="12"/>
  <c r="P39" i="12"/>
  <c r="O33" i="12"/>
  <c r="E35" i="12"/>
  <c r="F35" i="12" s="1"/>
  <c r="O28" i="12"/>
  <c r="P28" i="12" s="1"/>
  <c r="P36" i="12"/>
  <c r="N39" i="12"/>
  <c r="M30" i="12"/>
  <c r="N30" i="12" s="1"/>
  <c r="E34" i="12"/>
  <c r="F34" i="12" s="1"/>
  <c r="P40" i="12"/>
  <c r="O35" i="12"/>
  <c r="P35" i="12" s="1"/>
  <c r="E28" i="12"/>
  <c r="F28" i="12" s="1"/>
  <c r="E30" i="12"/>
  <c r="F30" i="12" s="1"/>
  <c r="O29" i="12"/>
  <c r="P29" i="12" s="1"/>
  <c r="C31" i="12"/>
  <c r="C37" i="12"/>
  <c r="G28" i="12"/>
  <c r="G34" i="12"/>
  <c r="H34" i="12" s="1"/>
  <c r="G30" i="12"/>
  <c r="H30" i="12" s="1"/>
  <c r="G35" i="12"/>
  <c r="H35" i="12" s="1"/>
  <c r="G33" i="12"/>
  <c r="H40" i="12"/>
  <c r="H36" i="12"/>
  <c r="G17" i="12"/>
  <c r="G22" i="12" s="1"/>
  <c r="H39" i="12"/>
  <c r="G29" i="12"/>
  <c r="H29" i="12" s="1"/>
  <c r="S23" i="12"/>
  <c r="T23" i="12" s="1"/>
  <c r="T22" i="12"/>
  <c r="G19" i="132"/>
  <c r="E22" i="7"/>
  <c r="G22" i="7" s="1"/>
  <c r="E19" i="7"/>
  <c r="G19" i="7" s="1"/>
  <c r="E35" i="7"/>
  <c r="G35" i="7" s="1"/>
  <c r="E41" i="7"/>
  <c r="G41" i="7" s="1"/>
  <c r="E43" i="7"/>
  <c r="G43" i="7" s="1"/>
  <c r="E7" i="7"/>
  <c r="G7" i="7" s="1"/>
  <c r="E27" i="7"/>
  <c r="G27" i="7" s="1"/>
  <c r="E15" i="7"/>
  <c r="G15" i="7" s="1"/>
  <c r="E24" i="7"/>
  <c r="G24" i="7" s="1"/>
  <c r="D92" i="16" l="1"/>
  <c r="G21" i="132"/>
  <c r="BY92" i="149"/>
  <c r="BZ92" i="149"/>
  <c r="CN30" i="149"/>
  <c r="CO30" i="149"/>
  <c r="CN14" i="149"/>
  <c r="CO14" i="149"/>
  <c r="CN111" i="149"/>
  <c r="CO111" i="149"/>
  <c r="BY18" i="149"/>
  <c r="BZ18" i="149"/>
  <c r="DQ90" i="149"/>
  <c r="DR90" i="149"/>
  <c r="DS90" i="149" s="1"/>
  <c r="DQ16" i="149"/>
  <c r="DR16" i="149"/>
  <c r="BW92" i="149"/>
  <c r="BX92" i="149"/>
  <c r="DS16" i="149"/>
  <c r="BW18" i="149"/>
  <c r="BX18" i="149"/>
  <c r="E32" i="7"/>
  <c r="G32" i="7" s="1"/>
  <c r="H32" i="7" s="1"/>
  <c r="E39" i="7"/>
  <c r="G39" i="7" s="1"/>
  <c r="H39" i="7" s="1"/>
  <c r="E30" i="7"/>
  <c r="G30" i="7" s="1"/>
  <c r="E44" i="7"/>
  <c r="G44" i="7" s="1"/>
  <c r="H44" i="7" s="1"/>
  <c r="E17" i="7"/>
  <c r="G17" i="7" s="1"/>
  <c r="H17" i="7" s="1"/>
  <c r="X11" i="12"/>
  <c r="Y11" i="12" s="1"/>
  <c r="C26" i="12"/>
  <c r="C42" i="12" s="1"/>
  <c r="C52" i="12" s="1"/>
  <c r="C53" i="12" s="1"/>
  <c r="C54" i="12" s="1"/>
  <c r="D55" i="12" s="1"/>
  <c r="O23" i="12"/>
  <c r="P23" i="12" s="1"/>
  <c r="L31" i="136"/>
  <c r="L44" i="136" s="1"/>
  <c r="EC112" i="149"/>
  <c r="ED112" i="149" s="1"/>
  <c r="EF112" i="149" s="1"/>
  <c r="DY93" i="149"/>
  <c r="EB93" i="149"/>
  <c r="ED92" i="149"/>
  <c r="EF92" i="149" s="1"/>
  <c r="EE92" i="149"/>
  <c r="DN29" i="149"/>
  <c r="DN110" i="149"/>
  <c r="EC18" i="149"/>
  <c r="EE18" i="149" s="1"/>
  <c r="BT112" i="149"/>
  <c r="CY112" i="149"/>
  <c r="BV112" i="149"/>
  <c r="BS112" i="149"/>
  <c r="BV31" i="149"/>
  <c r="BT31" i="149"/>
  <c r="BS31" i="149"/>
  <c r="CY31" i="149"/>
  <c r="EB31" i="149"/>
  <c r="DY31" i="149"/>
  <c r="DJ91" i="149"/>
  <c r="DJ17" i="149"/>
  <c r="BQ19" i="149"/>
  <c r="BR19" i="149" s="1"/>
  <c r="BU19" i="149" s="1"/>
  <c r="BQ93" i="149"/>
  <c r="BR93" i="149" s="1"/>
  <c r="BU93" i="149" s="1"/>
  <c r="BP32" i="149"/>
  <c r="EE30" i="149"/>
  <c r="ED30" i="149"/>
  <c r="EF30" i="149" s="1"/>
  <c r="DE111" i="149"/>
  <c r="DP111" i="149" s="1"/>
  <c r="CZ111" i="149"/>
  <c r="DL17" i="149"/>
  <c r="DM17" i="149"/>
  <c r="CP17" i="149"/>
  <c r="CK18" i="149"/>
  <c r="EE14" i="149"/>
  <c r="ED14" i="149"/>
  <c r="BP113" i="149"/>
  <c r="DV113" i="149" s="1"/>
  <c r="DE30" i="149"/>
  <c r="DP30" i="149" s="1"/>
  <c r="CZ30" i="149"/>
  <c r="CZ14" i="149"/>
  <c r="DE14" i="149"/>
  <c r="DP14" i="149" s="1"/>
  <c r="CX18" i="149"/>
  <c r="DC18" i="149"/>
  <c r="DB18" i="149"/>
  <c r="DA18" i="149"/>
  <c r="DL91" i="149"/>
  <c r="DM91" i="149"/>
  <c r="CP91" i="149"/>
  <c r="CK92" i="149"/>
  <c r="CX92" i="149"/>
  <c r="DA92" i="149"/>
  <c r="DC92" i="149"/>
  <c r="DB92" i="149"/>
  <c r="DV19" i="149"/>
  <c r="E26" i="7"/>
  <c r="G26" i="7" s="1"/>
  <c r="H26" i="7" s="1"/>
  <c r="E14" i="7"/>
  <c r="G14" i="7" s="1"/>
  <c r="H14" i="7" s="1"/>
  <c r="E31" i="7"/>
  <c r="G31" i="7" s="1"/>
  <c r="E16" i="7"/>
  <c r="G16" i="7" s="1"/>
  <c r="H16" i="7" s="1"/>
  <c r="E11" i="7"/>
  <c r="G11" i="7" s="1"/>
  <c r="E42" i="7"/>
  <c r="G42" i="7" s="1"/>
  <c r="H42" i="7" s="1"/>
  <c r="F22" i="12"/>
  <c r="F42" i="12" s="1"/>
  <c r="K23" i="12"/>
  <c r="L23" i="12" s="1"/>
  <c r="L42" i="12" s="1"/>
  <c r="E21" i="7"/>
  <c r="G21" i="7" s="1"/>
  <c r="H20" i="7" s="1"/>
  <c r="M23" i="12"/>
  <c r="N23" i="12" s="1"/>
  <c r="N42" i="12" s="1"/>
  <c r="R22" i="12"/>
  <c r="Q37" i="12"/>
  <c r="R33" i="12"/>
  <c r="E5" i="7"/>
  <c r="G5" i="7" s="1"/>
  <c r="H5" i="7" s="1"/>
  <c r="E13" i="7"/>
  <c r="G13" i="7" s="1"/>
  <c r="E8" i="7"/>
  <c r="G8" i="7" s="1"/>
  <c r="H7" i="7" s="1"/>
  <c r="X9" i="12"/>
  <c r="Y9" i="12" s="1"/>
  <c r="E25" i="7"/>
  <c r="G25" i="7" s="1"/>
  <c r="H23" i="7" s="1"/>
  <c r="E38" i="7"/>
  <c r="G38" i="7" s="1"/>
  <c r="H37" i="7" s="1"/>
  <c r="E6" i="7"/>
  <c r="G6" i="7" s="1"/>
  <c r="H6" i="7" s="1"/>
  <c r="E10" i="7"/>
  <c r="G10" i="7" s="1"/>
  <c r="H9" i="7" s="1"/>
  <c r="E36" i="7"/>
  <c r="G36" i="7" s="1"/>
  <c r="H36" i="7" s="1"/>
  <c r="K31" i="12"/>
  <c r="K37" i="12"/>
  <c r="Q31" i="12"/>
  <c r="E31" i="12"/>
  <c r="M37" i="12"/>
  <c r="I26" i="12"/>
  <c r="I42" i="12" s="1"/>
  <c r="I52" i="12" s="1"/>
  <c r="I53" i="12" s="1"/>
  <c r="I54" i="12" s="1"/>
  <c r="J55" i="12" s="1"/>
  <c r="I37" i="7" s="1"/>
  <c r="J37" i="7" s="1"/>
  <c r="N37" i="7" s="1"/>
  <c r="O31" i="12"/>
  <c r="J22" i="12"/>
  <c r="J42" i="12" s="1"/>
  <c r="P33" i="12"/>
  <c r="O37" i="12"/>
  <c r="E37" i="12"/>
  <c r="M31" i="12"/>
  <c r="H22" i="12"/>
  <c r="G23" i="12"/>
  <c r="H23" i="12" s="1"/>
  <c r="H33" i="12"/>
  <c r="G37" i="12"/>
  <c r="H28" i="12"/>
  <c r="G31" i="12"/>
  <c r="T42" i="12"/>
  <c r="E26" i="12"/>
  <c r="Q26" i="12"/>
  <c r="S26" i="12"/>
  <c r="S42" i="12" s="1"/>
  <c r="S52" i="12" s="1"/>
  <c r="S53" i="12" s="1"/>
  <c r="S54" i="12" s="1"/>
  <c r="T55" i="12" s="1"/>
  <c r="P42" i="12" l="1"/>
  <c r="L46" i="136"/>
  <c r="L57" i="136" s="1"/>
  <c r="BY31" i="149"/>
  <c r="BZ31" i="149"/>
  <c r="BY112" i="149"/>
  <c r="BZ112" i="149"/>
  <c r="CN18" i="149"/>
  <c r="CO18" i="149"/>
  <c r="CO92" i="149"/>
  <c r="CN92" i="149"/>
  <c r="DQ110" i="149"/>
  <c r="DR110" i="149"/>
  <c r="DS110" i="149" s="1"/>
  <c r="DQ29" i="149"/>
  <c r="DR29" i="149"/>
  <c r="DS29" i="149" s="1"/>
  <c r="BW112" i="149"/>
  <c r="BX112" i="149"/>
  <c r="BW31" i="149"/>
  <c r="BX31" i="149"/>
  <c r="H29" i="7"/>
  <c r="EE112" i="149"/>
  <c r="O26" i="12"/>
  <c r="O42" i="12" s="1"/>
  <c r="O52" i="12" s="1"/>
  <c r="O53" i="12" s="1"/>
  <c r="O54" i="12" s="1"/>
  <c r="P55" i="12" s="1"/>
  <c r="I29" i="7" s="1"/>
  <c r="J29" i="7" s="1"/>
  <c r="N29" i="7" s="1"/>
  <c r="H11" i="7"/>
  <c r="ED18" i="149"/>
  <c r="EF18" i="149" s="1"/>
  <c r="EC93" i="149"/>
  <c r="ED93" i="149" s="1"/>
  <c r="EF93" i="149" s="1"/>
  <c r="EB113" i="149"/>
  <c r="DY113" i="149"/>
  <c r="DN17" i="149"/>
  <c r="DN91" i="149"/>
  <c r="DL111" i="149"/>
  <c r="DM111" i="149"/>
  <c r="CP111" i="149"/>
  <c r="CX112" i="149"/>
  <c r="DB112" i="149"/>
  <c r="DA112" i="149"/>
  <c r="DC112" i="149"/>
  <c r="EC31" i="149"/>
  <c r="CZ92" i="149"/>
  <c r="DE92" i="149"/>
  <c r="DP92" i="149" s="1"/>
  <c r="DM30" i="149"/>
  <c r="DL30" i="149"/>
  <c r="CP30" i="149"/>
  <c r="CX31" i="149"/>
  <c r="DA31" i="149"/>
  <c r="DB31" i="149"/>
  <c r="DC31" i="149"/>
  <c r="DJ111" i="149"/>
  <c r="CK31" i="149"/>
  <c r="BT19" i="149"/>
  <c r="BV19" i="149"/>
  <c r="BS19" i="149"/>
  <c r="CY19" i="149"/>
  <c r="BQ113" i="149"/>
  <c r="BR113" i="149" s="1"/>
  <c r="BU113" i="149" s="1"/>
  <c r="DY19" i="149"/>
  <c r="EB19" i="149"/>
  <c r="BP94" i="149"/>
  <c r="DV94" i="149" s="1"/>
  <c r="BV93" i="149"/>
  <c r="BT93" i="149"/>
  <c r="CY93" i="149"/>
  <c r="BS93" i="149"/>
  <c r="DV32" i="149"/>
  <c r="DE18" i="149"/>
  <c r="DP18" i="149" s="1"/>
  <c r="CZ18" i="149"/>
  <c r="EF14" i="149"/>
  <c r="DL14" i="149"/>
  <c r="DM14" i="149"/>
  <c r="CP14" i="149"/>
  <c r="BP20" i="149"/>
  <c r="DJ14" i="149"/>
  <c r="BQ32" i="149"/>
  <c r="BR32" i="149" s="1"/>
  <c r="BU32" i="149" s="1"/>
  <c r="CK112" i="149"/>
  <c r="DJ30" i="149"/>
  <c r="M26" i="12"/>
  <c r="M42" i="12" s="1"/>
  <c r="M52" i="12" s="1"/>
  <c r="M53" i="12" s="1"/>
  <c r="M54" i="12" s="1"/>
  <c r="N55" i="12" s="1"/>
  <c r="I39" i="7" s="1"/>
  <c r="J39" i="7" s="1"/>
  <c r="R42" i="12"/>
  <c r="K26" i="12"/>
  <c r="K42" i="12" s="1"/>
  <c r="K52" i="12" s="1"/>
  <c r="K53" i="12" s="1"/>
  <c r="K54" i="12" s="1"/>
  <c r="L55" i="12" s="1"/>
  <c r="I9" i="7"/>
  <c r="J9" i="7" s="1"/>
  <c r="N9" i="7" s="1"/>
  <c r="Q42" i="12"/>
  <c r="Q52" i="12" s="1"/>
  <c r="Q53" i="12" s="1"/>
  <c r="Q54" i="12" s="1"/>
  <c r="R55" i="12" s="1"/>
  <c r="I12" i="7"/>
  <c r="J12" i="7" s="1"/>
  <c r="N12" i="7" s="1"/>
  <c r="I23" i="7"/>
  <c r="J23" i="7" s="1"/>
  <c r="N23" i="7" s="1"/>
  <c r="I40" i="7"/>
  <c r="J40" i="7" s="1"/>
  <c r="N40" i="7" s="1"/>
  <c r="I18" i="7"/>
  <c r="J18" i="7" s="1"/>
  <c r="N18" i="7" s="1"/>
  <c r="I34" i="7"/>
  <c r="J34" i="7" s="1"/>
  <c r="N34" i="7" s="1"/>
  <c r="E42" i="12"/>
  <c r="E52" i="12" s="1"/>
  <c r="E53" i="12" s="1"/>
  <c r="E54" i="12" s="1"/>
  <c r="F55" i="12" s="1"/>
  <c r="I36" i="7" s="1"/>
  <c r="J36" i="7" s="1"/>
  <c r="G26" i="12"/>
  <c r="G42" i="12" s="1"/>
  <c r="G52" i="12" s="1"/>
  <c r="G53" i="12" s="1"/>
  <c r="G54" i="12" s="1"/>
  <c r="H55" i="12" s="1"/>
  <c r="H42" i="12"/>
  <c r="L50" i="136" l="1"/>
  <c r="L51" i="136" s="1"/>
  <c r="L56" i="136" s="1"/>
  <c r="CO112" i="149"/>
  <c r="CN112" i="149"/>
  <c r="BY93" i="149"/>
  <c r="BZ93" i="149"/>
  <c r="CO31" i="149"/>
  <c r="CN31" i="149"/>
  <c r="BY19" i="149"/>
  <c r="BZ19" i="149"/>
  <c r="DQ91" i="149"/>
  <c r="DR91" i="149"/>
  <c r="DS91" i="149" s="1"/>
  <c r="DQ17" i="149"/>
  <c r="DR17" i="149"/>
  <c r="DS17" i="149" s="1"/>
  <c r="BW93" i="149"/>
  <c r="BX93" i="149"/>
  <c r="BW19" i="149"/>
  <c r="BX19" i="149"/>
  <c r="EE93" i="149"/>
  <c r="EB94" i="149"/>
  <c r="DY94" i="149"/>
  <c r="EC113" i="149"/>
  <c r="DN111" i="149"/>
  <c r="DN30" i="149"/>
  <c r="BT113" i="149"/>
  <c r="BV113" i="149"/>
  <c r="BS113" i="149"/>
  <c r="CY113" i="149"/>
  <c r="BQ20" i="149"/>
  <c r="BR20" i="149" s="1"/>
  <c r="BU20" i="149" s="1"/>
  <c r="DM92" i="149"/>
  <c r="DL92" i="149"/>
  <c r="CP92" i="149"/>
  <c r="EE31" i="149"/>
  <c r="ED31" i="149"/>
  <c r="EF31" i="149" s="1"/>
  <c r="BP114" i="149"/>
  <c r="DV114" i="149" s="1"/>
  <c r="DJ18" i="149"/>
  <c r="DN14" i="149"/>
  <c r="DB19" i="149"/>
  <c r="DA19" i="149"/>
  <c r="CX19" i="149"/>
  <c r="DC19" i="149"/>
  <c r="CZ31" i="149"/>
  <c r="DE31" i="149"/>
  <c r="DP31" i="149" s="1"/>
  <c r="DE112" i="149"/>
  <c r="DP112" i="149" s="1"/>
  <c r="CZ112" i="149"/>
  <c r="CK19" i="149"/>
  <c r="BV32" i="149"/>
  <c r="BT32" i="149"/>
  <c r="CY32" i="149"/>
  <c r="BS32" i="149"/>
  <c r="DV20" i="149"/>
  <c r="EB32" i="149"/>
  <c r="DY32" i="149"/>
  <c r="BQ94" i="149"/>
  <c r="BR94" i="149" s="1"/>
  <c r="BU94" i="149" s="1"/>
  <c r="CK93" i="149"/>
  <c r="BP33" i="149"/>
  <c r="CX93" i="149"/>
  <c r="DB93" i="149"/>
  <c r="DC93" i="149"/>
  <c r="DA93" i="149"/>
  <c r="DJ92" i="149"/>
  <c r="DM18" i="149"/>
  <c r="DL18" i="149"/>
  <c r="CP18" i="149"/>
  <c r="EC19" i="149"/>
  <c r="I21" i="7"/>
  <c r="J21" i="7" s="1"/>
  <c r="N21" i="7" s="1"/>
  <c r="I33" i="7"/>
  <c r="J33" i="7" s="1"/>
  <c r="N33" i="7" s="1"/>
  <c r="I26" i="7"/>
  <c r="J26" i="7" s="1"/>
  <c r="N26" i="7" s="1"/>
  <c r="I11" i="7"/>
  <c r="J11" i="7" s="1"/>
  <c r="N11" i="7" s="1"/>
  <c r="I31" i="7"/>
  <c r="J31" i="7" s="1"/>
  <c r="N31" i="7" s="1"/>
  <c r="I42" i="7"/>
  <c r="J42" i="7" s="1"/>
  <c r="N42" i="7" s="1"/>
  <c r="I14" i="7"/>
  <c r="J14" i="7" s="1"/>
  <c r="N14" i="7" s="1"/>
  <c r="I16" i="7"/>
  <c r="J16" i="7" s="1"/>
  <c r="I8" i="7"/>
  <c r="J8" i="7" s="1"/>
  <c r="N8" i="7" s="1"/>
  <c r="I13" i="7"/>
  <c r="J13" i="7" s="1"/>
  <c r="I25" i="7"/>
  <c r="J25" i="7" s="1"/>
  <c r="N25" i="7" s="1"/>
  <c r="I10" i="7"/>
  <c r="J10" i="7" s="1"/>
  <c r="N10" i="7" s="1"/>
  <c r="I6" i="7"/>
  <c r="J6" i="7" s="1"/>
  <c r="K6" i="7" s="1"/>
  <c r="L6" i="7" s="1"/>
  <c r="O6" i="7" s="1"/>
  <c r="I38" i="7"/>
  <c r="J38" i="7" s="1"/>
  <c r="N38" i="7" s="1"/>
  <c r="I5" i="7"/>
  <c r="J5" i="7" s="1"/>
  <c r="K5" i="7" s="1"/>
  <c r="L5" i="7" s="1"/>
  <c r="O5" i="7" s="1"/>
  <c r="I20" i="7"/>
  <c r="J20" i="7" s="1"/>
  <c r="N20" i="7" s="1"/>
  <c r="I32" i="7"/>
  <c r="J32" i="7" s="1"/>
  <c r="I30" i="7"/>
  <c r="J30" i="7" s="1"/>
  <c r="N30" i="7" s="1"/>
  <c r="I44" i="7"/>
  <c r="J44" i="7" s="1"/>
  <c r="K44" i="7" s="1"/>
  <c r="L44" i="7" s="1"/>
  <c r="O44" i="7" s="1"/>
  <c r="I17" i="7"/>
  <c r="J17" i="7" s="1"/>
  <c r="I24" i="7"/>
  <c r="J24" i="7" s="1"/>
  <c r="N24" i="7" s="1"/>
  <c r="I15" i="7"/>
  <c r="J15" i="7" s="1"/>
  <c r="I22" i="7"/>
  <c r="J22" i="7" s="1"/>
  <c r="N22" i="7" s="1"/>
  <c r="I27" i="7"/>
  <c r="J27" i="7" s="1"/>
  <c r="N27" i="7" s="1"/>
  <c r="I43" i="7"/>
  <c r="J43" i="7" s="1"/>
  <c r="I7" i="7"/>
  <c r="J7" i="7" s="1"/>
  <c r="N7" i="7" s="1"/>
  <c r="I19" i="7"/>
  <c r="J19" i="7" s="1"/>
  <c r="N19" i="7" s="1"/>
  <c r="I41" i="7"/>
  <c r="J41" i="7" s="1"/>
  <c r="N41" i="7" s="1"/>
  <c r="I35" i="7"/>
  <c r="J35" i="7" s="1"/>
  <c r="N35" i="7" s="1"/>
  <c r="K36" i="7"/>
  <c r="L36" i="7" s="1"/>
  <c r="O36" i="7" s="1"/>
  <c r="N36" i="7"/>
  <c r="N39" i="7"/>
  <c r="L58" i="136" l="1"/>
  <c r="F91" i="16" s="1"/>
  <c r="CN93" i="149"/>
  <c r="CO93" i="149"/>
  <c r="BY113" i="149"/>
  <c r="BZ113" i="149"/>
  <c r="CN19" i="149"/>
  <c r="CO19" i="149"/>
  <c r="BY32" i="149"/>
  <c r="BZ32" i="149"/>
  <c r="DQ14" i="149"/>
  <c r="DR14" i="149"/>
  <c r="DQ111" i="149"/>
  <c r="DR111" i="149"/>
  <c r="DS111" i="149" s="1"/>
  <c r="DQ30" i="149"/>
  <c r="DR30" i="149"/>
  <c r="DS30" i="149" s="1"/>
  <c r="BX113" i="149"/>
  <c r="BW113" i="149"/>
  <c r="BW32" i="149"/>
  <c r="BX32" i="149"/>
  <c r="G47" i="239"/>
  <c r="H47" i="239" s="1"/>
  <c r="G47" i="235"/>
  <c r="H47" i="235" s="1"/>
  <c r="N44" i="7"/>
  <c r="EC94" i="149"/>
  <c r="ED94" i="149" s="1"/>
  <c r="EF94" i="149" s="1"/>
  <c r="DN18" i="149"/>
  <c r="DY114" i="149"/>
  <c r="EB114" i="149"/>
  <c r="ED113" i="149"/>
  <c r="EF113" i="149" s="1"/>
  <c r="EE113" i="149"/>
  <c r="DN92" i="149"/>
  <c r="BT20" i="149"/>
  <c r="BV20" i="149"/>
  <c r="CY20" i="149"/>
  <c r="BS20" i="149"/>
  <c r="BV94" i="149"/>
  <c r="BT94" i="149"/>
  <c r="BS94" i="149"/>
  <c r="CY94" i="149"/>
  <c r="EB20" i="149"/>
  <c r="DY20" i="149"/>
  <c r="CZ19" i="149"/>
  <c r="DE19" i="149"/>
  <c r="DP19" i="149" s="1"/>
  <c r="EC32" i="149"/>
  <c r="CX32" i="149"/>
  <c r="DA32" i="149"/>
  <c r="DC32" i="149"/>
  <c r="DB32" i="149"/>
  <c r="DM112" i="149"/>
  <c r="DL112" i="149"/>
  <c r="CP112" i="149"/>
  <c r="DE93" i="149"/>
  <c r="DP93" i="149" s="1"/>
  <c r="CZ93" i="149"/>
  <c r="CK32" i="149"/>
  <c r="DM31" i="149"/>
  <c r="DL31" i="149"/>
  <c r="CP31" i="149"/>
  <c r="CX113" i="149"/>
  <c r="DC113" i="149"/>
  <c r="DB113" i="149"/>
  <c r="DA113" i="149"/>
  <c r="CK113" i="149"/>
  <c r="DJ112" i="149"/>
  <c r="BQ33" i="149"/>
  <c r="BR33" i="149" s="1"/>
  <c r="BU33" i="149" s="1"/>
  <c r="DJ31" i="149"/>
  <c r="ED19" i="149"/>
  <c r="EE19" i="149"/>
  <c r="BP95" i="149"/>
  <c r="DV95" i="149" s="1"/>
  <c r="BQ114" i="149"/>
  <c r="BR114" i="149" s="1"/>
  <c r="BU114" i="149" s="1"/>
  <c r="N5" i="7"/>
  <c r="K37" i="7"/>
  <c r="L37" i="7" s="1"/>
  <c r="O37" i="7" s="1"/>
  <c r="G224" i="17" s="1"/>
  <c r="H224" i="17" s="1"/>
  <c r="H228" i="17" s="1"/>
  <c r="G192" i="17" s="1"/>
  <c r="H192" i="17" s="1"/>
  <c r="H198" i="17" s="1"/>
  <c r="N16" i="7"/>
  <c r="K16" i="7"/>
  <c r="L16" i="7" s="1"/>
  <c r="O16" i="7" s="1"/>
  <c r="K17" i="7"/>
  <c r="L17" i="7" s="1"/>
  <c r="O17" i="7" s="1"/>
  <c r="K9" i="7"/>
  <c r="L9" i="7" s="1"/>
  <c r="O9" i="7" s="1"/>
  <c r="N6" i="7"/>
  <c r="K32" i="7"/>
  <c r="L32" i="7" s="1"/>
  <c r="O32" i="7" s="1"/>
  <c r="N17" i="7"/>
  <c r="N13" i="7"/>
  <c r="K11" i="7"/>
  <c r="L11" i="7" s="1"/>
  <c r="O11" i="7" s="1"/>
  <c r="K39" i="7"/>
  <c r="L39" i="7" s="1"/>
  <c r="O39" i="7" s="1"/>
  <c r="N32" i="7"/>
  <c r="K29" i="7"/>
  <c r="L29" i="7" s="1"/>
  <c r="O29" i="7" s="1"/>
  <c r="K26" i="7"/>
  <c r="L26" i="7" s="1"/>
  <c r="O26" i="7" s="1"/>
  <c r="G46" i="253" s="1"/>
  <c r="H46" i="253" s="1"/>
  <c r="H50" i="253" s="1"/>
  <c r="G13" i="253" s="1"/>
  <c r="H13" i="253" s="1"/>
  <c r="H18" i="253" s="1"/>
  <c r="H52" i="253" s="1"/>
  <c r="K23" i="7"/>
  <c r="L23" i="7" s="1"/>
  <c r="O23" i="7" s="1"/>
  <c r="K7" i="7"/>
  <c r="L7" i="7" s="1"/>
  <c r="O7" i="7" s="1"/>
  <c r="K20" i="7"/>
  <c r="L20" i="7" s="1"/>
  <c r="O20" i="7" s="1"/>
  <c r="N43" i="7"/>
  <c r="K42" i="7"/>
  <c r="L42" i="7" s="1"/>
  <c r="O42" i="7" s="1"/>
  <c r="N15" i="7"/>
  <c r="K14" i="7"/>
  <c r="L14" i="7" s="1"/>
  <c r="O14" i="7" s="1"/>
  <c r="G46" i="124"/>
  <c r="H46" i="124" s="1"/>
  <c r="H50" i="124" s="1"/>
  <c r="G13" i="124" s="1"/>
  <c r="H13" i="124" s="1"/>
  <c r="H19" i="124" s="1"/>
  <c r="H52" i="124" s="1"/>
  <c r="G595" i="17"/>
  <c r="H595" i="17" s="1"/>
  <c r="H599" i="17" s="1"/>
  <c r="G563" i="17" s="1"/>
  <c r="H563" i="17" s="1"/>
  <c r="H569" i="17" s="1"/>
  <c r="H601" i="17" s="1"/>
  <c r="H602" i="17" s="1"/>
  <c r="H603" i="17" s="1"/>
  <c r="G165" i="17"/>
  <c r="H165" i="17" s="1"/>
  <c r="H169" i="17" s="1"/>
  <c r="G133" i="17" s="1"/>
  <c r="H133" i="17" s="1"/>
  <c r="H139" i="17" s="1"/>
  <c r="H171" i="17" s="1"/>
  <c r="H172" i="17" s="1"/>
  <c r="H173" i="17" s="1"/>
  <c r="H53" i="253" l="1"/>
  <c r="H54" i="253" s="1"/>
  <c r="E72" i="16" s="1"/>
  <c r="E66" i="240" s="1"/>
  <c r="H53" i="124"/>
  <c r="H54" i="124" s="1"/>
  <c r="E21" i="16" s="1"/>
  <c r="E15" i="240" s="1"/>
  <c r="CN113" i="149"/>
  <c r="CO113" i="149"/>
  <c r="BY20" i="149"/>
  <c r="BZ20" i="149"/>
  <c r="CN32" i="149"/>
  <c r="CO32" i="149"/>
  <c r="BY94" i="149"/>
  <c r="BZ94" i="149"/>
  <c r="DQ18" i="149"/>
  <c r="DR18" i="149"/>
  <c r="DS18" i="149" s="1"/>
  <c r="DQ92" i="149"/>
  <c r="DR92" i="149"/>
  <c r="DS92" i="149" s="1"/>
  <c r="BW94" i="149"/>
  <c r="BX94" i="149"/>
  <c r="BW20" i="149"/>
  <c r="BX20" i="149"/>
  <c r="G731" i="17"/>
  <c r="H731" i="17" s="1"/>
  <c r="H735" i="17" s="1"/>
  <c r="G699" i="17" s="1"/>
  <c r="H699" i="17" s="1"/>
  <c r="H705" i="17" s="1"/>
  <c r="H737" i="17" s="1"/>
  <c r="G50" i="20"/>
  <c r="H50" i="20" s="1"/>
  <c r="H54" i="20" s="1"/>
  <c r="G13" i="20" s="1"/>
  <c r="H13" i="20" s="1"/>
  <c r="H19" i="20" s="1"/>
  <c r="H56" i="20" s="1"/>
  <c r="G470" i="17"/>
  <c r="H470" i="17" s="1"/>
  <c r="H474" i="17" s="1"/>
  <c r="G438" i="17" s="1"/>
  <c r="H438" i="17" s="1"/>
  <c r="H444" i="17" s="1"/>
  <c r="H476" i="17" s="1"/>
  <c r="G935" i="17"/>
  <c r="H935" i="17" s="1"/>
  <c r="H939" i="17" s="1"/>
  <c r="G903" i="17" s="1"/>
  <c r="H903" i="17" s="1"/>
  <c r="H909" i="17" s="1"/>
  <c r="H941" i="17" s="1"/>
  <c r="G867" i="17"/>
  <c r="H867" i="17" s="1"/>
  <c r="H871" i="17" s="1"/>
  <c r="G835" i="17" s="1"/>
  <c r="H835" i="17" s="1"/>
  <c r="H841" i="17" s="1"/>
  <c r="H873" i="17" s="1"/>
  <c r="G1003" i="17"/>
  <c r="H1003" i="17" s="1"/>
  <c r="H1007" i="17" s="1"/>
  <c r="G971" i="17" s="1"/>
  <c r="H971" i="17" s="1"/>
  <c r="H977" i="17" s="1"/>
  <c r="H1009" i="17" s="1"/>
  <c r="G46" i="239"/>
  <c r="H46" i="239" s="1"/>
  <c r="H50" i="239" s="1"/>
  <c r="G13" i="239" s="1"/>
  <c r="H13" i="239" s="1"/>
  <c r="H19" i="239" s="1"/>
  <c r="G46" i="235"/>
  <c r="H46" i="235" s="1"/>
  <c r="G46" i="252"/>
  <c r="H46" i="252" s="1"/>
  <c r="H50" i="252" s="1"/>
  <c r="G13" i="252" s="1"/>
  <c r="H13" i="252" s="1"/>
  <c r="H19" i="252" s="1"/>
  <c r="H52" i="252" s="1"/>
  <c r="EE94" i="149"/>
  <c r="G47" i="230"/>
  <c r="H47" i="230" s="1"/>
  <c r="G64" i="233"/>
  <c r="H64" i="233" s="1"/>
  <c r="G45" i="17"/>
  <c r="H45" i="17" s="1"/>
  <c r="H49" i="17" s="1"/>
  <c r="G13" i="17" s="1"/>
  <c r="H13" i="17" s="1"/>
  <c r="H19" i="17" s="1"/>
  <c r="H51" i="17" s="1"/>
  <c r="G799" i="17"/>
  <c r="H799" i="17" s="1"/>
  <c r="H803" i="17" s="1"/>
  <c r="G767" i="17" s="1"/>
  <c r="H767" i="17" s="1"/>
  <c r="H773" i="17" s="1"/>
  <c r="H805" i="17" s="1"/>
  <c r="G48" i="230"/>
  <c r="H48" i="230" s="1"/>
  <c r="G46" i="197"/>
  <c r="H46" i="197" s="1"/>
  <c r="H50" i="197" s="1"/>
  <c r="G13" i="197" s="1"/>
  <c r="H13" i="197" s="1"/>
  <c r="H19" i="197" s="1"/>
  <c r="H52" i="197" s="1"/>
  <c r="G46" i="212"/>
  <c r="H46" i="212" s="1"/>
  <c r="H50" i="212" s="1"/>
  <c r="G13" i="212" s="1"/>
  <c r="H13" i="212" s="1"/>
  <c r="H19" i="212" s="1"/>
  <c r="H52" i="212" s="1"/>
  <c r="G46" i="210"/>
  <c r="H46" i="210" s="1"/>
  <c r="H50" i="210" s="1"/>
  <c r="G13" i="210" s="1"/>
  <c r="H13" i="210" s="1"/>
  <c r="H19" i="210" s="1"/>
  <c r="H52" i="210" s="1"/>
  <c r="G46" i="196"/>
  <c r="H46" i="196" s="1"/>
  <c r="H50" i="196" s="1"/>
  <c r="G13" i="196" s="1"/>
  <c r="H13" i="196" s="1"/>
  <c r="H19" i="196" s="1"/>
  <c r="H52" i="196" s="1"/>
  <c r="G46" i="194"/>
  <c r="H46" i="194" s="1"/>
  <c r="H50" i="194" s="1"/>
  <c r="G13" i="194" s="1"/>
  <c r="H13" i="194" s="1"/>
  <c r="H19" i="194" s="1"/>
  <c r="H52" i="194" s="1"/>
  <c r="G46" i="209"/>
  <c r="H46" i="209" s="1"/>
  <c r="H50" i="209" s="1"/>
  <c r="G13" i="209" s="1"/>
  <c r="H13" i="209" s="1"/>
  <c r="H19" i="209" s="1"/>
  <c r="G46" i="208"/>
  <c r="H46" i="208" s="1"/>
  <c r="H50" i="208" s="1"/>
  <c r="G13" i="208" s="1"/>
  <c r="H13" i="208" s="1"/>
  <c r="H19" i="208" s="1"/>
  <c r="G46" i="193"/>
  <c r="H46" i="193" s="1"/>
  <c r="H50" i="193" s="1"/>
  <c r="G13" i="193" s="1"/>
  <c r="H13" i="193" s="1"/>
  <c r="H19" i="193" s="1"/>
  <c r="G46" i="191"/>
  <c r="H46" i="191" s="1"/>
  <c r="H50" i="191" s="1"/>
  <c r="G13" i="191" s="1"/>
  <c r="H13" i="191" s="1"/>
  <c r="H19" i="191" s="1"/>
  <c r="G46" i="192"/>
  <c r="H46" i="192" s="1"/>
  <c r="H50" i="192" s="1"/>
  <c r="G13" i="192" s="1"/>
  <c r="H13" i="192" s="1"/>
  <c r="H19" i="192" s="1"/>
  <c r="G46" i="189"/>
  <c r="H46" i="189" s="1"/>
  <c r="H50" i="189" s="1"/>
  <c r="G13" i="189" s="1"/>
  <c r="H13" i="189" s="1"/>
  <c r="H19" i="189" s="1"/>
  <c r="H52" i="189" s="1"/>
  <c r="G46" i="180"/>
  <c r="H46" i="180" s="1"/>
  <c r="H50" i="180" s="1"/>
  <c r="G13" i="180" s="1"/>
  <c r="H13" i="180" s="1"/>
  <c r="H19" i="180" s="1"/>
  <c r="H52" i="180" s="1"/>
  <c r="G46" i="190"/>
  <c r="H46" i="190" s="1"/>
  <c r="H50" i="190" s="1"/>
  <c r="G13" i="190" s="1"/>
  <c r="H13" i="190" s="1"/>
  <c r="H19" i="190" s="1"/>
  <c r="H52" i="190" s="1"/>
  <c r="G46" i="158"/>
  <c r="H46" i="158" s="1"/>
  <c r="H50" i="158" s="1"/>
  <c r="G13" i="158" s="1"/>
  <c r="H13" i="158" s="1"/>
  <c r="H19" i="158" s="1"/>
  <c r="H52" i="158" s="1"/>
  <c r="G46" i="142"/>
  <c r="H46" i="142" s="1"/>
  <c r="H50" i="142" s="1"/>
  <c r="G13" i="142" s="1"/>
  <c r="H13" i="142" s="1"/>
  <c r="H19" i="142" s="1"/>
  <c r="H52" i="142" s="1"/>
  <c r="G46" i="222"/>
  <c r="H46" i="222" s="1"/>
  <c r="H50" i="222" s="1"/>
  <c r="G13" i="222" s="1"/>
  <c r="H13" i="222" s="1"/>
  <c r="H19" i="222" s="1"/>
  <c r="H52" i="222" s="1"/>
  <c r="G46" i="205"/>
  <c r="H46" i="205" s="1"/>
  <c r="H50" i="205" s="1"/>
  <c r="G13" i="205" s="1"/>
  <c r="H13" i="205" s="1"/>
  <c r="H19" i="205" s="1"/>
  <c r="H52" i="205" s="1"/>
  <c r="G46" i="204"/>
  <c r="H46" i="204" s="1"/>
  <c r="H50" i="204" s="1"/>
  <c r="G13" i="204" s="1"/>
  <c r="H13" i="204" s="1"/>
  <c r="H19" i="204" s="1"/>
  <c r="G46" i="226"/>
  <c r="H46" i="226" s="1"/>
  <c r="H50" i="226" s="1"/>
  <c r="G13" i="226" s="1"/>
  <c r="H13" i="226" s="1"/>
  <c r="H19" i="226" s="1"/>
  <c r="G63" i="233"/>
  <c r="H63" i="233" s="1"/>
  <c r="H67" i="233" s="1"/>
  <c r="G13" i="233" s="1"/>
  <c r="H13" i="233" s="1"/>
  <c r="H19" i="233" s="1"/>
  <c r="G47" i="206"/>
  <c r="H47" i="206" s="1"/>
  <c r="H51" i="206" s="1"/>
  <c r="G13" i="206" s="1"/>
  <c r="H13" i="206" s="1"/>
  <c r="H19" i="206" s="1"/>
  <c r="H53" i="206" s="1"/>
  <c r="G46" i="200"/>
  <c r="H46" i="200" s="1"/>
  <c r="H50" i="200" s="1"/>
  <c r="G13" i="200" s="1"/>
  <c r="H13" i="200" s="1"/>
  <c r="H19" i="200" s="1"/>
  <c r="H52" i="200" s="1"/>
  <c r="G46" i="225"/>
  <c r="H46" i="225" s="1"/>
  <c r="H50" i="225" s="1"/>
  <c r="G13" i="225" s="1"/>
  <c r="H13" i="225" s="1"/>
  <c r="H19" i="225" s="1"/>
  <c r="G46" i="216"/>
  <c r="H46" i="216" s="1"/>
  <c r="H50" i="216" s="1"/>
  <c r="G13" i="216" s="1"/>
  <c r="H13" i="216" s="1"/>
  <c r="H19" i="216" s="1"/>
  <c r="H52" i="216" s="1"/>
  <c r="G46" i="198"/>
  <c r="H46" i="198" s="1"/>
  <c r="H50" i="198" s="1"/>
  <c r="G13" i="198" s="1"/>
  <c r="H13" i="198" s="1"/>
  <c r="H19" i="198" s="1"/>
  <c r="H52" i="198" s="1"/>
  <c r="G46" i="202"/>
  <c r="H46" i="202" s="1"/>
  <c r="H50" i="202" s="1"/>
  <c r="G13" i="202" s="1"/>
  <c r="H13" i="202" s="1"/>
  <c r="H19" i="202" s="1"/>
  <c r="G46" i="221"/>
  <c r="H46" i="221" s="1"/>
  <c r="H50" i="221" s="1"/>
  <c r="G13" i="221" s="1"/>
  <c r="H13" i="221" s="1"/>
  <c r="H19" i="221" s="1"/>
  <c r="H52" i="221" s="1"/>
  <c r="G46" i="218"/>
  <c r="H46" i="218" s="1"/>
  <c r="H50" i="218" s="1"/>
  <c r="G13" i="218" s="1"/>
  <c r="H13" i="218" s="1"/>
  <c r="H19" i="218" s="1"/>
  <c r="G46" i="224"/>
  <c r="H46" i="224" s="1"/>
  <c r="H50" i="224" s="1"/>
  <c r="G13" i="224" s="1"/>
  <c r="H13" i="224" s="1"/>
  <c r="H19" i="224" s="1"/>
  <c r="G47" i="211"/>
  <c r="H47" i="211" s="1"/>
  <c r="H51" i="211" s="1"/>
  <c r="G13" i="211" s="1"/>
  <c r="H13" i="211" s="1"/>
  <c r="H19" i="211" s="1"/>
  <c r="H53" i="211" s="1"/>
  <c r="G46" i="203"/>
  <c r="H46" i="203" s="1"/>
  <c r="H50" i="203" s="1"/>
  <c r="G13" i="203" s="1"/>
  <c r="H13" i="203" s="1"/>
  <c r="H19" i="203" s="1"/>
  <c r="G46" i="230"/>
  <c r="H46" i="230" s="1"/>
  <c r="G46" i="214"/>
  <c r="H46" i="214" s="1"/>
  <c r="H50" i="214" s="1"/>
  <c r="G13" i="214" s="1"/>
  <c r="H13" i="214" s="1"/>
  <c r="H19" i="214" s="1"/>
  <c r="G47" i="207"/>
  <c r="H47" i="207" s="1"/>
  <c r="H51" i="207" s="1"/>
  <c r="G13" i="207" s="1"/>
  <c r="H13" i="207" s="1"/>
  <c r="H19" i="207" s="1"/>
  <c r="G46" i="228"/>
  <c r="H46" i="228" s="1"/>
  <c r="H50" i="228" s="1"/>
  <c r="G13" i="228" s="1"/>
  <c r="H13" i="228" s="1"/>
  <c r="H19" i="228" s="1"/>
  <c r="H52" i="228" s="1"/>
  <c r="G46" i="220"/>
  <c r="H46" i="220" s="1"/>
  <c r="H50" i="220" s="1"/>
  <c r="G13" i="220" s="1"/>
  <c r="H13" i="220" s="1"/>
  <c r="H19" i="220" s="1"/>
  <c r="H52" i="220" s="1"/>
  <c r="G46" i="217"/>
  <c r="H46" i="217" s="1"/>
  <c r="H50" i="217" s="1"/>
  <c r="G13" i="217" s="1"/>
  <c r="H13" i="217" s="1"/>
  <c r="H19" i="217" s="1"/>
  <c r="H52" i="217" s="1"/>
  <c r="G46" i="229"/>
  <c r="H46" i="229" s="1"/>
  <c r="H50" i="229" s="1"/>
  <c r="G13" i="229" s="1"/>
  <c r="H13" i="229" s="1"/>
  <c r="H19" i="229" s="1"/>
  <c r="H52" i="229" s="1"/>
  <c r="G46" i="215"/>
  <c r="H46" i="215" s="1"/>
  <c r="H50" i="215" s="1"/>
  <c r="G13" i="215" s="1"/>
  <c r="H13" i="215" s="1"/>
  <c r="H19" i="215" s="1"/>
  <c r="G45" i="213"/>
  <c r="H45" i="213" s="1"/>
  <c r="H49" i="213" s="1"/>
  <c r="G13" i="213" s="1"/>
  <c r="H13" i="213" s="1"/>
  <c r="H19" i="213" s="1"/>
  <c r="H51" i="213" s="1"/>
  <c r="G46" i="201"/>
  <c r="H46" i="201" s="1"/>
  <c r="H50" i="201" s="1"/>
  <c r="G13" i="201" s="1"/>
  <c r="H13" i="201" s="1"/>
  <c r="H19" i="201" s="1"/>
  <c r="H52" i="201" s="1"/>
  <c r="G46" i="223"/>
  <c r="H46" i="223" s="1"/>
  <c r="H50" i="223" s="1"/>
  <c r="G13" i="223" s="1"/>
  <c r="H13" i="223" s="1"/>
  <c r="H19" i="223" s="1"/>
  <c r="H52" i="223" s="1"/>
  <c r="G46" i="219"/>
  <c r="H46" i="219" s="1"/>
  <c r="H50" i="219" s="1"/>
  <c r="G13" i="219" s="1"/>
  <c r="H13" i="219" s="1"/>
  <c r="H19" i="219" s="1"/>
  <c r="H52" i="219" s="1"/>
  <c r="G46" i="184"/>
  <c r="H46" i="184" s="1"/>
  <c r="H50" i="184" s="1"/>
  <c r="G13" i="184" s="1"/>
  <c r="H13" i="184" s="1"/>
  <c r="H19" i="184" s="1"/>
  <c r="H52" i="184" s="1"/>
  <c r="G46" i="177"/>
  <c r="H46" i="177" s="1"/>
  <c r="H50" i="177" s="1"/>
  <c r="G13" i="177" s="1"/>
  <c r="H13" i="177" s="1"/>
  <c r="H19" i="177" s="1"/>
  <c r="H52" i="177" s="1"/>
  <c r="G46" i="181"/>
  <c r="H46" i="181" s="1"/>
  <c r="H50" i="181" s="1"/>
  <c r="G13" i="181" s="1"/>
  <c r="H13" i="181" s="1"/>
  <c r="H19" i="181" s="1"/>
  <c r="H52" i="181" s="1"/>
  <c r="G46" i="186"/>
  <c r="H46" i="186" s="1"/>
  <c r="H50" i="186" s="1"/>
  <c r="G13" i="186" s="1"/>
  <c r="H13" i="186" s="1"/>
  <c r="H19" i="186" s="1"/>
  <c r="G46" i="179"/>
  <c r="H46" i="179" s="1"/>
  <c r="H50" i="179" s="1"/>
  <c r="G13" i="179" s="1"/>
  <c r="H13" i="179" s="1"/>
  <c r="H19" i="179" s="1"/>
  <c r="H52" i="179" s="1"/>
  <c r="G46" i="183"/>
  <c r="H46" i="183" s="1"/>
  <c r="H50" i="183" s="1"/>
  <c r="G13" i="183" s="1"/>
  <c r="H13" i="183" s="1"/>
  <c r="H19" i="183" s="1"/>
  <c r="H52" i="183" s="1"/>
  <c r="G46" i="185"/>
  <c r="H46" i="185" s="1"/>
  <c r="H50" i="185" s="1"/>
  <c r="G13" i="185" s="1"/>
  <c r="H13" i="185" s="1"/>
  <c r="H19" i="185" s="1"/>
  <c r="G46" i="187"/>
  <c r="H46" i="187" s="1"/>
  <c r="H50" i="187" s="1"/>
  <c r="G13" i="187" s="1"/>
  <c r="H13" i="187" s="1"/>
  <c r="H19" i="187" s="1"/>
  <c r="G46" i="188"/>
  <c r="H46" i="188" s="1"/>
  <c r="H50" i="188" s="1"/>
  <c r="G13" i="188" s="1"/>
  <c r="H13" i="188" s="1"/>
  <c r="H19" i="188" s="1"/>
  <c r="H52" i="188" s="1"/>
  <c r="G46" i="178"/>
  <c r="H46" i="178" s="1"/>
  <c r="H50" i="178" s="1"/>
  <c r="G13" i="178" s="1"/>
  <c r="H13" i="178" s="1"/>
  <c r="H19" i="178" s="1"/>
  <c r="H52" i="178" s="1"/>
  <c r="G46" i="175"/>
  <c r="H46" i="175" s="1"/>
  <c r="H50" i="175" s="1"/>
  <c r="G13" i="175" s="1"/>
  <c r="H13" i="175" s="1"/>
  <c r="H19" i="175" s="1"/>
  <c r="G46" i="167"/>
  <c r="H46" i="167" s="1"/>
  <c r="H50" i="167" s="1"/>
  <c r="G13" i="167" s="1"/>
  <c r="H13" i="167" s="1"/>
  <c r="H19" i="167" s="1"/>
  <c r="H52" i="167" s="1"/>
  <c r="G46" i="165"/>
  <c r="H46" i="165" s="1"/>
  <c r="H50" i="165" s="1"/>
  <c r="G13" i="165" s="1"/>
  <c r="H13" i="165" s="1"/>
  <c r="H19" i="165" s="1"/>
  <c r="H52" i="165" s="1"/>
  <c r="G46" i="164"/>
  <c r="H46" i="164" s="1"/>
  <c r="H50" i="164" s="1"/>
  <c r="G13" i="164" s="1"/>
  <c r="H13" i="164" s="1"/>
  <c r="H19" i="164" s="1"/>
  <c r="G46" i="161"/>
  <c r="H46" i="161" s="1"/>
  <c r="H50" i="161" s="1"/>
  <c r="G13" i="161" s="1"/>
  <c r="H13" i="161" s="1"/>
  <c r="H19" i="161" s="1"/>
  <c r="H52" i="161" s="1"/>
  <c r="G46" i="157"/>
  <c r="H46" i="157" s="1"/>
  <c r="H50" i="157" s="1"/>
  <c r="G13" i="157" s="1"/>
  <c r="H13" i="157" s="1"/>
  <c r="H19" i="157" s="1"/>
  <c r="G46" i="163"/>
  <c r="H46" i="163" s="1"/>
  <c r="H50" i="163" s="1"/>
  <c r="G13" i="163" s="1"/>
  <c r="H13" i="163" s="1"/>
  <c r="H19" i="163" s="1"/>
  <c r="G46" i="160"/>
  <c r="H46" i="160" s="1"/>
  <c r="H50" i="160" s="1"/>
  <c r="G13" i="160" s="1"/>
  <c r="H13" i="160" s="1"/>
  <c r="H19" i="160" s="1"/>
  <c r="G46" i="176"/>
  <c r="H46" i="176" s="1"/>
  <c r="H50" i="176" s="1"/>
  <c r="G13" i="176" s="1"/>
  <c r="H13" i="176" s="1"/>
  <c r="H19" i="176" s="1"/>
  <c r="G46" i="159"/>
  <c r="H46" i="159" s="1"/>
  <c r="H50" i="159" s="1"/>
  <c r="G13" i="159" s="1"/>
  <c r="H13" i="159" s="1"/>
  <c r="H19" i="159" s="1"/>
  <c r="G46" i="173"/>
  <c r="H46" i="173" s="1"/>
  <c r="H50" i="173" s="1"/>
  <c r="G13" i="173" s="1"/>
  <c r="H13" i="173" s="1"/>
  <c r="H19" i="173" s="1"/>
  <c r="G46" i="170"/>
  <c r="H46" i="170" s="1"/>
  <c r="H50" i="170" s="1"/>
  <c r="G13" i="170" s="1"/>
  <c r="H13" i="170" s="1"/>
  <c r="H19" i="170" s="1"/>
  <c r="H52" i="170" s="1"/>
  <c r="G46" i="166"/>
  <c r="H46" i="166" s="1"/>
  <c r="H50" i="166" s="1"/>
  <c r="G13" i="166" s="1"/>
  <c r="H13" i="166" s="1"/>
  <c r="H19" i="166" s="1"/>
  <c r="H52" i="166" s="1"/>
  <c r="G46" i="171"/>
  <c r="H46" i="171" s="1"/>
  <c r="H50" i="171" s="1"/>
  <c r="G13" i="171" s="1"/>
  <c r="H13" i="171" s="1"/>
  <c r="H19" i="171" s="1"/>
  <c r="H52" i="171" s="1"/>
  <c r="G46" i="162"/>
  <c r="H46" i="162" s="1"/>
  <c r="H50" i="162" s="1"/>
  <c r="G13" i="162" s="1"/>
  <c r="H13" i="162" s="1"/>
  <c r="H19" i="162" s="1"/>
  <c r="H52" i="162" s="1"/>
  <c r="G46" i="174"/>
  <c r="H46" i="174" s="1"/>
  <c r="H50" i="174" s="1"/>
  <c r="G13" i="174" s="1"/>
  <c r="H13" i="174" s="1"/>
  <c r="H19" i="174" s="1"/>
  <c r="G46" i="155"/>
  <c r="H46" i="155" s="1"/>
  <c r="H50" i="155" s="1"/>
  <c r="G13" i="155" s="1"/>
  <c r="H13" i="155" s="1"/>
  <c r="H19" i="155" s="1"/>
  <c r="G46" i="156"/>
  <c r="H46" i="156" s="1"/>
  <c r="H50" i="156" s="1"/>
  <c r="G13" i="156" s="1"/>
  <c r="H13" i="156" s="1"/>
  <c r="H19" i="156" s="1"/>
  <c r="G46" i="153"/>
  <c r="H46" i="153" s="1"/>
  <c r="H50" i="153" s="1"/>
  <c r="G13" i="153" s="1"/>
  <c r="H13" i="153" s="1"/>
  <c r="H19" i="153" s="1"/>
  <c r="H52" i="153" s="1"/>
  <c r="G46" i="154"/>
  <c r="H46" i="154" s="1"/>
  <c r="H50" i="154" s="1"/>
  <c r="G13" i="154" s="1"/>
  <c r="H13" i="154" s="1"/>
  <c r="H19" i="154" s="1"/>
  <c r="H52" i="154" s="1"/>
  <c r="G46" i="146"/>
  <c r="H46" i="146" s="1"/>
  <c r="H50" i="146" s="1"/>
  <c r="G13" i="146" s="1"/>
  <c r="H13" i="146" s="1"/>
  <c r="H19" i="146" s="1"/>
  <c r="H52" i="146" s="1"/>
  <c r="G46" i="145"/>
  <c r="H46" i="145" s="1"/>
  <c r="H50" i="145" s="1"/>
  <c r="G13" i="145" s="1"/>
  <c r="H13" i="145" s="1"/>
  <c r="H19" i="145" s="1"/>
  <c r="G46" i="144"/>
  <c r="H46" i="144" s="1"/>
  <c r="H50" i="144" s="1"/>
  <c r="G13" i="144" s="1"/>
  <c r="H13" i="144" s="1"/>
  <c r="H19" i="144" s="1"/>
  <c r="G285" i="17"/>
  <c r="H285" i="17" s="1"/>
  <c r="H289" i="17" s="1"/>
  <c r="G253" i="17" s="1"/>
  <c r="H253" i="17" s="1"/>
  <c r="H259" i="17" s="1"/>
  <c r="H291" i="17" s="1"/>
  <c r="H292" i="17" s="1"/>
  <c r="H293" i="17" s="1"/>
  <c r="G342" i="17"/>
  <c r="H342" i="17" s="1"/>
  <c r="H346" i="17" s="1"/>
  <c r="G310" i="17" s="1"/>
  <c r="H310" i="17" s="1"/>
  <c r="H316" i="17" s="1"/>
  <c r="H348" i="17" s="1"/>
  <c r="G42" i="231"/>
  <c r="H42" i="231" s="1"/>
  <c r="H46" i="231" s="1"/>
  <c r="G13" i="231" s="1"/>
  <c r="H13" i="231" s="1"/>
  <c r="H19" i="231" s="1"/>
  <c r="H48" i="231" s="1"/>
  <c r="G46" i="232"/>
  <c r="H46" i="232" s="1"/>
  <c r="H50" i="232" s="1"/>
  <c r="G13" i="232" s="1"/>
  <c r="H13" i="232" s="1"/>
  <c r="H19" i="232" s="1"/>
  <c r="H52" i="232" s="1"/>
  <c r="E61" i="14"/>
  <c r="G25" i="233" s="1"/>
  <c r="H25" i="233" s="1"/>
  <c r="E70" i="14"/>
  <c r="DY95" i="149"/>
  <c r="EB95" i="149"/>
  <c r="EC114" i="149"/>
  <c r="DN112" i="149"/>
  <c r="DN31" i="149"/>
  <c r="EC20" i="149"/>
  <c r="ED20" i="149" s="1"/>
  <c r="EF20" i="149" s="1"/>
  <c r="BV114" i="149"/>
  <c r="BT114" i="149"/>
  <c r="CY114" i="149"/>
  <c r="BS114" i="149"/>
  <c r="BT33" i="149"/>
  <c r="BV33" i="149"/>
  <c r="BS33" i="149"/>
  <c r="CY33" i="149"/>
  <c r="DJ93" i="149"/>
  <c r="CX94" i="149"/>
  <c r="DC94" i="149"/>
  <c r="DA94" i="149"/>
  <c r="DB94" i="149"/>
  <c r="EB33" i="149"/>
  <c r="DY33" i="149"/>
  <c r="CK94" i="149"/>
  <c r="BQ95" i="149"/>
  <c r="BR95" i="149" s="1"/>
  <c r="BU95" i="149" s="1"/>
  <c r="DL19" i="149"/>
  <c r="DM19" i="149"/>
  <c r="CP19" i="149"/>
  <c r="EE32" i="149"/>
  <c r="ED32" i="149"/>
  <c r="EF32" i="149" s="1"/>
  <c r="DJ19" i="149"/>
  <c r="EF19" i="149"/>
  <c r="DS14" i="149"/>
  <c r="CK20" i="149"/>
  <c r="DM93" i="149"/>
  <c r="DL93" i="149"/>
  <c r="CP93" i="149"/>
  <c r="CX20" i="149"/>
  <c r="DC20" i="149"/>
  <c r="DA20" i="149"/>
  <c r="DB20" i="149"/>
  <c r="CZ32" i="149"/>
  <c r="DE32" i="149"/>
  <c r="DP32" i="149" s="1"/>
  <c r="DE113" i="149"/>
  <c r="DP113" i="149" s="1"/>
  <c r="CZ113" i="149"/>
  <c r="G46" i="88"/>
  <c r="H46" i="88" s="1"/>
  <c r="H50" i="88" s="1"/>
  <c r="G13" i="88" s="1"/>
  <c r="H13" i="88" s="1"/>
  <c r="H19" i="88" s="1"/>
  <c r="H52" i="88" s="1"/>
  <c r="G102" i="17"/>
  <c r="H102" i="17" s="1"/>
  <c r="H106" i="17" s="1"/>
  <c r="G70" i="17" s="1"/>
  <c r="H70" i="17" s="1"/>
  <c r="H76" i="17" s="1"/>
  <c r="H108" i="17" s="1"/>
  <c r="H109" i="17" s="1"/>
  <c r="H110" i="17" s="1"/>
  <c r="G530" i="17"/>
  <c r="H530" i="17" s="1"/>
  <c r="H534" i="17" s="1"/>
  <c r="G498" i="17" s="1"/>
  <c r="H498" i="17" s="1"/>
  <c r="H504" i="17" s="1"/>
  <c r="H536" i="17" s="1"/>
  <c r="G402" i="17"/>
  <c r="H402" i="17" s="1"/>
  <c r="H406" i="17" s="1"/>
  <c r="G370" i="17" s="1"/>
  <c r="H370" i="17" s="1"/>
  <c r="H376" i="17" s="1"/>
  <c r="H408" i="17" s="1"/>
  <c r="H409" i="17" s="1"/>
  <c r="H410" i="17" s="1"/>
  <c r="G663" i="17"/>
  <c r="H663" i="17" s="1"/>
  <c r="H667" i="17" s="1"/>
  <c r="G631" i="17" s="1"/>
  <c r="H631" i="17" s="1"/>
  <c r="H637" i="17" s="1"/>
  <c r="H669" i="17" s="1"/>
  <c r="H670" i="17" s="1"/>
  <c r="H671" i="17" s="1"/>
  <c r="G46" i="89"/>
  <c r="H46" i="89" s="1"/>
  <c r="H50" i="89" s="1"/>
  <c r="G13" i="89" s="1"/>
  <c r="H13" i="89" s="1"/>
  <c r="H19" i="89" s="1"/>
  <c r="H52" i="89" s="1"/>
  <c r="G46" i="123"/>
  <c r="H46" i="123" s="1"/>
  <c r="H50" i="123" s="1"/>
  <c r="G13" i="123" s="1"/>
  <c r="H13" i="123" s="1"/>
  <c r="H19" i="123" s="1"/>
  <c r="G46" i="44"/>
  <c r="H46" i="44" s="1"/>
  <c r="H50" i="44" s="1"/>
  <c r="G13" i="44" s="1"/>
  <c r="H13" i="44" s="1"/>
  <c r="H19" i="44" s="1"/>
  <c r="H52" i="44" s="1"/>
  <c r="G46" i="120"/>
  <c r="H46" i="120" s="1"/>
  <c r="H50" i="120" s="1"/>
  <c r="G13" i="120" s="1"/>
  <c r="H13" i="120" s="1"/>
  <c r="H19" i="120" s="1"/>
  <c r="G46" i="121"/>
  <c r="H46" i="121" s="1"/>
  <c r="H50" i="121" s="1"/>
  <c r="G13" i="121" s="1"/>
  <c r="H13" i="121" s="1"/>
  <c r="H19" i="121" s="1"/>
  <c r="G46" i="115"/>
  <c r="H46" i="115" s="1"/>
  <c r="H50" i="115" s="1"/>
  <c r="G13" i="115" s="1"/>
  <c r="H13" i="115" s="1"/>
  <c r="H19" i="115" s="1"/>
  <c r="H52" i="115" s="1"/>
  <c r="G46" i="127"/>
  <c r="H46" i="127" s="1"/>
  <c r="H50" i="127" s="1"/>
  <c r="G13" i="127" s="1"/>
  <c r="H13" i="127" s="1"/>
  <c r="H19" i="127" s="1"/>
  <c r="H52" i="127" s="1"/>
  <c r="G46" i="116"/>
  <c r="H46" i="116" s="1"/>
  <c r="H50" i="116" s="1"/>
  <c r="G13" i="116" s="1"/>
  <c r="H13" i="116" s="1"/>
  <c r="H19" i="116" s="1"/>
  <c r="H52" i="116" s="1"/>
  <c r="H53" i="116" s="1"/>
  <c r="H54" i="116" s="1"/>
  <c r="E34" i="16" s="1"/>
  <c r="G46" i="122"/>
  <c r="H46" i="122" s="1"/>
  <c r="H50" i="122" s="1"/>
  <c r="G13" i="122" s="1"/>
  <c r="H13" i="122" s="1"/>
  <c r="H19" i="122" s="1"/>
  <c r="H52" i="122" s="1"/>
  <c r="G46" i="117"/>
  <c r="H46" i="117" s="1"/>
  <c r="H50" i="117" s="1"/>
  <c r="G13" i="117" s="1"/>
  <c r="H13" i="117" s="1"/>
  <c r="H19" i="117" s="1"/>
  <c r="H52" i="117" s="1"/>
  <c r="G46" i="126"/>
  <c r="H46" i="126" s="1"/>
  <c r="H50" i="126" s="1"/>
  <c r="G13" i="126" s="1"/>
  <c r="H13" i="126" s="1"/>
  <c r="H19" i="126" s="1"/>
  <c r="H52" i="126" s="1"/>
  <c r="G46" i="129"/>
  <c r="H46" i="129" s="1"/>
  <c r="H50" i="129" s="1"/>
  <c r="G13" i="129" s="1"/>
  <c r="H13" i="129" s="1"/>
  <c r="H19" i="129" s="1"/>
  <c r="H52" i="129" s="1"/>
  <c r="G46" i="41"/>
  <c r="H46" i="41" s="1"/>
  <c r="H50" i="41" s="1"/>
  <c r="G13" i="41" s="1"/>
  <c r="H13" i="41" s="1"/>
  <c r="H19" i="41" s="1"/>
  <c r="H52" i="41" s="1"/>
  <c r="G46" i="128"/>
  <c r="H46" i="128" s="1"/>
  <c r="H50" i="128" s="1"/>
  <c r="G13" i="128" s="1"/>
  <c r="H13" i="128" s="1"/>
  <c r="H19" i="128" s="1"/>
  <c r="H52" i="128" s="1"/>
  <c r="H477" i="17" l="1"/>
  <c r="H478" i="17" s="1"/>
  <c r="E66" i="14"/>
  <c r="H53" i="41"/>
  <c r="H54" i="41" s="1"/>
  <c r="E32" i="16" s="1"/>
  <c r="E26" i="240" s="1"/>
  <c r="H53" i="89"/>
  <c r="H54" i="89" s="1"/>
  <c r="H53" i="142"/>
  <c r="H54" i="142" s="1"/>
  <c r="E40" i="16" s="1"/>
  <c r="E34" i="240" s="1"/>
  <c r="E73" i="14"/>
  <c r="G24" i="233" s="1"/>
  <c r="H24" i="233" s="1"/>
  <c r="H806" i="17"/>
  <c r="H807" i="17" s="1"/>
  <c r="E76" i="14"/>
  <c r="H1010" i="17"/>
  <c r="H1011" i="17" s="1"/>
  <c r="H53" i="129"/>
  <c r="H54" i="129" s="1"/>
  <c r="E60" i="16" s="1"/>
  <c r="F60" i="16" s="1"/>
  <c r="F54" i="240" s="1"/>
  <c r="H53" i="88"/>
  <c r="H54" i="88" s="1"/>
  <c r="E64" i="14"/>
  <c r="G23" i="239" s="1"/>
  <c r="H23" i="239" s="1"/>
  <c r="H33" i="239" s="1"/>
  <c r="H52" i="239" s="1"/>
  <c r="H53" i="239" s="1"/>
  <c r="H54" i="239" s="1"/>
  <c r="E74" i="16" s="1"/>
  <c r="E68" i="240" s="1"/>
  <c r="H349" i="17"/>
  <c r="H350" i="17" s="1"/>
  <c r="H53" i="146"/>
  <c r="H54" i="146" s="1"/>
  <c r="E18" i="16" s="1"/>
  <c r="E12" i="240" s="1"/>
  <c r="E59" i="14"/>
  <c r="H52" i="17"/>
  <c r="H53" i="17" s="1"/>
  <c r="H53" i="252"/>
  <c r="H54" i="252" s="1"/>
  <c r="E66" i="16" s="1"/>
  <c r="E60" i="240" s="1"/>
  <c r="E74" i="14"/>
  <c r="G23" i="209" s="1"/>
  <c r="H23" i="209" s="1"/>
  <c r="H33" i="209" s="1"/>
  <c r="H52" i="209" s="1"/>
  <c r="H874" i="17"/>
  <c r="H875" i="17" s="1"/>
  <c r="E72" i="14"/>
  <c r="H738" i="17"/>
  <c r="H739" i="17" s="1"/>
  <c r="H53" i="122"/>
  <c r="H54" i="122" s="1"/>
  <c r="E57" i="16" s="1"/>
  <c r="H53" i="126"/>
  <c r="H54" i="126" s="1"/>
  <c r="E39" i="16" s="1"/>
  <c r="E33" i="240" s="1"/>
  <c r="H53" i="127"/>
  <c r="H54" i="127" s="1"/>
  <c r="E58" i="16" s="1"/>
  <c r="E52" i="240" s="1"/>
  <c r="H53" i="44"/>
  <c r="H54" i="44" s="1"/>
  <c r="E17" i="16" s="1"/>
  <c r="E11" i="240" s="1"/>
  <c r="E75" i="14"/>
  <c r="H942" i="17"/>
  <c r="H943" i="17" s="1"/>
  <c r="H53" i="128"/>
  <c r="H54" i="128" s="1"/>
  <c r="E59" i="16" s="1"/>
  <c r="E53" i="240" s="1"/>
  <c r="H53" i="117"/>
  <c r="H54" i="117" s="1"/>
  <c r="E35" i="16" s="1"/>
  <c r="E29" i="240" s="1"/>
  <c r="H53" i="115"/>
  <c r="H54" i="115" s="1"/>
  <c r="E33" i="16" s="1"/>
  <c r="E27" i="240" s="1"/>
  <c r="E67" i="14"/>
  <c r="G23" i="187" s="1"/>
  <c r="H23" i="187" s="1"/>
  <c r="H33" i="187" s="1"/>
  <c r="H52" i="187" s="1"/>
  <c r="H537" i="17"/>
  <c r="H538" i="17" s="1"/>
  <c r="BY33" i="149"/>
  <c r="BZ33" i="149"/>
  <c r="CN20" i="149"/>
  <c r="CO20" i="149"/>
  <c r="CO94" i="149"/>
  <c r="CN94" i="149"/>
  <c r="BY114" i="149"/>
  <c r="BZ114" i="149"/>
  <c r="DQ112" i="149"/>
  <c r="DR112" i="149"/>
  <c r="DS112" i="149" s="1"/>
  <c r="DQ31" i="149"/>
  <c r="DR31" i="149"/>
  <c r="DS31" i="149" s="1"/>
  <c r="BW33" i="149"/>
  <c r="BX33" i="149"/>
  <c r="BW114" i="149"/>
  <c r="BX114" i="149"/>
  <c r="H50" i="235"/>
  <c r="H50" i="230"/>
  <c r="G13" i="230" s="1"/>
  <c r="H13" i="230" s="1"/>
  <c r="H19" i="230" s="1"/>
  <c r="H52" i="230" s="1"/>
  <c r="G23" i="120"/>
  <c r="H23" i="120" s="1"/>
  <c r="G23" i="144"/>
  <c r="H23" i="144" s="1"/>
  <c r="H33" i="144" s="1"/>
  <c r="H52" i="144" s="1"/>
  <c r="H50" i="233"/>
  <c r="H69" i="233" s="1"/>
  <c r="G202" i="17"/>
  <c r="H202" i="17" s="1"/>
  <c r="H213" i="17" s="1"/>
  <c r="H230" i="17" s="1"/>
  <c r="E63" i="14"/>
  <c r="G23" i="123" s="1"/>
  <c r="H23" i="123" s="1"/>
  <c r="G23" i="227"/>
  <c r="H23" i="227" s="1"/>
  <c r="H33" i="227" s="1"/>
  <c r="H52" i="227" s="1"/>
  <c r="G24" i="208"/>
  <c r="H24" i="208" s="1"/>
  <c r="H33" i="208" s="1"/>
  <c r="G25" i="218"/>
  <c r="H25" i="218" s="1"/>
  <c r="H33" i="218" s="1"/>
  <c r="H33" i="215"/>
  <c r="H33" i="160"/>
  <c r="H52" i="160" s="1"/>
  <c r="G23" i="207"/>
  <c r="H23" i="207" s="1"/>
  <c r="H34" i="207" s="1"/>
  <c r="H53" i="207" s="1"/>
  <c r="H33" i="193"/>
  <c r="G23" i="192"/>
  <c r="H23" i="192" s="1"/>
  <c r="H33" i="192" s="1"/>
  <c r="H52" i="192" s="1"/>
  <c r="G24" i="191"/>
  <c r="H24" i="191" s="1"/>
  <c r="H33" i="191" s="1"/>
  <c r="H33" i="176"/>
  <c r="H52" i="176" s="1"/>
  <c r="G23" i="174"/>
  <c r="H23" i="174" s="1"/>
  <c r="H33" i="174" s="1"/>
  <c r="H52" i="174" s="1"/>
  <c r="G23" i="121"/>
  <c r="H23" i="121" s="1"/>
  <c r="E28" i="240"/>
  <c r="G23" i="157"/>
  <c r="H23" i="157" s="1"/>
  <c r="H33" i="157" s="1"/>
  <c r="H52" i="157" s="1"/>
  <c r="E71" i="14"/>
  <c r="E65" i="14"/>
  <c r="E60" i="14"/>
  <c r="EC95" i="149"/>
  <c r="ED95" i="149" s="1"/>
  <c r="EF95" i="149" s="1"/>
  <c r="EE20" i="149"/>
  <c r="EE114" i="149"/>
  <c r="ED114" i="149"/>
  <c r="DN19" i="149"/>
  <c r="EC33" i="149"/>
  <c r="ED33" i="149" s="1"/>
  <c r="EF33" i="149" s="1"/>
  <c r="DN93" i="149"/>
  <c r="DL113" i="149"/>
  <c r="DM113" i="149"/>
  <c r="CP113" i="149"/>
  <c r="BT95" i="149"/>
  <c r="BV95" i="149"/>
  <c r="CY95" i="149"/>
  <c r="BS95" i="149"/>
  <c r="DE20" i="149"/>
  <c r="DP20" i="149" s="1"/>
  <c r="CZ20" i="149"/>
  <c r="DM32" i="149"/>
  <c r="DL32" i="149"/>
  <c r="CP32" i="149"/>
  <c r="CK114" i="149"/>
  <c r="CX114" i="149"/>
  <c r="DC114" i="149"/>
  <c r="DA114" i="149"/>
  <c r="DB114" i="149"/>
  <c r="CX33" i="149"/>
  <c r="DC33" i="149"/>
  <c r="DB33" i="149"/>
  <c r="DA33" i="149"/>
  <c r="CK33" i="149"/>
  <c r="DJ113" i="149"/>
  <c r="DE94" i="149"/>
  <c r="DP94" i="149" s="1"/>
  <c r="CZ94" i="149"/>
  <c r="DJ32" i="149"/>
  <c r="BP96" i="149"/>
  <c r="DV96" i="149" s="1"/>
  <c r="F32" i="16"/>
  <c r="F35" i="16"/>
  <c r="F29" i="240" s="1"/>
  <c r="E67" i="16" l="1"/>
  <c r="E61" i="240" s="1"/>
  <c r="E67" i="256"/>
  <c r="F67" i="256" s="1"/>
  <c r="E68" i="16"/>
  <c r="E62" i="240" s="1"/>
  <c r="E68" i="256"/>
  <c r="F68" i="256" s="1"/>
  <c r="F33" i="16"/>
  <c r="F27" i="240" s="1"/>
  <c r="F26" i="240"/>
  <c r="S26" i="240" s="1"/>
  <c r="G23" i="186"/>
  <c r="H23" i="186" s="1"/>
  <c r="H33" i="186" s="1"/>
  <c r="H52" i="186" s="1"/>
  <c r="G23" i="226"/>
  <c r="H23" i="226" s="1"/>
  <c r="H33" i="226" s="1"/>
  <c r="H52" i="226" s="1"/>
  <c r="G23" i="204"/>
  <c r="H23" i="204" s="1"/>
  <c r="H33" i="204" s="1"/>
  <c r="H52" i="204" s="1"/>
  <c r="G23" i="225"/>
  <c r="H23" i="225" s="1"/>
  <c r="H33" i="225" s="1"/>
  <c r="H52" i="225" s="1"/>
  <c r="G23" i="164"/>
  <c r="H23" i="164" s="1"/>
  <c r="H33" i="164" s="1"/>
  <c r="H52" i="164" s="1"/>
  <c r="F58" i="16"/>
  <c r="F52" i="240" s="1"/>
  <c r="AD52" i="240" s="1"/>
  <c r="G23" i="175"/>
  <c r="H23" i="175" s="1"/>
  <c r="H33" i="175" s="1"/>
  <c r="H52" i="175" s="1"/>
  <c r="F59" i="16"/>
  <c r="F53" i="240" s="1"/>
  <c r="AM53" i="240" s="1"/>
  <c r="E54" i="240"/>
  <c r="F74" i="16"/>
  <c r="F68" i="240" s="1"/>
  <c r="AR68" i="240" s="1"/>
  <c r="G23" i="235"/>
  <c r="E62" i="14"/>
  <c r="H231" i="17"/>
  <c r="H232" i="17" s="1"/>
  <c r="H53" i="144"/>
  <c r="H54" i="144" s="1"/>
  <c r="E46" i="16" s="1"/>
  <c r="E40" i="240" s="1"/>
  <c r="AO54" i="240"/>
  <c r="AP54" i="240"/>
  <c r="AQ54" i="240"/>
  <c r="AR54" i="240"/>
  <c r="X27" i="240"/>
  <c r="Y27" i="240"/>
  <c r="Z27" i="240"/>
  <c r="W27" i="240"/>
  <c r="R26" i="240"/>
  <c r="T26" i="240"/>
  <c r="U26" i="240"/>
  <c r="V26" i="240"/>
  <c r="AD26" i="240"/>
  <c r="P26" i="240"/>
  <c r="Y26" i="240"/>
  <c r="AC26" i="240"/>
  <c r="AB26" i="240"/>
  <c r="X26" i="240"/>
  <c r="AJ29" i="240"/>
  <c r="AK29" i="240"/>
  <c r="AL29" i="240"/>
  <c r="AI29" i="240"/>
  <c r="AO29" i="240"/>
  <c r="AM29" i="240"/>
  <c r="AN29" i="240"/>
  <c r="AP29" i="240"/>
  <c r="F57" i="16"/>
  <c r="E51" i="240"/>
  <c r="CN33" i="149"/>
  <c r="CO33" i="149"/>
  <c r="BY95" i="149"/>
  <c r="BZ95" i="149"/>
  <c r="CN114" i="149"/>
  <c r="CO114" i="149"/>
  <c r="DQ19" i="149"/>
  <c r="DR19" i="149"/>
  <c r="DS19" i="149" s="1"/>
  <c r="DQ93" i="149"/>
  <c r="DR93" i="149"/>
  <c r="DS93" i="149" s="1"/>
  <c r="BX95" i="149"/>
  <c r="BW95" i="149"/>
  <c r="G13" i="235"/>
  <c r="H13" i="235" s="1"/>
  <c r="H19" i="235" s="1"/>
  <c r="H23" i="235"/>
  <c r="H33" i="235" s="1"/>
  <c r="G23" i="145"/>
  <c r="H23" i="145" s="1"/>
  <c r="H33" i="145" s="1"/>
  <c r="H52" i="145" s="1"/>
  <c r="H53" i="145" s="1"/>
  <c r="H54" i="145" s="1"/>
  <c r="E62" i="16" s="1"/>
  <c r="G23" i="214"/>
  <c r="H23" i="214" s="1"/>
  <c r="H33" i="214" s="1"/>
  <c r="H52" i="214" s="1"/>
  <c r="H37" i="208"/>
  <c r="H42" i="208" s="1"/>
  <c r="H52" i="208" s="1"/>
  <c r="H37" i="218"/>
  <c r="H42" i="218" s="1"/>
  <c r="H52" i="218" s="1"/>
  <c r="H37" i="191"/>
  <c r="H42" i="191" s="1"/>
  <c r="H52" i="191" s="1"/>
  <c r="H37" i="193"/>
  <c r="H42" i="193" s="1"/>
  <c r="H52" i="193" s="1"/>
  <c r="H37" i="215"/>
  <c r="H42" i="215" s="1"/>
  <c r="H52" i="215" s="1"/>
  <c r="G23" i="203"/>
  <c r="H23" i="203" s="1"/>
  <c r="H33" i="203" s="1"/>
  <c r="H52" i="203" s="1"/>
  <c r="G23" i="224"/>
  <c r="H23" i="224" s="1"/>
  <c r="H33" i="224" s="1"/>
  <c r="H52" i="224" s="1"/>
  <c r="G23" i="185"/>
  <c r="H23" i="185" s="1"/>
  <c r="H33" i="185" s="1"/>
  <c r="H52" i="185" s="1"/>
  <c r="G23" i="202"/>
  <c r="H23" i="202" s="1"/>
  <c r="H33" i="202" s="1"/>
  <c r="H52" i="202" s="1"/>
  <c r="F34" i="16"/>
  <c r="F28" i="240" s="1"/>
  <c r="G23" i="163"/>
  <c r="H23" i="163" s="1"/>
  <c r="H33" i="163" s="1"/>
  <c r="H52" i="163" s="1"/>
  <c r="G23" i="173"/>
  <c r="H23" i="173" s="1"/>
  <c r="H33" i="173" s="1"/>
  <c r="H52" i="173" s="1"/>
  <c r="G23" i="156"/>
  <c r="H23" i="156" s="1"/>
  <c r="H33" i="156" s="1"/>
  <c r="H52" i="156" s="1"/>
  <c r="G23" i="159"/>
  <c r="H23" i="159" s="1"/>
  <c r="H33" i="159" s="1"/>
  <c r="H52" i="159" s="1"/>
  <c r="G23" i="155"/>
  <c r="H23" i="155" s="1"/>
  <c r="H33" i="155" s="1"/>
  <c r="H52" i="155" s="1"/>
  <c r="EE95" i="149"/>
  <c r="DY96" i="149"/>
  <c r="EB96" i="149"/>
  <c r="EF114" i="149"/>
  <c r="EE33" i="149"/>
  <c r="DN113" i="149"/>
  <c r="DN32" i="149"/>
  <c r="DJ94" i="149"/>
  <c r="DE33" i="149"/>
  <c r="DP33" i="149" s="1"/>
  <c r="CZ33" i="149"/>
  <c r="DM94" i="149"/>
  <c r="DL94" i="149"/>
  <c r="CP94" i="149"/>
  <c r="DJ20" i="149"/>
  <c r="DM20" i="149"/>
  <c r="DL20" i="149"/>
  <c r="CP20" i="149"/>
  <c r="CK95" i="149"/>
  <c r="BQ96" i="149"/>
  <c r="BR96" i="149" s="1"/>
  <c r="BU96" i="149" s="1"/>
  <c r="CX95" i="149"/>
  <c r="DC95" i="149"/>
  <c r="DA95" i="149"/>
  <c r="DB95" i="149"/>
  <c r="DE114" i="149"/>
  <c r="DP114" i="149" s="1"/>
  <c r="CZ114" i="149"/>
  <c r="G24" i="123"/>
  <c r="H24" i="123" s="1"/>
  <c r="H33" i="123" s="1"/>
  <c r="H52" i="123" s="1"/>
  <c r="H25" i="120"/>
  <c r="H33" i="120" s="1"/>
  <c r="H52" i="120" s="1"/>
  <c r="H33" i="121"/>
  <c r="H52" i="121" s="1"/>
  <c r="F69" i="256" l="1"/>
  <c r="F77" i="256" s="1"/>
  <c r="Q26" i="240"/>
  <c r="W26" i="240"/>
  <c r="AA26" i="240"/>
  <c r="Z26" i="240"/>
  <c r="F51" i="240"/>
  <c r="Z52" i="240"/>
  <c r="V52" i="240"/>
  <c r="AT68" i="240"/>
  <c r="AI52" i="240"/>
  <c r="AC52" i="240"/>
  <c r="T52" i="240"/>
  <c r="AJ52" i="240"/>
  <c r="X52" i="240"/>
  <c r="AF52" i="240"/>
  <c r="AB52" i="240"/>
  <c r="AN53" i="240"/>
  <c r="AH52" i="240"/>
  <c r="AP68" i="240"/>
  <c r="Q52" i="240"/>
  <c r="AE52" i="240"/>
  <c r="Y52" i="240"/>
  <c r="U52" i="240"/>
  <c r="AG52" i="240"/>
  <c r="S52" i="240"/>
  <c r="AL53" i="240"/>
  <c r="AO68" i="240"/>
  <c r="R52" i="240"/>
  <c r="AA52" i="240"/>
  <c r="W52" i="240"/>
  <c r="AK52" i="240"/>
  <c r="AS68" i="240"/>
  <c r="AQ68" i="240"/>
  <c r="H53" i="123"/>
  <c r="H54" i="123" s="1"/>
  <c r="E61" i="16" s="1"/>
  <c r="E55" i="240" s="1"/>
  <c r="H53" i="121"/>
  <c r="H54" i="121" s="1"/>
  <c r="E45" i="16" s="1"/>
  <c r="E39" i="240" s="1"/>
  <c r="H53" i="120"/>
  <c r="H54" i="120" s="1"/>
  <c r="E44" i="16" s="1"/>
  <c r="E38" i="240" s="1"/>
  <c r="V51" i="240"/>
  <c r="X51" i="240"/>
  <c r="AB51" i="240"/>
  <c r="AC51" i="240"/>
  <c r="AD51" i="240"/>
  <c r="AM51" i="240"/>
  <c r="R51" i="240"/>
  <c r="U51" i="240"/>
  <c r="W51" i="240"/>
  <c r="Y51" i="240"/>
  <c r="AA51" i="240"/>
  <c r="AF51" i="240"/>
  <c r="AH51" i="240"/>
  <c r="AI51" i="240"/>
  <c r="AJ51" i="240"/>
  <c r="AK51" i="240"/>
  <c r="AN51" i="240"/>
  <c r="T51" i="240"/>
  <c r="AL51" i="240"/>
  <c r="Z51" i="240"/>
  <c r="AE51" i="240"/>
  <c r="AO51" i="240"/>
  <c r="S51" i="240"/>
  <c r="AP51" i="240"/>
  <c r="AG51" i="240"/>
  <c r="AQ51" i="240"/>
  <c r="AR51" i="240"/>
  <c r="Q51" i="240"/>
  <c r="AH28" i="240"/>
  <c r="AA28" i="240"/>
  <c r="AB28" i="240"/>
  <c r="AC28" i="240"/>
  <c r="AF28" i="240"/>
  <c r="AG28" i="240"/>
  <c r="AD28" i="240"/>
  <c r="AE28" i="240"/>
  <c r="F62" i="16"/>
  <c r="F56" i="240" s="1"/>
  <c r="E56" i="240"/>
  <c r="CN95" i="149"/>
  <c r="CO95" i="149"/>
  <c r="DQ32" i="149"/>
  <c r="DR32" i="149"/>
  <c r="DQ113" i="149"/>
  <c r="DR113" i="149"/>
  <c r="DS113" i="149" s="1"/>
  <c r="H52" i="235"/>
  <c r="H53" i="235" s="1"/>
  <c r="H54" i="235" s="1"/>
  <c r="E73" i="16" s="1"/>
  <c r="DS32" i="149"/>
  <c r="F36" i="16"/>
  <c r="F30" i="240" s="1"/>
  <c r="EC96" i="149"/>
  <c r="DN94" i="149"/>
  <c r="DN20" i="149"/>
  <c r="BV96" i="149"/>
  <c r="BT96" i="149"/>
  <c r="BS96" i="149"/>
  <c r="CY96" i="149"/>
  <c r="BP97" i="149"/>
  <c r="DV97" i="149" s="1"/>
  <c r="DJ114" i="149"/>
  <c r="DL114" i="149"/>
  <c r="DM114" i="149"/>
  <c r="CP114" i="149"/>
  <c r="DL33" i="149"/>
  <c r="DM33" i="149"/>
  <c r="CP33" i="149"/>
  <c r="DJ33" i="149"/>
  <c r="DE95" i="149"/>
  <c r="DP95" i="149" s="1"/>
  <c r="CZ95" i="149"/>
  <c r="F72" i="16"/>
  <c r="F81" i="256" l="1"/>
  <c r="F66" i="240"/>
  <c r="AP66" i="240" s="1"/>
  <c r="F61" i="16"/>
  <c r="AQ66" i="240"/>
  <c r="AS66" i="240"/>
  <c r="AT66" i="240"/>
  <c r="AR66" i="240"/>
  <c r="AL56" i="240"/>
  <c r="AO56" i="240"/>
  <c r="AM56" i="240"/>
  <c r="AN56" i="240"/>
  <c r="AQ56" i="240"/>
  <c r="AR56" i="240"/>
  <c r="AP56" i="240"/>
  <c r="AK56" i="240"/>
  <c r="F73" i="16"/>
  <c r="F67" i="240" s="1"/>
  <c r="E67" i="240"/>
  <c r="BY96" i="149"/>
  <c r="BZ96" i="149"/>
  <c r="DQ20" i="149"/>
  <c r="DR20" i="149"/>
  <c r="DQ94" i="149"/>
  <c r="DR94" i="149"/>
  <c r="DS94" i="149" s="1"/>
  <c r="BX96" i="149"/>
  <c r="BW96" i="149"/>
  <c r="DS20" i="149"/>
  <c r="DY97" i="149"/>
  <c r="EB97" i="149"/>
  <c r="ED96" i="149"/>
  <c r="EF96" i="149" s="1"/>
  <c r="EE96" i="149"/>
  <c r="DN114" i="149"/>
  <c r="DN33" i="149"/>
  <c r="BQ97" i="149"/>
  <c r="BR97" i="149" s="1"/>
  <c r="BU97" i="149" s="1"/>
  <c r="DM95" i="149"/>
  <c r="DL95" i="149"/>
  <c r="CP95" i="149"/>
  <c r="CX96" i="149"/>
  <c r="DB96" i="149"/>
  <c r="DA96" i="149"/>
  <c r="DC96" i="149"/>
  <c r="DJ95" i="149"/>
  <c r="CK96" i="149"/>
  <c r="AO66" i="240" l="1"/>
  <c r="F55" i="240"/>
  <c r="Y55" i="240" s="1"/>
  <c r="F63" i="16"/>
  <c r="F57" i="240" s="1"/>
  <c r="Q55" i="240"/>
  <c r="AB55" i="240"/>
  <c r="Z55" i="240"/>
  <c r="X55" i="240"/>
  <c r="AH55" i="240"/>
  <c r="W55" i="240"/>
  <c r="U55" i="240"/>
  <c r="S55" i="240"/>
  <c r="AI55" i="240"/>
  <c r="AE55" i="240"/>
  <c r="AC55" i="240"/>
  <c r="V55" i="240"/>
  <c r="R55" i="240"/>
  <c r="AJ55" i="240"/>
  <c r="AF55" i="240"/>
  <c r="AA55" i="240"/>
  <c r="AG55" i="240"/>
  <c r="AD55" i="240"/>
  <c r="F75" i="16"/>
  <c r="F69" i="240" s="1"/>
  <c r="AP67" i="240"/>
  <c r="AQ67" i="240"/>
  <c r="AR67" i="240"/>
  <c r="AS67" i="240"/>
  <c r="AS72" i="240" s="1"/>
  <c r="AT67" i="240"/>
  <c r="AT74" i="240" s="1"/>
  <c r="AO67" i="240"/>
  <c r="CN96" i="149"/>
  <c r="CO96" i="149"/>
  <c r="DR114" i="149"/>
  <c r="DQ114" i="149"/>
  <c r="DQ33" i="149"/>
  <c r="DR33" i="149"/>
  <c r="DS33" i="149" s="1"/>
  <c r="EC97" i="149"/>
  <c r="EE97" i="149" s="1"/>
  <c r="DN95" i="149"/>
  <c r="CY97" i="149"/>
  <c r="BV97" i="149"/>
  <c r="BT97" i="149"/>
  <c r="BS97" i="149"/>
  <c r="DE96" i="149"/>
  <c r="DP96" i="149" s="1"/>
  <c r="CZ96" i="149"/>
  <c r="BP98" i="149"/>
  <c r="DV98" i="149" s="1"/>
  <c r="T55" i="240" l="1"/>
  <c r="AT72" i="240"/>
  <c r="AS74" i="240"/>
  <c r="AS77" i="240" s="1"/>
  <c r="AT76" i="240"/>
  <c r="AT77" i="240"/>
  <c r="AT75" i="240"/>
  <c r="BY97" i="149"/>
  <c r="BZ97" i="149"/>
  <c r="DQ95" i="149"/>
  <c r="DR95" i="149"/>
  <c r="DS95" i="149" s="1"/>
  <c r="BX97" i="149"/>
  <c r="BW97" i="149"/>
  <c r="ED97" i="149"/>
  <c r="EF97" i="149" s="1"/>
  <c r="DS114" i="149"/>
  <c r="DY98" i="149"/>
  <c r="EB98" i="149"/>
  <c r="DL96" i="149"/>
  <c r="DM96" i="149"/>
  <c r="CP96" i="149"/>
  <c r="DJ96" i="149"/>
  <c r="CX97" i="149"/>
  <c r="DC97" i="149"/>
  <c r="DB97" i="149"/>
  <c r="DA97" i="149"/>
  <c r="BQ98" i="149"/>
  <c r="BR98" i="149" s="1"/>
  <c r="BU98" i="149" s="1"/>
  <c r="CK97" i="149"/>
  <c r="AS76" i="240" l="1"/>
  <c r="AS75" i="240"/>
  <c r="CN97" i="149"/>
  <c r="CO97" i="149"/>
  <c r="EC98" i="149"/>
  <c r="EE98" i="149" s="1"/>
  <c r="DN96" i="149"/>
  <c r="BT98" i="149"/>
  <c r="BV98" i="149"/>
  <c r="CY98" i="149"/>
  <c r="BS98" i="149"/>
  <c r="BP99" i="149"/>
  <c r="DV99" i="149" s="1"/>
  <c r="DE97" i="149"/>
  <c r="DP97" i="149" s="1"/>
  <c r="CZ97" i="149"/>
  <c r="ED98" i="149" l="1"/>
  <c r="EF98" i="149" s="1"/>
  <c r="BY98" i="149"/>
  <c r="BZ98" i="149"/>
  <c r="DQ96" i="149"/>
  <c r="DR96" i="149"/>
  <c r="DS96" i="149" s="1"/>
  <c r="BX98" i="149"/>
  <c r="BW98" i="149"/>
  <c r="EB99" i="149"/>
  <c r="DY99" i="149"/>
  <c r="CX98" i="149"/>
  <c r="DB98" i="149"/>
  <c r="DC98" i="149"/>
  <c r="DA98" i="149"/>
  <c r="DM97" i="149"/>
  <c r="DL97" i="149"/>
  <c r="CP97" i="149"/>
  <c r="BQ99" i="149"/>
  <c r="BR99" i="149" s="1"/>
  <c r="BU99" i="149" s="1"/>
  <c r="CK98" i="149"/>
  <c r="DJ97" i="149"/>
  <c r="CN98" i="149" l="1"/>
  <c r="CO98" i="149"/>
  <c r="EC99" i="149"/>
  <c r="DN97" i="149"/>
  <c r="BP100" i="149"/>
  <c r="DV100" i="149" s="1"/>
  <c r="BT99" i="149"/>
  <c r="BV99" i="149"/>
  <c r="CY99" i="149"/>
  <c r="BS99" i="149"/>
  <c r="DE98" i="149"/>
  <c r="DP98" i="149" s="1"/>
  <c r="CZ98" i="149"/>
  <c r="BY99" i="149" l="1"/>
  <c r="BZ99" i="149"/>
  <c r="DQ97" i="149"/>
  <c r="DR97" i="149"/>
  <c r="DS97" i="149" s="1"/>
  <c r="BX99" i="149"/>
  <c r="BW99" i="149"/>
  <c r="DY100" i="149"/>
  <c r="EB100" i="149"/>
  <c r="ED99" i="149"/>
  <c r="EF99" i="149" s="1"/>
  <c r="EE99" i="149"/>
  <c r="DL98" i="149"/>
  <c r="DM98" i="149"/>
  <c r="CP98" i="149"/>
  <c r="CX99" i="149"/>
  <c r="DC99" i="149"/>
  <c r="DA99" i="149"/>
  <c r="DB99" i="149"/>
  <c r="DJ98" i="149"/>
  <c r="CK99" i="149"/>
  <c r="BQ100" i="149"/>
  <c r="BR100" i="149" s="1"/>
  <c r="BU100" i="149" s="1"/>
  <c r="CN99" i="149" l="1"/>
  <c r="CO99" i="149"/>
  <c r="EC100" i="149"/>
  <c r="DN98" i="149"/>
  <c r="BV100" i="149"/>
  <c r="BT100" i="149"/>
  <c r="CY100" i="149"/>
  <c r="BS100" i="149"/>
  <c r="CZ99" i="149"/>
  <c r="DE99" i="149"/>
  <c r="DP99" i="149" s="1"/>
  <c r="BP22" i="149"/>
  <c r="BY100" i="149" l="1"/>
  <c r="BZ100" i="149"/>
  <c r="DQ98" i="149"/>
  <c r="DR98" i="149"/>
  <c r="DS98" i="149" s="1"/>
  <c r="BX100" i="149"/>
  <c r="BW100" i="149"/>
  <c r="ED100" i="149"/>
  <c r="EF100" i="149" s="1"/>
  <c r="EE100" i="149"/>
  <c r="DV22" i="149"/>
  <c r="DJ99" i="149"/>
  <c r="CK100" i="149"/>
  <c r="DM99" i="149"/>
  <c r="DL99" i="149"/>
  <c r="CP99" i="149"/>
  <c r="CX100" i="149"/>
  <c r="DA100" i="149"/>
  <c r="DC100" i="149"/>
  <c r="DB100" i="149"/>
  <c r="BQ22" i="149"/>
  <c r="BR22" i="149" s="1"/>
  <c r="BU22" i="149" s="1"/>
  <c r="CO100" i="149" l="1"/>
  <c r="CN100" i="149"/>
  <c r="DN99" i="149"/>
  <c r="BV22" i="149"/>
  <c r="BT22" i="149"/>
  <c r="CY22" i="149"/>
  <c r="BS22" i="149"/>
  <c r="BP23" i="149"/>
  <c r="DE100" i="149"/>
  <c r="DP100" i="149" s="1"/>
  <c r="CZ100" i="149"/>
  <c r="EB22" i="149"/>
  <c r="DY22" i="149"/>
  <c r="BY22" i="149" l="1"/>
  <c r="BZ22" i="149"/>
  <c r="DQ99" i="149"/>
  <c r="DR99" i="149"/>
  <c r="DS99" i="149" s="1"/>
  <c r="BW22" i="149"/>
  <c r="BX22" i="149"/>
  <c r="BQ23" i="149"/>
  <c r="BR23" i="149" s="1"/>
  <c r="BU23" i="149" s="1"/>
  <c r="EC22" i="149"/>
  <c r="DL100" i="149"/>
  <c r="DM100" i="149"/>
  <c r="CP100" i="149"/>
  <c r="DJ100" i="149"/>
  <c r="CK22" i="149"/>
  <c r="CX22" i="149"/>
  <c r="DA22" i="149"/>
  <c r="DB22" i="149"/>
  <c r="DC22" i="149"/>
  <c r="DV23" i="149"/>
  <c r="CN22" i="149" l="1"/>
  <c r="CO22" i="149"/>
  <c r="DN100" i="149"/>
  <c r="DE22" i="149"/>
  <c r="DP22" i="149" s="1"/>
  <c r="CZ22" i="149"/>
  <c r="EE22" i="149"/>
  <c r="ED22" i="149"/>
  <c r="BT23" i="149"/>
  <c r="BV23" i="149"/>
  <c r="BS23" i="149"/>
  <c r="CY23" i="149"/>
  <c r="DY23" i="149"/>
  <c r="EB23" i="149"/>
  <c r="BP24" i="149"/>
  <c r="BY23" i="149" l="1"/>
  <c r="BZ23" i="149"/>
  <c r="DQ100" i="149"/>
  <c r="DR100" i="149"/>
  <c r="DS100" i="149" s="1"/>
  <c r="BX23" i="149"/>
  <c r="BW23" i="149"/>
  <c r="CK23" i="149"/>
  <c r="DA23" i="149"/>
  <c r="CX23" i="149"/>
  <c r="DC23" i="149"/>
  <c r="DB23" i="149"/>
  <c r="BQ24" i="149"/>
  <c r="BR24" i="149" s="1"/>
  <c r="BU24" i="149" s="1"/>
  <c r="DM22" i="149"/>
  <c r="DL22" i="149"/>
  <c r="CP22" i="149"/>
  <c r="EF22" i="149"/>
  <c r="DJ22" i="149"/>
  <c r="DV24" i="149"/>
  <c r="EC23" i="149"/>
  <c r="CO23" i="149" l="1"/>
  <c r="CN23" i="149"/>
  <c r="BT24" i="149"/>
  <c r="BV24" i="149"/>
  <c r="CY24" i="149"/>
  <c r="BS24" i="149"/>
  <c r="BP25" i="149"/>
  <c r="CZ23" i="149"/>
  <c r="DE23" i="149"/>
  <c r="DP23" i="149" s="1"/>
  <c r="EB24" i="149"/>
  <c r="DY24" i="149"/>
  <c r="DN22" i="149"/>
  <c r="EE23" i="149"/>
  <c r="ED23" i="149"/>
  <c r="BY24" i="149" l="1"/>
  <c r="BZ24" i="149"/>
  <c r="DQ22" i="149"/>
  <c r="DR22" i="149"/>
  <c r="BW24" i="149"/>
  <c r="BX24" i="149"/>
  <c r="CK24" i="149"/>
  <c r="DJ23" i="149"/>
  <c r="CX24" i="149"/>
  <c r="DB24" i="149"/>
  <c r="DC24" i="149"/>
  <c r="DA24" i="149"/>
  <c r="EF23" i="149"/>
  <c r="EC24" i="149"/>
  <c r="DL23" i="149"/>
  <c r="DM23" i="149"/>
  <c r="CP23" i="149"/>
  <c r="BQ25" i="149"/>
  <c r="BR25" i="149" s="1"/>
  <c r="BU25" i="149" s="1"/>
  <c r="CO24" i="149" l="1"/>
  <c r="CN24" i="149"/>
  <c r="DN23" i="149"/>
  <c r="BV25" i="149"/>
  <c r="BT25" i="149"/>
  <c r="CY25" i="149"/>
  <c r="BS25" i="149"/>
  <c r="CZ24" i="149"/>
  <c r="DE24" i="149"/>
  <c r="DP24" i="149" s="1"/>
  <c r="ED24" i="149"/>
  <c r="EE24" i="149"/>
  <c r="DS22" i="149"/>
  <c r="EB25" i="149"/>
  <c r="DY25" i="149"/>
  <c r="BY25" i="149" l="1"/>
  <c r="BZ25" i="149"/>
  <c r="DQ23" i="149"/>
  <c r="DR23" i="149"/>
  <c r="BX25" i="149"/>
  <c r="BW25" i="149"/>
  <c r="EF24" i="149"/>
  <c r="DJ24" i="149"/>
  <c r="EC25" i="149"/>
  <c r="CK25" i="149"/>
  <c r="CX25" i="149"/>
  <c r="DC25" i="149"/>
  <c r="DB25" i="149"/>
  <c r="DA25" i="149"/>
  <c r="DM24" i="149"/>
  <c r="DL24" i="149"/>
  <c r="CP24" i="149"/>
  <c r="CN25" i="149" l="1"/>
  <c r="CO25" i="149"/>
  <c r="DS23" i="149"/>
  <c r="DN24" i="149"/>
  <c r="DY26" i="149"/>
  <c r="EB26" i="149"/>
  <c r="EE25" i="149"/>
  <c r="ED25" i="149"/>
  <c r="CZ25" i="149"/>
  <c r="DE25" i="149"/>
  <c r="DP25" i="149" s="1"/>
  <c r="BP27" i="149"/>
  <c r="DQ24" i="149" l="1"/>
  <c r="DR24" i="149"/>
  <c r="DL25" i="149"/>
  <c r="DM25" i="149"/>
  <c r="CP25" i="149"/>
  <c r="DJ25" i="149"/>
  <c r="EF25" i="149"/>
  <c r="EC26" i="149"/>
  <c r="BQ27" i="149"/>
  <c r="BR27" i="149" s="1"/>
  <c r="BU27" i="149" s="1"/>
  <c r="DS24" i="149" l="1"/>
  <c r="DN25" i="149"/>
  <c r="BV27" i="149"/>
  <c r="BT27" i="149"/>
  <c r="BS27" i="149"/>
  <c r="CY27" i="149"/>
  <c r="EE26" i="149"/>
  <c r="ED26" i="149"/>
  <c r="EF26" i="149" s="1"/>
  <c r="DY27" i="149"/>
  <c r="EB27" i="149"/>
  <c r="BP28" i="149"/>
  <c r="BY27" i="149" l="1"/>
  <c r="BZ27" i="149"/>
  <c r="DQ25" i="149"/>
  <c r="DR25" i="149"/>
  <c r="DS25" i="149" s="1"/>
  <c r="BX27" i="149"/>
  <c r="BW27" i="149"/>
  <c r="DV28" i="149"/>
  <c r="BQ28" i="149"/>
  <c r="BR28" i="149" s="1"/>
  <c r="BU28" i="149" s="1"/>
  <c r="BU160" i="149" s="1"/>
  <c r="DA27" i="149"/>
  <c r="CX27" i="149"/>
  <c r="DB27" i="149"/>
  <c r="DC27" i="149"/>
  <c r="EC27" i="149"/>
  <c r="CK27" i="149"/>
  <c r="CN27" i="149" l="1"/>
  <c r="CO27" i="149"/>
  <c r="BL213" i="149"/>
  <c r="BL210" i="149"/>
  <c r="BL211" i="149"/>
  <c r="BL212" i="149"/>
  <c r="BQ200" i="149"/>
  <c r="BT28" i="149"/>
  <c r="BV28" i="149"/>
  <c r="BV160" i="149" s="1"/>
  <c r="CY28" i="149"/>
  <c r="BS28" i="149"/>
  <c r="CZ27" i="149"/>
  <c r="DE27" i="149"/>
  <c r="DP27" i="149" s="1"/>
  <c r="EB28" i="149"/>
  <c r="EB160" i="149" s="1"/>
  <c r="DY28" i="149"/>
  <c r="EE27" i="149"/>
  <c r="ED27" i="149"/>
  <c r="EF27" i="149" s="1"/>
  <c r="BY28" i="149" l="1"/>
  <c r="BZ28" i="149"/>
  <c r="BX28" i="149"/>
  <c r="BW28" i="149"/>
  <c r="BW160" i="149" s="1"/>
  <c r="BQ163" i="149" s="1"/>
  <c r="BT160" i="149"/>
  <c r="BQ199" i="149" s="1"/>
  <c r="D46" i="16"/>
  <c r="D45" i="16"/>
  <c r="D39" i="240" s="1"/>
  <c r="D44" i="16"/>
  <c r="BY160" i="149"/>
  <c r="BQ175" i="149" s="1"/>
  <c r="BQ178" i="149" s="1"/>
  <c r="BZ160" i="149"/>
  <c r="BL214" i="149"/>
  <c r="DJ27" i="149"/>
  <c r="EC28" i="149"/>
  <c r="EC160" i="149" s="1"/>
  <c r="BQ165" i="149" s="1"/>
  <c r="DM27" i="149"/>
  <c r="DL27" i="149"/>
  <c r="CP27" i="149"/>
  <c r="BX160" i="149"/>
  <c r="BQ169" i="149" s="1"/>
  <c r="BQ172" i="149" s="1"/>
  <c r="CK28" i="149"/>
  <c r="BS160" i="149"/>
  <c r="CX28" i="149"/>
  <c r="DC28" i="149"/>
  <c r="DC160" i="149" s="1"/>
  <c r="DB28" i="149"/>
  <c r="DB160" i="149" s="1"/>
  <c r="D40" i="16" s="1"/>
  <c r="D34" i="240" s="1"/>
  <c r="DA28" i="149"/>
  <c r="DA160" i="149" s="1"/>
  <c r="F45" i="16" l="1"/>
  <c r="F39" i="240" s="1"/>
  <c r="F46" i="16"/>
  <c r="F40" i="240" s="1"/>
  <c r="D40" i="240"/>
  <c r="F44" i="16"/>
  <c r="D38" i="240"/>
  <c r="CN28" i="149"/>
  <c r="CN160" i="149" s="1"/>
  <c r="BQ187" i="149" s="1"/>
  <c r="CO28" i="149"/>
  <c r="D20" i="16"/>
  <c r="D18" i="16"/>
  <c r="D19" i="16"/>
  <c r="F40" i="16"/>
  <c r="F34" i="240" s="1"/>
  <c r="D39" i="16"/>
  <c r="D33" i="240" s="1"/>
  <c r="BQ202" i="149"/>
  <c r="DN27" i="149"/>
  <c r="ED28" i="149"/>
  <c r="ED160" i="149" s="1"/>
  <c r="BQ189" i="149" s="1"/>
  <c r="EE28" i="149"/>
  <c r="EE160" i="149" s="1"/>
  <c r="BQ183" i="149" s="1"/>
  <c r="DE28" i="149"/>
  <c r="CZ28" i="149"/>
  <c r="CZ160" i="149" s="1"/>
  <c r="BQ164" i="149" s="1"/>
  <c r="BQ166" i="149" s="1"/>
  <c r="CK160" i="149"/>
  <c r="F38" i="240" l="1"/>
  <c r="AA38" i="240" s="1"/>
  <c r="F47" i="16"/>
  <c r="F41" i="240" s="1"/>
  <c r="AN40" i="240"/>
  <c r="AO40" i="240"/>
  <c r="AP40" i="240"/>
  <c r="AQ40" i="240"/>
  <c r="AR40" i="240"/>
  <c r="AM40" i="240"/>
  <c r="Y38" i="240"/>
  <c r="Z38" i="240"/>
  <c r="AB38" i="240"/>
  <c r="AC38" i="240"/>
  <c r="AD38" i="240"/>
  <c r="Q38" i="240"/>
  <c r="S38" i="240"/>
  <c r="T38" i="240"/>
  <c r="W38" i="240"/>
  <c r="X38" i="240"/>
  <c r="R38" i="240"/>
  <c r="AF39" i="240"/>
  <c r="AG39" i="240"/>
  <c r="AH39" i="240"/>
  <c r="AJ39" i="240"/>
  <c r="AK39" i="240"/>
  <c r="AE39" i="240"/>
  <c r="AL39" i="240"/>
  <c r="AI39" i="240"/>
  <c r="Q34" i="240"/>
  <c r="AO34" i="240"/>
  <c r="R34" i="240"/>
  <c r="AP34" i="240"/>
  <c r="S34" i="240"/>
  <c r="AQ34" i="240"/>
  <c r="T34" i="240"/>
  <c r="AR34" i="240"/>
  <c r="U34" i="240"/>
  <c r="P34" i="240"/>
  <c r="V34" i="240"/>
  <c r="W34" i="240"/>
  <c r="AA34" i="240"/>
  <c r="AB34" i="240"/>
  <c r="AC34" i="240"/>
  <c r="AD34" i="240"/>
  <c r="AE34" i="240"/>
  <c r="AG34" i="240"/>
  <c r="AH34" i="240"/>
  <c r="AJ34" i="240"/>
  <c r="AK34" i="240"/>
  <c r="X34" i="240"/>
  <c r="Y34" i="240"/>
  <c r="AL34" i="240"/>
  <c r="Z34" i="240"/>
  <c r="AF34" i="240"/>
  <c r="AI34" i="240"/>
  <c r="AN34" i="240"/>
  <c r="AM34" i="240"/>
  <c r="F20" i="16"/>
  <c r="F14" i="240" s="1"/>
  <c r="D14" i="240"/>
  <c r="F19" i="16"/>
  <c r="F13" i="240" s="1"/>
  <c r="D13" i="240"/>
  <c r="F18" i="16"/>
  <c r="F12" i="240" s="1"/>
  <c r="D12" i="240"/>
  <c r="DQ27" i="149"/>
  <c r="DR27" i="149"/>
  <c r="DS27" i="149" s="1"/>
  <c r="D17" i="16"/>
  <c r="D11" i="240" s="1"/>
  <c r="DE160" i="149"/>
  <c r="DP28" i="149"/>
  <c r="DP160" i="149" s="1"/>
  <c r="F39" i="16"/>
  <c r="DJ28" i="149"/>
  <c r="DJ160" i="149" s="1"/>
  <c r="DM28" i="149"/>
  <c r="DM160" i="149" s="1"/>
  <c r="DL28" i="149"/>
  <c r="DL160" i="149" s="1"/>
  <c r="CO160" i="149"/>
  <c r="BQ181" i="149" s="1"/>
  <c r="CP28" i="149"/>
  <c r="CP160" i="149" s="1"/>
  <c r="BQ205" i="149" s="1"/>
  <c r="EF28" i="149"/>
  <c r="EF160" i="149" s="1"/>
  <c r="BQ207" i="149" s="1"/>
  <c r="U38" i="240" l="1"/>
  <c r="V38" i="240"/>
  <c r="P38" i="240"/>
  <c r="F33" i="240"/>
  <c r="AJ33" i="240" s="1"/>
  <c r="R33" i="240"/>
  <c r="AR33" i="240"/>
  <c r="X33" i="240"/>
  <c r="U33" i="240"/>
  <c r="AD33" i="240"/>
  <c r="AI33" i="240"/>
  <c r="AH13" i="240"/>
  <c r="AA13" i="240"/>
  <c r="AM13" i="240"/>
  <c r="AD13" i="240"/>
  <c r="AG13" i="240"/>
  <c r="Y13" i="240"/>
  <c r="R13" i="240"/>
  <c r="U13" i="240"/>
  <c r="X13" i="240"/>
  <c r="AP13" i="240"/>
  <c r="AJ13" i="240"/>
  <c r="Q13" i="240"/>
  <c r="AC13" i="240"/>
  <c r="S13" i="240"/>
  <c r="AO13" i="240"/>
  <c r="AE13" i="240"/>
  <c r="Z13" i="240"/>
  <c r="AQ13" i="240"/>
  <c r="T13" i="240"/>
  <c r="AL13" i="240"/>
  <c r="P13" i="240"/>
  <c r="AF13" i="240"/>
  <c r="AB13" i="240"/>
  <c r="AR13" i="240"/>
  <c r="O13" i="240"/>
  <c r="AN13" i="240"/>
  <c r="V13" i="240"/>
  <c r="AK13" i="240"/>
  <c r="W13" i="240"/>
  <c r="AI13" i="240"/>
  <c r="AO12" i="240"/>
  <c r="AE12" i="240"/>
  <c r="S12" i="240"/>
  <c r="Y12" i="240"/>
  <c r="Q12" i="240"/>
  <c r="AK12" i="240"/>
  <c r="P12" i="240"/>
  <c r="AN12" i="240"/>
  <c r="AJ12" i="240"/>
  <c r="AB12" i="240"/>
  <c r="Z12" i="240"/>
  <c r="X12" i="240"/>
  <c r="AL12" i="240"/>
  <c r="O12" i="240"/>
  <c r="AA12" i="240"/>
  <c r="W12" i="240"/>
  <c r="AM12" i="240"/>
  <c r="AH12" i="240"/>
  <c r="AI12" i="240"/>
  <c r="AC12" i="240"/>
  <c r="V12" i="240"/>
  <c r="T12" i="240"/>
  <c r="R12" i="240"/>
  <c r="AF12" i="240"/>
  <c r="AR12" i="240"/>
  <c r="U12" i="240"/>
  <c r="AD12" i="240"/>
  <c r="AP12" i="240"/>
  <c r="AG12" i="240"/>
  <c r="AQ12" i="240"/>
  <c r="AM14" i="240"/>
  <c r="AN14" i="240"/>
  <c r="S14" i="240"/>
  <c r="AL14" i="240"/>
  <c r="AH14" i="240"/>
  <c r="W14" i="240"/>
  <c r="AD14" i="240"/>
  <c r="V14" i="240"/>
  <c r="AQ14" i="240"/>
  <c r="AI14" i="240"/>
  <c r="Z14" i="240"/>
  <c r="X14" i="240"/>
  <c r="O14" i="240"/>
  <c r="AF14" i="240"/>
  <c r="AJ14" i="240"/>
  <c r="AA14" i="240"/>
  <c r="Y14" i="240"/>
  <c r="AG14" i="240"/>
  <c r="AK14" i="240"/>
  <c r="AR14" i="240"/>
  <c r="U14" i="240"/>
  <c r="AC14" i="240"/>
  <c r="Q14" i="240"/>
  <c r="T14" i="240"/>
  <c r="R14" i="240"/>
  <c r="AE14" i="240"/>
  <c r="AO14" i="240"/>
  <c r="P14" i="240"/>
  <c r="AP14" i="240"/>
  <c r="AB14" i="240"/>
  <c r="F17" i="16"/>
  <c r="BQ194" i="149"/>
  <c r="BQ196" i="149" s="1"/>
  <c r="D66" i="16"/>
  <c r="F41" i="16"/>
  <c r="F35" i="240" s="1"/>
  <c r="DN28" i="149"/>
  <c r="AH33" i="240" l="1"/>
  <c r="AC33" i="240"/>
  <c r="Q33" i="240"/>
  <c r="W33" i="240"/>
  <c r="T33" i="240"/>
  <c r="AN33" i="240"/>
  <c r="AE33" i="240"/>
  <c r="AB33" i="240"/>
  <c r="AA33" i="240"/>
  <c r="V33" i="240"/>
  <c r="S33" i="240"/>
  <c r="AM33" i="240"/>
  <c r="AG33" i="240"/>
  <c r="AF33" i="240"/>
  <c r="Z33" i="240"/>
  <c r="Y33" i="240"/>
  <c r="P33" i="240"/>
  <c r="AP33" i="240"/>
  <c r="AL33" i="240"/>
  <c r="AQ33" i="240"/>
  <c r="AO33" i="240"/>
  <c r="AK33" i="240"/>
  <c r="F11" i="240"/>
  <c r="W11" i="240" s="1"/>
  <c r="F66" i="16"/>
  <c r="F60" i="240" s="1"/>
  <c r="D60" i="240"/>
  <c r="AF11" i="240"/>
  <c r="AR11" i="240"/>
  <c r="AI11" i="240"/>
  <c r="AB11" i="240"/>
  <c r="S11" i="240"/>
  <c r="U11" i="240"/>
  <c r="AE11" i="240"/>
  <c r="AQ11" i="240"/>
  <c r="AN11" i="240"/>
  <c r="R11" i="240"/>
  <c r="AD11" i="240"/>
  <c r="T11" i="240"/>
  <c r="AO11" i="240"/>
  <c r="AP11" i="240"/>
  <c r="Q11" i="240"/>
  <c r="O11" i="240"/>
  <c r="AA11" i="240"/>
  <c r="X11" i="240"/>
  <c r="AM11" i="240"/>
  <c r="Y11" i="240"/>
  <c r="AK11" i="240"/>
  <c r="P11" i="240"/>
  <c r="AC11" i="240"/>
  <c r="DQ28" i="149"/>
  <c r="DQ160" i="149" s="1"/>
  <c r="BQ188" i="149" s="1"/>
  <c r="BQ190" i="149" s="1"/>
  <c r="DR28" i="149"/>
  <c r="DR160" i="149" s="1"/>
  <c r="BQ182" i="149" s="1"/>
  <c r="BQ184" i="149" s="1"/>
  <c r="DN160" i="149"/>
  <c r="AL11" i="240" l="1"/>
  <c r="Z11" i="240"/>
  <c r="V11" i="240"/>
  <c r="AJ11" i="240"/>
  <c r="AH11" i="240"/>
  <c r="AG11" i="240"/>
  <c r="AH60" i="240"/>
  <c r="AJ60" i="240"/>
  <c r="AO60" i="240"/>
  <c r="R60" i="240"/>
  <c r="AQ60" i="240"/>
  <c r="T60" i="240"/>
  <c r="Y60" i="240"/>
  <c r="AA60" i="240"/>
  <c r="AF60" i="240"/>
  <c r="AG60" i="240"/>
  <c r="AI60" i="240"/>
  <c r="AK60" i="240"/>
  <c r="AM60" i="240"/>
  <c r="AN60" i="240"/>
  <c r="U60" i="240"/>
  <c r="V60" i="240"/>
  <c r="W60" i="240"/>
  <c r="Z60" i="240"/>
  <c r="AL60" i="240"/>
  <c r="AP60" i="240"/>
  <c r="S60" i="240"/>
  <c r="AR60" i="240"/>
  <c r="Q60" i="240"/>
  <c r="AC60" i="240"/>
  <c r="AD60" i="240"/>
  <c r="X60" i="240"/>
  <c r="AB60" i="240"/>
  <c r="AE60" i="240"/>
  <c r="D68" i="16"/>
  <c r="D67" i="16"/>
  <c r="DS28" i="149"/>
  <c r="DS160" i="149" s="1"/>
  <c r="BQ206" i="149" s="1"/>
  <c r="BQ208" i="149" s="1"/>
  <c r="BQ210" i="149" s="1"/>
  <c r="F68" i="16" l="1"/>
  <c r="D62" i="240"/>
  <c r="F67" i="16"/>
  <c r="F61" i="240" s="1"/>
  <c r="D61" i="240"/>
  <c r="F62" i="240" l="1"/>
  <c r="AM62" i="240" s="1"/>
  <c r="R61" i="240"/>
  <c r="AP61" i="240"/>
  <c r="T61" i="240"/>
  <c r="AR61" i="240"/>
  <c r="Y61" i="240"/>
  <c r="Z61" i="240"/>
  <c r="AA61" i="240"/>
  <c r="AB61" i="240"/>
  <c r="AL61" i="240"/>
  <c r="S61" i="240"/>
  <c r="AQ61" i="240"/>
  <c r="U61" i="240"/>
  <c r="AF61" i="240"/>
  <c r="AG61" i="240"/>
  <c r="AH61" i="240"/>
  <c r="AM61" i="240"/>
  <c r="V61" i="240"/>
  <c r="W61" i="240"/>
  <c r="X61" i="240"/>
  <c r="Q61" i="240"/>
  <c r="AC61" i="240"/>
  <c r="AD61" i="240"/>
  <c r="AE61" i="240"/>
  <c r="AI61" i="240"/>
  <c r="AK61" i="240"/>
  <c r="AN61" i="240"/>
  <c r="AJ61" i="240"/>
  <c r="AO61" i="240"/>
  <c r="F69" i="16"/>
  <c r="F63" i="240" s="1"/>
  <c r="F21" i="16"/>
  <c r="D15" i="240"/>
  <c r="AL62" i="240" l="1"/>
  <c r="U62" i="240"/>
  <c r="W62" i="240"/>
  <c r="AN62" i="240"/>
  <c r="Q62" i="240"/>
  <c r="AB62" i="240"/>
  <c r="AI62" i="240"/>
  <c r="AK62" i="240"/>
  <c r="R62" i="240"/>
  <c r="AR62" i="240"/>
  <c r="AF62" i="240"/>
  <c r="Z62" i="240"/>
  <c r="AA62" i="240"/>
  <c r="AJ62" i="240"/>
  <c r="AE62" i="240"/>
  <c r="AQ62" i="240"/>
  <c r="Y62" i="240"/>
  <c r="AG62" i="240"/>
  <c r="X62" i="240"/>
  <c r="T62" i="240"/>
  <c r="AH62" i="240"/>
  <c r="AD62" i="240"/>
  <c r="S62" i="240"/>
  <c r="AP62" i="240"/>
  <c r="AC62" i="240"/>
  <c r="V62" i="240"/>
  <c r="AO62" i="240"/>
  <c r="F22" i="16"/>
  <c r="F77" i="16" s="1"/>
  <c r="F81" i="16" s="1"/>
  <c r="F15" i="240"/>
  <c r="F89" i="16" l="1"/>
  <c r="G82" i="16"/>
  <c r="F72" i="240"/>
  <c r="F74" i="240" s="1"/>
  <c r="AH15" i="240"/>
  <c r="AH72" i="240" s="1"/>
  <c r="AI15" i="240"/>
  <c r="AI72" i="240" s="1"/>
  <c r="AJ15" i="240"/>
  <c r="AJ72" i="240" s="1"/>
  <c r="AK15" i="240"/>
  <c r="AK72" i="240" s="1"/>
  <c r="AL15" i="240"/>
  <c r="AL72" i="240" s="1"/>
  <c r="AM15" i="240"/>
  <c r="AM72" i="240" s="1"/>
  <c r="P15" i="240"/>
  <c r="P72" i="240" s="1"/>
  <c r="AN15" i="240"/>
  <c r="AN72" i="240" s="1"/>
  <c r="Q15" i="240"/>
  <c r="Q72" i="240" s="1"/>
  <c r="AO15" i="240"/>
  <c r="AO72" i="240" s="1"/>
  <c r="R15" i="240"/>
  <c r="R72" i="240" s="1"/>
  <c r="AP15" i="240"/>
  <c r="AP72" i="240" s="1"/>
  <c r="S15" i="240"/>
  <c r="S72" i="240" s="1"/>
  <c r="AQ15" i="240"/>
  <c r="AQ72" i="240" s="1"/>
  <c r="T15" i="240"/>
  <c r="T72" i="240" s="1"/>
  <c r="AR15" i="240"/>
  <c r="AR72" i="240" s="1"/>
  <c r="U15" i="240"/>
  <c r="U72" i="240" s="1"/>
  <c r="O15" i="240"/>
  <c r="O72" i="240" s="1"/>
  <c r="V15" i="240"/>
  <c r="V72" i="240" s="1"/>
  <c r="W15" i="240"/>
  <c r="W72" i="240" s="1"/>
  <c r="X15" i="240"/>
  <c r="X72" i="240" s="1"/>
  <c r="Y15" i="240"/>
  <c r="Y72" i="240" s="1"/>
  <c r="Z15" i="240"/>
  <c r="Z72" i="240" s="1"/>
  <c r="AA15" i="240"/>
  <c r="AA72" i="240" s="1"/>
  <c r="AB15" i="240"/>
  <c r="AB72" i="240" s="1"/>
  <c r="AC15" i="240"/>
  <c r="AC72" i="240" s="1"/>
  <c r="AD15" i="240"/>
  <c r="AD72" i="240" s="1"/>
  <c r="AE15" i="240"/>
  <c r="AE72" i="240" s="1"/>
  <c r="AF15" i="240"/>
  <c r="AF72" i="240" s="1"/>
  <c r="AG15" i="240"/>
  <c r="AG72" i="240" s="1"/>
  <c r="F16" i="240"/>
  <c r="AA74" i="240" l="1"/>
  <c r="AA77" i="240" s="1"/>
  <c r="Y74" i="240"/>
  <c r="Y77" i="240" s="1"/>
  <c r="W74" i="240"/>
  <c r="W76" i="240" s="1"/>
  <c r="V74" i="240"/>
  <c r="V75" i="240" s="1"/>
  <c r="U74" i="240"/>
  <c r="U76" i="240" s="1"/>
  <c r="T74" i="240"/>
  <c r="S74" i="240"/>
  <c r="R74" i="240"/>
  <c r="AO74" i="240"/>
  <c r="Q74" i="240"/>
  <c r="AG74" i="240"/>
  <c r="AF74" i="240"/>
  <c r="AD74" i="240"/>
  <c r="AD77" i="240" s="1"/>
  <c r="Z74" i="240"/>
  <c r="X74" i="240"/>
  <c r="O74" i="240"/>
  <c r="AR74" i="240"/>
  <c r="AQ74" i="240"/>
  <c r="AP74" i="240"/>
  <c r="AN74" i="240"/>
  <c r="P74" i="240"/>
  <c r="AM74" i="240"/>
  <c r="AL74" i="240"/>
  <c r="AE74" i="240"/>
  <c r="AK74" i="240"/>
  <c r="AK76" i="240" s="1"/>
  <c r="AJ74" i="240"/>
  <c r="AC74" i="240"/>
  <c r="AI74" i="240"/>
  <c r="AI77" i="240" s="1"/>
  <c r="AB74" i="240"/>
  <c r="AH74" i="240"/>
  <c r="F85" i="16"/>
  <c r="F86" i="16" s="1"/>
  <c r="F75" i="240"/>
  <c r="AA75" i="240" l="1"/>
  <c r="Y75" i="240"/>
  <c r="AA76" i="240"/>
  <c r="Y76" i="240"/>
  <c r="U77" i="240"/>
  <c r="AK77" i="240"/>
  <c r="AK75" i="240"/>
  <c r="AD75" i="240"/>
  <c r="U75" i="240"/>
  <c r="AI76" i="240"/>
  <c r="W77" i="240"/>
  <c r="W75" i="240"/>
  <c r="P77" i="240"/>
  <c r="AI75" i="240"/>
  <c r="F87" i="16"/>
  <c r="F85" i="240"/>
  <c r="AC77" i="240"/>
  <c r="X76" i="240"/>
  <c r="Z77" i="240"/>
  <c r="AD76" i="240"/>
  <c r="X75" i="240"/>
  <c r="P75" i="240"/>
  <c r="Z76" i="240"/>
  <c r="AC76" i="240"/>
  <c r="X77" i="240"/>
  <c r="AC75" i="240"/>
  <c r="Z75" i="240"/>
  <c r="F84" i="240"/>
  <c r="AF77" i="240"/>
  <c r="AL76" i="240"/>
  <c r="P76" i="240"/>
  <c r="S76" i="240"/>
  <c r="Q76" i="240"/>
  <c r="AO77" i="240"/>
  <c r="AP76" i="240"/>
  <c r="AB77" i="240"/>
  <c r="AJ77" i="240"/>
  <c r="AG75" i="240"/>
  <c r="AM75" i="240"/>
  <c r="AN77" i="240"/>
  <c r="AR77" i="240"/>
  <c r="AE75" i="240"/>
  <c r="R76" i="240"/>
  <c r="AQ77" i="240"/>
  <c r="T76" i="240"/>
  <c r="V76" i="240"/>
  <c r="F76" i="240"/>
  <c r="AH75" i="240"/>
  <c r="F77" i="240"/>
  <c r="AJ76" i="240"/>
  <c r="O75" i="240"/>
  <c r="AJ75" i="240"/>
  <c r="AL77" i="240"/>
  <c r="AF76" i="240"/>
  <c r="AM76" i="240"/>
  <c r="AM77" i="240"/>
  <c r="Q75" i="240"/>
  <c r="AO75" i="240"/>
  <c r="AQ75" i="240"/>
  <c r="AG77" i="240"/>
  <c r="AQ76" i="240"/>
  <c r="AH77" i="240"/>
  <c r="S75" i="240"/>
  <c r="Q77" i="240"/>
  <c r="AL75" i="240"/>
  <c r="AN75" i="240"/>
  <c r="AO76" i="240"/>
  <c r="AG76" i="240"/>
  <c r="AP77" i="240"/>
  <c r="R77" i="240"/>
  <c r="AR75" i="240"/>
  <c r="AH76" i="240"/>
  <c r="S77" i="240"/>
  <c r="AB76" i="240"/>
  <c r="T75" i="240"/>
  <c r="AF75" i="240"/>
  <c r="AN76" i="240"/>
  <c r="AP75" i="240"/>
  <c r="AR76" i="240"/>
  <c r="R75" i="240"/>
  <c r="V77" i="240"/>
  <c r="AB75" i="240"/>
  <c r="O76" i="240"/>
  <c r="T77" i="240"/>
  <c r="AE77" i="240"/>
  <c r="AE76" i="240"/>
  <c r="O77" i="240"/>
  <c r="G56" i="132"/>
  <c r="G57" i="132"/>
  <c r="AA85" i="240" l="1"/>
  <c r="AM85" i="240"/>
  <c r="AN85" i="240"/>
  <c r="AP85" i="240"/>
  <c r="P85" i="240"/>
  <c r="Q85" i="240"/>
  <c r="AC85" i="240"/>
  <c r="R85" i="240"/>
  <c r="AT85" i="240"/>
  <c r="AI85" i="240"/>
  <c r="X85" i="240"/>
  <c r="S85" i="240"/>
  <c r="AE85" i="240"/>
  <c r="AQ85" i="240"/>
  <c r="V85" i="240"/>
  <c r="T85" i="240"/>
  <c r="AF85" i="240"/>
  <c r="AR85" i="240"/>
  <c r="U85" i="240"/>
  <c r="AG85" i="240"/>
  <c r="AS85" i="240"/>
  <c r="AH85" i="240"/>
  <c r="O85" i="240"/>
  <c r="Y85" i="240"/>
  <c r="AK85" i="240"/>
  <c r="AO85" i="240"/>
  <c r="Z85" i="240"/>
  <c r="AL85" i="240"/>
  <c r="AB85" i="240"/>
  <c r="AD85" i="240"/>
  <c r="W85" i="240"/>
  <c r="AJ85" i="240"/>
  <c r="AM84" i="240"/>
  <c r="AE84" i="240"/>
  <c r="AG84" i="240"/>
  <c r="AH84" i="240"/>
  <c r="AI84" i="240"/>
  <c r="AJ84" i="240"/>
  <c r="AK84" i="240"/>
  <c r="AL84" i="240"/>
  <c r="P84" i="240"/>
  <c r="AB84" i="240"/>
  <c r="AF84" i="240"/>
  <c r="W84" i="240"/>
  <c r="AD84" i="240"/>
  <c r="AT84" i="240"/>
  <c r="V84" i="240"/>
  <c r="AC84" i="240"/>
  <c r="AA84" i="240"/>
  <c r="Z84" i="240"/>
  <c r="Y84" i="240"/>
  <c r="Y87" i="240" s="1"/>
  <c r="X84" i="240"/>
  <c r="O84" i="240"/>
  <c r="AS84" i="240"/>
  <c r="U84" i="240"/>
  <c r="AR84" i="240"/>
  <c r="T84" i="240"/>
  <c r="AQ84" i="240"/>
  <c r="S84" i="240"/>
  <c r="S87" i="240" s="1"/>
  <c r="AP84" i="240"/>
  <c r="R84" i="240"/>
  <c r="AO84" i="240"/>
  <c r="Q84" i="240"/>
  <c r="AN84" i="240"/>
  <c r="AO87" i="240" l="1"/>
  <c r="AN87" i="240"/>
  <c r="AA87" i="240"/>
  <c r="AB87" i="240"/>
  <c r="AL87" i="240"/>
  <c r="U87" i="240"/>
  <c r="P87" i="240"/>
  <c r="Q87" i="240"/>
  <c r="Z87" i="240"/>
  <c r="AK87" i="240"/>
  <c r="O87" i="240"/>
  <c r="X87" i="240"/>
  <c r="AI87" i="240"/>
  <c r="AC87" i="240"/>
  <c r="AH87" i="240"/>
  <c r="AS87" i="240"/>
  <c r="AG87" i="240"/>
  <c r="AJ87" i="240"/>
  <c r="AF87" i="240"/>
  <c r="R87" i="240"/>
  <c r="T87" i="240"/>
  <c r="AD87" i="240"/>
  <c r="AR87" i="240"/>
  <c r="W87" i="240"/>
  <c r="V87" i="240"/>
  <c r="AQ87" i="240"/>
  <c r="AT87" i="240"/>
  <c r="AE87" i="240"/>
  <c r="AP87" i="240"/>
  <c r="AM87" i="240"/>
  <c r="D91" i="16"/>
  <c r="F45" i="132"/>
  <c r="G47" i="132" s="1"/>
  <c r="F87" i="240"/>
  <c r="T93" i="240" l="1"/>
  <c r="AA93" i="240"/>
  <c r="AD93" i="240"/>
  <c r="AP93" i="240"/>
  <c r="P93" i="240"/>
  <c r="Y93" i="240"/>
  <c r="AL93" i="240"/>
  <c r="G51" i="132"/>
  <c r="J91" i="240"/>
  <c r="J92" i="240" s="1"/>
  <c r="BA93" i="240"/>
  <c r="BA94" i="240" s="1"/>
  <c r="BH93" i="240"/>
  <c r="BH94" i="240" s="1"/>
  <c r="BF93" i="240"/>
  <c r="BF94" i="240" s="1"/>
  <c r="AW93" i="240"/>
  <c r="AW94" i="240" s="1"/>
  <c r="BJ93" i="240"/>
  <c r="BJ94" i="240" s="1"/>
  <c r="BE93" i="240"/>
  <c r="BE94" i="240" s="1"/>
  <c r="AU93" i="240"/>
  <c r="AU94" i="240" s="1"/>
  <c r="BB93" i="240"/>
  <c r="BB94" i="240" s="1"/>
  <c r="AX93" i="240"/>
  <c r="AX94" i="240" s="1"/>
  <c r="H91" i="240"/>
  <c r="H92" i="240" s="1"/>
  <c r="BD93" i="240"/>
  <c r="BD94" i="240" s="1"/>
  <c r="AV93" i="240"/>
  <c r="AV94" i="240" s="1"/>
  <c r="N91" i="240"/>
  <c r="N92" i="240" s="1"/>
  <c r="AY93" i="240"/>
  <c r="AY94" i="240" s="1"/>
  <c r="BC93" i="240"/>
  <c r="BC94" i="240" s="1"/>
  <c r="K91" i="240"/>
  <c r="K92" i="240" s="1"/>
  <c r="L91" i="240"/>
  <c r="L92" i="240" s="1"/>
  <c r="M91" i="240"/>
  <c r="M92" i="240" s="1"/>
  <c r="G91" i="240"/>
  <c r="G92" i="240" s="1"/>
  <c r="I91" i="240"/>
  <c r="I92" i="240" s="1"/>
  <c r="BI93" i="240"/>
  <c r="BI94" i="240" s="1"/>
  <c r="BG93" i="240"/>
  <c r="BG94" i="240" s="1"/>
  <c r="AZ93" i="240"/>
  <c r="AZ94" i="240" s="1"/>
  <c r="AF93" i="240"/>
  <c r="AN93" i="240"/>
  <c r="AJ93" i="240"/>
  <c r="AB93" i="240"/>
  <c r="V93" i="240"/>
  <c r="U93" i="240"/>
  <c r="AI93" i="240"/>
  <c r="AR93" i="240"/>
  <c r="G52" i="132"/>
  <c r="G46" i="132"/>
  <c r="AG93" i="240"/>
  <c r="S93" i="240"/>
  <c r="AO93" i="240"/>
  <c r="AS93" i="240"/>
  <c r="G48" i="132"/>
  <c r="AM93" i="240"/>
  <c r="AE93" i="240"/>
  <c r="AK93" i="240"/>
  <c r="AH93" i="240"/>
  <c r="W93" i="240"/>
  <c r="AT93" i="240"/>
  <c r="AQ93" i="240"/>
  <c r="AC93" i="240"/>
  <c r="R93" i="240"/>
  <c r="Z93" i="240"/>
  <c r="Q93" i="240"/>
  <c r="X93" i="240"/>
  <c r="O93" i="240"/>
  <c r="O94" i="240" s="1"/>
  <c r="P94" i="240" l="1"/>
  <c r="Q94" i="240" s="1"/>
  <c r="R94" i="240" s="1"/>
  <c r="S94" i="240" s="1"/>
  <c r="T94" i="240" s="1"/>
  <c r="U94" i="240" s="1"/>
  <c r="V94" i="240" s="1"/>
  <c r="W94" i="240" s="1"/>
  <c r="X94" i="240" s="1"/>
  <c r="Y94" i="240" s="1"/>
  <c r="Z94" i="240" s="1"/>
  <c r="AA94" i="240" s="1"/>
  <c r="AB94" i="240" s="1"/>
  <c r="AC94" i="240" s="1"/>
  <c r="AD94" i="240" s="1"/>
  <c r="AE94" i="240" s="1"/>
  <c r="AF94" i="240" s="1"/>
  <c r="AG94" i="240" s="1"/>
  <c r="AH94" i="240" s="1"/>
  <c r="AI94" i="240" s="1"/>
  <c r="AJ94" i="240" s="1"/>
  <c r="AK94" i="240" s="1"/>
  <c r="AL94" i="240" s="1"/>
  <c r="AM94" i="240" s="1"/>
  <c r="AN94" i="240" s="1"/>
  <c r="AO94" i="240" s="1"/>
  <c r="AP94" i="240" s="1"/>
  <c r="AQ94" i="240" s="1"/>
  <c r="AR94" i="240" s="1"/>
  <c r="AS94" i="240" s="1"/>
  <c r="AT94" i="240" s="1"/>
  <c r="G53" i="132"/>
  <c r="G55" i="132" s="1"/>
  <c r="F55" i="132" s="1"/>
  <c r="F59" i="132" s="1"/>
  <c r="I13" i="132" s="1"/>
  <c r="F93" i="16"/>
  <c r="F95" i="16" s="1"/>
  <c r="G59" i="132" l="1"/>
  <c r="G62" i="132" s="1"/>
  <c r="F91" i="240"/>
  <c r="F89" i="240"/>
  <c r="G10" i="16"/>
  <c r="I10" i="16" l="1"/>
  <c r="G11" i="16"/>
  <c r="AQ89" i="240"/>
  <c r="AQ91" i="240" s="1"/>
  <c r="Z89" i="240"/>
  <c r="Z91" i="240" s="1"/>
  <c r="AA89" i="240"/>
  <c r="AA91" i="240" s="1"/>
  <c r="P89" i="240"/>
  <c r="P91" i="240" s="1"/>
  <c r="AN89" i="240"/>
  <c r="AN91" i="240" s="1"/>
  <c r="W89" i="240"/>
  <c r="W91" i="240" s="1"/>
  <c r="AR89" i="240"/>
  <c r="AR91" i="240" s="1"/>
  <c r="AO89" i="240"/>
  <c r="AO91" i="240" s="1"/>
  <c r="AB89" i="240"/>
  <c r="AB91" i="240" s="1"/>
  <c r="Q89" i="240"/>
  <c r="Q91" i="240" s="1"/>
  <c r="AD89" i="240"/>
  <c r="AD91" i="240" s="1"/>
  <c r="S89" i="240"/>
  <c r="S91" i="240" s="1"/>
  <c r="V89" i="240"/>
  <c r="V91" i="240" s="1"/>
  <c r="AT89" i="240"/>
  <c r="AT91" i="240" s="1"/>
  <c r="O89" i="240"/>
  <c r="O91" i="240" s="1"/>
  <c r="AI89" i="240"/>
  <c r="AI91" i="240" s="1"/>
  <c r="AF89" i="240"/>
  <c r="AF91" i="240" s="1"/>
  <c r="AP89" i="240"/>
  <c r="AP91" i="240" s="1"/>
  <c r="U89" i="240"/>
  <c r="U91" i="240" s="1"/>
  <c r="X89" i="240"/>
  <c r="X91" i="240" s="1"/>
  <c r="AJ89" i="240"/>
  <c r="AJ91" i="240" s="1"/>
  <c r="R89" i="240"/>
  <c r="R91" i="240" s="1"/>
  <c r="Y89" i="240"/>
  <c r="Y91" i="240" s="1"/>
  <c r="AK89" i="240"/>
  <c r="AK91" i="240" s="1"/>
  <c r="AM89" i="240"/>
  <c r="AM91" i="240" s="1"/>
  <c r="AG89" i="240"/>
  <c r="AG91" i="240" s="1"/>
  <c r="T89" i="240"/>
  <c r="T91" i="240" s="1"/>
  <c r="AS89" i="240"/>
  <c r="AS91" i="240" s="1"/>
  <c r="AC89" i="240"/>
  <c r="AC91" i="240" s="1"/>
  <c r="AE89" i="240"/>
  <c r="AE91" i="240" s="1"/>
  <c r="AL89" i="240"/>
  <c r="AL91" i="240" s="1"/>
  <c r="AH89" i="240"/>
  <c r="AH91" i="240" s="1"/>
  <c r="BG97" i="240"/>
  <c r="G95" i="240"/>
  <c r="G96" i="240" s="1"/>
  <c r="K95" i="240"/>
  <c r="K96" i="240" s="1"/>
  <c r="BC97" i="240"/>
  <c r="AY97" i="240"/>
  <c r="AU97" i="240"/>
  <c r="AE95" i="240" l="1"/>
  <c r="AE97" i="240" s="1"/>
  <c r="O95" i="240"/>
  <c r="AI95" i="240"/>
  <c r="AI97" i="240" s="1"/>
  <c r="S95" i="240"/>
  <c r="W95" i="240"/>
  <c r="W97" i="240" s="1"/>
  <c r="AA95" i="240"/>
  <c r="AA97" i="240" s="1"/>
  <c r="AM95" i="240"/>
  <c r="AM97" i="240" s="1"/>
  <c r="AQ95" i="240"/>
  <c r="AQ97" i="240" s="1"/>
  <c r="S97" i="240" l="1"/>
  <c r="O96" i="240"/>
  <c r="S96" i="240" s="1"/>
  <c r="W96" i="240" s="1"/>
  <c r="AA96" i="240" s="1"/>
  <c r="AE96" i="240" s="1"/>
  <c r="AI96" i="240" s="1"/>
  <c r="AM96" i="240" s="1"/>
  <c r="AQ96" i="240" s="1"/>
  <c r="O97" i="240"/>
  <c r="O98" i="240" s="1"/>
  <c r="S98" i="240" l="1"/>
  <c r="W98" i="240" s="1"/>
  <c r="AA98" i="240" s="1"/>
  <c r="AE98" i="240" s="1"/>
  <c r="AI98" i="240" s="1"/>
  <c r="AM98" i="240" s="1"/>
  <c r="AQ98" i="240" s="1"/>
  <c r="AU98" i="240" s="1"/>
  <c r="AY98" i="240" s="1"/>
  <c r="BC98" i="240" s="1"/>
  <c r="BG98" i="240"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Marco Alejandro Chavistad Penagos</author>
    <author>Luz Elena Aguilar Malagon</author>
  </authors>
  <commentList>
    <comment ref="E6" authorId="0" shapeId="0" xr:uid="{00000000-0006-0000-0000-000001000000}">
      <text>
        <r>
          <rPr>
            <b/>
            <sz val="9"/>
            <color indexed="81"/>
            <rFont val="Tahoma"/>
            <family val="2"/>
          </rPr>
          <t>Marco Alejandro Chavistad Penagos:</t>
        </r>
        <r>
          <rPr>
            <sz val="9"/>
            <color indexed="81"/>
            <rFont val="Tahoma"/>
            <family val="2"/>
          </rPr>
          <t xml:space="preserve">
PRECIO CONSULTOR</t>
        </r>
      </text>
    </comment>
    <comment ref="E7" authorId="0" shapeId="0" xr:uid="{00000000-0006-0000-0000-000002000000}">
      <text>
        <r>
          <rPr>
            <b/>
            <sz val="9"/>
            <color indexed="81"/>
            <rFont val="Tahoma"/>
            <family val="2"/>
          </rPr>
          <t>Marco Alejandro Chavistad Penagos:</t>
        </r>
        <r>
          <rPr>
            <sz val="9"/>
            <color indexed="81"/>
            <rFont val="Tahoma"/>
            <family val="2"/>
          </rPr>
          <t xml:space="preserve">
PRECIO CONSULTOR
</t>
        </r>
      </text>
    </comment>
    <comment ref="E13" authorId="0" shapeId="0" xr:uid="{00000000-0006-0000-0000-000003000000}">
      <text>
        <r>
          <rPr>
            <b/>
            <sz val="9"/>
            <color indexed="81"/>
            <rFont val="Tahoma"/>
            <family val="2"/>
          </rPr>
          <t>Marco Alejandro Chavistad Penagos:</t>
        </r>
        <r>
          <rPr>
            <sz val="9"/>
            <color indexed="81"/>
            <rFont val="Tahoma"/>
            <family val="2"/>
          </rPr>
          <t xml:space="preserve">
PRECIO CONSTRUDATA
</t>
        </r>
      </text>
    </comment>
    <comment ref="E14" authorId="0" shapeId="0" xr:uid="{00000000-0006-0000-0000-000004000000}">
      <text>
        <r>
          <rPr>
            <b/>
            <sz val="9"/>
            <color indexed="81"/>
            <rFont val="Tahoma"/>
            <family val="2"/>
          </rPr>
          <t>Marco Alejandro Chavistad Penagos:</t>
        </r>
        <r>
          <rPr>
            <sz val="9"/>
            <color indexed="81"/>
            <rFont val="Tahoma"/>
            <family val="2"/>
          </rPr>
          <t xml:space="preserve">
PRECIO CONSTRUDATA
</t>
        </r>
      </text>
    </comment>
    <comment ref="E15" authorId="0" shapeId="0" xr:uid="{00000000-0006-0000-0000-000005000000}">
      <text>
        <r>
          <rPr>
            <b/>
            <sz val="9"/>
            <color indexed="81"/>
            <rFont val="Tahoma"/>
            <family val="2"/>
          </rPr>
          <t>Marco Alejandro Chavistad Penagos:</t>
        </r>
        <r>
          <rPr>
            <sz val="9"/>
            <color indexed="81"/>
            <rFont val="Tahoma"/>
            <family val="2"/>
          </rPr>
          <t xml:space="preserve">
PRECIO CONSTRUDATA
</t>
        </r>
      </text>
    </comment>
    <comment ref="D16" authorId="1" shapeId="0" xr:uid="{00000000-0006-0000-0000-000006000000}">
      <text>
        <r>
          <rPr>
            <b/>
            <sz val="9"/>
            <color indexed="81"/>
            <rFont val="Tahoma"/>
            <family val="2"/>
          </rPr>
          <t>Luz Elena Aguilar Malagon: CONSTRUDATA 177/2016 PAG 200</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JhOnFrEdY</author>
  </authors>
  <commentList>
    <comment ref="F39" authorId="0" shapeId="0" xr:uid="{00000000-0006-0000-0200-000001000000}">
      <text>
        <r>
          <rPr>
            <b/>
            <sz val="11"/>
            <color indexed="81"/>
            <rFont val="Tahoma"/>
            <family val="2"/>
          </rPr>
          <t>JhOnFrEdY:</t>
        </r>
        <r>
          <rPr>
            <sz val="11"/>
            <color indexed="81"/>
            <rFont val="Tahoma"/>
            <family val="2"/>
          </rPr>
          <t xml:space="preserve">
Insertar dependiendo del sitio de la obra a ejecutar, teniendo en cuanta el sitio de suministro y el sitio de disposición.</t>
        </r>
      </text>
    </comment>
    <comment ref="F265" authorId="0" shapeId="0" xr:uid="{00000000-0006-0000-0200-000002000000}">
      <text>
        <r>
          <rPr>
            <b/>
            <sz val="11"/>
            <color indexed="81"/>
            <rFont val="Tahoma"/>
            <family val="2"/>
          </rPr>
          <t>JhOnFrEdY:</t>
        </r>
        <r>
          <rPr>
            <sz val="11"/>
            <color indexed="81"/>
            <rFont val="Tahoma"/>
            <family val="2"/>
          </rPr>
          <t xml:space="preserve">
Insertar dependiendo del sitio de la obra a ejecutar, teniendo en cuanta el sitio de suministro y el sitio de disposición.</t>
        </r>
      </text>
    </comment>
    <comment ref="K769" authorId="0" shapeId="0" xr:uid="{00000000-0006-0000-0200-000003000000}">
      <text>
        <r>
          <rPr>
            <b/>
            <sz val="9"/>
            <color indexed="81"/>
            <rFont val="Tahoma"/>
            <family val="2"/>
          </rPr>
          <t>JhOnFrEdY:</t>
        </r>
        <r>
          <rPr>
            <sz val="9"/>
            <color indexed="81"/>
            <rFont val="Tahoma"/>
            <family val="2"/>
          </rPr>
          <t xml:space="preserve">
PROMEDIO.</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JHON F GARCIA MENDEZ</author>
  </authors>
  <commentList>
    <comment ref="BK9" authorId="0" shapeId="0" xr:uid="{00000000-0006-0000-0300-000001000000}">
      <text>
        <r>
          <rPr>
            <b/>
            <sz val="9"/>
            <color indexed="81"/>
            <rFont val="Tahoma"/>
            <family val="2"/>
          </rPr>
          <t xml:space="preserve">JHON F GARCIA MENDEZ:
</t>
        </r>
        <r>
          <rPr>
            <sz val="9"/>
            <color indexed="81"/>
            <rFont val="Tahoma"/>
            <family val="2"/>
          </rPr>
          <t xml:space="preserve">Ésta se utilizará para LOCALIZACIÓN Y REPLANTEO
</t>
        </r>
      </text>
    </comment>
    <comment ref="BL9" authorId="0" shapeId="0" xr:uid="{00000000-0006-0000-0300-000002000000}">
      <text>
        <r>
          <rPr>
            <b/>
            <sz val="9"/>
            <color indexed="81"/>
            <rFont val="Tahoma"/>
            <family val="2"/>
          </rPr>
          <t xml:space="preserve">JHON F GARCIA MENDEZ:
</t>
        </r>
        <r>
          <rPr>
            <sz val="9"/>
            <color indexed="81"/>
            <rFont val="Tahoma"/>
            <family val="2"/>
          </rPr>
          <t xml:space="preserve">Ésta se utilizará para el cálculo de excavacón, relleno, demolición, reposición, base, sub base.
</t>
        </r>
      </text>
    </comment>
    <comment ref="BO9" authorId="0" shapeId="0" xr:uid="{00000000-0006-0000-0300-000003000000}">
      <text>
        <r>
          <rPr>
            <b/>
            <sz val="9"/>
            <color indexed="81"/>
            <rFont val="Tahoma"/>
            <family val="2"/>
          </rPr>
          <t>JHON F GARCIA MENDEZ:</t>
        </r>
        <r>
          <rPr>
            <sz val="9"/>
            <color indexed="81"/>
            <rFont val="Tahoma"/>
            <family val="2"/>
          </rPr>
          <t xml:space="preserve">
El ancho de la brecha es igual al diámetro de la tubería+30 cm a cada lado + 10 cm a cada lado para entibados, entonces ancho de brecha=ø+0.80</t>
        </r>
      </text>
    </comment>
    <comment ref="BR9" authorId="0" shapeId="0" xr:uid="{00000000-0006-0000-0300-000004000000}">
      <text>
        <r>
          <rPr>
            <b/>
            <sz val="9"/>
            <color indexed="81"/>
            <rFont val="Tahoma"/>
            <family val="2"/>
          </rPr>
          <t>JHON F GARCIA MENDEZ:</t>
        </r>
        <r>
          <rPr>
            <sz val="9"/>
            <color indexed="81"/>
            <rFont val="Tahoma"/>
            <family val="2"/>
          </rPr>
          <t xml:space="preserve">
Se le adicionan 10 cm para aplicar la cama de arena.</t>
        </r>
      </text>
    </comment>
    <comment ref="CC9" authorId="0" shapeId="0" xr:uid="{00000000-0006-0000-0300-000005000000}">
      <text>
        <r>
          <rPr>
            <b/>
            <sz val="9"/>
            <color indexed="81"/>
            <rFont val="Tahoma"/>
            <family val="2"/>
          </rPr>
          <t>JHON F GARCIA MENDEZ:</t>
        </r>
        <r>
          <rPr>
            <sz val="9"/>
            <color indexed="81"/>
            <rFont val="Tahoma"/>
            <family val="2"/>
          </rPr>
          <t xml:space="preserve">
R: Rígido
F: Flexible
D: Destapado</t>
        </r>
      </text>
    </comment>
    <comment ref="CI9" authorId="0" shapeId="0" xr:uid="{00000000-0006-0000-0300-000006000000}">
      <text>
        <r>
          <rPr>
            <b/>
            <sz val="9"/>
            <color indexed="81"/>
            <rFont val="Tahoma"/>
            <family val="2"/>
          </rPr>
          <t>JHON F GARCIA MENDEZ:
Para pavimento rígido y flexible</t>
        </r>
        <r>
          <rPr>
            <sz val="9"/>
            <color indexed="81"/>
            <rFont val="Tahoma"/>
            <family val="2"/>
          </rPr>
          <t xml:space="preserve">
</t>
        </r>
      </text>
    </comment>
    <comment ref="CJ9" authorId="0" shapeId="0" xr:uid="{00000000-0006-0000-0300-000007000000}">
      <text>
        <r>
          <rPr>
            <b/>
            <sz val="9"/>
            <color indexed="81"/>
            <rFont val="Tahoma"/>
            <family val="2"/>
          </rPr>
          <t>JHON F GARCIA MENDEZ:</t>
        </r>
        <r>
          <rPr>
            <sz val="9"/>
            <color indexed="81"/>
            <rFont val="Tahoma"/>
            <family val="2"/>
          </rPr>
          <t xml:space="preserve">
Sólo para pavimento flexible</t>
        </r>
      </text>
    </comment>
    <comment ref="CM9" authorId="0" shapeId="0" xr:uid="{00000000-0006-0000-0300-000008000000}">
      <text>
        <r>
          <rPr>
            <b/>
            <sz val="9"/>
            <color indexed="81"/>
            <rFont val="Tahoma"/>
            <family val="2"/>
          </rPr>
          <t>JHON F GARCIA MENDEZ:</t>
        </r>
        <r>
          <rPr>
            <sz val="9"/>
            <color indexed="81"/>
            <rFont val="Tahoma"/>
            <family val="2"/>
          </rPr>
          <t xml:space="preserve">
Espesor de 10 cm</t>
        </r>
      </text>
    </comment>
    <comment ref="CX9" authorId="0" shapeId="0" xr:uid="{00000000-0006-0000-0300-000009000000}">
      <text>
        <r>
          <rPr>
            <b/>
            <sz val="9"/>
            <color indexed="81"/>
            <rFont val="Tahoma"/>
            <family val="2"/>
          </rPr>
          <t>JHON F GARCIA MENDEZ:</t>
        </r>
        <r>
          <rPr>
            <sz val="9"/>
            <color indexed="81"/>
            <rFont val="Tahoma"/>
            <family val="2"/>
          </rPr>
          <t xml:space="preserve">
Para profundidades de excavación inferiores a 2.0 m se tomó 0.60 m de ancho, y para prof. Superiores a 2.0 m, se tomó un ancho de 0.80 m, por razones de seguridad y comodidad para trabajar.</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D14" authorId="0" shapeId="0" xr:uid="{00000000-0006-0000-0500-000001000000}">
      <text>
        <r>
          <rPr>
            <b/>
            <sz val="9"/>
            <color indexed="81"/>
            <rFont val="Tahoma"/>
            <family val="2"/>
          </rPr>
          <t>Cubrimiento de 30m2 x 1 frente de obra y l duració ndel plastixco se estima para 12
 meses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JhOnFrEdY</author>
    <author>Camilo Andres Gacharna Bermeo</author>
  </authors>
  <commentList>
    <comment ref="B22" authorId="0" shapeId="0" xr:uid="{00000000-0006-0000-0C00-000001000000}">
      <text>
        <r>
          <rPr>
            <b/>
            <sz val="9"/>
            <color indexed="81"/>
            <rFont val="Tahoma"/>
            <family val="2"/>
          </rPr>
          <t>JhOnFrEdY:</t>
        </r>
        <r>
          <rPr>
            <sz val="9"/>
            <color indexed="81"/>
            <rFont val="Tahoma"/>
            <family val="2"/>
          </rPr>
          <t xml:space="preserve">
El pago de las cesantías equivale a medio por cada semestre laborado, es decir, un salario anual, el cual equivale al 8.33%</t>
        </r>
      </text>
    </comment>
    <comment ref="B23" authorId="0" shapeId="0" xr:uid="{00000000-0006-0000-0C00-000002000000}">
      <text>
        <r>
          <rPr>
            <b/>
            <sz val="9"/>
            <color indexed="81"/>
            <rFont val="Tahoma"/>
            <family val="2"/>
          </rPr>
          <t>JhOnFrEdY:</t>
        </r>
        <r>
          <rPr>
            <sz val="9"/>
            <color indexed="81"/>
            <rFont val="Tahoma"/>
            <family val="2"/>
          </rPr>
          <t xml:space="preserve">
Ley 52 de 1975</t>
        </r>
      </text>
    </comment>
    <comment ref="B28" authorId="1" shapeId="0" xr:uid="{00000000-0006-0000-0C00-000003000000}">
      <text>
        <r>
          <rPr>
            <b/>
            <sz val="9"/>
            <color indexed="81"/>
            <rFont val="Tahoma"/>
            <family val="2"/>
          </rPr>
          <t xml:space="preserve">CAGB: </t>
        </r>
        <r>
          <rPr>
            <sz val="9"/>
            <color indexed="81"/>
            <rFont val="Tahoma"/>
            <family val="2"/>
          </rPr>
          <t xml:space="preserve">Ley 797 de 2003 y el decreto 4982 de 2007. Los aportes a pensión son orientados a cubrir los riesgos laborales o de jubilación por vejez.
El 12% del valor debe ser pagado por el empleador y 4% por el empleado.
</t>
        </r>
      </text>
    </comment>
    <comment ref="B30" authorId="1" shapeId="0" xr:uid="{00000000-0006-0000-0C00-000004000000}">
      <text>
        <r>
          <rPr>
            <b/>
            <sz val="9"/>
            <color indexed="81"/>
            <rFont val="Tahoma"/>
            <family val="2"/>
          </rPr>
          <t xml:space="preserve">CAGB: </t>
        </r>
        <r>
          <rPr>
            <sz val="9"/>
            <color indexed="81"/>
            <rFont val="Tahoma"/>
            <family val="2"/>
          </rPr>
          <t xml:space="preserve">Ley 1562 de 2012. Este gasto corresponde pagarlo al empleador. Para el caso de construcción corresponde a 6.96% (Art 13 del decreto 1772 de 1994)
</t>
        </r>
      </text>
    </comment>
    <comment ref="B35" authorId="1" shapeId="0" xr:uid="{00000000-0006-0000-0C00-000005000000}">
      <text>
        <r>
          <rPr>
            <b/>
            <sz val="9"/>
            <color indexed="81"/>
            <rFont val="Tahoma"/>
            <family val="2"/>
          </rPr>
          <t xml:space="preserve">CAGB: </t>
        </r>
        <r>
          <rPr>
            <sz val="9"/>
            <color indexed="81"/>
            <rFont val="Tahoma"/>
            <family val="2"/>
          </rPr>
          <t xml:space="preserve">Ley 1122 de 2007 (Art10), Ley 1607 (Art 25) y el decreto 1828 de 2013.
</t>
        </r>
      </text>
    </comment>
    <comment ref="B36" authorId="1" shapeId="0" xr:uid="{00000000-0006-0000-0C00-000006000000}">
      <text>
        <r>
          <rPr>
            <b/>
            <sz val="9"/>
            <color indexed="81"/>
            <rFont val="Tahoma"/>
            <family val="2"/>
          </rPr>
          <t>CAGB:</t>
        </r>
        <r>
          <rPr>
            <sz val="9"/>
            <color indexed="81"/>
            <rFont val="Tahoma"/>
            <family val="2"/>
          </rPr>
          <t xml:space="preserve">
Numero de trabajadores.
El dueño de la obra debe pagar 1 salario minimo por cada 40 trabajadores.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JhOnFrEdY</author>
  </authors>
  <commentList>
    <comment ref="A7" authorId="0" shapeId="0" xr:uid="{00000000-0006-0000-0E00-000001000000}">
      <text>
        <r>
          <rPr>
            <b/>
            <sz val="9"/>
            <color indexed="81"/>
            <rFont val="Tahoma"/>
            <family val="2"/>
          </rPr>
          <t>JhOnFrEdY:</t>
        </r>
        <r>
          <rPr>
            <sz val="9"/>
            <color indexed="81"/>
            <rFont val="Tahoma"/>
            <family val="2"/>
          </rPr>
          <t xml:space="preserve">
Número del capítulo.</t>
        </r>
      </text>
    </comment>
    <comment ref="B7" authorId="0" shapeId="0" xr:uid="{00000000-0006-0000-0E00-000002000000}">
      <text>
        <r>
          <rPr>
            <b/>
            <sz val="9"/>
            <color indexed="81"/>
            <rFont val="Tahoma"/>
            <family val="2"/>
          </rPr>
          <t>JhOnFrEdY:</t>
        </r>
        <r>
          <rPr>
            <sz val="9"/>
            <color indexed="81"/>
            <rFont val="Tahoma"/>
            <family val="2"/>
          </rPr>
          <t xml:space="preserve">
Nombre del capítulo.</t>
        </r>
      </text>
    </comment>
    <comment ref="H7" authorId="0" shapeId="0" xr:uid="{00000000-0006-0000-0E00-000003000000}">
      <text>
        <r>
          <rPr>
            <b/>
            <sz val="9"/>
            <color indexed="81"/>
            <rFont val="Tahoma"/>
            <family val="2"/>
          </rPr>
          <t>JhOnFrEdY:</t>
        </r>
        <r>
          <rPr>
            <sz val="9"/>
            <color indexed="81"/>
            <rFont val="Tahoma"/>
            <family val="2"/>
          </rPr>
          <t xml:space="preserve">
Unidad de medida del Ítem</t>
        </r>
      </text>
    </comment>
    <comment ref="A8" authorId="0" shapeId="0" xr:uid="{00000000-0006-0000-0E00-000004000000}">
      <text>
        <r>
          <rPr>
            <b/>
            <sz val="9"/>
            <color indexed="81"/>
            <rFont val="Tahoma"/>
            <family val="2"/>
          </rPr>
          <t>JhOnFrEdY:</t>
        </r>
        <r>
          <rPr>
            <sz val="9"/>
            <color indexed="81"/>
            <rFont val="Tahoma"/>
            <family val="2"/>
          </rPr>
          <t xml:space="preserve">
Número del Ítem</t>
        </r>
      </text>
    </comment>
    <comment ref="B8" authorId="0" shapeId="0" xr:uid="{00000000-0006-0000-0E00-000005000000}">
      <text>
        <r>
          <rPr>
            <b/>
            <sz val="9"/>
            <color indexed="81"/>
            <rFont val="Tahoma"/>
            <family val="2"/>
          </rPr>
          <t>JhOnFrEdY:</t>
        </r>
        <r>
          <rPr>
            <sz val="9"/>
            <color indexed="81"/>
            <rFont val="Tahoma"/>
            <family val="2"/>
          </rPr>
          <t xml:space="preserve">
Nombre del Ítem</t>
        </r>
      </text>
    </comment>
    <comment ref="A12" authorId="0" shapeId="0" xr:uid="{00000000-0006-0000-0E00-000006000000}">
      <text>
        <r>
          <rPr>
            <b/>
            <sz val="9"/>
            <color indexed="81"/>
            <rFont val="Tahoma"/>
            <family val="2"/>
          </rPr>
          <t>JhOnFrEdY:</t>
        </r>
        <r>
          <rPr>
            <sz val="9"/>
            <color indexed="81"/>
            <rFont val="Tahoma"/>
            <family val="2"/>
          </rPr>
          <t xml:space="preserve">
Referencia del equipo y/o herramienta a buscar en la lista de insumos.</t>
        </r>
      </text>
    </comment>
    <comment ref="F12" authorId="0" shapeId="0" xr:uid="{00000000-0006-0000-0E00-000007000000}">
      <text>
        <r>
          <rPr>
            <b/>
            <sz val="9"/>
            <color indexed="81"/>
            <rFont val="Tahoma"/>
            <family val="2"/>
          </rPr>
          <t>JhOnFrEdY:</t>
        </r>
        <r>
          <rPr>
            <sz val="9"/>
            <color indexed="81"/>
            <rFont val="Tahoma"/>
            <family val="2"/>
          </rPr>
          <t xml:space="preserve">
Rendimiento:
Cantidad de unidad de medida (m2,m3,Kg,etc.) de una actividad por una unidad de tiempo (hr,día, jornal).
Ejemplo: Con una mezcladora de 1.5 bultos se mezclan 7.5 m3 de concreto en un día.</t>
        </r>
      </text>
    </comment>
    <comment ref="A13" authorId="0" shapeId="0" xr:uid="{00000000-0006-0000-0E00-000008000000}">
      <text>
        <r>
          <rPr>
            <b/>
            <sz val="9"/>
            <color indexed="81"/>
            <rFont val="Tahoma"/>
            <family val="2"/>
          </rPr>
          <t>JhOnFrEdY:</t>
        </r>
        <r>
          <rPr>
            <sz val="9"/>
            <color indexed="81"/>
            <rFont val="Tahoma"/>
            <family val="2"/>
          </rPr>
          <t xml:space="preserve">
Fila reservada exclusivamente para la HERRAMIENTA MENOR, la cual puede ser del 5% o el 10% del total de la Mano de Obra. </t>
        </r>
      </text>
    </comment>
    <comment ref="E40" authorId="0" shapeId="0" xr:uid="{00000000-0006-0000-0E00-000009000000}">
      <text>
        <r>
          <rPr>
            <b/>
            <sz val="9"/>
            <color indexed="81"/>
            <rFont val="Tahoma"/>
            <family val="2"/>
          </rPr>
          <t>JhOnFrEdY:</t>
        </r>
        <r>
          <rPr>
            <sz val="9"/>
            <color indexed="81"/>
            <rFont val="Tahoma"/>
            <family val="2"/>
          </rPr>
          <t xml:space="preserve">
Distancia del sitio de acarreo (planta, bodega, río) al sitio de ejecución de la obra.</t>
        </r>
      </text>
    </comment>
    <comment ref="G40" authorId="0" shapeId="0" xr:uid="{00000000-0006-0000-0E00-00000A000000}">
      <text>
        <r>
          <rPr>
            <b/>
            <sz val="9"/>
            <color indexed="81"/>
            <rFont val="Tahoma"/>
            <family val="2"/>
          </rPr>
          <t>JhOnFrEdY:</t>
        </r>
        <r>
          <rPr>
            <sz val="9"/>
            <color indexed="81"/>
            <rFont val="Tahoma"/>
            <family val="2"/>
          </rPr>
          <t xml:space="preserve">
Costo del transporte de la cantidad (m3. Ton., viaje) por kilómetro de recorrido.</t>
        </r>
      </text>
    </comment>
    <comment ref="A49" authorId="0" shapeId="0" xr:uid="{00000000-0006-0000-0E00-00000B000000}">
      <text>
        <r>
          <rPr>
            <b/>
            <sz val="9"/>
            <color indexed="81"/>
            <rFont val="Tahoma"/>
            <family val="2"/>
          </rPr>
          <t>JhOnFrEdY:</t>
        </r>
        <r>
          <rPr>
            <sz val="9"/>
            <color indexed="81"/>
            <rFont val="Tahoma"/>
            <family val="2"/>
          </rPr>
          <t xml:space="preserve">
Código de la cuadrilla, esta debe corresponder de acuerdo al tipo de actividad a ejecutar.</t>
        </r>
      </text>
    </comment>
    <comment ref="F49" authorId="0" shapeId="0" xr:uid="{00000000-0006-0000-0E00-00000C000000}">
      <text>
        <r>
          <rPr>
            <b/>
            <sz val="9"/>
            <color indexed="81"/>
            <rFont val="Tahoma"/>
            <family val="2"/>
          </rPr>
          <t>JhOnFrEdY:</t>
        </r>
        <r>
          <rPr>
            <sz val="9"/>
            <color indexed="81"/>
            <rFont val="Tahoma"/>
            <family val="2"/>
          </rPr>
          <t xml:space="preserve">
Cantidad de obra ejecutada por una unidad de tiempo, en este caso en 1 hora.
Ejemplo: La cuadrilla LL funde 0.85 m3 de concreto en una hora.</t>
        </r>
      </text>
    </comment>
    <comment ref="G49" authorId="0" shapeId="0" xr:uid="{00000000-0006-0000-0E00-00000D000000}">
      <text>
        <r>
          <rPr>
            <b/>
            <sz val="9"/>
            <color indexed="81"/>
            <rFont val="Tahoma"/>
            <family val="2"/>
          </rPr>
          <t>JhOnFrEdY:</t>
        </r>
        <r>
          <rPr>
            <sz val="9"/>
            <color indexed="81"/>
            <rFont val="Tahoma"/>
            <family val="2"/>
          </rPr>
          <t xml:space="preserve">
Valor de la cuadrilla en una. Incluye Prestaciones Sociales.</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JhonF</author>
  </authors>
  <commentList>
    <comment ref="F23" authorId="0" shapeId="0" xr:uid="{00000000-0006-0000-2100-000001000000}">
      <text>
        <r>
          <rPr>
            <b/>
            <sz val="9"/>
            <color indexed="81"/>
            <rFont val="Tahoma"/>
            <family val="2"/>
          </rPr>
          <t>JhonF:</t>
        </r>
        <r>
          <rPr>
            <sz val="9"/>
            <color indexed="81"/>
            <rFont val="Tahoma"/>
            <family val="2"/>
          </rPr>
          <t xml:space="preserve">
Área Ext: 2,011 m2
Área Int. 1,131 m2
Área Tapa: 0,283 m2
Vol= [(1.728*0.2)+(0.88*1.6)+(2.011*0.2)+0.23]+5% desperdicio</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JhonF</author>
  </authors>
  <commentList>
    <comment ref="F23" authorId="0" shapeId="0" xr:uid="{00000000-0006-0000-3D00-000001000000}">
      <text>
        <r>
          <rPr>
            <b/>
            <sz val="9"/>
            <color indexed="81"/>
            <rFont val="Tahoma"/>
            <family val="2"/>
          </rPr>
          <t>JhonF:</t>
        </r>
        <r>
          <rPr>
            <sz val="9"/>
            <color indexed="81"/>
            <rFont val="Tahoma"/>
            <family val="2"/>
          </rPr>
          <t xml:space="preserve">
Área Ext: 2,011 m2
Área Int. 1,131 m2
Área Tapa: 0,283 m2
Vol= [(1.728*0.2)+(0.88*1.6)+(2.011*0.2)+0.23]+5% desperdicio</t>
        </r>
      </text>
    </comment>
  </commentList>
</comments>
</file>

<file path=xl/sharedStrings.xml><?xml version="1.0" encoding="utf-8"?>
<sst xmlns="http://schemas.openxmlformats.org/spreadsheetml/2006/main" count="10813" uniqueCount="2719">
  <si>
    <t>%</t>
  </si>
  <si>
    <t>SALARIO</t>
  </si>
  <si>
    <t>PRESTACIONES SOCIALES</t>
  </si>
  <si>
    <t>AYUDANTE</t>
  </si>
  <si>
    <t>OFICIAL</t>
  </si>
  <si>
    <t>TOPOGRAFO</t>
  </si>
  <si>
    <t>SOLDADOR</t>
  </si>
  <si>
    <t>CANTIDAD</t>
  </si>
  <si>
    <t>SEGURIDAD SOCIAL</t>
  </si>
  <si>
    <t>APORTES PARAFISCALES</t>
  </si>
  <si>
    <t>FACTOR PRESTACIONAL</t>
  </si>
  <si>
    <t>Caja de compensación familiar</t>
  </si>
  <si>
    <t>Dotación</t>
  </si>
  <si>
    <t>Subsidio de transporte</t>
  </si>
  <si>
    <t>JORNAL</t>
  </si>
  <si>
    <t>OCUPACION</t>
  </si>
  <si>
    <t>TIPO DE CUADRILLA</t>
  </si>
  <si>
    <t>CUADRILLA T5</t>
  </si>
  <si>
    <t>CUADRILLA T6</t>
  </si>
  <si>
    <t>V/PARCIAL</t>
  </si>
  <si>
    <t>CALCULO DEL FACTOR PRESTACIONAL</t>
  </si>
  <si>
    <t>Mensual</t>
  </si>
  <si>
    <t>Total mensual</t>
  </si>
  <si>
    <t>Subsidio de transporte anual</t>
  </si>
  <si>
    <t>Salario anual con sub. De transporte</t>
  </si>
  <si>
    <t xml:space="preserve">Salario anual </t>
  </si>
  <si>
    <t>SALARIO NOMINAL (365 días)</t>
  </si>
  <si>
    <t>Total anual (A/30*365)</t>
  </si>
  <si>
    <t>Cesantias anuales</t>
  </si>
  <si>
    <t>Interes sobre cesantia</t>
  </si>
  <si>
    <t>Prima - 30 días</t>
  </si>
  <si>
    <t>Vacaciones - 15 días</t>
  </si>
  <si>
    <t>Pensiones</t>
  </si>
  <si>
    <t>Riesgos Profesionales (ARL)</t>
  </si>
  <si>
    <t>VALOR REAL DEL SALARIO</t>
  </si>
  <si>
    <t>DOTACIÓN</t>
  </si>
  <si>
    <t>SUBTOTAL PRESTACIONES SOCIALES</t>
  </si>
  <si>
    <t>SUBTOTAL SEGURIDAD SOCIAL</t>
  </si>
  <si>
    <t>SUBTOTAL PARAFISCALES</t>
  </si>
  <si>
    <t>Implementos de Seguridad</t>
  </si>
  <si>
    <t>SUBTOTAL DOTACIÓN</t>
  </si>
  <si>
    <t>AFECTACIÓN PRESTACIONAL ANUAL</t>
  </si>
  <si>
    <t>Domingos</t>
  </si>
  <si>
    <t>Festivos</t>
  </si>
  <si>
    <t>Permisos</t>
  </si>
  <si>
    <t xml:space="preserve">Numero de días </t>
  </si>
  <si>
    <t>HORAS HÁBILES LABORALES</t>
  </si>
  <si>
    <t>TIEMPO PRODUCTIVO</t>
  </si>
  <si>
    <t>RECUPERACIÓN SALARIAL</t>
  </si>
  <si>
    <t>Valor hora efectiva (FP + FR)</t>
  </si>
  <si>
    <t>Valor real del salario</t>
  </si>
  <si>
    <t>RECUPERACIÓN PRESTACIONAL ANUAL</t>
  </si>
  <si>
    <t>2014, incluye ley 1607de 2012 Impuesto CREE (Impuesto sobre la renta para la equidad)</t>
  </si>
  <si>
    <t>El subsidio de transporte se reconoce hasta dos (2) SMMLV</t>
  </si>
  <si>
    <t>OPERARIO</t>
  </si>
  <si>
    <t>PESOS</t>
  </si>
  <si>
    <t>DOLARES</t>
  </si>
  <si>
    <t>MAESTRO</t>
  </si>
  <si>
    <t>Salud (Afectado por la reforma tributaria)</t>
  </si>
  <si>
    <t>FIC (Fondo Nacional de Formación Profesional de la Industria de la Construcción)</t>
  </si>
  <si>
    <t>Información tomada del MINTRABAJO - Articulo : "Cual es el costo global del salario minimo en Colombia", Tabla 1 - Calculo factor prestacional, Tabla 3 - Calculo tiempo productivo.</t>
  </si>
  <si>
    <t>CALCULO CUADRILLAS TIPO</t>
  </si>
  <si>
    <t>CONSTRUCCION Y DOTACION REGIONAL SUR NEIVA SEGUNDA ETAPA</t>
  </si>
  <si>
    <t>INSUMOS</t>
  </si>
  <si>
    <t>ALQUILER</t>
  </si>
  <si>
    <t>CONCRETOS</t>
  </si>
  <si>
    <t>CEMENTO GRIS</t>
  </si>
  <si>
    <t>KG</t>
  </si>
  <si>
    <t>CEMENTO BLANCO</t>
  </si>
  <si>
    <t>MEZCLADORA 3BT</t>
  </si>
  <si>
    <t>DD</t>
  </si>
  <si>
    <t>CONCRETO 4000 PSI GRAVA COMUN</t>
  </si>
  <si>
    <t>M3</t>
  </si>
  <si>
    <t>CARROTANQUE IRRIGADOR</t>
  </si>
  <si>
    <t>HR</t>
  </si>
  <si>
    <t>CONCRETO 3000 PSI GRAVA COMUN</t>
  </si>
  <si>
    <t>COMPRESOR</t>
  </si>
  <si>
    <t>CONCRETO 2500 PSI GRAVA COMUN</t>
  </si>
  <si>
    <t>COMPACTADOR DE LLANTA</t>
  </si>
  <si>
    <t>CONCRETO 2000 PSI GRAVA COMUN</t>
  </si>
  <si>
    <t>VOLQUETA VIAJE 7 M3 CARGADO (RELLENO MATERIAL SELECCIONADO).</t>
  </si>
  <si>
    <t>VIAJE</t>
  </si>
  <si>
    <t>CONCRETO 4000 PSI IMPERMEABLIZADO</t>
  </si>
  <si>
    <t>VIBROCOMPACTADOR GRANDE.</t>
  </si>
  <si>
    <t>CONCRETO ASFALTICO MDC-2</t>
  </si>
  <si>
    <t>MORTEROS</t>
  </si>
  <si>
    <t>MORTERO 1:3</t>
  </si>
  <si>
    <t>MATERIAL DE PRESTAMO TIPO SANGRE DE TORO</t>
  </si>
  <si>
    <t>MORTERO 1:4</t>
  </si>
  <si>
    <t>RETROEXCAVADORA</t>
  </si>
  <si>
    <t>HOR</t>
  </si>
  <si>
    <t>MORTERO 1:5</t>
  </si>
  <si>
    <t xml:space="preserve">VOLQUETA VIAJE 7 M3 DE RETIRO A ESCOMBRERA. </t>
  </si>
  <si>
    <t>MORTERO IMPERMEABILIZADO  1:3</t>
  </si>
  <si>
    <t>AGREGADOS PETREOS</t>
  </si>
  <si>
    <t>VOLQUETA VIAJE 7 M3 DESDE FUENTE MATERIAL</t>
  </si>
  <si>
    <t>GRAVILLA</t>
  </si>
  <si>
    <t>MOTONIVELADORA</t>
  </si>
  <si>
    <t>GRAVILLA FINA DE 1/2"</t>
  </si>
  <si>
    <t>VOLQUETA ACARREO</t>
  </si>
  <si>
    <t>GRAVILLA TRITURADA DE 3/4"</t>
  </si>
  <si>
    <t>MOTOSIERRA</t>
  </si>
  <si>
    <t>DIA</t>
  </si>
  <si>
    <t>ARENA TRITURADA</t>
  </si>
  <si>
    <t>GRANITO MARMOL BLANCO N° 2 X 35 KG</t>
  </si>
  <si>
    <t>BT</t>
  </si>
  <si>
    <t>ARENA FINA</t>
  </si>
  <si>
    <t>VIBROCOMPACTADOR</t>
  </si>
  <si>
    <t>ARENA DE PEÑA</t>
  </si>
  <si>
    <t>CARROTANQUE AGUA</t>
  </si>
  <si>
    <t>ARENA DE RIO</t>
  </si>
  <si>
    <t>ARENA LAVADA DE PEÑA</t>
  </si>
  <si>
    <t>TERMINADORA</t>
  </si>
  <si>
    <t>ARENA LAVADA DE RIO</t>
  </si>
  <si>
    <t xml:space="preserve">RANA DIESEL </t>
  </si>
  <si>
    <t>BASE GRANULAR B 200</t>
  </si>
  <si>
    <t>FORMALETA METALICA</t>
  </si>
  <si>
    <t>BASE GRANULAR B 200 INVIAS</t>
  </si>
  <si>
    <t>ESCALERA</t>
  </si>
  <si>
    <t>GRAVILLA DE RIO</t>
  </si>
  <si>
    <t>MARTILLO DEMOLEDOR</t>
  </si>
  <si>
    <t>MIXTO</t>
  </si>
  <si>
    <t>ANDAMIO TUBULAR</t>
  </si>
  <si>
    <t>COTIZADO</t>
  </si>
  <si>
    <t>PIEDRA MEDIA ZONGA</t>
  </si>
  <si>
    <t>VIBRADOR CONCRETO</t>
  </si>
  <si>
    <t>RAJON DE PIEDRA</t>
  </si>
  <si>
    <t>BOMBA CONCRETO</t>
  </si>
  <si>
    <t>RECEBO COMUN</t>
  </si>
  <si>
    <t>PULIDORA</t>
  </si>
  <si>
    <t>SUB BASE GRANULAR B 400 IDU</t>
  </si>
  <si>
    <t>TALADRO</t>
  </si>
  <si>
    <t>SUB BASE GRANULAR INVIAS</t>
  </si>
  <si>
    <t>ESTACION TOTAL</t>
  </si>
  <si>
    <t>AGUA</t>
  </si>
  <si>
    <t>LT</t>
  </si>
  <si>
    <t>NIVEL DE PRECISION</t>
  </si>
  <si>
    <t>TIERRA NEGRA</t>
  </si>
  <si>
    <t>FORMALETA EN MADERA</t>
  </si>
  <si>
    <t>M2</t>
  </si>
  <si>
    <t>MADERAS ASERRADAS</t>
  </si>
  <si>
    <t>CORTADORA DE LADRILLO</t>
  </si>
  <si>
    <t>TABLA BURRA 10 x 2,2 a 2,7 CM x 2,90 ORDINARIO</t>
  </si>
  <si>
    <t>UND</t>
  </si>
  <si>
    <t>TABLA BURRA 15 x 2,2 a 2,7 CM x 2,90 ORDINARIO</t>
  </si>
  <si>
    <t>TABLA BURRA 20 x 2,2 a 2,7 CM x 2,90 ORDINARIO</t>
  </si>
  <si>
    <t>TABLA BURRA 25 x 2,2 a 2,7 CM x 2,90 ORDINARIO</t>
  </si>
  <si>
    <t>TABLA BURRA 30 x 2,2 a 2,7 CM x 2,90 ORDINARIO</t>
  </si>
  <si>
    <t>TABLA CHAPA 10 x 1,8 A 2,0 CM x 2,90 ORDINARIO</t>
  </si>
  <si>
    <t>TABLA CHAPA 15 x 1,8 A 2,0 CM x 2,90 ORDINARIO</t>
  </si>
  <si>
    <t>TABLA CHAPA 20 x 1,8 A 2,0 CM x 2,90 ORDINARIO</t>
  </si>
  <si>
    <t>TABLA CHAPA 25 x 1,8 A 2,0 CM x 2,90 ORDINARIO</t>
  </si>
  <si>
    <t>TABLA CHAPA 30 x 1,8 A 2,0 CM x 2,90 ORDINARIO</t>
  </si>
  <si>
    <t>REPISA 8 X 4 CM X 2,90 M ORDINARIO</t>
  </si>
  <si>
    <t>DURMIENTE 4 X 4 CM X 2,90 M ORDINARIO</t>
  </si>
  <si>
    <t>PLANCHON 18 X 4 CM X 2,90 M ORDINARIO</t>
  </si>
  <si>
    <t>PLANCHON 23 X 4 CM X 2,90 M ORDINARIO</t>
  </si>
  <si>
    <t>LISTON ORDINARIO 10X1,08X2,9</t>
  </si>
  <si>
    <t>MADERAS ROLLIZAS</t>
  </si>
  <si>
    <t>VARA CORREDOR DIAM 8 A 10 CM X 3,00 M EUCALIPTO</t>
  </si>
  <si>
    <t>VARA DE CLAVO DIAM 6 A 8 CM X 3,00 M EUCALIPTO</t>
  </si>
  <si>
    <t>ACEROS DE REFUERZO</t>
  </si>
  <si>
    <t>ALAMBRE NEGRO N° 17</t>
  </si>
  <si>
    <t>CHIPA 1/4" G-60 1/4"</t>
  </si>
  <si>
    <t>CHIPA CORRUGADA 1/4"</t>
  </si>
  <si>
    <t>CHIPA CORRUGADA 1/4" G-60</t>
  </si>
  <si>
    <t>MALLA ELECTROSOLDADA XY-084 6,00 X 2,35 M</t>
  </si>
  <si>
    <t>ACERO DE REFUERZO FY=60000 PSI</t>
  </si>
  <si>
    <t>ACERO DE REFUERZO DE 5/8"A 1" FY=37000 PSI</t>
  </si>
  <si>
    <t>GRAFIL 4,0MM - 8,0MM</t>
  </si>
  <si>
    <t>LADRILLO</t>
  </si>
  <si>
    <t>BLOQUE N° 4 ESTANDAR P.H. 30X20X10</t>
  </si>
  <si>
    <t>BLOQUE N° 5 ESTANDAR P.H. 30X20X10</t>
  </si>
  <si>
    <t>BLOQUE N° 5 TRADICIONAL ESTRIADO33X11,5X23</t>
  </si>
  <si>
    <t>LADRILLO PRENSADO LIVIANO 6 CM 24X12X6</t>
  </si>
  <si>
    <t>LADRILLO MACIZO PRENSADO24X12X6</t>
  </si>
  <si>
    <t>LADRILLO MACIZO 24X12X6</t>
  </si>
  <si>
    <t>LADRILLO RECOCIDO</t>
  </si>
  <si>
    <t>CONSTRUCCION LIVIANA EN SECO</t>
  </si>
  <si>
    <t>ALAMBRE GALVANIZADO CAL 16</t>
  </si>
  <si>
    <t>ANGULO GALVANIZADO 0.2X0,25 CAL  26 X 2,44 M</t>
  </si>
  <si>
    <t>UN</t>
  </si>
  <si>
    <t>CINTA MALLA SELLAPANEL 45 MM</t>
  </si>
  <si>
    <t>RL</t>
  </si>
  <si>
    <t>LAMINA DE YESO REGULAR DE 1/2"</t>
  </si>
  <si>
    <t>MASILLA SUPERMASTIK 5 GALONES</t>
  </si>
  <si>
    <t>GL</t>
  </si>
  <si>
    <t>OMEGA CAL 26 X 2,44 M ROLLADO</t>
  </si>
  <si>
    <t>TORNILLO DE 1" PUNTA DE BROCA</t>
  </si>
  <si>
    <t>TORNILLO DE 7/16" PUNTA DE BROCA</t>
  </si>
  <si>
    <t>VIGUETA BASE 4 CAL. 26 X 2,44 M</t>
  </si>
  <si>
    <t>CANAL B 9 X 2,44 CAL. 26</t>
  </si>
  <si>
    <t>CARGA FUERTE + CLAVO 5/16"</t>
  </si>
  <si>
    <t>CINTA DE PAPEL SUPERCINTA 250</t>
  </si>
  <si>
    <t>LAMINA DE DRYWALL 1/2" SUPERPLACA</t>
  </si>
  <si>
    <t>PARAL B 9 X 2,44 CAL. 26</t>
  </si>
  <si>
    <t>TORNILLO GRABBER 6X1"</t>
  </si>
  <si>
    <t>CINTA METALICA</t>
  </si>
  <si>
    <t>LAMINA DE ALUZINC</t>
  </si>
  <si>
    <t>LAMINA DE PVC</t>
  </si>
  <si>
    <t>PARAL FC 140 mm 5 1/2"</t>
  </si>
  <si>
    <t>CANAL FC 140 mm 5 1/2"</t>
  </si>
  <si>
    <t>LAMINA SUPERBOARD 6 MM</t>
  </si>
  <si>
    <t>ACABADOS DE PISO Y PARED</t>
  </si>
  <si>
    <t>BALDOSA PARED OCEANO CORONA</t>
  </si>
  <si>
    <t>m2</t>
  </si>
  <si>
    <t>BALDOSA  PISO</t>
  </si>
  <si>
    <t>PEGACOR INTERIORES BLANCO</t>
  </si>
  <si>
    <t>kg</t>
  </si>
  <si>
    <t>BOQUILLA</t>
  </si>
  <si>
    <t>BALDOSIN GRANITO TIPO ALFA</t>
  </si>
  <si>
    <t>DILATACION PLASTICA</t>
  </si>
  <si>
    <t>ML</t>
  </si>
  <si>
    <t>TABLON TRADICION ROJO  30X30</t>
  </si>
  <si>
    <t>GUARDAESCOBA RECTO</t>
  </si>
  <si>
    <t>WIN ALUMINIO BLANCO</t>
  </si>
  <si>
    <t>ADOQUIN TIPO IDU TRAFICO A-25</t>
  </si>
  <si>
    <t>GRAMA NATURAL</t>
  </si>
  <si>
    <t>PISO EN VINILO</t>
  </si>
  <si>
    <t>PEGANTE</t>
  </si>
  <si>
    <t>GALON</t>
  </si>
  <si>
    <t>PISO PIZARRA NEGRA</t>
  </si>
  <si>
    <t>COLORANTE MINERAL PARA CONCRETO</t>
  </si>
  <si>
    <t>GUARDAESCOBA EN PVC</t>
  </si>
  <si>
    <t>PEGANTE PARA GUARDAESCOBA EN PVC</t>
  </si>
  <si>
    <t>PINTURAS</t>
  </si>
  <si>
    <t>PINTURA SUPERLAVABLE - VINILO TIPO 1</t>
  </si>
  <si>
    <t>CAOLIN X 25 K</t>
  </si>
  <si>
    <t>yeso</t>
  </si>
  <si>
    <t>bto</t>
  </si>
  <si>
    <t>RODILLO PROFESIONAL FELPA ACRILICA 9 PULGADAS</t>
  </si>
  <si>
    <t>CONSTRUCTOR PAG 489</t>
  </si>
  <si>
    <t>pintura antihongos</t>
  </si>
  <si>
    <t>gal</t>
  </si>
  <si>
    <t>PINTURA KORAZA 5 GAL (rend 20 m2 /gal)</t>
  </si>
  <si>
    <t>GAL</t>
  </si>
  <si>
    <t>PINTURA KORAZA 1 GAL</t>
  </si>
  <si>
    <t>HOMECENTER</t>
  </si>
  <si>
    <t>GRANIPLAST ESGRAFIADO PARA FACHADAS ANTIHONGOS X 5 GAL. 30 K</t>
  </si>
  <si>
    <t>KL</t>
  </si>
  <si>
    <t>pintura algreco</t>
  </si>
  <si>
    <t>gl</t>
  </si>
  <si>
    <t>PINTURA ESMALTE A BASE DE ACEITE</t>
  </si>
  <si>
    <t>CONSTRUCTOR PAG 477</t>
  </si>
  <si>
    <t>ESAMALTE SINTETICO TIPO PINTULUX</t>
  </si>
  <si>
    <t>PINTURA ANTICORROSIVA PREMIUM</t>
  </si>
  <si>
    <t>wash primer a pintura</t>
  </si>
  <si>
    <t>wcatalizador</t>
  </si>
  <si>
    <t>thiner</t>
  </si>
  <si>
    <t>INTERVINIL CIELORASOS POR 5GAL.</t>
  </si>
  <si>
    <t>INTERVINIL DRY WALL POR 5GAL.</t>
  </si>
  <si>
    <t>INTERVINIL POR 5GAL.</t>
  </si>
  <si>
    <t>MARMOLINA</t>
  </si>
  <si>
    <t>MINERAL BLANCO ZINC</t>
  </si>
  <si>
    <t>LB</t>
  </si>
  <si>
    <t>WASH PRIMER ANTICORROSIVO</t>
  </si>
  <si>
    <t>ANTICORROSIVO</t>
  </si>
  <si>
    <t>CONSTRUDATA PAG 177</t>
  </si>
  <si>
    <t>ESTUCO PLASTICO X 30 KG</t>
  </si>
  <si>
    <t>CUÑETE</t>
  </si>
  <si>
    <t>CONSTRUCTOR PAG 475</t>
  </si>
  <si>
    <t>ESTUCOR ESTUCO PLASTICO CORONA</t>
  </si>
  <si>
    <t>PINTURA EPOXICA DOS COMPONENTES</t>
  </si>
  <si>
    <t>SILICONA TRANSPARENTE PARA VIDRIOS TIPO SIKASIL E. 300 ML</t>
  </si>
  <si>
    <t>TUBO</t>
  </si>
  <si>
    <t>CONSTRUCTOR PAG 498</t>
  </si>
  <si>
    <t>ESQUINERO PLASTICO</t>
  </si>
  <si>
    <t>TIRA X 2.4</t>
  </si>
  <si>
    <t>CERRAJERIA</t>
  </si>
  <si>
    <t>CERRADURA DE POMO BOLA ORBIT</t>
  </si>
  <si>
    <t>CERRADURA DE POMO BOLA SCHLAGE TIPO ENTRADA</t>
  </si>
  <si>
    <t>CERRADURA DE CILINDRO CERROJO DOBLE</t>
  </si>
  <si>
    <t>DOBLE CERROJO</t>
  </si>
  <si>
    <t>CERRADURA 987 SOBREPONER</t>
  </si>
  <si>
    <t>CERRADURA PICO DE LORO</t>
  </si>
  <si>
    <t>CERRADURA ANTIPANICO</t>
  </si>
  <si>
    <t>CONCERTINA 18"</t>
  </si>
  <si>
    <t>ROLLO</t>
  </si>
  <si>
    <t>FERRETERIA</t>
  </si>
  <si>
    <t>AMARRES TEJA ETERNIT</t>
  </si>
  <si>
    <t>BREAKER ATORNILLABLE 3x20A</t>
  </si>
  <si>
    <t>BISAGRAS</t>
  </si>
  <si>
    <t>und</t>
  </si>
  <si>
    <t>CANDADO 50MM</t>
  </si>
  <si>
    <t>CHAZO CON TORNILLO</t>
  </si>
  <si>
    <t>DILATACION BRONCE</t>
  </si>
  <si>
    <t>ml</t>
  </si>
  <si>
    <t>ESTOPA</t>
  </si>
  <si>
    <t>HOJA DE LIJA</t>
  </si>
  <si>
    <t>LAMINA DE ZINC CAL 34</t>
  </si>
  <si>
    <t>ALIGERAMIENTO EN POLIESTIRENO</t>
  </si>
  <si>
    <t>PUNTILLA 1 1/2"</t>
  </si>
  <si>
    <t>puntilla con cabeza 1"</t>
  </si>
  <si>
    <t>lb</t>
  </si>
  <si>
    <t>puntilla sin cabeza 1"</t>
  </si>
  <si>
    <t>puntilla con cabeza 2"</t>
  </si>
  <si>
    <t>silicona</t>
  </si>
  <si>
    <t>tub</t>
  </si>
  <si>
    <t>TUBO PVC 1"X 3 MTS</t>
  </si>
  <si>
    <t>CABLE DE COBRE THW # 10 AWG</t>
  </si>
  <si>
    <t>CABLE DE COBRE THW # 12 AWG</t>
  </si>
  <si>
    <t>impermeabilizante</t>
  </si>
  <si>
    <t>rend 0,7</t>
  </si>
  <si>
    <t>sellador artepiso</t>
  </si>
  <si>
    <t>mineral</t>
  </si>
  <si>
    <t>malla vena 2x0.6</t>
  </si>
  <si>
    <t>disco de corte</t>
  </si>
  <si>
    <t>pegante boxer</t>
  </si>
  <si>
    <t>gancho de teja</t>
  </si>
  <si>
    <t>portacandado</t>
  </si>
  <si>
    <t>teja perfil 7 No. 6</t>
  </si>
  <si>
    <t>TOMA TRIFASICA</t>
  </si>
  <si>
    <t>EPOXICO PARA ANCLAJES ESTRUCTURALES</t>
  </si>
  <si>
    <t>SIKA ANCHORFIX 4</t>
  </si>
  <si>
    <t>ANTISOL ROJO</t>
  </si>
  <si>
    <t>rinse</t>
  </si>
  <si>
    <t>sika transparente</t>
  </si>
  <si>
    <t>sika - 2</t>
  </si>
  <si>
    <t>sika - 1</t>
  </si>
  <si>
    <t>sika flex</t>
  </si>
  <si>
    <t>espejo cristal 4mm</t>
  </si>
  <si>
    <t>perfil en aluminio 1"</t>
  </si>
  <si>
    <t>lamina galvanizada cal 18 1,2 x 2,4</t>
  </si>
  <si>
    <t>un</t>
  </si>
  <si>
    <t>soldadura electrica 3/32</t>
  </si>
  <si>
    <t>triplex 1,22x2,44x3,6mm</t>
  </si>
  <si>
    <t>colbon</t>
  </si>
  <si>
    <t>barniz</t>
  </si>
  <si>
    <t>Lámina 3/16" x 2"</t>
  </si>
  <si>
    <t>tubo redondo negro 6m</t>
  </si>
  <si>
    <t xml:space="preserve">APARATOS </t>
  </si>
  <si>
    <t>ORINAL CON FLUXOMETRO</t>
  </si>
  <si>
    <t>BARRA DE SEGURIDAD</t>
  </si>
  <si>
    <t>anclaje cuna</t>
  </si>
  <si>
    <t>SECADOR DE MANOS</t>
  </si>
  <si>
    <t>lavamanos maximo pedestal</t>
  </si>
  <si>
    <t>lavamanos marsella</t>
  </si>
  <si>
    <t>griferia push acuaval ac 110</t>
  </si>
  <si>
    <t>desague con rebose</t>
  </si>
  <si>
    <t>sifon botella</t>
  </si>
  <si>
    <t>SANITARIO SAN GIORGIO DUAL</t>
  </si>
  <si>
    <t>SANITARIO INFANTIL KIDDY SINGLE</t>
  </si>
  <si>
    <t xml:space="preserve">acople plastico 1/2 50cm </t>
  </si>
  <si>
    <t>COMBO SANITARIO QUANTUM Y FLUXOMETRO BAJO CONSUMO ACUAVAL AC-E151BL</t>
  </si>
  <si>
    <t>DISPENSADOR DE JABON SOCODA</t>
  </si>
  <si>
    <t>PORTAPAPEL</t>
  </si>
  <si>
    <t>DUCHA MONO CONTROL ZEYA</t>
  </si>
  <si>
    <t>meson acero</t>
  </si>
  <si>
    <t>pozuelo</t>
  </si>
  <si>
    <t>concreo asfaltico MDC 2</t>
  </si>
  <si>
    <t>asfalto liquido</t>
  </si>
  <si>
    <t>arenilla</t>
  </si>
  <si>
    <t>m3</t>
  </si>
  <si>
    <t>adoquin vehicular psi 20*10*8</t>
  </si>
  <si>
    <t>antisol</t>
  </si>
  <si>
    <t>manija lisa</t>
  </si>
  <si>
    <t>cerrojo doble</t>
  </si>
  <si>
    <t>cerradura sobreponer</t>
  </si>
  <si>
    <t>cerradura picoloro</t>
  </si>
  <si>
    <t>cerradura vidrio templado</t>
  </si>
  <si>
    <t>cinta impermeabilizante</t>
  </si>
  <si>
    <t>pernos estructura metalico</t>
  </si>
  <si>
    <t>manto zetal 600 x1</t>
  </si>
  <si>
    <t>emulsion asfaltica</t>
  </si>
  <si>
    <t>gas propano</t>
  </si>
  <si>
    <t>lamina de 6m 4mm</t>
  </si>
  <si>
    <t>HIDRO SANITARIO</t>
  </si>
  <si>
    <t>ACCESORIOS PVC 3/4"</t>
  </si>
  <si>
    <t>LIMPIADOR (1/4)</t>
  </si>
  <si>
    <t>SOLDADURA (1/4)</t>
  </si>
  <si>
    <t>REGISTRO DE BOLA  ROSCA 3/4"</t>
  </si>
  <si>
    <t>MEDIDOR</t>
  </si>
  <si>
    <t>LLAVE JARDIN</t>
  </si>
  <si>
    <t>TUBERIA PVC 4" ALL</t>
  </si>
  <si>
    <t>TUBERIA PVC 3" ALL</t>
  </si>
  <si>
    <t>TUBERIA PVC 6"</t>
  </si>
  <si>
    <t>TUBERIA PVC 4"</t>
  </si>
  <si>
    <t>TUBERIA PVC 3"</t>
  </si>
  <si>
    <t>TUBERIA PVC 2"</t>
  </si>
  <si>
    <t xml:space="preserve">TUBERIA NOVAFORT 8" </t>
  </si>
  <si>
    <t>UNION PVC 6"</t>
  </si>
  <si>
    <t>UNION PVC 4"</t>
  </si>
  <si>
    <t>UNION PVC 3"</t>
  </si>
  <si>
    <t>UNION PVC 2"</t>
  </si>
  <si>
    <t>CODO 90° PVC 4"</t>
  </si>
  <si>
    <t>CODO 90° PVC 3"</t>
  </si>
  <si>
    <t>CODO 90° PVC 2"</t>
  </si>
  <si>
    <t>YEE PVC 4"</t>
  </si>
  <si>
    <t>YEE PVC 3"</t>
  </si>
  <si>
    <t>YEE PVC 2"</t>
  </si>
  <si>
    <t>TAPON DE PRUEBA PVC 4"</t>
  </si>
  <si>
    <t>TAPON DE PRUEBA PVC 3"</t>
  </si>
  <si>
    <t>TAPON DE PRUEBA PVC 2"</t>
  </si>
  <si>
    <t>CODO 45° PVC 4"</t>
  </si>
  <si>
    <t>CODO 45° PVC 3"</t>
  </si>
  <si>
    <t>CODO 45° PVC 2"</t>
  </si>
  <si>
    <t xml:space="preserve">ACCESORIOS NOVAFORT 8" </t>
  </si>
  <si>
    <t>TRAGANTE CUPULA 5 X 4 " PLASTICA</t>
  </si>
  <si>
    <t>REJILLA ANTICUCARACHA 3 X 2" ALUMINIO</t>
  </si>
  <si>
    <t>TUBERIA  PVC. P  3"</t>
  </si>
  <si>
    <t>TUBERIA  PVC. P  2"</t>
  </si>
  <si>
    <t>TUBERIA  PVC. P  1,1/2"</t>
  </si>
  <si>
    <t>TUBERIA  PVC. P  1,1/4"</t>
  </si>
  <si>
    <t>TUBERIA  PVC. P  1"</t>
  </si>
  <si>
    <t>TUBERIA  PVC.  P 3/4"</t>
  </si>
  <si>
    <t>TUBERIA  PVC.  P 1/2"</t>
  </si>
  <si>
    <t>ACCESORIOS PVC.  P 3"</t>
  </si>
  <si>
    <t>ACCESORIOS PVC.  P 2"</t>
  </si>
  <si>
    <t>ACCESORIOS PVC.  1,1/2"</t>
  </si>
  <si>
    <t>ACCESORIOS PVC.  1,1/4"</t>
  </si>
  <si>
    <t>ACCESORIOS PVC.  1"</t>
  </si>
  <si>
    <t>ACCESORIOS PVC.  3/4"</t>
  </si>
  <si>
    <t>REGISTRO 3/4"</t>
  </si>
  <si>
    <t>CODO 90° PVC P 3/4"</t>
  </si>
  <si>
    <t>ADAPTADOR MACHO PVC P 3/4"</t>
  </si>
  <si>
    <t>TAPON PVC SOLDADO 3/4"</t>
  </si>
  <si>
    <t>CODO 45° PVC P 3/4"</t>
  </si>
  <si>
    <t>ACCESORIOS PVC.  1/2"</t>
  </si>
  <si>
    <t>REGISTRO 1/2"</t>
  </si>
  <si>
    <t>CODO 90° PVC P 1/2"</t>
  </si>
  <si>
    <t>ADAPTADOR MACHO PVC P 1/2"</t>
  </si>
  <si>
    <t>TAPON PVC SOLDADOo 1/2"</t>
  </si>
  <si>
    <t>CODO 45° PVC P 1/2"</t>
  </si>
  <si>
    <t>REGISTRO 1 1/2"</t>
  </si>
  <si>
    <t>CODO 90° PVC P 1"</t>
  </si>
  <si>
    <t>ADAPTADOR MACHO PVC P 1"</t>
  </si>
  <si>
    <t>TAPON PVC SOLDADO 1"</t>
  </si>
  <si>
    <t>CODO 45° PVC P 1"</t>
  </si>
  <si>
    <t>UNION PVC P 3"</t>
  </si>
  <si>
    <t>UNION PVC P 2"</t>
  </si>
  <si>
    <t>RED CONTRA INCENDIO</t>
  </si>
  <si>
    <t>CONSULTOR</t>
  </si>
  <si>
    <t>TUBERIA ACERO AL CARBON C/C SCH 40 4"</t>
  </si>
  <si>
    <t>CODO 90 RANURADO HIERRO DUCTIL 4”</t>
  </si>
  <si>
    <t>TEE RANURADA HIERRO DUCTIL 4”</t>
  </si>
  <si>
    <t>UNIÓN FLEXIBLE RANURADA HIERRO DUCTIL 4”</t>
  </si>
  <si>
    <t>BUGE RANURADO HIERRO DUCTIL 4”*3"</t>
  </si>
  <si>
    <t>ABRAZADERAS 4" DE 3/8"</t>
  </si>
  <si>
    <t>CINTA TEFLON INDUSTRIAL</t>
  </si>
  <si>
    <t>CINTA TEFLON DE 1/2" X 10 M. PREMIUM</t>
  </si>
  <si>
    <t>CONSTRUCTOR PAG 139</t>
  </si>
  <si>
    <t>SELLADOR ETERNA</t>
  </si>
  <si>
    <t>TUBERIA ACERO AL CARBON C/C SCH 40 3"</t>
  </si>
  <si>
    <t>CODO 90 RANURADO HIERRO DUCTIL 3”</t>
  </si>
  <si>
    <t>TEE RANURADA HIERRO DUCTIL 3”</t>
  </si>
  <si>
    <t>UNIÓN FLEXIBLE RANURADA HIERRO DUCTIL 3”</t>
  </si>
  <si>
    <t>BUGE RANURADO HIERRO DUCTIL 3”*2 1/2"</t>
  </si>
  <si>
    <t>ABRAZADERAS 3" DE 3/8"</t>
  </si>
  <si>
    <t>TUBERIA ACERO AL CARBON C/C SCH 40 2 1/2"</t>
  </si>
  <si>
    <t>CODO 90 RANURADO HIERRO DUCTIL 2 1/2"</t>
  </si>
  <si>
    <t>TEE RANURADA HIERRO DUCTIL 2 1/2"</t>
  </si>
  <si>
    <t>UNIÓN FLEXIBLE RANURADA HIERRO DUCTIL 2 1/2"</t>
  </si>
  <si>
    <t>BUGE RANURADO HIERRO DUCTIL 2 1/2" * 2"</t>
  </si>
  <si>
    <t>ABRAZADERAS 2 1/2" DE 3/8"</t>
  </si>
  <si>
    <t>TUBERIA ACERO AL CARBON C/C SCH 40 2"</t>
  </si>
  <si>
    <t>CODO 90 RANURADO HIERRO DUCTIL 2"</t>
  </si>
  <si>
    <t>TEE RANURADA HIERRO DUCTIL 2"</t>
  </si>
  <si>
    <t>UNIÓN FLEXIBLE RANURADA HIERRO DUCTIL 2"</t>
  </si>
  <si>
    <t>BUGE RANURADO HIERRO DUCTIL 2 " * 1"</t>
  </si>
  <si>
    <t>TUBERIA ACERO AL CARBON C/C SCH 40 1"</t>
  </si>
  <si>
    <t>CODO 90 RANURADO HIERRO DUCTIL 1"</t>
  </si>
  <si>
    <t>TEE RANURADA HIERRO DUCTIL 1"</t>
  </si>
  <si>
    <t>UNIÓN FLEXIBLE RANURADA HIERRO DUCTIL 1"</t>
  </si>
  <si>
    <t>BUGE RANURADO HIERRO DUCTIL 1 " * 1/2"</t>
  </si>
  <si>
    <t>ABRAZADERAS 1" DE 3/8"</t>
  </si>
  <si>
    <t>SIAMESA BRONCE 3" * 2-1/2" * 2-1/2"</t>
  </si>
  <si>
    <t>VALVULA EXPULSORA DE AIRE 1"</t>
  </si>
  <si>
    <t>COLLARIN DE DERIVACION DE 3" *1"</t>
  </si>
  <si>
    <t>BOQUILLA DE CHORRO Y NIEBLA DE 1,1/2"</t>
  </si>
  <si>
    <t>EXTINTOR ABC DE 10 LIBRAS DE CAPACIDAD</t>
  </si>
  <si>
    <t xml:space="preserve">HACHAPICO DE 4,1/2 LIBRAS EN ACERO </t>
  </si>
  <si>
    <t>LLAVE SPANNER DOS SERVICIOS</t>
  </si>
  <si>
    <t>SOPORTE TIPO CANASTILLA PARA MANGUERA</t>
  </si>
  <si>
    <t>TRAMO DE MANGUERA DE 1,1/2" X 1,1/2" NPTXNH</t>
  </si>
  <si>
    <t>VÁLVULA TIPO GLOBO BRONCE 1,1/2" X 1,1/2" NPTXNH</t>
  </si>
  <si>
    <t>VÁLVULA TIPO GLOBO BRONCE 2,1/2" X 2,1/2" NPTXNH</t>
  </si>
  <si>
    <t>CEMENTO SOLVENTE BM 1/4 GL</t>
  </si>
  <si>
    <t>COPA CONCENTRICA ROSCAR 1X 1/2"</t>
  </si>
  <si>
    <t>TAPON MACHO ACERO AL CARBON 1/2"</t>
  </si>
  <si>
    <t>ESCUDO DOBLE PARA ROCIADOR</t>
  </si>
  <si>
    <t>EQUIPOS Y HERRAMIENTAS</t>
  </si>
  <si>
    <t>CAN</t>
  </si>
  <si>
    <t>Apisonador tipo canguro</t>
  </si>
  <si>
    <t>Dia</t>
  </si>
  <si>
    <t>RANA</t>
  </si>
  <si>
    <t>Apisonador tipo rana</t>
  </si>
  <si>
    <t>CGR</t>
  </si>
  <si>
    <t>Camión grua</t>
  </si>
  <si>
    <t>CAM</t>
  </si>
  <si>
    <t>Camioneta transporte menor</t>
  </si>
  <si>
    <t>Viaje</t>
  </si>
  <si>
    <t>Cortadora de disco diamante</t>
  </si>
  <si>
    <t>Hora</t>
  </si>
  <si>
    <t>Día</t>
  </si>
  <si>
    <t>DIF</t>
  </si>
  <si>
    <t>Equipo diferencial para 500kg</t>
  </si>
  <si>
    <t>Formaleta metálica para pozo</t>
  </si>
  <si>
    <t>MEZ</t>
  </si>
  <si>
    <t>MOS</t>
  </si>
  <si>
    <t>Motosierra</t>
  </si>
  <si>
    <t>Retroexcavadora de llanta</t>
  </si>
  <si>
    <t>Retroexcavadora de oruga</t>
  </si>
  <si>
    <t>Vibrocompactador 10Ton</t>
  </si>
  <si>
    <t>VOL</t>
  </si>
  <si>
    <t>Volqueta de 5M3</t>
  </si>
  <si>
    <t>MOT</t>
  </si>
  <si>
    <t>Motoniveladora</t>
  </si>
  <si>
    <t>EPH</t>
  </si>
  <si>
    <t>Equipo Compresor para Prueba Hidrostática</t>
  </si>
  <si>
    <t>CTI</t>
  </si>
  <si>
    <t>Carro tanque irrigador de emulsion asfaltica</t>
  </si>
  <si>
    <t>CTA</t>
  </si>
  <si>
    <t>Carrotanque de agua</t>
  </si>
  <si>
    <t>CÓDIGO</t>
  </si>
  <si>
    <t>DESCRIPCIÓN</t>
  </si>
  <si>
    <t>UNIDAD</t>
  </si>
  <si>
    <t>VALOR $</t>
  </si>
  <si>
    <t>FECHA</t>
  </si>
  <si>
    <t>PERIODO</t>
  </si>
  <si>
    <t>MATERIALES</t>
  </si>
  <si>
    <t>COD</t>
  </si>
  <si>
    <t>DESCRIPCION</t>
  </si>
  <si>
    <t>Vr. Sin IVA</t>
  </si>
  <si>
    <t>Vr. Con IVA</t>
  </si>
  <si>
    <t>ANALISIS  DE  PRECIOS  UNITARIOS (APU)</t>
  </si>
  <si>
    <t>UNIDAD:</t>
  </si>
  <si>
    <t>I.    EQUIPO</t>
  </si>
  <si>
    <t>REF.</t>
  </si>
  <si>
    <t>RENDIM.</t>
  </si>
  <si>
    <t>Sub-Total:</t>
  </si>
  <si>
    <t>II.   MATERIALES  EN  LA OBRA</t>
  </si>
  <si>
    <t>III.   TRANSPORTE</t>
  </si>
  <si>
    <t>MATERIAL</t>
  </si>
  <si>
    <t>VALOR TOTAL</t>
  </si>
  <si>
    <t>III.   MANO  DE  OBRA</t>
  </si>
  <si>
    <t>RENDIMIENTO</t>
  </si>
  <si>
    <t>TOTAL  COSTO  DIRECTO:</t>
  </si>
  <si>
    <t>PRESUPUESTO GENERAL DE OBRA</t>
  </si>
  <si>
    <t>ITEM</t>
  </si>
  <si>
    <t>CANT</t>
  </si>
  <si>
    <t>INTERVENTORÍA</t>
  </si>
  <si>
    <t>PRODUCCIÓN - CONCRETOS Y MORTEROS</t>
  </si>
  <si>
    <t>Concreto de 280 Kg/cm2 (4000 PSI)</t>
  </si>
  <si>
    <t>Concreto de 210 Kg/cm2 (3000 PSI)</t>
  </si>
  <si>
    <t>Concreto de 175 Kg/cm2 (2500 PSI)</t>
  </si>
  <si>
    <t>Concreto de 140 Kg/cm2 (2000 PSI)</t>
  </si>
  <si>
    <t>Mortero 1:6</t>
  </si>
  <si>
    <t>Mortero 1:5</t>
  </si>
  <si>
    <t>Mortero 1:4</t>
  </si>
  <si>
    <t>Mortero 1:3</t>
  </si>
  <si>
    <t>C4000</t>
  </si>
  <si>
    <t>C3000</t>
  </si>
  <si>
    <t>C2500</t>
  </si>
  <si>
    <t>C2000</t>
  </si>
  <si>
    <t>M16</t>
  </si>
  <si>
    <t>M15</t>
  </si>
  <si>
    <t>M14</t>
  </si>
  <si>
    <t>M13</t>
  </si>
  <si>
    <t>CAPÍTULO: PRESUPUESTO</t>
  </si>
  <si>
    <t>Agua</t>
  </si>
  <si>
    <t>AF</t>
  </si>
  <si>
    <t>AGR</t>
  </si>
  <si>
    <t>BG</t>
  </si>
  <si>
    <t>REC</t>
  </si>
  <si>
    <t>FERRETERÍA</t>
  </si>
  <si>
    <t>H60</t>
  </si>
  <si>
    <t>Acero de refuerzo de 60.000psi</t>
  </si>
  <si>
    <t>Acelerante de fraguado</t>
  </si>
  <si>
    <t>HN</t>
  </si>
  <si>
    <t>Alambre cal. 18</t>
  </si>
  <si>
    <t>HN12</t>
  </si>
  <si>
    <t>Alambre cal 12</t>
  </si>
  <si>
    <t>A15</t>
  </si>
  <si>
    <t>Angulo de 1 1/2"x1 1/2"x1/4"</t>
  </si>
  <si>
    <t xml:space="preserve">Ángulo de 4 1/4" </t>
  </si>
  <si>
    <t xml:space="preserve">Ángulo de 3 1/4" </t>
  </si>
  <si>
    <t>CEM</t>
  </si>
  <si>
    <t>CS</t>
  </si>
  <si>
    <t>Cinta señalización (Rollo por 500ml)</t>
  </si>
  <si>
    <t>CT</t>
  </si>
  <si>
    <t>Cinta teflón</t>
  </si>
  <si>
    <t>SoLi</t>
  </si>
  <si>
    <t>Soldadura PVC y Limpiador PVC</t>
  </si>
  <si>
    <t>Glo</t>
  </si>
  <si>
    <t>VARIOS</t>
  </si>
  <si>
    <t>Elementos menores varios</t>
  </si>
  <si>
    <t>EASF</t>
  </si>
  <si>
    <t>Emulsión asfáltica/ Liga</t>
  </si>
  <si>
    <t>Gal</t>
  </si>
  <si>
    <t>MM</t>
  </si>
  <si>
    <t>Marca Metálica para Huella</t>
  </si>
  <si>
    <t>FM</t>
  </si>
  <si>
    <t>Madera para formaleta</t>
  </si>
  <si>
    <t>MALG</t>
  </si>
  <si>
    <t>Malla para gavión cal 12 tipo invias, 10 x 10</t>
  </si>
  <si>
    <t>Unid</t>
  </si>
  <si>
    <t>SBG</t>
  </si>
  <si>
    <t>MASF</t>
  </si>
  <si>
    <t xml:space="preserve">Mezcla asfáltica tipo MDC-2 </t>
  </si>
  <si>
    <t>PASO</t>
  </si>
  <si>
    <t>Paso para escalera en hierro de 5/8" (Incluye anticorrosivo)</t>
  </si>
  <si>
    <t>PIEDR</t>
  </si>
  <si>
    <t>PLAT15</t>
  </si>
  <si>
    <t>Platina de 1 1/2"x1/8</t>
  </si>
  <si>
    <t>PUNT</t>
  </si>
  <si>
    <t>Puntilla variada</t>
  </si>
  <si>
    <t>Lb</t>
  </si>
  <si>
    <t>REJ1</t>
  </si>
  <si>
    <t>Rejilla de 1,0mx0,40, con marco en ángulo de 1-1/2"x3/16" y perciana en lámina de 2"x1/8 con separación de 1", reforzada longitudinalmente con 1 varilla 7/8", incluye (visagras tipo capsula, anticorrosivo y pintura de esmalte).</t>
  </si>
  <si>
    <t>REJ2</t>
  </si>
  <si>
    <t>Rejilla de 2,0mx0,40, con marco en ángulo de 1-1/2"x3/16" y perciana en lámina de 2"x1/8 con separación de 1", reforzada longitudinalmente con 1 varilla 7/8", incluye (visagras tipo capsula, anticorrosivo y pintura de esmalte).</t>
  </si>
  <si>
    <t>REJ3</t>
  </si>
  <si>
    <t>Rejilla de 3,0mx0,40, con marco en ángulo de 1-1/2"x3/16" y perciana en lámina de 2"x1/8 con separación de 1", reforzada longitudinalmente con 1 varilla 7/8", incluye (visagras tipo capsula, anticorrosivo y pintura de esmalte).</t>
  </si>
  <si>
    <t>REJ4</t>
  </si>
  <si>
    <t>Rejilla de 4,0mx0,40, con marco en ángulo de 1-1/2"x3/16" y perciana en lámina de 2"x1/8 con separación de 1", reforzada longitudinalmente con 1 varilla 7/8", incluye (visagras tipo capsula, anticorrosivo y pintura de esmalte).</t>
  </si>
  <si>
    <t>RSLA</t>
  </si>
  <si>
    <t>Autorización entrada relleno sanitario</t>
  </si>
  <si>
    <t>TP</t>
  </si>
  <si>
    <t>CM</t>
  </si>
  <si>
    <t>Chapaleta metalica 16"</t>
  </si>
  <si>
    <t>CHD1022</t>
  </si>
  <si>
    <t>Codo 22-1/2°x10" en hierro nodular ASTM 536 clase 6422-1/2 Extremo junta hidráulica</t>
  </si>
  <si>
    <t>Und.</t>
  </si>
  <si>
    <t>CHD1222</t>
  </si>
  <si>
    <t>Codo 22-1/2°x12" en hierro nodular ASTM 536 clase 6422-1/2 Extremo junta hidráulica</t>
  </si>
  <si>
    <t>CHD322</t>
  </si>
  <si>
    <t>Codo 3" x 22-1/2° en hierro nodular ASTM 536 clase 6422-1/2 Extremo junta hidráulica</t>
  </si>
  <si>
    <t>CHD422</t>
  </si>
  <si>
    <t>Codo 4" x 22-1/2° en hierro nodular ASTM 536 clase 6422-1/2 Extremo junta hidráulica</t>
  </si>
  <si>
    <t>CHD622</t>
  </si>
  <si>
    <t>Codo 22-1/2°x6" en hierro nodular ASTM 536 clase 6422-1/2 Extremo junta hidráulica</t>
  </si>
  <si>
    <t>CHD822</t>
  </si>
  <si>
    <t>Codo 22-1/2°x8" en hierro nodular ASTM 536 clase 6422-1/2 Extremo junta hidráulica</t>
  </si>
  <si>
    <t>CHD1045</t>
  </si>
  <si>
    <t>Codo 45°x10" en hierro nodular ASTM 536 clase 6445 Extremo junta hidráulica</t>
  </si>
  <si>
    <t>CHD1245</t>
  </si>
  <si>
    <t>Codo 45°x12" en hierro nodular ASTM 536 clase 6445 Extremo junta hidráulica</t>
  </si>
  <si>
    <t>CHD345</t>
  </si>
  <si>
    <t>Codo 3" x 45° en hierro nodular ASTM 536 clase 6445 Extremo junta hidráulica</t>
  </si>
  <si>
    <t>CHD445</t>
  </si>
  <si>
    <t>Codo 4" x 45° en hierro nodular ASTM 536 clase 6445 Extremo junta hidráulica</t>
  </si>
  <si>
    <t>CHD645</t>
  </si>
  <si>
    <t>Codo 45°x6" en hierro nodular ASTM 536 clase 6445 Extremo junta hidráulica</t>
  </si>
  <si>
    <t>CHD845</t>
  </si>
  <si>
    <t>Codo 45°x8" en hierro nodular ASTM 536 clase 6445 Extremo junta hidráulica</t>
  </si>
  <si>
    <t>CHD1090</t>
  </si>
  <si>
    <t>Codo 90°x10" en hierro nodular ASTM 536 clase 6445 Extremo junta hidráulica</t>
  </si>
  <si>
    <t>CHD1290</t>
  </si>
  <si>
    <t>Codo 90°x12" en hierro nodular ASTM 536 clase 6445 Extremo junta hidráulica</t>
  </si>
  <si>
    <t>CHD390</t>
  </si>
  <si>
    <t>Codo 3" x 90° en hierro nodular ASTM 536 clase 6445 E.L</t>
  </si>
  <si>
    <t>CHD490</t>
  </si>
  <si>
    <t>Codo 4" x 90° en hierro nodular ASTM 536 clase 6445 E.L</t>
  </si>
  <si>
    <t>CHD690</t>
  </si>
  <si>
    <t>Codo 90°x6" en hierro nodular ASTM 536 clase 6445 Extremo junta hidráulica</t>
  </si>
  <si>
    <t>CHD890</t>
  </si>
  <si>
    <t>Codo 90°x8" en hierro nodular ASTM 536 clase 6445 Extremo junta hidráulica</t>
  </si>
  <si>
    <t>CRHD10</t>
  </si>
  <si>
    <t>Cruz 10" en hierro nodular ASTM 536 clase 6445 Extremo junta hidráulica</t>
  </si>
  <si>
    <t>CRHD12</t>
  </si>
  <si>
    <t>Cruz 12" en hierro nodular ASTM 536 clase 6445 Extremo junta hidráulica</t>
  </si>
  <si>
    <t>CRHD3</t>
  </si>
  <si>
    <t>Cruz 3" en hierro nodular ASTM 536 clase 6445 Extremo junta hidráulica</t>
  </si>
  <si>
    <t>CRHD4</t>
  </si>
  <si>
    <t>Cruz 4" en hierro nodular ASTM 536 clase 6445 Extremo junta hidráulica</t>
  </si>
  <si>
    <t>CRHD6</t>
  </si>
  <si>
    <t>Cruz 6" en hierro nodular ASTM 536 clase 6445 Extremo junta hidráulica</t>
  </si>
  <si>
    <t>CRHD63</t>
  </si>
  <si>
    <t>Cruz reducida de 6x3" en hierro nodular ASTM 536 clase 6445 Extremo junta hidráulica</t>
  </si>
  <si>
    <t>CRHD8</t>
  </si>
  <si>
    <t>Cruz 8" en hierro nodular ASTM 536 clase 6445 Extremo junta hidráulica</t>
  </si>
  <si>
    <t>CRHD83</t>
  </si>
  <si>
    <t>Cruz 8X3" en hierro nodular ASTM 536 clase 6445 Extremo junta hidráulica</t>
  </si>
  <si>
    <t>HD3</t>
  </si>
  <si>
    <t>Hidrante tipo Milan de 3", de 200 psi de presión de trabajo, en hierro gris (Norma AWWA C-503 NTC 382), extremo junta hidráulica.</t>
  </si>
  <si>
    <t>HD4</t>
  </si>
  <si>
    <t>Hidrante tipo Milan de 4", de 200 psi de presión de trabajo, en hierro gris (Norma AWWA C-503 NTC 382), extremo junta hidráulica.</t>
  </si>
  <si>
    <t>HD6</t>
  </si>
  <si>
    <t>Hidrante tipo poste de 6", de 200 psi de presión de trabajo, en hierro gris (Norma AWWA C-503 NTC 382), extremo brida</t>
  </si>
  <si>
    <t>RD43</t>
  </si>
  <si>
    <t>Reducción de 4"x3", extremo junta hidráulica.</t>
  </si>
  <si>
    <t>RD63</t>
  </si>
  <si>
    <t>Reducción de 6"x3", extremo junta hidráulica.</t>
  </si>
  <si>
    <t>RD64</t>
  </si>
  <si>
    <t>Reducción de 6"x4", extremo junta hidráulica.</t>
  </si>
  <si>
    <t>RD83</t>
  </si>
  <si>
    <t>Reducción de 8"x3", extremo junta hidráulica.</t>
  </si>
  <si>
    <t>RD84</t>
  </si>
  <si>
    <t>Reducción de 8"x4", extremo junta hidráulica.</t>
  </si>
  <si>
    <t>RD86</t>
  </si>
  <si>
    <t>Reducción de 8"x6", extremo junta hidráulica.</t>
  </si>
  <si>
    <t>RD106</t>
  </si>
  <si>
    <t>Reducción de 10"x6", extremo junta hidráulica.</t>
  </si>
  <si>
    <t>RD108</t>
  </si>
  <si>
    <t>Reducción de 10"x8", extremo junta hidráulica.</t>
  </si>
  <si>
    <t>RC12</t>
  </si>
  <si>
    <t>Registro de corte de 1/2" en cobre</t>
  </si>
  <si>
    <t>RC18</t>
  </si>
  <si>
    <t>Registro de corte de 3/4" en cobre</t>
  </si>
  <si>
    <t>RI12</t>
  </si>
  <si>
    <t>Registro de incorporación de 1/2" en cobre</t>
  </si>
  <si>
    <t>RI18</t>
  </si>
  <si>
    <t>Registro de incorporación de 3/4" en cobre</t>
  </si>
  <si>
    <t>TV</t>
  </si>
  <si>
    <t>Tapa válvula de 20cm x 20cm para tráfico pesado (En lámina de 3/8" y ángulo de 2x2x1/4, 2 Bisagras de Cápsula, anticorrosivo y pintura negra, resistente a la interperie)</t>
  </si>
  <si>
    <t>TE10</t>
  </si>
  <si>
    <t>Tee en hierro ductil STM A-536, extremo junta hidráulica,  de 10"x10"x10"</t>
  </si>
  <si>
    <t>TE103</t>
  </si>
  <si>
    <t>Tee en hierro ductil STM A-536, extremo junta hidráulica,  de 10"x3"x10"</t>
  </si>
  <si>
    <t>TE104</t>
  </si>
  <si>
    <t>Tee en hierro ductil STM A-536, extremo junta hidráulica,  de 10"x4"x10"</t>
  </si>
  <si>
    <t>TE106</t>
  </si>
  <si>
    <t>Tee en hierro ductil STM A-536, extremo junta hidráulica,  de 10"x6"x10"</t>
  </si>
  <si>
    <t>TE108</t>
  </si>
  <si>
    <t>Tee en hierro ductil STM A-536, extremo junta hidráulica,  de 10"x8"x10"</t>
  </si>
  <si>
    <t>TE1210</t>
  </si>
  <si>
    <t>Tee en hierro ductil STM A-536, extremo junta hidráulica,  de 12"x10"x12"</t>
  </si>
  <si>
    <t>TE12</t>
  </si>
  <si>
    <t>Tee en hierro ductil STM A-536, extremo junta hidráulica,  de 12"x12"x12"</t>
  </si>
  <si>
    <t>TE123</t>
  </si>
  <si>
    <t>Tee en hierro ductil STM A-536, extremo junta hidráulica,  de 12"x3"x12"</t>
  </si>
  <si>
    <t>TE124</t>
  </si>
  <si>
    <t>Tee en hierro ductil STM A-536, extremo junta hidráulica,  de 12"x4"x12"</t>
  </si>
  <si>
    <t>TE126</t>
  </si>
  <si>
    <t>Tee en hierro ductil STM A-536, extremo junta hidráulica,  de 12"x6"x12"</t>
  </si>
  <si>
    <t>TE128</t>
  </si>
  <si>
    <t>Tee en hierro ductil STM A-536, extremo junta hidráulica,  de 12"x8"x12"</t>
  </si>
  <si>
    <t>TE2</t>
  </si>
  <si>
    <t>Tee en hierro ductil STM A-536, extremo junta hidráulica,  de 2"</t>
  </si>
  <si>
    <t>TE3</t>
  </si>
  <si>
    <t>Tee en hierro ductil STM A-536, extremo junta hidráulica,  de 3"</t>
  </si>
  <si>
    <t>TE32</t>
  </si>
  <si>
    <t>Tee en hierro ductil STM A-536, extremo junta hidráulica,  de 3X2"</t>
  </si>
  <si>
    <t>TE43</t>
  </si>
  <si>
    <t>Tee en hierro ductil STM A-536, extremo junta hidráulica,  de 4"x3"x4"</t>
  </si>
  <si>
    <t>TE4</t>
  </si>
  <si>
    <t>Tee en hierro ductil STM A-536, extremo junta hidráulica,  de 4"x4"x4"</t>
  </si>
  <si>
    <t>TE62</t>
  </si>
  <si>
    <t>Tee en hierro ductil STM A-536, extremo junta hidráulica,  de 6"x2"x6"</t>
  </si>
  <si>
    <t>TE63</t>
  </si>
  <si>
    <t>Tee en hierro ductil STM A-536, extremo junta hidráulica,  de 6"x3"x6"</t>
  </si>
  <si>
    <t>TE64</t>
  </si>
  <si>
    <t>Tee en hierro ductil STM A-536, extremo junta hidráulica,  de 6"x4"x6"</t>
  </si>
  <si>
    <t>TE6</t>
  </si>
  <si>
    <t>Tee en hierro ductil STM A-536, extremo junta hidráulica,  de 6"x6"x6"</t>
  </si>
  <si>
    <t>TE82</t>
  </si>
  <si>
    <t>Tee en hierro ductil STM A-536, extremo junta hidráulica,  de 8"x2"x8"</t>
  </si>
  <si>
    <t>TE83</t>
  </si>
  <si>
    <t>Tee en hierro ductil STM A-536, extremo junta hidráulica,  de 8"x3"x8"</t>
  </si>
  <si>
    <t>TE84</t>
  </si>
  <si>
    <t>Tee en hierro ductil STM A-536, extremo junta hidráulica,  de 8"x4"x8"</t>
  </si>
  <si>
    <t>TE86</t>
  </si>
  <si>
    <t>Tee en hierro ductil STM A-536, extremo junta hidráulica,  de 8"x6"x8"</t>
  </si>
  <si>
    <t>TE8</t>
  </si>
  <si>
    <t>Tee en hierro ductil STM A-536, extremo junta hidráulica,  de 8"x8"x8"</t>
  </si>
  <si>
    <t>TE110</t>
  </si>
  <si>
    <t>TE1212</t>
  </si>
  <si>
    <t>THD4</t>
  </si>
  <si>
    <t xml:space="preserve">Tuberia estandar HD DN 100 mm K9 </t>
  </si>
  <si>
    <t>THD6</t>
  </si>
  <si>
    <t xml:space="preserve">Tuberia estandar HD DN 150 mm K9 </t>
  </si>
  <si>
    <t>THD8</t>
  </si>
  <si>
    <t xml:space="preserve">Tuberia estandar HD DN 200 mm K9 </t>
  </si>
  <si>
    <t>THD10</t>
  </si>
  <si>
    <t xml:space="preserve">Tuberia estandar HD DN 250 mm K8 </t>
  </si>
  <si>
    <t>THD12</t>
  </si>
  <si>
    <t xml:space="preserve">Tuberia estandar HD DN 300 mm K7 </t>
  </si>
  <si>
    <t>THD14</t>
  </si>
  <si>
    <t xml:space="preserve">Tuberia estandar HD DN 350 mm K7 </t>
  </si>
  <si>
    <t>THD16</t>
  </si>
  <si>
    <t xml:space="preserve">Tuberia estandar HD DN 400 mm K7 </t>
  </si>
  <si>
    <t>THD18</t>
  </si>
  <si>
    <t xml:space="preserve">Tuberia estandar HD DN 450 mm K7 </t>
  </si>
  <si>
    <t>THD20</t>
  </si>
  <si>
    <t xml:space="preserve">Tuberia estandar HD DN 500 mm K7 </t>
  </si>
  <si>
    <t>THD24</t>
  </si>
  <si>
    <t xml:space="preserve">Tuberia estandar HD DN 600 mm K7 </t>
  </si>
  <si>
    <t>THD28</t>
  </si>
  <si>
    <t xml:space="preserve">Tuberia estandar HD DN 700 mm K7 </t>
  </si>
  <si>
    <t>THD32</t>
  </si>
  <si>
    <t xml:space="preserve">Tuberia estandar HD DN 800 mm K7 </t>
  </si>
  <si>
    <t>THD36</t>
  </si>
  <si>
    <t xml:space="preserve">Tuberia estandar HD DN 900 mm K7 </t>
  </si>
  <si>
    <t>THD40</t>
  </si>
  <si>
    <t xml:space="preserve">Tuberia estandar HD DN 1000 mm K7 </t>
  </si>
  <si>
    <t>UU10</t>
  </si>
  <si>
    <t>Unión universal de 10" en hierro ductil (ASTM-A-536).  R1</t>
  </si>
  <si>
    <t>UU12</t>
  </si>
  <si>
    <t>Unión universal de 12" en hierro ductil (ASTM-A-536).  R1</t>
  </si>
  <si>
    <t>UU2</t>
  </si>
  <si>
    <t>Unión universal de 2" en hierro ductil (ASTM-A-536).  Acople para diferentes tuberías</t>
  </si>
  <si>
    <t>Unión universal de 3" en hierro ductil (ASTM-A-536).  Acople para diferentes tuberías</t>
  </si>
  <si>
    <t>Unión universal de 4" en hierro ductil (ASTM-A-536).  Acople para diferentes tuberías</t>
  </si>
  <si>
    <t>Unión universal de 8" en hierro ductil (ASTM-A-536).  R1</t>
  </si>
  <si>
    <t>VCE2</t>
  </si>
  <si>
    <t>VCE3</t>
  </si>
  <si>
    <t>Válvula de compuerta elástica en hierro dúctil (ASTM-A-536) de 3", vástago no ascendente en acero inoxidable, presión de trabajo 250 psi. Extremo Liso Para PVC</t>
  </si>
  <si>
    <t>VCE4</t>
  </si>
  <si>
    <t>Válvula de compuerta elástica en hierro dúctil (ASTM-A-536) de 4", vástago no ascendente en acero inoxidable, presión de trabajo 250 psi. Extremo Liso para PVC</t>
  </si>
  <si>
    <t>VCE6</t>
  </si>
  <si>
    <t>VCE8</t>
  </si>
  <si>
    <t>VCE10</t>
  </si>
  <si>
    <t>Válvula de compuerta elástica en hierro dúctil (ASTM-A-536) de 10", vástago no ascendente en acero inoxidable, presión de trabajo 250 psi. Extremo Liso para PVC</t>
  </si>
  <si>
    <t>VCE12</t>
  </si>
  <si>
    <t>Válvula de compuerta elástica en hierro dúctil (ASTM-A-536) de 12", vástago no ascendente en acero inoxidable, presión de trabajo 250 psi. Extremo Liso para PVC</t>
  </si>
  <si>
    <t>VCL2</t>
  </si>
  <si>
    <t>Válvula de cierre lento tipo globo en hierro dúctil (ASTM-A-536) de 2". Extremo Brida para PVC</t>
  </si>
  <si>
    <t>VCL3</t>
  </si>
  <si>
    <t>Válvula de cierre lento tipo globo en hierro dúctil (ASTM-A-536) de 3". Extremo Brida para PVC</t>
  </si>
  <si>
    <t>VVC2</t>
  </si>
  <si>
    <t>ACCESORIOS METÁLICOS EN HF PARA ACUEDUCTO</t>
  </si>
  <si>
    <t>Accesorios PVC 1/2" (Codo, uniones, adaptadores)</t>
  </si>
  <si>
    <t>KSY86</t>
  </si>
  <si>
    <t>KSY106</t>
  </si>
  <si>
    <t>KSY126</t>
  </si>
  <si>
    <t>SY166</t>
  </si>
  <si>
    <t>SY186</t>
  </si>
  <si>
    <t>SY206</t>
  </si>
  <si>
    <t>ACCESORIOS Y TUBERÍA PVC PRESIÓN - ACUEDUCTO</t>
  </si>
  <si>
    <t>Ayudante</t>
  </si>
  <si>
    <t>Dist. (Km)</t>
  </si>
  <si>
    <t>UND. (M3, Ton., Viaje)</t>
  </si>
  <si>
    <t>TARIFA ($ -m3/Km)</t>
  </si>
  <si>
    <t>Cantidad</t>
  </si>
  <si>
    <t>TRANSPORTE</t>
  </si>
  <si>
    <t>TARIFA $/m3</t>
  </si>
  <si>
    <t>DIST/. (Km)</t>
  </si>
  <si>
    <t>A3</t>
  </si>
  <si>
    <t>FACTOR PRESTACIONAL (%)</t>
  </si>
  <si>
    <t xml:space="preserve">PRESTACIONES </t>
  </si>
  <si>
    <t>VR/.TOTAL PRESTACIONES</t>
  </si>
  <si>
    <t>VR/. PARCIAL.</t>
  </si>
  <si>
    <t>VR/. UNITARIO</t>
  </si>
  <si>
    <t>Salario mínimo vigente</t>
  </si>
  <si>
    <t/>
  </si>
  <si>
    <t>Información disponible desde el 1 de julio de 1984.</t>
  </si>
  <si>
    <t>Año</t>
  </si>
  <si>
    <t>Salario mínimo diario</t>
  </si>
  <si>
    <t>Salario mínimo mensual</t>
  </si>
  <si>
    <t>Variación porcentual anual ¹</t>
  </si>
  <si>
    <t>Decretos del Gobierno Nacional</t>
  </si>
  <si>
    <t xml:space="preserve">N/A </t>
  </si>
  <si>
    <t xml:space="preserve">0001 de enero de 1985 </t>
  </si>
  <si>
    <t xml:space="preserve">3754 de diciembre de 1985 </t>
  </si>
  <si>
    <t xml:space="preserve">3732 de diciembre de 1986 </t>
  </si>
  <si>
    <t xml:space="preserve">2545 de diciembre de 1987 </t>
  </si>
  <si>
    <t xml:space="preserve">2662 de diciembre de 1988 </t>
  </si>
  <si>
    <t xml:space="preserve">3000 de diciembre de 1989 </t>
  </si>
  <si>
    <t xml:space="preserve">3074 de diciembre de 1990 </t>
  </si>
  <si>
    <t xml:space="preserve">2867 de diciembre de 1991 </t>
  </si>
  <si>
    <t xml:space="preserve">2061 de diciembre de 1992 </t>
  </si>
  <si>
    <t xml:space="preserve">2548 de diciembre de 1993 </t>
  </si>
  <si>
    <t xml:space="preserve">2872 de diciembre de 1994 </t>
  </si>
  <si>
    <t xml:space="preserve">2310 de diciembre de 1995 </t>
  </si>
  <si>
    <t xml:space="preserve">2334 de diciembre de 1996 </t>
  </si>
  <si>
    <t xml:space="preserve">3106 de diciembre de 1997 </t>
  </si>
  <si>
    <t xml:space="preserve">2560 de diciembre de 1998 </t>
  </si>
  <si>
    <t xml:space="preserve">2647 de diciembre 23 de 1999 </t>
  </si>
  <si>
    <t xml:space="preserve">2579 de diciembre 13 de 2000 </t>
  </si>
  <si>
    <t xml:space="preserve">2910 de diciembre 31 de 2001 </t>
  </si>
  <si>
    <t xml:space="preserve">3232 de diciembre 27 de 2002 </t>
  </si>
  <si>
    <t xml:space="preserve">3770 de diciembre 26 de 2003 </t>
  </si>
  <si>
    <t xml:space="preserve">4360 de diciembre 22 de 2004 </t>
  </si>
  <si>
    <t xml:space="preserve">4686 de diciembre 21 de 2005 </t>
  </si>
  <si>
    <t xml:space="preserve">4580 de diciembre 27 de 2006 </t>
  </si>
  <si>
    <t xml:space="preserve">4965 de diciembre 27 de 2007 </t>
  </si>
  <si>
    <t xml:space="preserve">4868 de diciembre 30 de 2008 </t>
  </si>
  <si>
    <t xml:space="preserve">5053 de diciembre 30 de 2009 </t>
  </si>
  <si>
    <t xml:space="preserve">033 de enero 11 de 2011 </t>
  </si>
  <si>
    <t xml:space="preserve">4919 de diciembre 26 de 2011 </t>
  </si>
  <si>
    <t>2738 de diciembre 28 de 2012</t>
  </si>
  <si>
    <t>3068 de diciembre 30 de 2013</t>
  </si>
  <si>
    <t>2731 de diciembre 30 de 2014</t>
  </si>
  <si>
    <t>2552 de diciembre 30 de 2015</t>
  </si>
  <si>
    <t>2209 de diciembre 30 de 2016</t>
  </si>
  <si>
    <t>2269 de diciembre 30 de 2017</t>
  </si>
  <si>
    <t>Auxilio de Transporte</t>
  </si>
  <si>
    <t>TOTAL SALARIO MENSUAL</t>
  </si>
  <si>
    <t>Serie histórica en pesos colombianos_periodicidad anual</t>
  </si>
  <si>
    <t>VALOR REAL DEL SALARIO 2018 - AFECTACIÓN PRESTACIONAL ANUAL</t>
  </si>
  <si>
    <t>SENA (Afectado por la reforma tributaria)</t>
  </si>
  <si>
    <t>ICBF (Afectado por la reforma tributaria)</t>
  </si>
  <si>
    <t>A</t>
  </si>
  <si>
    <t>AA</t>
  </si>
  <si>
    <t>VR/. HORA CUADRILLA</t>
  </si>
  <si>
    <t>BB</t>
  </si>
  <si>
    <t>CANT/. SALARIOS</t>
  </si>
  <si>
    <t>1.2 S.M.L.V.</t>
  </si>
  <si>
    <t>2.0 S.M.L.V.</t>
  </si>
  <si>
    <t>1.5 S.M.L.V.</t>
  </si>
  <si>
    <t>CC</t>
  </si>
  <si>
    <t>ESTUCADOR</t>
  </si>
  <si>
    <t>2.5 S.M.L.V.</t>
  </si>
  <si>
    <t>CARPINTERO</t>
  </si>
  <si>
    <t>EE</t>
  </si>
  <si>
    <t>OFICIAL DE PINTURA</t>
  </si>
  <si>
    <t>OFICIAL INSTALACIÓN</t>
  </si>
  <si>
    <t>FF</t>
  </si>
  <si>
    <t>ENCARGADO DE OBRA</t>
  </si>
  <si>
    <t>3.0 S.M.L.V.</t>
  </si>
  <si>
    <t>VR/. JORNAL CUADRILLA</t>
  </si>
  <si>
    <t>FF1</t>
  </si>
  <si>
    <t>VR/. HORA TRABAJADOR</t>
  </si>
  <si>
    <t>VR/. PARCIAL CUADRILLA</t>
  </si>
  <si>
    <t>GG</t>
  </si>
  <si>
    <t>OFICIAL DE ACABADOS 1</t>
  </si>
  <si>
    <t>OFICIAL 2</t>
  </si>
  <si>
    <t>HH</t>
  </si>
  <si>
    <t>II</t>
  </si>
  <si>
    <t>TOPÓGRAFO</t>
  </si>
  <si>
    <t>AUX. DE TOPOGRAFÍA</t>
  </si>
  <si>
    <t>CADENERO</t>
  </si>
  <si>
    <t>4.0 S.M.L.V.</t>
  </si>
  <si>
    <t>JJ</t>
  </si>
  <si>
    <t>JEFE DE OBRA</t>
  </si>
  <si>
    <t>OFICIAL 1</t>
  </si>
  <si>
    <t>3.0  S.M.L.V.</t>
  </si>
  <si>
    <t>2.5  S.M.L.V.</t>
  </si>
  <si>
    <t>2.0  S.M.L.V.</t>
  </si>
  <si>
    <t>1.5  S.M.L.V.</t>
  </si>
  <si>
    <t>KK</t>
  </si>
  <si>
    <t>1.2  S.M.L.V.</t>
  </si>
  <si>
    <t>Herramienta Menor (10% de la mano de obra).</t>
  </si>
  <si>
    <t>Cuadrilla AA: Albañilería. (1 Of. + 1 Ayud.).</t>
  </si>
  <si>
    <t>Cuadrilla BB: Instalaciones básicas. (1 Of. + 1 Ayud.).</t>
  </si>
  <si>
    <t>Cuadrilla DD: Carpintería en madera. (1 Carp. + 1 Ayud.).</t>
  </si>
  <si>
    <t>Cuadrilla EE: Cableado estructurado.(1 Of. Instal.).</t>
  </si>
  <si>
    <t>Cuadrilla FF: Eléctricas. (0.3 Encar. + 1 Of. + 1 Ayud.).</t>
  </si>
  <si>
    <t>Cuadrilla FF1: Eléctricas especializadas. (0.6 Encar. + 2 Of. + 1 Ayud).</t>
  </si>
  <si>
    <t>Cuadrilla HH: Metálicas. (1 Sold. + 1 Of. + 1 Ayud.).</t>
  </si>
  <si>
    <t>Cuadrilla JJ: Red contra incendios. (1 Jef. + 1 Of.1 + 1 Of.2 + 1 Ayud. ).</t>
  </si>
  <si>
    <t>Cuadrilla KK: Aseo. (2 Ayudantes).</t>
  </si>
  <si>
    <t>LL</t>
  </si>
  <si>
    <t>RASTRILLERO</t>
  </si>
  <si>
    <t>OFICIAL PAVIMENTO</t>
  </si>
  <si>
    <t>Cuadrilla CC: Pinturas.(1 Of.Pint.+ 1 Estuc. + 1 Ayud.).</t>
  </si>
  <si>
    <t>Cuadrilla GG: Drywall. (1 Of.Acab. + 1 Of.2 + 1 Ayud.).</t>
  </si>
  <si>
    <t>Cuadrilla II: Topografía. (1 Top. + 1 Aux.Top.+ 1 Cade.).</t>
  </si>
  <si>
    <t>Cuadrilla LL: Mezclas. (1 Of. + 3 Ayud.).</t>
  </si>
  <si>
    <t>Cuadrilla MM: Pavimentos. (1 Of.Pav.+ 1 Rastr. + 4 Ayud.).</t>
  </si>
  <si>
    <t>NN</t>
  </si>
  <si>
    <t>OFICIAL INSTALADOR</t>
  </si>
  <si>
    <t>Cuadrilla NN: Instalaciones hidrosanitarias. (1 Of.Insta.+ 2 Ayud.).</t>
  </si>
  <si>
    <t>HC</t>
  </si>
  <si>
    <t>VR/. HC + P.S.</t>
  </si>
  <si>
    <t>C3500</t>
  </si>
  <si>
    <t>Concreto de 250 Kg/cm2 (3500 PSI)</t>
  </si>
  <si>
    <t>Mixto (50% arena + 50% gravilla).</t>
  </si>
  <si>
    <t>BÁSICOS - CONCRETOS</t>
  </si>
  <si>
    <t>C1500</t>
  </si>
  <si>
    <t>Concreto de 105 Kg/cm2 (1500 PSI)</t>
  </si>
  <si>
    <t>M12</t>
  </si>
  <si>
    <t>Mortero 1:2</t>
  </si>
  <si>
    <t>M13I</t>
  </si>
  <si>
    <t>M14I</t>
  </si>
  <si>
    <t>Mortero 1:3 - Impermeabilizado</t>
  </si>
  <si>
    <t>Mortero 1:4 - Impermeabilizado</t>
  </si>
  <si>
    <t>MATERIAL DE PLAYA - PRESTAMO</t>
  </si>
  <si>
    <t xml:space="preserve">Sub-base granular - IP&lt;6% </t>
  </si>
  <si>
    <t>Recebo granular seleccionado IP&lt;10%.</t>
  </si>
  <si>
    <t>Lt</t>
  </si>
  <si>
    <t>Cemento gris tipo Portland.</t>
  </si>
  <si>
    <t>Kg.</t>
  </si>
  <si>
    <t>TARIFA ($ m3/Km)</t>
  </si>
  <si>
    <t>BÁSICOS - MORTEROS</t>
  </si>
  <si>
    <t>Arena fina de río.</t>
  </si>
  <si>
    <t>HM5</t>
  </si>
  <si>
    <t>HM10</t>
  </si>
  <si>
    <t>Herramienta Menor (5% de la mano de obra).</t>
  </si>
  <si>
    <t>Mortero 1:3 - IMPERMEABILIZADO</t>
  </si>
  <si>
    <t xml:space="preserve">ADITIVOS PARA EL CONCRETO </t>
  </si>
  <si>
    <t>IMP</t>
  </si>
  <si>
    <t>Mortero 1:4 - IMPERMEABILIZADO</t>
  </si>
  <si>
    <t>SALARIO MÍNIMO LEGAL EN COLOMBIA - HISTÓRICO</t>
  </si>
  <si>
    <t>UND.(M3,Ton.,Viaje)</t>
  </si>
  <si>
    <t>GERFOR</t>
  </si>
  <si>
    <t>PAVCO</t>
  </si>
  <si>
    <t>VIGENTE 2018</t>
  </si>
  <si>
    <t>TUBERÍA Y ACCESORIOS PVC PARA ACUEDUCTO Y RIEGO</t>
  </si>
  <si>
    <t>UPF1/2</t>
  </si>
  <si>
    <t>UPF3/4</t>
  </si>
  <si>
    <t>TUBERÍA PRESIÓN EXTREMO LISO</t>
  </si>
  <si>
    <t>Tubería PVC Presión E.L. de 1/2" RDE 9</t>
  </si>
  <si>
    <t>Tubería PVC Presión E.L. de 3/4" RDE 11</t>
  </si>
  <si>
    <t>Tubería PVC Presión E.L. de 1/2" RDE 13.5</t>
  </si>
  <si>
    <t>Tubería PVC Presión E.L. de 1" RDE 13.5</t>
  </si>
  <si>
    <t>Tubería PVC Presión E.L. de 3/4" RDE 21</t>
  </si>
  <si>
    <t>Tubería PVC Presión E.L. de 1" RDE 21</t>
  </si>
  <si>
    <t>Tubería PVC Presión E.L. de 1-1/4" RDE 21</t>
  </si>
  <si>
    <t>Tubería PVC Presión E.L. de 1-1/2" RDE 21</t>
  </si>
  <si>
    <t>Tubería PVC Presión E.L. de 2" RDE 21</t>
  </si>
  <si>
    <t>Tubería PVC Presión E.L. de 2-1/2" RDE 21</t>
  </si>
  <si>
    <t>Tubería PVC Presión E.L. de 3" RDE 21</t>
  </si>
  <si>
    <t>Tubería PVC Presión E.L. de 4" RDE 21</t>
  </si>
  <si>
    <t>Tubería PVC Presión E.L. de 2" RDE 26</t>
  </si>
  <si>
    <t>Tubería PVC Presión E.L. de 2-1/2" RDE 26</t>
  </si>
  <si>
    <t>Tubería PVC Presión E.L. de 3" RDE 26</t>
  </si>
  <si>
    <t>Tubería PVC Presión E.L. de 4" RDE 26</t>
  </si>
  <si>
    <t>m.</t>
  </si>
  <si>
    <t>Tubería PVC Presión E.L. de 4" RDE 32.5</t>
  </si>
  <si>
    <t>Tubería PVC Presión E.L. de 4" RDE 41</t>
  </si>
  <si>
    <t>Tubería PVC Presión E.L. de 3" RDE 32.5</t>
  </si>
  <si>
    <t>1/2"</t>
  </si>
  <si>
    <t>3/4"</t>
  </si>
  <si>
    <t>1"</t>
  </si>
  <si>
    <t>1 1/4"</t>
  </si>
  <si>
    <t>1 1/2"</t>
  </si>
  <si>
    <t>2"</t>
  </si>
  <si>
    <t>2 1/2"</t>
  </si>
  <si>
    <t>3"</t>
  </si>
  <si>
    <t>4"</t>
  </si>
  <si>
    <t>ACCESORIOS PRESION Liso - Roscado</t>
  </si>
  <si>
    <t>1/2"x1/4"</t>
  </si>
  <si>
    <t>1/2"x3/8"</t>
  </si>
  <si>
    <t>DES.LIST.</t>
  </si>
  <si>
    <t>Adaptador Hembra PVC</t>
  </si>
  <si>
    <t>Adaptador Macho PVC</t>
  </si>
  <si>
    <t>Buje Soldado</t>
  </si>
  <si>
    <t>3/4"x1/2"</t>
  </si>
  <si>
    <t>1"x1/2"</t>
  </si>
  <si>
    <t>1"x3/4"</t>
  </si>
  <si>
    <t>1 1/4"x1/2"</t>
  </si>
  <si>
    <t>1 1/4"x3/4"</t>
  </si>
  <si>
    <t>1 1/4"x1"</t>
  </si>
  <si>
    <t>1 1/2"x1 1/2"</t>
  </si>
  <si>
    <t>1 1/2"x1 3/4"</t>
  </si>
  <si>
    <t>1 1/2"x1"</t>
  </si>
  <si>
    <t>1 1/2x1 1/4"</t>
  </si>
  <si>
    <t>2"x3/4"</t>
  </si>
  <si>
    <t>2"x1"</t>
  </si>
  <si>
    <t>2"x1 1/4"</t>
  </si>
  <si>
    <t>2"x1 1/2"</t>
  </si>
  <si>
    <t>2 1/2"x1"</t>
  </si>
  <si>
    <t>2 1/2"x2"</t>
  </si>
  <si>
    <t>3"x2"</t>
  </si>
  <si>
    <t>4"x2 1/2"</t>
  </si>
  <si>
    <t>Buje Roscado</t>
  </si>
  <si>
    <t>3/4 x 1/2</t>
  </si>
  <si>
    <t>1 x 1/2</t>
  </si>
  <si>
    <t>1 x 3/4</t>
  </si>
  <si>
    <t>1 1/4 x 1/2</t>
  </si>
  <si>
    <t>1 1/4 x 3/4</t>
  </si>
  <si>
    <t>1 1/4 x 1</t>
  </si>
  <si>
    <t>1 1/2 x 1/2</t>
  </si>
  <si>
    <t>1 1/2 x 3/4</t>
  </si>
  <si>
    <t>1 1/2 x 1</t>
  </si>
  <si>
    <t>1 1/2 x 1 1/4</t>
  </si>
  <si>
    <t>2 x 1/2</t>
  </si>
  <si>
    <t>2 x 3/4</t>
  </si>
  <si>
    <t>2 x 1 1/4</t>
  </si>
  <si>
    <t>2 x 1 1/2</t>
  </si>
  <si>
    <t>2 1/2 x 1 1/2</t>
  </si>
  <si>
    <t>2 1/2 x 2</t>
  </si>
  <si>
    <t>3 x 11/2</t>
  </si>
  <si>
    <t>3 x 2</t>
  </si>
  <si>
    <t>3 x 2 1/2</t>
  </si>
  <si>
    <t>4 x 2</t>
  </si>
  <si>
    <t>4 x 2 1/2</t>
  </si>
  <si>
    <t>4 x 3</t>
  </si>
  <si>
    <t>6 x 4</t>
  </si>
  <si>
    <t>Codo de 90°</t>
  </si>
  <si>
    <t>Codo PVC soldado de 90° x</t>
  </si>
  <si>
    <t>3/4</t>
  </si>
  <si>
    <t>1/2</t>
  </si>
  <si>
    <t>1</t>
  </si>
  <si>
    <t>1 1/4</t>
  </si>
  <si>
    <t>1 1/2</t>
  </si>
  <si>
    <t>2 1/2</t>
  </si>
  <si>
    <t>Codo PVC roscado-soldado de 90° x</t>
  </si>
  <si>
    <t>Codo PVC soldado de 45° x</t>
  </si>
  <si>
    <t>Tapón Roscado PVC</t>
  </si>
  <si>
    <t>Tapón Soldado PVC</t>
  </si>
  <si>
    <t>Tee Soldada PVC</t>
  </si>
  <si>
    <t>6"</t>
  </si>
  <si>
    <t>Unión Soldada PVC</t>
  </si>
  <si>
    <t>Unión Universal PVC</t>
  </si>
  <si>
    <t>Válvula de Bola PVC</t>
  </si>
  <si>
    <t>Tubería PVC Sanitaria Aguas Lluvias</t>
  </si>
  <si>
    <t>8"</t>
  </si>
  <si>
    <t>10"</t>
  </si>
  <si>
    <t>Soldadura PVC</t>
  </si>
  <si>
    <t>1/4 gal</t>
  </si>
  <si>
    <t>1/8 gal</t>
  </si>
  <si>
    <t>1/16 gal</t>
  </si>
  <si>
    <t>1/32 gal</t>
  </si>
  <si>
    <t>1/64 gal</t>
  </si>
  <si>
    <t>1/168 gal</t>
  </si>
  <si>
    <t>Lubricante PVC</t>
  </si>
  <si>
    <t>500 gr.</t>
  </si>
  <si>
    <t>Gal.</t>
  </si>
  <si>
    <t>Limpiador PVC</t>
  </si>
  <si>
    <t>1/4.</t>
  </si>
  <si>
    <t>12 onzas</t>
  </si>
  <si>
    <t>1/32.</t>
  </si>
  <si>
    <t>1/64.</t>
  </si>
  <si>
    <t>1/168.</t>
  </si>
  <si>
    <t>Oz.</t>
  </si>
  <si>
    <t>TUBERÍA PVC UNIÓN MECÁNICA</t>
  </si>
  <si>
    <t>Tubería PVC Unión Mecánica</t>
  </si>
  <si>
    <t>12"</t>
  </si>
  <si>
    <t>14"</t>
  </si>
  <si>
    <t>RDE 13.5 (315 PSI)</t>
  </si>
  <si>
    <t>Tubo x 6 m</t>
  </si>
  <si>
    <t>RDE 21 (200 PSI)</t>
  </si>
  <si>
    <t>16"</t>
  </si>
  <si>
    <t>18"</t>
  </si>
  <si>
    <t>20"</t>
  </si>
  <si>
    <t>24"</t>
  </si>
  <si>
    <t>RDE 26 (160 PSI)</t>
  </si>
  <si>
    <t>RDE 32.5 (125 PSI)</t>
  </si>
  <si>
    <t>RDE 41 (100 PSI)</t>
  </si>
  <si>
    <t>Tubería PVC Orientada Unión Mecánica (SUPRAXIAL)</t>
  </si>
  <si>
    <t>200 PSI</t>
  </si>
  <si>
    <t>160 PSI</t>
  </si>
  <si>
    <t>ALTA PRESION</t>
  </si>
  <si>
    <t>Tubería PVC Presión E.L.</t>
  </si>
  <si>
    <t>RDE 11 (400 PSI)</t>
  </si>
  <si>
    <t>ACCESORIOS UNIÓN MECÁNICA</t>
  </si>
  <si>
    <t xml:space="preserve">Codo PVC Gran Radio </t>
  </si>
  <si>
    <t>2 x 90</t>
  </si>
  <si>
    <t>2 1/2 x 90</t>
  </si>
  <si>
    <t>3 x 90</t>
  </si>
  <si>
    <t>4 x 90</t>
  </si>
  <si>
    <t>6 x 90</t>
  </si>
  <si>
    <t>8 x 90</t>
  </si>
  <si>
    <t>10 x 90</t>
  </si>
  <si>
    <t>12 x 90</t>
  </si>
  <si>
    <t>14 x 90</t>
  </si>
  <si>
    <t>2 x 45</t>
  </si>
  <si>
    <t>2 1/2 x 45</t>
  </si>
  <si>
    <t>3 x 45</t>
  </si>
  <si>
    <t>4 x 45</t>
  </si>
  <si>
    <t>6 x 45</t>
  </si>
  <si>
    <t>8 x 45</t>
  </si>
  <si>
    <t>10 x 45</t>
  </si>
  <si>
    <t>12 x 45</t>
  </si>
  <si>
    <t>14 x 45</t>
  </si>
  <si>
    <t>2 x 22,5</t>
  </si>
  <si>
    <t>2 1/2 x 22,5</t>
  </si>
  <si>
    <t>3 x 22,5</t>
  </si>
  <si>
    <t>4 x 22,5</t>
  </si>
  <si>
    <t>6 x 22,5</t>
  </si>
  <si>
    <t>8 x 22,5</t>
  </si>
  <si>
    <t>10 x 22,5</t>
  </si>
  <si>
    <t>12 x 22,5</t>
  </si>
  <si>
    <t>14 x 22,5</t>
  </si>
  <si>
    <t>2 x 11,25</t>
  </si>
  <si>
    <t>2 1/2 x 11,25</t>
  </si>
  <si>
    <t>3 x 11,25</t>
  </si>
  <si>
    <t>4 x 11,25</t>
  </si>
  <si>
    <t>6 x 11,25</t>
  </si>
  <si>
    <t>8 x 11,25</t>
  </si>
  <si>
    <t>10 x 11,25</t>
  </si>
  <si>
    <t>12 x 11,25</t>
  </si>
  <si>
    <t>14 x 11,25</t>
  </si>
  <si>
    <t>8 x 6</t>
  </si>
  <si>
    <t>12 x 6</t>
  </si>
  <si>
    <t>Codo de 45°</t>
  </si>
  <si>
    <t>Codo de 22.5°</t>
  </si>
  <si>
    <t>Codo de 11.25°</t>
  </si>
  <si>
    <t>Codo de 6°</t>
  </si>
  <si>
    <t>Collar de Derivación PVC</t>
  </si>
  <si>
    <t>3 x 1/2</t>
  </si>
  <si>
    <t>3 x 3/4</t>
  </si>
  <si>
    <t>4 x 1/2</t>
  </si>
  <si>
    <t>4 x 3/4</t>
  </si>
  <si>
    <t>6 x 1/2</t>
  </si>
  <si>
    <t>6 x 3/4</t>
  </si>
  <si>
    <t>2 1/2'</t>
  </si>
  <si>
    <t>Unión PVC de Reparación</t>
  </si>
  <si>
    <t>TUBERÍA ALCANTARILLADOS</t>
  </si>
  <si>
    <t>Tubería Corrugada Alcantarillado RS8</t>
  </si>
  <si>
    <t>110 mm</t>
  </si>
  <si>
    <t>160 mm</t>
  </si>
  <si>
    <t>200 mm</t>
  </si>
  <si>
    <t>315 mm</t>
  </si>
  <si>
    <t>355 mm</t>
  </si>
  <si>
    <t>400 mm</t>
  </si>
  <si>
    <t>450 mm</t>
  </si>
  <si>
    <t>500 mm</t>
  </si>
  <si>
    <t>250 mm</t>
  </si>
  <si>
    <t>27"</t>
  </si>
  <si>
    <t>30"</t>
  </si>
  <si>
    <t>33"</t>
  </si>
  <si>
    <t>36"</t>
  </si>
  <si>
    <t>Tubo x 6.5 m</t>
  </si>
  <si>
    <t>Tubería Alcantarillado Doble Pared</t>
  </si>
  <si>
    <t>39"</t>
  </si>
  <si>
    <t>42"</t>
  </si>
  <si>
    <t>ACCESORIOS ALCANTARILLADOS</t>
  </si>
  <si>
    <t>Codo Alcantarillado de 90°</t>
  </si>
  <si>
    <t>Codo Alcantarillado de 45°</t>
  </si>
  <si>
    <t>Silla Tee</t>
  </si>
  <si>
    <t>160x110</t>
  </si>
  <si>
    <t>160x160</t>
  </si>
  <si>
    <t>200x110</t>
  </si>
  <si>
    <t>200x160</t>
  </si>
  <si>
    <t>250x110</t>
  </si>
  <si>
    <t>250x160</t>
  </si>
  <si>
    <t>250x200</t>
  </si>
  <si>
    <t>315x110</t>
  </si>
  <si>
    <t>315x160</t>
  </si>
  <si>
    <t>315x200</t>
  </si>
  <si>
    <t>315x250</t>
  </si>
  <si>
    <t>355x110</t>
  </si>
  <si>
    <t>355x160</t>
  </si>
  <si>
    <t>355x200</t>
  </si>
  <si>
    <t>400x110</t>
  </si>
  <si>
    <t>400x160</t>
  </si>
  <si>
    <t>400x200</t>
  </si>
  <si>
    <t>400x250</t>
  </si>
  <si>
    <t>450x160</t>
  </si>
  <si>
    <t>450x200</t>
  </si>
  <si>
    <t>500x160</t>
  </si>
  <si>
    <t>500x200</t>
  </si>
  <si>
    <t>24"x160</t>
  </si>
  <si>
    <t>24"x200</t>
  </si>
  <si>
    <t>27"x160</t>
  </si>
  <si>
    <t>27"x200</t>
  </si>
  <si>
    <t>30"x160</t>
  </si>
  <si>
    <t>30"x200</t>
  </si>
  <si>
    <t>33"x160</t>
  </si>
  <si>
    <t>33"x200</t>
  </si>
  <si>
    <t>36"160</t>
  </si>
  <si>
    <t>36"x200</t>
  </si>
  <si>
    <t>36"x250</t>
  </si>
  <si>
    <t>36"x315</t>
  </si>
  <si>
    <t>Silla Yee</t>
  </si>
  <si>
    <t>TUBERIA Y ACCESORIOS PF+UAD</t>
  </si>
  <si>
    <t>Adaptador Macho Acometida PF+UAD de 1/2"</t>
  </si>
  <si>
    <t>Adaptador Hembra Acometida PF+UAD de 1/2"</t>
  </si>
  <si>
    <t>Unión Acometida PF+UAD de 1/2"</t>
  </si>
  <si>
    <t>Unión Acometida PF+UAD de 3/4"</t>
  </si>
  <si>
    <t>Tubería Acometida Domiciliaria HDPE de 1/2"</t>
  </si>
  <si>
    <t>Tubería Acometida Domiciliaria HDPE de 3/4"</t>
  </si>
  <si>
    <t>TP1/29</t>
  </si>
  <si>
    <t>TP3/411</t>
  </si>
  <si>
    <t>TP3/421</t>
  </si>
  <si>
    <t>TP121</t>
  </si>
  <si>
    <t>TP1-1/421</t>
  </si>
  <si>
    <t>TP1-1/221</t>
  </si>
  <si>
    <t>TP221</t>
  </si>
  <si>
    <t>TP2-1/221</t>
  </si>
  <si>
    <t>TP321</t>
  </si>
  <si>
    <t>TP421</t>
  </si>
  <si>
    <t>TP226</t>
  </si>
  <si>
    <t>TP2-1/226</t>
  </si>
  <si>
    <t>TP326</t>
  </si>
  <si>
    <t>TP426</t>
  </si>
  <si>
    <t>TP441</t>
  </si>
  <si>
    <t>TP1/213.5</t>
  </si>
  <si>
    <t>TP113.5</t>
  </si>
  <si>
    <t>TP332.5</t>
  </si>
  <si>
    <t>TP432.5</t>
  </si>
  <si>
    <t>AH1/2</t>
  </si>
  <si>
    <t>AH3/4</t>
  </si>
  <si>
    <t>AH1</t>
  </si>
  <si>
    <t>AH1-1/4</t>
  </si>
  <si>
    <t>AH1-1/2</t>
  </si>
  <si>
    <t>AH2</t>
  </si>
  <si>
    <t>AH2-1/2</t>
  </si>
  <si>
    <t>AH3</t>
  </si>
  <si>
    <t>AH4</t>
  </si>
  <si>
    <t>AM1/2</t>
  </si>
  <si>
    <t>AM3/4</t>
  </si>
  <si>
    <t>AM1</t>
  </si>
  <si>
    <t>AM2</t>
  </si>
  <si>
    <t>AM3</t>
  </si>
  <si>
    <t>AM4</t>
  </si>
  <si>
    <t>AM1-1/4</t>
  </si>
  <si>
    <t>AM1-1/2</t>
  </si>
  <si>
    <t>AM2-1/2</t>
  </si>
  <si>
    <t>BS3/4*1/2</t>
  </si>
  <si>
    <t>AH1/2*3/4</t>
  </si>
  <si>
    <t>AH1/2*3/8</t>
  </si>
  <si>
    <t>BR1/2*1/4</t>
  </si>
  <si>
    <t>BR1/2*3/8</t>
  </si>
  <si>
    <t>BR3/4*1/2</t>
  </si>
  <si>
    <t>BR1*1/2</t>
  </si>
  <si>
    <t>BR1*3/4</t>
  </si>
  <si>
    <t>BR1-1/4*1/2</t>
  </si>
  <si>
    <t>BR1-1/4*3/4</t>
  </si>
  <si>
    <t>BR1-1/4*1</t>
  </si>
  <si>
    <t>BR1-1/2*1-1/2</t>
  </si>
  <si>
    <t>BR1-1/2*1-3/4</t>
  </si>
  <si>
    <t>BR1-1/2*1</t>
  </si>
  <si>
    <t>BR1-1/2*1-1/4</t>
  </si>
  <si>
    <t>BR2*3/4</t>
  </si>
  <si>
    <t>BR2*1</t>
  </si>
  <si>
    <t>BR2*1-1/4</t>
  </si>
  <si>
    <t>BR2*1-1/2</t>
  </si>
  <si>
    <t>BR2-1/2*1</t>
  </si>
  <si>
    <t>BR2-1/2*2</t>
  </si>
  <si>
    <t>BR3*2</t>
  </si>
  <si>
    <t>BR4*2-1/2</t>
  </si>
  <si>
    <t>BS1*1/2</t>
  </si>
  <si>
    <t>BS1*3/4</t>
  </si>
  <si>
    <t>BS1-1/4*1/2</t>
  </si>
  <si>
    <t>BS1-1/4*3/4</t>
  </si>
  <si>
    <t>BS1-1/4*1</t>
  </si>
  <si>
    <t>BS1-1/2*1/2</t>
  </si>
  <si>
    <t>BS1-1/2*3/4</t>
  </si>
  <si>
    <t>BS1-1*2 x 1</t>
  </si>
  <si>
    <t>BS1-1/2 x 1*1/4</t>
  </si>
  <si>
    <t>BS2*1/2</t>
  </si>
  <si>
    <t>BS2*3/4</t>
  </si>
  <si>
    <t>2 x 1</t>
  </si>
  <si>
    <t>BS2*1</t>
  </si>
  <si>
    <t>BS2*1-1/4</t>
  </si>
  <si>
    <t>BS2*1-1/2</t>
  </si>
  <si>
    <t>BS2-1/2*1-1/2</t>
  </si>
  <si>
    <t>BS2-1/2*2</t>
  </si>
  <si>
    <t>BS3*1-1/2</t>
  </si>
  <si>
    <t>BS3*2</t>
  </si>
  <si>
    <t>BS3*2-1/2</t>
  </si>
  <si>
    <t>BS4*2</t>
  </si>
  <si>
    <t>BS4*1-1/2</t>
  </si>
  <si>
    <t>BS4*3</t>
  </si>
  <si>
    <t>BS6*4</t>
  </si>
  <si>
    <t>CRS90*1/2</t>
  </si>
  <si>
    <t>TR1/2</t>
  </si>
  <si>
    <t>TR3/4</t>
  </si>
  <si>
    <t>TR1</t>
  </si>
  <si>
    <t>TR2</t>
  </si>
  <si>
    <t>TR3</t>
  </si>
  <si>
    <t>TR4</t>
  </si>
  <si>
    <t>TR1-1/4</t>
  </si>
  <si>
    <t>TR1-1/2</t>
  </si>
  <si>
    <t>TR2-1/2</t>
  </si>
  <si>
    <t>T1/2</t>
  </si>
  <si>
    <t>T3/4</t>
  </si>
  <si>
    <t>T1</t>
  </si>
  <si>
    <t>T2</t>
  </si>
  <si>
    <t>T3</t>
  </si>
  <si>
    <t>T4</t>
  </si>
  <si>
    <t>T6</t>
  </si>
  <si>
    <t>T1-1/4</t>
  </si>
  <si>
    <t>T1-1/2</t>
  </si>
  <si>
    <t>T2-1/2</t>
  </si>
  <si>
    <t>C90*1/2</t>
  </si>
  <si>
    <t>C90*3/4</t>
  </si>
  <si>
    <t>C90*1</t>
  </si>
  <si>
    <t>C90*1-1/4</t>
  </si>
  <si>
    <t>C90*1-1/2</t>
  </si>
  <si>
    <t>C90*2</t>
  </si>
  <si>
    <t>C90*2-1/2</t>
  </si>
  <si>
    <t>C90*3</t>
  </si>
  <si>
    <t>C90*4</t>
  </si>
  <si>
    <t>C90*6</t>
  </si>
  <si>
    <t>C45*1/2</t>
  </si>
  <si>
    <t>C45*3/4</t>
  </si>
  <si>
    <t>C45*1</t>
  </si>
  <si>
    <t>C45*1-1/4</t>
  </si>
  <si>
    <t>C45*1-1/2</t>
  </si>
  <si>
    <t>C45* 2</t>
  </si>
  <si>
    <t>C45*2-1/2</t>
  </si>
  <si>
    <t>C45*4</t>
  </si>
  <si>
    <t>U1/2</t>
  </si>
  <si>
    <t>U3/4</t>
  </si>
  <si>
    <t>U1</t>
  </si>
  <si>
    <t>U2</t>
  </si>
  <si>
    <t>U3</t>
  </si>
  <si>
    <t>U4</t>
  </si>
  <si>
    <t>U1-1/4</t>
  </si>
  <si>
    <t>U1-1/2</t>
  </si>
  <si>
    <t>U2-1/2</t>
  </si>
  <si>
    <t>UU1/2</t>
  </si>
  <si>
    <t>UU3/4</t>
  </si>
  <si>
    <t>UU1</t>
  </si>
  <si>
    <t>UU1-1/4</t>
  </si>
  <si>
    <t>UU1-1/2</t>
  </si>
  <si>
    <t>VB1/2</t>
  </si>
  <si>
    <t>VB3/4</t>
  </si>
  <si>
    <t>VB1</t>
  </si>
  <si>
    <t>ALL1-1/2</t>
  </si>
  <si>
    <t>ALL2</t>
  </si>
  <si>
    <t>ALL3</t>
  </si>
  <si>
    <t>ALL4</t>
  </si>
  <si>
    <t>ALL6</t>
  </si>
  <si>
    <t>ALL8</t>
  </si>
  <si>
    <t>ALL10</t>
  </si>
  <si>
    <t>SOL1/4</t>
  </si>
  <si>
    <t>SOL1/8</t>
  </si>
  <si>
    <t>SOL1/16</t>
  </si>
  <si>
    <t>SOL1/32</t>
  </si>
  <si>
    <t>SOL1/64</t>
  </si>
  <si>
    <t>SOL1/168</t>
  </si>
  <si>
    <t>LUB</t>
  </si>
  <si>
    <t>LIM1/4</t>
  </si>
  <si>
    <t>LIM1/32</t>
  </si>
  <si>
    <t>LIM1/64</t>
  </si>
  <si>
    <t>LIM12</t>
  </si>
  <si>
    <t>TUM213.5</t>
  </si>
  <si>
    <t>TUM313.5</t>
  </si>
  <si>
    <t>TUM413.5</t>
  </si>
  <si>
    <t>TUM613.5</t>
  </si>
  <si>
    <t>TUM813.5</t>
  </si>
  <si>
    <t>TUM1013.5</t>
  </si>
  <si>
    <t>TUM1213.5</t>
  </si>
  <si>
    <t>TUM1413.5</t>
  </si>
  <si>
    <t>TUM221</t>
  </si>
  <si>
    <t>TUM321</t>
  </si>
  <si>
    <t>TUM421</t>
  </si>
  <si>
    <t>TUM621</t>
  </si>
  <si>
    <t>TUM821</t>
  </si>
  <si>
    <t>TUM1021</t>
  </si>
  <si>
    <t>TUM1221</t>
  </si>
  <si>
    <t>TUM1421</t>
  </si>
  <si>
    <t>TUM1621</t>
  </si>
  <si>
    <t>TUM1821</t>
  </si>
  <si>
    <t>TUM2021</t>
  </si>
  <si>
    <t>TUM2-1/221</t>
  </si>
  <si>
    <t>TUM2421</t>
  </si>
  <si>
    <t>TUM226</t>
  </si>
  <si>
    <t>TUM326</t>
  </si>
  <si>
    <t>TUM426</t>
  </si>
  <si>
    <t>TUM626</t>
  </si>
  <si>
    <t>TUM826</t>
  </si>
  <si>
    <t>TUM1026</t>
  </si>
  <si>
    <t>TUM1226</t>
  </si>
  <si>
    <t>TUM1426</t>
  </si>
  <si>
    <t>TUM1626</t>
  </si>
  <si>
    <t>TUM1826</t>
  </si>
  <si>
    <t>TUM2026</t>
  </si>
  <si>
    <t>TUM2-1/226</t>
  </si>
  <si>
    <t>TUM232.5</t>
  </si>
  <si>
    <t>TUM332.5</t>
  </si>
  <si>
    <t>TUM432.5</t>
  </si>
  <si>
    <t>TUM632.5</t>
  </si>
  <si>
    <t>TUM832.5</t>
  </si>
  <si>
    <t>TUM1032.5</t>
  </si>
  <si>
    <t>TUM1232.5</t>
  </si>
  <si>
    <t>TUM1432.5</t>
  </si>
  <si>
    <t>TUM1632.5</t>
  </si>
  <si>
    <t>TUM1832.5</t>
  </si>
  <si>
    <t>TUM2032.5</t>
  </si>
  <si>
    <t>TUM2432.5</t>
  </si>
  <si>
    <t>TUM241</t>
  </si>
  <si>
    <t>TUM341</t>
  </si>
  <si>
    <t>TUM441</t>
  </si>
  <si>
    <t>TUM641</t>
  </si>
  <si>
    <t>TUM841</t>
  </si>
  <si>
    <t>TUM1041</t>
  </si>
  <si>
    <t>TUM1241</t>
  </si>
  <si>
    <t>TUM1441</t>
  </si>
  <si>
    <t>TUM1641</t>
  </si>
  <si>
    <t>TUM1841</t>
  </si>
  <si>
    <t>TUM2041</t>
  </si>
  <si>
    <t>TUMS4200</t>
  </si>
  <si>
    <t>TUMS6200</t>
  </si>
  <si>
    <t>TUMS8200</t>
  </si>
  <si>
    <t>TUMS10200</t>
  </si>
  <si>
    <t>TUMS12200</t>
  </si>
  <si>
    <t>TUMS14200</t>
  </si>
  <si>
    <t>TUMS16200</t>
  </si>
  <si>
    <t>TUMS4160</t>
  </si>
  <si>
    <t>TUMS6160</t>
  </si>
  <si>
    <t>TUMS8160</t>
  </si>
  <si>
    <t>TUMS10160</t>
  </si>
  <si>
    <t>TUMS12160</t>
  </si>
  <si>
    <t>TUMS14160</t>
  </si>
  <si>
    <t>TUMS16160</t>
  </si>
  <si>
    <t>TAP311</t>
  </si>
  <si>
    <t>TAP411</t>
  </si>
  <si>
    <t>TAP611</t>
  </si>
  <si>
    <t>TAP811</t>
  </si>
  <si>
    <t>CGR290</t>
  </si>
  <si>
    <t>CGR390</t>
  </si>
  <si>
    <t>CGR490</t>
  </si>
  <si>
    <t>CGR690</t>
  </si>
  <si>
    <t>CGR890</t>
  </si>
  <si>
    <t>CGR1090</t>
  </si>
  <si>
    <t>CGR1290</t>
  </si>
  <si>
    <t>CGR1490</t>
  </si>
  <si>
    <t>CGR245</t>
  </si>
  <si>
    <t>CGR345</t>
  </si>
  <si>
    <t>CGR445</t>
  </si>
  <si>
    <t>CGR645</t>
  </si>
  <si>
    <t>CGR2-1/290</t>
  </si>
  <si>
    <t>CGR845</t>
  </si>
  <si>
    <t>CGR1045</t>
  </si>
  <si>
    <t>CGR1245</t>
  </si>
  <si>
    <t>CGR1445</t>
  </si>
  <si>
    <t>CGR86</t>
  </si>
  <si>
    <t>CGR126</t>
  </si>
  <si>
    <t>CGR2-1/245</t>
  </si>
  <si>
    <t>CGR222.5</t>
  </si>
  <si>
    <t>CGR2-1/222.5</t>
  </si>
  <si>
    <t>CGR322.5</t>
  </si>
  <si>
    <t>CGR422.5</t>
  </si>
  <si>
    <t>CGR622.5</t>
  </si>
  <si>
    <t>CGR822.5</t>
  </si>
  <si>
    <t>CGR1022.5</t>
  </si>
  <si>
    <t>CGR1222.5</t>
  </si>
  <si>
    <t>CGR1422.5</t>
  </si>
  <si>
    <t>CGR211.25</t>
  </si>
  <si>
    <t>CGR311.25</t>
  </si>
  <si>
    <t>CGR411.25</t>
  </si>
  <si>
    <t>CGR611.25</t>
  </si>
  <si>
    <t>CGR811.25</t>
  </si>
  <si>
    <t>CGR1011.25</t>
  </si>
  <si>
    <t>CGR1211.25</t>
  </si>
  <si>
    <t>CGR1411.25</t>
  </si>
  <si>
    <t>CGR2-1/211.25</t>
  </si>
  <si>
    <t>CD2*1/2</t>
  </si>
  <si>
    <t>CD2*3/4</t>
  </si>
  <si>
    <t>Unión Mecánica PVC Presión Campana</t>
  </si>
  <si>
    <t>UM2</t>
  </si>
  <si>
    <t>UM3</t>
  </si>
  <si>
    <t>UM4</t>
  </si>
  <si>
    <t>UM6</t>
  </si>
  <si>
    <t>UM8</t>
  </si>
  <si>
    <t>UM10</t>
  </si>
  <si>
    <t>UM12</t>
  </si>
  <si>
    <t>UM14</t>
  </si>
  <si>
    <t>UM2-1/2</t>
  </si>
  <si>
    <t>CD3*1/2</t>
  </si>
  <si>
    <t>CD3*3/4</t>
  </si>
  <si>
    <t>CD4*1/2</t>
  </si>
  <si>
    <t>CD4*3/2</t>
  </si>
  <si>
    <t>CD6*1/2</t>
  </si>
  <si>
    <t>CD6*3/4</t>
  </si>
  <si>
    <t>UR2</t>
  </si>
  <si>
    <t>UR3</t>
  </si>
  <si>
    <t>UR4</t>
  </si>
  <si>
    <t>UR6</t>
  </si>
  <si>
    <t>UR8</t>
  </si>
  <si>
    <t>UR10</t>
  </si>
  <si>
    <t>UR12</t>
  </si>
  <si>
    <t>UR2-1/2</t>
  </si>
  <si>
    <t>ST64</t>
  </si>
  <si>
    <t>ST66</t>
  </si>
  <si>
    <t>ST84</t>
  </si>
  <si>
    <t>ST86</t>
  </si>
  <si>
    <t>ST104</t>
  </si>
  <si>
    <t>ST106</t>
  </si>
  <si>
    <t>ST108</t>
  </si>
  <si>
    <t>ST124</t>
  </si>
  <si>
    <t>ST126</t>
  </si>
  <si>
    <t>ST128</t>
  </si>
  <si>
    <t>ST1210</t>
  </si>
  <si>
    <t>ST144</t>
  </si>
  <si>
    <t>ST146</t>
  </si>
  <si>
    <t>ST148</t>
  </si>
  <si>
    <t>ST164</t>
  </si>
  <si>
    <t>ST166</t>
  </si>
  <si>
    <t>ST168</t>
  </si>
  <si>
    <t>ST1610</t>
  </si>
  <si>
    <t>ST188</t>
  </si>
  <si>
    <t>ST208</t>
  </si>
  <si>
    <t>ST206</t>
  </si>
  <si>
    <t>ST246</t>
  </si>
  <si>
    <t>ST276</t>
  </si>
  <si>
    <t>ST306</t>
  </si>
  <si>
    <t>ST336</t>
  </si>
  <si>
    <t>ST186</t>
  </si>
  <si>
    <t>ST248</t>
  </si>
  <si>
    <t>ST278</t>
  </si>
  <si>
    <t>ST308</t>
  </si>
  <si>
    <t>ST338</t>
  </si>
  <si>
    <t>ST366</t>
  </si>
  <si>
    <t>ST368</t>
  </si>
  <si>
    <t>ST3610</t>
  </si>
  <si>
    <t>ST3612</t>
  </si>
  <si>
    <t>SY64</t>
  </si>
  <si>
    <t>SY84</t>
  </si>
  <si>
    <t>SY86</t>
  </si>
  <si>
    <t>SY104</t>
  </si>
  <si>
    <t>SY106</t>
  </si>
  <si>
    <t>SY108</t>
  </si>
  <si>
    <t>SY124</t>
  </si>
  <si>
    <t>SY126</t>
  </si>
  <si>
    <t>SY128</t>
  </si>
  <si>
    <t>SY144</t>
  </si>
  <si>
    <t>SY146</t>
  </si>
  <si>
    <t>SY148</t>
  </si>
  <si>
    <t>SY164</t>
  </si>
  <si>
    <t>SY168</t>
  </si>
  <si>
    <t>SY1610</t>
  </si>
  <si>
    <t>SY188</t>
  </si>
  <si>
    <t>SY246</t>
  </si>
  <si>
    <t>SY276</t>
  </si>
  <si>
    <t>SY336</t>
  </si>
  <si>
    <t>SY208</t>
  </si>
  <si>
    <t>SY248</t>
  </si>
  <si>
    <t>SY278</t>
  </si>
  <si>
    <t>SY306</t>
  </si>
  <si>
    <t>SY308</t>
  </si>
  <si>
    <t>SY338</t>
  </si>
  <si>
    <t>SY366</t>
  </si>
  <si>
    <t>SY368</t>
  </si>
  <si>
    <t>Kit Silla Yee</t>
  </si>
  <si>
    <t>KSY64</t>
  </si>
  <si>
    <t>KSY84</t>
  </si>
  <si>
    <t>KSY104</t>
  </si>
  <si>
    <t>KSY124</t>
  </si>
  <si>
    <t>AMPF1/2</t>
  </si>
  <si>
    <t>AHPF1/2</t>
  </si>
  <si>
    <t>TPF1/2</t>
  </si>
  <si>
    <t>TPF3/4</t>
  </si>
  <si>
    <t>AM</t>
  </si>
  <si>
    <t>ACEL</t>
  </si>
  <si>
    <t>A4</t>
  </si>
  <si>
    <t>UUH2</t>
  </si>
  <si>
    <t>UUH3</t>
  </si>
  <si>
    <t>UUH4</t>
  </si>
  <si>
    <t>UUH6</t>
  </si>
  <si>
    <t>UUH8</t>
  </si>
  <si>
    <t>ACCESORIOS PVC 1/2"</t>
  </si>
  <si>
    <t>ACC1/2</t>
  </si>
  <si>
    <t>TSOL1/2</t>
  </si>
  <si>
    <t>TSOL3/4</t>
  </si>
  <si>
    <t>TSOL1</t>
  </si>
  <si>
    <t>TSOL1-1/4</t>
  </si>
  <si>
    <t>TSOL1-1/2</t>
  </si>
  <si>
    <t>TSOL2</t>
  </si>
  <si>
    <t>TSOL2-1/2</t>
  </si>
  <si>
    <t>TSOL3</t>
  </si>
  <si>
    <t>TSOL4</t>
  </si>
  <si>
    <t>C45*3</t>
  </si>
  <si>
    <t>COR</t>
  </si>
  <si>
    <t>COM</t>
  </si>
  <si>
    <t>TOP</t>
  </si>
  <si>
    <t>FORPZ</t>
  </si>
  <si>
    <t>RETROLL</t>
  </si>
  <si>
    <t>RETROOR</t>
  </si>
  <si>
    <t>VIB</t>
  </si>
  <si>
    <t>MOTO</t>
  </si>
  <si>
    <t>TAL</t>
  </si>
  <si>
    <t>GRA1/2</t>
  </si>
  <si>
    <t>GRA3/4</t>
  </si>
  <si>
    <t>Motobomba 3" Autocebante Diesel</t>
  </si>
  <si>
    <t>Taladro 1/2" Percutor Alámbrico (madera y metal)</t>
  </si>
  <si>
    <t>Gravilla triturada de Ø1/2".</t>
  </si>
  <si>
    <t>Gravilla triturada de Ø3/4".</t>
  </si>
  <si>
    <t>CGR12*45</t>
  </si>
  <si>
    <t>Equipo de topografía.</t>
  </si>
  <si>
    <t>glb</t>
  </si>
  <si>
    <t>Equipo compresor 120 HP y martillo neumático</t>
  </si>
  <si>
    <t>Escombros</t>
  </si>
  <si>
    <t>ESC</t>
  </si>
  <si>
    <t>ACPM</t>
  </si>
  <si>
    <t>Combustible tipo ACPM</t>
  </si>
  <si>
    <t>OO</t>
  </si>
  <si>
    <t xml:space="preserve">Operador de maquinaria pesada. </t>
  </si>
  <si>
    <t>OPERADOR</t>
  </si>
  <si>
    <t>ADH</t>
  </si>
  <si>
    <t>Adhesivo  Ramset Red</t>
  </si>
  <si>
    <t>fl oz</t>
  </si>
  <si>
    <t>VIBRO</t>
  </si>
  <si>
    <t>Vibrador de mezcla</t>
  </si>
  <si>
    <t>1.1.1</t>
  </si>
  <si>
    <t>1.1.2</t>
  </si>
  <si>
    <t>1.1.3</t>
  </si>
  <si>
    <t>m</t>
  </si>
  <si>
    <t>PM6</t>
  </si>
  <si>
    <r>
      <t xml:space="preserve">Pasamuro de </t>
    </r>
    <r>
      <rPr>
        <sz val="10"/>
        <color indexed="8"/>
        <rFont val="Calibri"/>
        <family val="2"/>
      </rPr>
      <t>Ø 8"</t>
    </r>
    <r>
      <rPr>
        <sz val="10"/>
        <color indexed="8"/>
        <rFont val="Arial"/>
        <family val="2"/>
      </rPr>
      <t xml:space="preserve"> en hierro ductil STM A-536, L: 60 cm. EB x EL</t>
    </r>
  </si>
  <si>
    <r>
      <t xml:space="preserve">Pasamuro de </t>
    </r>
    <r>
      <rPr>
        <sz val="10"/>
        <color indexed="8"/>
        <rFont val="Calibri"/>
        <family val="2"/>
      </rPr>
      <t>Ø 6"</t>
    </r>
    <r>
      <rPr>
        <sz val="10"/>
        <color indexed="8"/>
        <rFont val="Arial"/>
        <family val="2"/>
      </rPr>
      <t xml:space="preserve"> en hierro ductil STM A-536, L: 60 cm. EB x EL</t>
    </r>
  </si>
  <si>
    <t>PM8</t>
  </si>
  <si>
    <t>Rueda de manejo de (6"-8")</t>
  </si>
  <si>
    <t>Columna de maniobra</t>
  </si>
  <si>
    <t>VCLD</t>
  </si>
  <si>
    <t>VCLD1</t>
  </si>
  <si>
    <t>VCLD2</t>
  </si>
  <si>
    <t>VCLD3</t>
  </si>
  <si>
    <t>Compuerta lateral antideslizante de 0.50 x 0.50 m, incluye: columna de maniobra , vastago , juego de tornillería.</t>
  </si>
  <si>
    <t xml:space="preserve">Soporte guía vástago </t>
  </si>
  <si>
    <t>Válvula de compuerta elástica en hierro dúctil (ASTM-A-536) de 8", vástago no ascendente en acero inoxidable, presión de trabajo 250 psi. Extremo Brida.</t>
  </si>
  <si>
    <t>Válvula de compuerta elástica en hierro dúctil (ASTM-A-536) de 6", vástago no ascendente en acero inoxidable, presión de trabajo 250 psi. Extremo Brida.</t>
  </si>
  <si>
    <t>SOL</t>
  </si>
  <si>
    <t>Impermeabilizante para morteros.</t>
  </si>
  <si>
    <t>IMPER</t>
  </si>
  <si>
    <t>Impermeabilizante para concretos, plastocrete o silimar.</t>
  </si>
  <si>
    <t>Válvula Ventosa doble cámara triple efecto multiple acción HD 2". Extremo Brida</t>
  </si>
  <si>
    <t>Válvula de compuerta elástica en hierro dúctil (ASTM-A-536) de 2", vástago no ascendente en acero inoxidable, presión de trabajo 250 psi. Extremo Brida.</t>
  </si>
  <si>
    <t>Equipo compresor (barrido y soplado)</t>
  </si>
  <si>
    <t>COMPP</t>
  </si>
  <si>
    <t>Equipo de soldadura</t>
  </si>
  <si>
    <t>ACCESORIOS METÁLICOS EN HD PARA ACUEDUCTO</t>
  </si>
  <si>
    <t>Tee H.D. ext. Liso para PVC 6x3"</t>
  </si>
  <si>
    <t>THD6X3</t>
  </si>
  <si>
    <t>Und</t>
  </si>
  <si>
    <t>Unión universal de 6" en hierro ductil (ASTM-A-536).  Acople para diferentes tuberías</t>
  </si>
  <si>
    <t>THD6X4</t>
  </si>
  <si>
    <t>Tee H.D. ext. Liso para PVC 6x4"</t>
  </si>
  <si>
    <t>THD6X6</t>
  </si>
  <si>
    <t>Tee H.D. ext. Liso para PVC 6x6"</t>
  </si>
  <si>
    <t>Redución de 6X3"en hierro ductil (ASTM-A-536),extremo liso.</t>
  </si>
  <si>
    <t>RHD6X3</t>
  </si>
  <si>
    <t>RHD6X4</t>
  </si>
  <si>
    <t>Redución de 6X4"en hierro ductil (ASTM-A-536),extremo liso.</t>
  </si>
  <si>
    <t>RELLENOS</t>
  </si>
  <si>
    <t>SUBTOTAL RELLENOS</t>
  </si>
  <si>
    <t>HM3</t>
  </si>
  <si>
    <t>Herramienta Menor (3% de la mano de obra).</t>
  </si>
  <si>
    <t>2A</t>
  </si>
  <si>
    <t>2 Ayudantes</t>
  </si>
  <si>
    <t>VALOR TOTAL DEL PROYECTO</t>
  </si>
  <si>
    <t>SUBTOTAL MOVIMIENTO DE TIERRAS</t>
  </si>
  <si>
    <t>m3-km</t>
  </si>
  <si>
    <t>Retiro material sobrante</t>
  </si>
  <si>
    <t>Formaleta maestra para pavimentos</t>
  </si>
  <si>
    <t>FORPV</t>
  </si>
  <si>
    <t>FE</t>
  </si>
  <si>
    <t>Antisol</t>
  </si>
  <si>
    <t>ANTI</t>
  </si>
  <si>
    <t>TARIFA ($ -m3-ton/Km)</t>
  </si>
  <si>
    <t>URBANISMO</t>
  </si>
  <si>
    <t xml:space="preserve"> Sardinel Redondo prefabricado en concreto de 1,00 x 0,17 x 0,45 mts.</t>
  </si>
  <si>
    <t>SAR</t>
  </si>
  <si>
    <t>DEMARCACIÓN VIAL</t>
  </si>
  <si>
    <t>Esferas reflectivas</t>
  </si>
  <si>
    <t>Pintura demarcación tipo tráfico</t>
  </si>
  <si>
    <t>ER</t>
  </si>
  <si>
    <t>PINDE</t>
  </si>
  <si>
    <t>Cinta de demarcación Cal. 3 (Rollo 500mx0.10m)</t>
  </si>
  <si>
    <t>CD</t>
  </si>
  <si>
    <t>Señal vial vertical regalmentaria</t>
  </si>
  <si>
    <t>SVV</t>
  </si>
  <si>
    <t>Sika ROD 6 mm</t>
  </si>
  <si>
    <t>SIKAR</t>
  </si>
  <si>
    <t>Sellador de poliuretano autonivelante</t>
  </si>
  <si>
    <t>SELLA</t>
  </si>
  <si>
    <t>MR41</t>
  </si>
  <si>
    <t>Concreto hidráulico premezclado MR 41</t>
  </si>
  <si>
    <t>MR38</t>
  </si>
  <si>
    <t>Concreto hidráulico premezclado MR 38</t>
  </si>
  <si>
    <t>SUBTOTAL   SUMINISTRO E INSTALACIÓN DE TUBERÍA DE ALCANTARILLADO</t>
  </si>
  <si>
    <t>POZOS DE INSPECCIÓN</t>
  </si>
  <si>
    <t>Construcción de pozo de inspección a todo costo, en concreto impermeabilizado de 4000 PSI de resistencia a los 28 días, espesor de 0,20 m. Incluye: formaleta,  producción, mezcla, vaciado, desencofrado, cañuelas pulidas en concreto puro, escalones en hierro de 3/4" separados cada 0,40 m. Llevará cono de reducción, diámetro interno de 1,20 m. y espesor 0,20 m., suministro e instalación de aro base y tapa HD clase D400, mano de obra, curado, desencofrada, equipo, herramientas y todo lo relacionado para la correcta ejecución de la obra; diametro total 1,60 m. incluye: Base y canuela. Pozo de Inspección de 0 a 3.00 metros de altura, desde la cota batea.</t>
  </si>
  <si>
    <t>DOMICILIARIAS</t>
  </si>
  <si>
    <t>TA4</t>
  </si>
  <si>
    <t>TA6</t>
  </si>
  <si>
    <t>TA8</t>
  </si>
  <si>
    <t>TA10</t>
  </si>
  <si>
    <t>TA12</t>
  </si>
  <si>
    <t>TA14</t>
  </si>
  <si>
    <t>TA16</t>
  </si>
  <si>
    <t>TA18</t>
  </si>
  <si>
    <t>TA20</t>
  </si>
  <si>
    <t>TA24</t>
  </si>
  <si>
    <t>TA27</t>
  </si>
  <si>
    <t>TA30</t>
  </si>
  <si>
    <t>TA33</t>
  </si>
  <si>
    <t>TA36</t>
  </si>
  <si>
    <t>TA39</t>
  </si>
  <si>
    <t>TA42</t>
  </si>
  <si>
    <t>CA490</t>
  </si>
  <si>
    <t>CA690</t>
  </si>
  <si>
    <t>CA890</t>
  </si>
  <si>
    <t>CA1090</t>
  </si>
  <si>
    <t>CA1290</t>
  </si>
  <si>
    <t>CA1490</t>
  </si>
  <si>
    <t>CA1690</t>
  </si>
  <si>
    <t>CA1890</t>
  </si>
  <si>
    <t>CA445</t>
  </si>
  <si>
    <t>CA645</t>
  </si>
  <si>
    <t>CA845</t>
  </si>
  <si>
    <t>CA1045</t>
  </si>
  <si>
    <t>CA1245</t>
  </si>
  <si>
    <t>CA1445</t>
  </si>
  <si>
    <t>CA1645</t>
  </si>
  <si>
    <t>CA1845</t>
  </si>
  <si>
    <t>SUBTOTAL  POZOS DE INSPECCIÓN</t>
  </si>
  <si>
    <t>SUBTOTAL  DOMICILIARIAS</t>
  </si>
  <si>
    <t>Relleno de brechas con material seleccionado de la misma excavación, compactación mecánica, capa máxima 10cm, IP &lt; 10%, Dm = 95% según PM. Incluye: uso de herramientas, maquinaria, equipos, apisonado y demás actividades y elementos que se requieren para ejecutar correctamente la obra.</t>
  </si>
  <si>
    <t>Codales en madera d=0.15 m</t>
  </si>
  <si>
    <t>Puntilla con cabeza 2"</t>
  </si>
  <si>
    <t>Tablón 0.2 x 0.04 x 3 m</t>
  </si>
  <si>
    <t>PARTICIPACIÓN</t>
  </si>
  <si>
    <t>VALOR UNITARIO</t>
  </si>
  <si>
    <t>1.1</t>
  </si>
  <si>
    <t>Director de obra con prestaciones sociales</t>
  </si>
  <si>
    <t>Mes</t>
  </si>
  <si>
    <t>1.2</t>
  </si>
  <si>
    <t>Residente de obra con prestaciones sociales</t>
  </si>
  <si>
    <t>1.4</t>
  </si>
  <si>
    <t>2.1</t>
  </si>
  <si>
    <t>Energía</t>
  </si>
  <si>
    <t>2.2</t>
  </si>
  <si>
    <t>2.3</t>
  </si>
  <si>
    <t>Internet y telefonía</t>
  </si>
  <si>
    <t>3.1</t>
  </si>
  <si>
    <t>Campamento/oficinas/almacén/patios/servicios sanitarios/bodegas (22 m²)</t>
  </si>
  <si>
    <t>3.2</t>
  </si>
  <si>
    <t>Costo proporcional oficina central</t>
  </si>
  <si>
    <t>4.1</t>
  </si>
  <si>
    <t>Seguridad industrial y dotación</t>
  </si>
  <si>
    <t>4.2</t>
  </si>
  <si>
    <t>Ensayos de laboratorio para materiales, pruebas de carga y otros que sean requeridos</t>
  </si>
  <si>
    <t>Papelería y empastes</t>
  </si>
  <si>
    <t>4.6</t>
  </si>
  <si>
    <t>Ploteo Planos récord definitivos y de trámites</t>
  </si>
  <si>
    <t>ADMINISTRACIÓN</t>
  </si>
  <si>
    <t>IMPREVISTOS</t>
  </si>
  <si>
    <t>UTILIDAD</t>
  </si>
  <si>
    <t xml:space="preserve">PRESUPUESTO PLAN GENERAL DE MANEJO DE TRAFICO SEÑALIZACION Y DESVIOS </t>
  </si>
  <si>
    <t>CANT.</t>
  </si>
  <si>
    <t>VR. UNIT</t>
  </si>
  <si>
    <t>VR. TOTAL</t>
  </si>
  <si>
    <t>PLAN DE MANEJO DE TRAFICO ( DISPOSITIVOS, SEÑALIZACION Y EQUIPOS)  ( A )</t>
  </si>
  <si>
    <t xml:space="preserve">DISPOSITIVOS DE CONTROL </t>
  </si>
  <si>
    <t>DELINEADORES TUBULARES (COLOMBINAS)</t>
  </si>
  <si>
    <t>BARRERAS PLASTICAS (MALETINES TIPO NEWJERSEY)</t>
  </si>
  <si>
    <t>EQUIPOS VARIOS</t>
  </si>
  <si>
    <t>CHALECOS REFLECTIVOS</t>
  </si>
  <si>
    <t>UNID.</t>
  </si>
  <si>
    <t xml:space="preserve">SUBTOTAL  PLAN DE MANEJO DE TRAFICO ( DISPOSITIVOS, SEÑALIZACION Y EQUIPOS)  </t>
  </si>
  <si>
    <t>ÍTEM</t>
  </si>
  <si>
    <t>MESES</t>
  </si>
  <si>
    <t>V.R. TOTAL</t>
  </si>
  <si>
    <t>PERSONAL PROFESIONAL, AUXILIARES DE TRANSITO Y BRIGADAS ( B )</t>
  </si>
  <si>
    <t>INSPECTOR DE TRÁFICO DEDICACION 100%</t>
  </si>
  <si>
    <t xml:space="preserve">SUBTOTAL PLAN DE MANEJO DE TRAFICO ( PERSONAL )  </t>
  </si>
  <si>
    <t>VALOR COSTOS TOTAL</t>
  </si>
  <si>
    <t>FACTOR MULTIPLICADOR</t>
  </si>
  <si>
    <t>CONCEPTO</t>
  </si>
  <si>
    <t>PORCENTAJE</t>
  </si>
  <si>
    <t>1.</t>
  </si>
  <si>
    <t xml:space="preserve">Salarios </t>
  </si>
  <si>
    <t>Prima anual (legal)</t>
  </si>
  <si>
    <t xml:space="preserve"> ÷ 12 =</t>
  </si>
  <si>
    <t>Cesantía</t>
  </si>
  <si>
    <t>Intereses de cesantía</t>
  </si>
  <si>
    <t xml:space="preserve"> x 8.33 =</t>
  </si>
  <si>
    <t>Vacaciones</t>
  </si>
  <si>
    <t>Caja de Compensación Familiar</t>
  </si>
  <si>
    <t>ARL</t>
  </si>
  <si>
    <t>ICBF</t>
  </si>
  <si>
    <t>Sub-total</t>
  </si>
  <si>
    <t>2.</t>
  </si>
  <si>
    <t>Arriendo oficina</t>
  </si>
  <si>
    <t>Servicios públicos</t>
  </si>
  <si>
    <t>3.</t>
  </si>
  <si>
    <t xml:space="preserve">Asesoria Contable Tributaria  y Juridica </t>
  </si>
  <si>
    <t>Equipos y mantenimiento Oficina (Aseo)</t>
  </si>
  <si>
    <t>Gastos de vehículo</t>
  </si>
  <si>
    <t>Seguros de robo e incendio</t>
  </si>
  <si>
    <t>Documentación Técnica</t>
  </si>
  <si>
    <t>Papelería y útiles de oficina</t>
  </si>
  <si>
    <t>Licenciamiento de software</t>
  </si>
  <si>
    <t>Correo y otros</t>
  </si>
  <si>
    <t>Gastos de Representación</t>
  </si>
  <si>
    <t>4.</t>
  </si>
  <si>
    <t>Costos Directos no Reembolsables</t>
  </si>
  <si>
    <t>Póliza de calidad</t>
  </si>
  <si>
    <t>Póliza de cumplimiento</t>
  </si>
  <si>
    <t>Póliza salarios y prestaciones sociales</t>
  </si>
  <si>
    <t>Subtotal Costos directos no reembolsables</t>
  </si>
  <si>
    <t>5.</t>
  </si>
  <si>
    <t>T  O  T  A  L</t>
  </si>
  <si>
    <t>PRESUPUESTO INTERVENTORIA</t>
  </si>
  <si>
    <t>CUADRO 1.   UTILIZACION DE PERSONAL</t>
  </si>
  <si>
    <t>ESPECIALIDAD</t>
  </si>
  <si>
    <t>DEDICACION - HOMBRE / MES</t>
  </si>
  <si>
    <t>MES</t>
  </si>
  <si>
    <t>DEDICACION TOTAL</t>
  </si>
  <si>
    <t>A. PERSONAL PROFESIONAL</t>
  </si>
  <si>
    <t>Director de Interventoria</t>
  </si>
  <si>
    <t>Ingeniero Residente de Interventoria</t>
  </si>
  <si>
    <t>B. PERSONAL TECNICO Y ADMINISTRATIVO</t>
  </si>
  <si>
    <t>CUADRO 2.   COSTOS DE PERSONAL</t>
  </si>
  <si>
    <t>PERSONAL</t>
  </si>
  <si>
    <t>SUELDO BASICO</t>
  </si>
  <si>
    <t>COSTO TOTAL</t>
  </si>
  <si>
    <t>TOTAL COSTOS DE PERSONAL</t>
  </si>
  <si>
    <t>CUADRO 3.   COSTOS VARIOS</t>
  </si>
  <si>
    <t>TARIFA</t>
  </si>
  <si>
    <t>COSTO</t>
  </si>
  <si>
    <t>Edición de Informes</t>
  </si>
  <si>
    <t>Ensayos de Laboratorio</t>
  </si>
  <si>
    <t>TOTAL COSTOS DIRECTOS</t>
  </si>
  <si>
    <t>CUADRO 4.   RESUMEN DE COSTOS</t>
  </si>
  <si>
    <t>1. COSTOS DE PERSONAL</t>
  </si>
  <si>
    <t>2. COSTOS DIRECTOS</t>
  </si>
  <si>
    <t xml:space="preserve">TOTAL COSTOS </t>
  </si>
  <si>
    <t>CUADRO 5.   IMPUESTO AL VALOR AGREGADO (I.V.A.  19%)</t>
  </si>
  <si>
    <t>I.V.A. (19%)</t>
  </si>
  <si>
    <t>TOTAL I.V.A.</t>
  </si>
  <si>
    <t>CUADRO 6.  VALOR TOTAL DEL PROYECTO</t>
  </si>
  <si>
    <t>IMPUESTO AL VALOR AGREGADO (I.V.A.) 19%</t>
  </si>
  <si>
    <t>COSTOS</t>
  </si>
  <si>
    <t>VALOR TOTAL DE LA INTERVENTORÍA</t>
  </si>
  <si>
    <t>COSTO DIRECTO TOTAL</t>
  </si>
  <si>
    <t xml:space="preserve">PRESUPUESTO PLAN DE ADAPTACIÓN DE LA GUÍA AMBIENTAL (PAGA) DE OBRA                                                                                               </t>
  </si>
  <si>
    <t>SECTOR OBRA:</t>
  </si>
  <si>
    <t>INFRAESTRUCTURA</t>
  </si>
  <si>
    <t>OBJETO</t>
  </si>
  <si>
    <t>PLAZO:</t>
  </si>
  <si>
    <t>FRENTES DE OBRA:</t>
  </si>
  <si>
    <t>PRESUPUESTO IMPLEMENTACIÓN PAGA</t>
  </si>
  <si>
    <t>ÍTM</t>
  </si>
  <si>
    <t>DETALLE</t>
  </si>
  <si>
    <t>VR UNITARIO</t>
  </si>
  <si>
    <t>VR TOTAL</t>
  </si>
  <si>
    <t>KIT SEÑALIZACIÓN AMBIENTAL</t>
  </si>
  <si>
    <t>EL KIT INLCLUYE: SEÑAL DE 15 X 15 CM - RECICLABLE, SEÑAL DE 15 X 15 CM - ORGANICO, SEÑAL DE 15 X 15 CM - SUSTANCIAS PELIGROSAS.</t>
  </si>
  <si>
    <t>CAPACITACIONES AMBIENTALES DEL PERSONAL</t>
  </si>
  <si>
    <t>MANEJO INTEGRAL DE MATERIALES DE CONSTRUCCION, MANEJO Y DISPOSICION FINAL DE RESIDUOS SOLIDOS CONVENCIONALES Y ESPECIALES, MANEJO DE AGUAS SUPERFICIALES.</t>
  </si>
  <si>
    <t xml:space="preserve">KIT PARA DESPERDICIOS SOLIDOS Y MANTENIMIENTO MENSUAL </t>
  </si>
  <si>
    <t xml:space="preserve">KIT PARA DESPERDICIOS SOLIDOS. INCLUYE TRES (3) CANECAS PARA DE 65 LITROS,  COMPUESTA DE DOS PIEZAS  (TAPA Y CONTENEDOR)  RESISTENTE A LA INTEMPERIE, DE FACIL LIMPIEZA Y CARGUE, EN POLIETILENO DE ALTA DENSIDAD,   REDONDA - BOLSAS PARA BASURA COLOR NEGRA (24 MENSUALES), ROJO (4 MENSUALES) Y VERDE (4 MENSUALES) DE  MATERIAL PLASTICO DE ALTA DENSIDAD, CALIBRE DE 2", DE  65 x 85 CM - </t>
  </si>
  <si>
    <t xml:space="preserve">LAVADO
 DE 
HERRAMIENTAS </t>
  </si>
  <si>
    <t xml:space="preserve">CANECA  PARA LAVADO DE HERRAMIENTAS CON CAPACIDAD PARA 55 GALONES, REDONDA, CON TAPA, MATERIAL: POLIETILENO, IRROMPIBLE,  ALTA DENSIDAD
RESISTENTE A CARGA ESTATICA
 RESISTENTE A LA EXPOSICIÓN A LA INTEMPERIE 
COLOR:  DE ACUEDO CON LA DISPONIBILIDAD CON LA QUE SE CUENTE </t>
  </si>
  <si>
    <t>CUBRIMIENTO DE MATERIALES GRANULARES</t>
  </si>
  <si>
    <t>CUBRIMIENTO DE MATERIALES GRANULARES (BASES, SUBBASES, ARENA, CON PLÀSTICO CALIBRE 6 DE 3 M DE ANCHO x 10M DE LONGITUD PARA  30 M2 POR FRENTE DE OBRA</t>
  </si>
  <si>
    <t>CUBRIMIENTO DE ESCOMBROS</t>
  </si>
  <si>
    <t>CUBRIMIENTO DE ESCOMBROS TELA VERDE PARA CERRAMIENTO  DE 2,10 M DE ANCHO X 15 DE LONGITUD PARA 30 M2 POR FRENTE DE OBRA</t>
  </si>
  <si>
    <t xml:space="preserve">ALQUILER BAÑO DE LA ZONA </t>
  </si>
  <si>
    <t>ALQUILER BAÑO EXISTENTE EN LA ZONA</t>
  </si>
  <si>
    <t>KIT ASEO INFRAESTRUCTURA</t>
  </si>
  <si>
    <t>EL KIT CONSTA  DE , PALA CON MANGO, CARRETILLA  (TIPO BOGGY CON LLANTA NEUMATICA), CONO MINIMO DE H: 45 CM, BALDE PLÀSTICO DE 25 LT, CEPILLO DE CASQUILLO  DE 37  X 7</t>
  </si>
  <si>
    <t>KIT DE DERRAME PEQUEÑO</t>
  </si>
  <si>
    <t>EL KIT DE DERRAME PEQUEÑO CONSTA 1 CANECA PLASTICA DE 55 GALONES AZUL TAPA DE SEGURIDAD TIPO UÑA , 2 BARRERAS OLEOFILICAS MELTBLOWN (USA) 3" X 4 PIES (3" X 1,20 MTS), 12 BOLSA ROJA TIPO HAZMAT 70 X 1.20 CALIBRE 2, 12 BOLSA ROJA TIPO HAZMAT 70 X 1.20 CALIBRE 2 , 1 CHALECO REFLECTIVO, 1 DESENGRASANTE BIODEGRADABLE CERTIFICADO OIL EATER (USA) X 1 GALON , 1 ESPATULA PLASTICA 30 CMS, 1 GAFA DE SEGURIDAD LENTE CLARO STEELPRO TIPO SPY , 2 GUANTES DE NITRILO VERDE C/FLOCK, 1 JUEGO DE TAPONES DE MADERA X 5 PZ (Calajanes) Empacados en bolsa plástica con cierre hermético, 1 LINTERNA RECARGABLE LED VOLTAGE , 1 MARTILLO DE CAUCHO CON CABO DE MADERA , 2 MASILLA EPOXICA RALLY DE 50 GR , 1 PALA ANTICHISPA DE 94 CMS NARANJA , 75 PAÑO DE TELA OLEOFILICA MELTBLOWN (USA) 15" x 18' x 3/16 (38.1cm x 45.8cm) , 2 RESPIRADOR GAS Y VAPOR DOBLE CARTUCHO LINEA ECONOMICA , 1 ROLLO CINTA DE SEÑALIZACION X 50 MTS, 1 INSTRUCTIVO DE USO</t>
  </si>
  <si>
    <t>SUBTOTAL PAGA</t>
  </si>
  <si>
    <t>DEDICACION</t>
  </si>
  <si>
    <t>INGENIERO AMBIENTAL</t>
  </si>
  <si>
    <t>SUBTOTAL PLAN DE ADAPTACIÓN DE LA GUÍA AMBIENTAL (PAGA)</t>
  </si>
  <si>
    <t>VALOR TOTAL PAGA</t>
  </si>
  <si>
    <t>COSTOS DE ADMINISTRACIÓN DE LA OBRA</t>
  </si>
  <si>
    <t>4.3</t>
  </si>
  <si>
    <t>4.4</t>
  </si>
  <si>
    <t>4.7</t>
  </si>
  <si>
    <t>1.5</t>
  </si>
  <si>
    <t>Mobiliario</t>
  </si>
  <si>
    <t>MES 1</t>
  </si>
  <si>
    <t>MES 2</t>
  </si>
  <si>
    <t>MES 3</t>
  </si>
  <si>
    <t>MES 4</t>
  </si>
  <si>
    <t>MES 5</t>
  </si>
  <si>
    <t>MES 6</t>
  </si>
  <si>
    <t>VR/. UNIT</t>
  </si>
  <si>
    <t>VR/. TOTAL</t>
  </si>
  <si>
    <t>SEMANA 1</t>
  </si>
  <si>
    <t>SEMANA 2</t>
  </si>
  <si>
    <t>SEMANA 3</t>
  </si>
  <si>
    <t>SEMANA 4</t>
  </si>
  <si>
    <t>SEMANA 5</t>
  </si>
  <si>
    <t>SEMANA 6</t>
  </si>
  <si>
    <t>SEMANA 7</t>
  </si>
  <si>
    <t>SEMANA 8</t>
  </si>
  <si>
    <t>SEMANA 9</t>
  </si>
  <si>
    <t>SEMANA 10</t>
  </si>
  <si>
    <t>SEMANA 11</t>
  </si>
  <si>
    <t>SEMANA 12</t>
  </si>
  <si>
    <t>SEMANA 13</t>
  </si>
  <si>
    <t>SEMANA 14</t>
  </si>
  <si>
    <t>SEMANA 15</t>
  </si>
  <si>
    <t>SEMANA 16</t>
  </si>
  <si>
    <t>SEMANA 17</t>
  </si>
  <si>
    <t>SEMANA 18</t>
  </si>
  <si>
    <t>SEMANA 19</t>
  </si>
  <si>
    <t>SEMANA 20</t>
  </si>
  <si>
    <t>SEMANA 21</t>
  </si>
  <si>
    <t>SEMANA 22</t>
  </si>
  <si>
    <t>SEMANA 23</t>
  </si>
  <si>
    <t>SEMANA 24</t>
  </si>
  <si>
    <t>SUBTOTAL CAPITULOS OBRA CIVIL</t>
  </si>
  <si>
    <t xml:space="preserve">I  1% </t>
  </si>
  <si>
    <t xml:space="preserve">U 5% </t>
  </si>
  <si>
    <t>% AVANCE SEMANAL</t>
  </si>
  <si>
    <t>% AVANCE SEMANAL ACUMULADO</t>
  </si>
  <si>
    <t>VALOR MENSUAL EJECUTADO</t>
  </si>
  <si>
    <t>VALOR MENSUAL EJECUTADO ACUMULADO</t>
  </si>
  <si>
    <t>% AVANCE MENSUAL</t>
  </si>
  <si>
    <t>% AVANCE MENSUAL ACUMULADO</t>
  </si>
  <si>
    <t>MES 7</t>
  </si>
  <si>
    <t>MES 8</t>
  </si>
  <si>
    <t>MES 9</t>
  </si>
  <si>
    <t>MES 10</t>
  </si>
  <si>
    <t>MES 11</t>
  </si>
  <si>
    <t>MES 12</t>
  </si>
  <si>
    <t>SEMANA 25</t>
  </si>
  <si>
    <t>SEMANA 26</t>
  </si>
  <si>
    <t>SEMANA 27</t>
  </si>
  <si>
    <t>SEMANA 28</t>
  </si>
  <si>
    <t>SEMANA 29</t>
  </si>
  <si>
    <t>SEMANA 30</t>
  </si>
  <si>
    <t>SEMANA 31</t>
  </si>
  <si>
    <t>SEMANA 32</t>
  </si>
  <si>
    <t>SEMANA 33</t>
  </si>
  <si>
    <t>SEMANA 34</t>
  </si>
  <si>
    <t>SEMANA 35</t>
  </si>
  <si>
    <t>SEMANA 36</t>
  </si>
  <si>
    <t>SEMANA 37</t>
  </si>
  <si>
    <t>SEMANA 38</t>
  </si>
  <si>
    <t>SEMANA 39</t>
  </si>
  <si>
    <t>SEMANA 40</t>
  </si>
  <si>
    <t>SEMANA 41</t>
  </si>
  <si>
    <t>SEMANA 42</t>
  </si>
  <si>
    <t>SEMANA 43</t>
  </si>
  <si>
    <t>SEMANA 44</t>
  </si>
  <si>
    <t>SEMANA 45</t>
  </si>
  <si>
    <t>SEMANA 46</t>
  </si>
  <si>
    <t>SEMANA 47</t>
  </si>
  <si>
    <t>SEMANA 48</t>
  </si>
  <si>
    <t>Arena triturada de planta, pasante 3/8"</t>
  </si>
  <si>
    <t>Salud</t>
  </si>
  <si>
    <t>Otros (Incapacidad no cubierta EPS y medicina prepagada, auxilios varios, prestaciones sxtralegales, alimentación y refrigerios)</t>
  </si>
  <si>
    <t>SALARIOS Y PRESTACIONES SOCIALES DE PERSONAL FACTURABLE</t>
  </si>
  <si>
    <t>GASTOS DIRECTOS</t>
  </si>
  <si>
    <t>GASTOS GENERALES</t>
  </si>
  <si>
    <t>COSTOS DIRECTOS NO REEMBOLSABLES</t>
  </si>
  <si>
    <t>HONORARIOS (UTILIDAD DEL CONSULTOR Y COSTOS NO PREVISTOS)</t>
  </si>
  <si>
    <t>Aporte ordinario SENA</t>
  </si>
  <si>
    <t>6</t>
  </si>
  <si>
    <t>PROCULTURA</t>
  </si>
  <si>
    <t>POLIZA</t>
  </si>
  <si>
    <t>TOTAL COSTOS DE LEGALIZACIÓN</t>
  </si>
  <si>
    <t>TOTAL OTROS GASTOS</t>
  </si>
  <si>
    <t>COSTOS DE LEGALIZACIÓN DEL CONTRATO</t>
  </si>
  <si>
    <t>OTROS GASTOS GENERALES</t>
  </si>
  <si>
    <t>TOTAL COSTOS DE DOTACIÓN Y CAMPAMENTO</t>
  </si>
  <si>
    <t>COSTOS DE DOTACIÓN, CAMPAMENTO E INSTALACIONES PROVISIONALES</t>
  </si>
  <si>
    <t>TOTAL COSTOS DE SERVICIOS PÚBLICOS</t>
  </si>
  <si>
    <t>COSTOS DE SERVICIOS PÚBLICOS</t>
  </si>
  <si>
    <t>TOTAL PERSONAL DE OBRA</t>
  </si>
  <si>
    <t>PERSONAL DE OBRA</t>
  </si>
  <si>
    <t>Mezcladora mecánica (1.0 bultos)</t>
  </si>
  <si>
    <t>LEY 1106 de 2006</t>
  </si>
  <si>
    <t>Diseño de mezclas</t>
  </si>
  <si>
    <t>1.9</t>
  </si>
  <si>
    <t>1.10</t>
  </si>
  <si>
    <t>PLAN DE MANEJO DE TRÁNSITO (PMT)</t>
  </si>
  <si>
    <t>MES 13</t>
  </si>
  <si>
    <t>SEMANA 49</t>
  </si>
  <si>
    <t>SEMANA 50</t>
  </si>
  <si>
    <t>SEMANA 51</t>
  </si>
  <si>
    <t>SEMANA 52</t>
  </si>
  <si>
    <t>TRAMO</t>
  </si>
  <si>
    <t>Lon. (m)</t>
  </si>
  <si>
    <t>ABSCISA (Km + m)</t>
  </si>
  <si>
    <t>COEFICIENTE DE RUGOSIDAD</t>
  </si>
  <si>
    <t>Q. Diseño (L/s)</t>
  </si>
  <si>
    <t>Q. Diseño (m3/s)</t>
  </si>
  <si>
    <t>PENDIENTE TERRENO</t>
  </si>
  <si>
    <t>PENDIENTE TUBERIA</t>
  </si>
  <si>
    <t>DIAMETRO TEORICO</t>
  </si>
  <si>
    <t>DIAMETRO NOMINAL</t>
  </si>
  <si>
    <t>DIAMETRO REAL EXTERNO</t>
  </si>
  <si>
    <t>DIAMETRO REAL INTERNO</t>
  </si>
  <si>
    <t>Qll (m3/s)</t>
  </si>
  <si>
    <t>Vll (m/s)</t>
  </si>
  <si>
    <t>Q/Qll</t>
  </si>
  <si>
    <t>V/Vll</t>
  </si>
  <si>
    <t>d/D</t>
  </si>
  <si>
    <t>R/Ro</t>
  </si>
  <si>
    <t>V2/2g</t>
  </si>
  <si>
    <t>R (m)</t>
  </si>
  <si>
    <t>H/D</t>
  </si>
  <si>
    <r>
      <t>FUERZA TRACTIVA</t>
    </r>
    <r>
      <rPr>
        <b/>
        <sz val="12"/>
        <color theme="1"/>
        <rFont val="Arial"/>
        <family val="2"/>
      </rPr>
      <t xml:space="preserve"> τ</t>
    </r>
    <r>
      <rPr>
        <b/>
        <sz val="10"/>
        <color theme="1"/>
        <rFont val="Arial"/>
        <family val="2"/>
      </rPr>
      <t xml:space="preserve"> (N/m2)</t>
    </r>
  </si>
  <si>
    <t>NF</t>
  </si>
  <si>
    <t>TIPO DE FLUJO</t>
  </si>
  <si>
    <t>PERDIDAS</t>
  </si>
  <si>
    <t>COTA RASANTE</t>
  </si>
  <si>
    <t>COTA CLAVE</t>
  </si>
  <si>
    <t>COTA BATEA</t>
  </si>
  <si>
    <t>COTA LÁMINA</t>
  </si>
  <si>
    <t>COTA ENERGÍA</t>
  </si>
  <si>
    <t>PROF. A CLAVE</t>
  </si>
  <si>
    <t>PROF. A BATEA</t>
  </si>
  <si>
    <t>DIFERENCIA DE BATEA</t>
  </si>
  <si>
    <t>OBSERVACIONES</t>
  </si>
  <si>
    <t>REDES DE COLECTORES - EJES DE VIA</t>
  </si>
  <si>
    <t>De</t>
  </si>
  <si>
    <t>INICIAL</t>
  </si>
  <si>
    <t>FINAL</t>
  </si>
  <si>
    <t>n</t>
  </si>
  <si>
    <t>(%)</t>
  </si>
  <si>
    <t>pulg.</t>
  </si>
  <si>
    <t>h. tran. (m)</t>
  </si>
  <si>
    <t>Rc/D</t>
  </si>
  <si>
    <t>h. Curv. (m)</t>
  </si>
  <si>
    <t>h. Total (m)</t>
  </si>
  <si>
    <t>ANÁLISIS DE CAPACIDAD</t>
  </si>
  <si>
    <t>ANÁLISIS DE VELOCIDAD</t>
  </si>
  <si>
    <t>ANÁLISIS DE CAPACIDAD DE ARRASTRE</t>
  </si>
  <si>
    <t>ANÁLISIS DE PROFUNDIDAD DE EXCAVACIÓN</t>
  </si>
  <si>
    <t>DIRECCIÓN TRAMO</t>
  </si>
  <si>
    <t>DE:</t>
  </si>
  <si>
    <t>A:</t>
  </si>
  <si>
    <t>LONG.          Eje-Eje</t>
  </si>
  <si>
    <t>LONG.          Borde Ext. PZ</t>
  </si>
  <si>
    <r>
      <rPr>
        <sz val="11"/>
        <color theme="1"/>
        <rFont val="Century Gothic"/>
        <family val="2"/>
      </rPr>
      <t>ø</t>
    </r>
    <r>
      <rPr>
        <sz val="11"/>
        <color theme="1"/>
        <rFont val="Arial"/>
        <family val="2"/>
      </rPr>
      <t xml:space="preserve"> Tubería</t>
    </r>
  </si>
  <si>
    <t>L. Tubería Borde Int.PZ</t>
  </si>
  <si>
    <t>ANCHO</t>
  </si>
  <si>
    <t>PROF. BATEA 1</t>
  </si>
  <si>
    <t>PROF. BATEA 2</t>
  </si>
  <si>
    <t>PROMEDIO+0.10</t>
  </si>
  <si>
    <t>Vol. Total Excav. RED</t>
  </si>
  <si>
    <t>Entibado Tipo I (0-2 m)</t>
  </si>
  <si>
    <t>Entibado Tipo II (0-4 m)</t>
  </si>
  <si>
    <t>Entibado Tipo III (0-5 m)</t>
  </si>
  <si>
    <t>- Vol. TUBO</t>
  </si>
  <si>
    <t>Vía intervenida</t>
  </si>
  <si>
    <t>Tipo de Pavimento</t>
  </si>
  <si>
    <t>Reposición Pavimento Flexible</t>
  </si>
  <si>
    <t>Reposición Pavimento Rígido</t>
  </si>
  <si>
    <t>Espesor Placa</t>
  </si>
  <si>
    <t>Volumen placa de pavimento</t>
  </si>
  <si>
    <t>Espesor Base y Sub-base</t>
  </si>
  <si>
    <t>Vol. Base</t>
  </si>
  <si>
    <t>Vol. Sub-base</t>
  </si>
  <si>
    <t>RELLENO EXCEDENTE TOTAL</t>
  </si>
  <si>
    <t>Espesor Cama de arena</t>
  </si>
  <si>
    <r>
      <rPr>
        <b/>
        <sz val="10"/>
        <color theme="1"/>
        <rFont val="Arial"/>
        <family val="2"/>
      </rPr>
      <t>Relleno Tipo I</t>
    </r>
    <r>
      <rPr>
        <sz val="10"/>
        <color theme="1"/>
        <rFont val="Arial"/>
        <family val="2"/>
      </rPr>
      <t xml:space="preserve"> ARENA</t>
    </r>
  </si>
  <si>
    <t>Retiro de Material sobrante</t>
  </si>
  <si>
    <r>
      <rPr>
        <sz val="12"/>
        <color theme="1"/>
        <rFont val="Century Gothic"/>
        <family val="2"/>
      </rPr>
      <t>ø</t>
    </r>
    <r>
      <rPr>
        <sz val="12"/>
        <color theme="1"/>
        <rFont val="Arial"/>
        <family val="2"/>
      </rPr>
      <t>.</t>
    </r>
    <r>
      <rPr>
        <sz val="10"/>
        <color theme="1"/>
        <rFont val="Arial"/>
        <family val="2"/>
      </rPr>
      <t xml:space="preserve"> TUBO</t>
    </r>
  </si>
  <si>
    <t>Total Domiciliarias por tramo</t>
  </si>
  <si>
    <t>Long. Unit. Domiciliarias</t>
  </si>
  <si>
    <t>Long. Total Dom. D:160 mm</t>
  </si>
  <si>
    <t>Ancho. Exca. Domiciliarias</t>
  </si>
  <si>
    <t>Prof. Prom. Domiciliarias</t>
  </si>
  <si>
    <t>Excavación Manual Domiciliarias</t>
  </si>
  <si>
    <t>Área total vía intervenida</t>
  </si>
  <si>
    <t>Retiro de Material Sobrante</t>
  </si>
  <si>
    <t>NOMBRE  PZ</t>
  </si>
  <si>
    <t>Profundidad</t>
  </si>
  <si>
    <t>Diámetro Interno PZ</t>
  </si>
  <si>
    <t>Diámetro Externo PZ</t>
  </si>
  <si>
    <t>-Vol. POZO</t>
  </si>
  <si>
    <t>Ancho Lado 1</t>
  </si>
  <si>
    <t>Ancho Lado 2</t>
  </si>
  <si>
    <t xml:space="preserve">Vol. Excavación </t>
  </si>
  <si>
    <t>Vol. Neto Excavación</t>
  </si>
  <si>
    <t>Vol. Relleno Recebo Compactado (55%)</t>
  </si>
  <si>
    <t>Vol. Relleno M.M.E. (45%)</t>
  </si>
  <si>
    <t>[1]</t>
  </si>
  <si>
    <t>[2]</t>
  </si>
  <si>
    <t>[3]</t>
  </si>
  <si>
    <t>[4]</t>
  </si>
  <si>
    <t>[5]</t>
  </si>
  <si>
    <t>[6]</t>
  </si>
  <si>
    <t>[7]</t>
  </si>
  <si>
    <t>[8]</t>
  </si>
  <si>
    <t>[8-1]</t>
  </si>
  <si>
    <t>[9]</t>
  </si>
  <si>
    <t>[10]</t>
  </si>
  <si>
    <t>[11]</t>
  </si>
  <si>
    <t>[12]</t>
  </si>
  <si>
    <t>[13-1]</t>
  </si>
  <si>
    <t>[13]</t>
  </si>
  <si>
    <t>[14]</t>
  </si>
  <si>
    <t>[15]</t>
  </si>
  <si>
    <t>[16]</t>
  </si>
  <si>
    <t>[17]</t>
  </si>
  <si>
    <t>[18]</t>
  </si>
  <si>
    <t>[19]</t>
  </si>
  <si>
    <t>[20]</t>
  </si>
  <si>
    <t>[21]</t>
  </si>
  <si>
    <t>[22]</t>
  </si>
  <si>
    <t>[23]</t>
  </si>
  <si>
    <t>[24]</t>
  </si>
  <si>
    <t>[25]</t>
  </si>
  <si>
    <t>[26]</t>
  </si>
  <si>
    <t>[27]</t>
  </si>
  <si>
    <t>[28]</t>
  </si>
  <si>
    <t>[29]</t>
  </si>
  <si>
    <t>---</t>
  </si>
  <si>
    <t>[30]</t>
  </si>
  <si>
    <t>[31]</t>
  </si>
  <si>
    <t>[32]</t>
  </si>
  <si>
    <t>[33]</t>
  </si>
  <si>
    <t>[34]</t>
  </si>
  <si>
    <t>[35]</t>
  </si>
  <si>
    <t>[36]</t>
  </si>
  <si>
    <t>[37]</t>
  </si>
  <si>
    <t>[38]</t>
  </si>
  <si>
    <t>[39]</t>
  </si>
  <si>
    <t>[40]</t>
  </si>
  <si>
    <t>[41]</t>
  </si>
  <si>
    <t>[42]</t>
  </si>
  <si>
    <t>[43]</t>
  </si>
  <si>
    <t>[44]</t>
  </si>
  <si>
    <t>[45]</t>
  </si>
  <si>
    <t>[46]</t>
  </si>
  <si>
    <t>[47]</t>
  </si>
  <si>
    <t xml:space="preserve">Inicial </t>
  </si>
  <si>
    <t>Final</t>
  </si>
  <si>
    <t>[48]</t>
  </si>
  <si>
    <t>inch</t>
  </si>
  <si>
    <t>mm</t>
  </si>
  <si>
    <t>(m)</t>
  </si>
  <si>
    <t>(m2)</t>
  </si>
  <si>
    <t>(m3)</t>
  </si>
  <si>
    <t>PZ-1</t>
  </si>
  <si>
    <t>PZ-2</t>
  </si>
  <si>
    <t>F. Subcrítico</t>
  </si>
  <si>
    <t>PVC</t>
  </si>
  <si>
    <t>Suficiente</t>
  </si>
  <si>
    <t>Velocidad NORMAL</t>
  </si>
  <si>
    <t>Buena</t>
  </si>
  <si>
    <t>Normal</t>
  </si>
  <si>
    <t>D</t>
  </si>
  <si>
    <t>PZ-3</t>
  </si>
  <si>
    <t>Moderada</t>
  </si>
  <si>
    <t>PZ-4</t>
  </si>
  <si>
    <t>PZ-5</t>
  </si>
  <si>
    <t>Supercrítico</t>
  </si>
  <si>
    <t>Superior al rango</t>
  </si>
  <si>
    <t>PZ-6</t>
  </si>
  <si>
    <t>PZ-7</t>
  </si>
  <si>
    <t>PZ-8</t>
  </si>
  <si>
    <t>PZ-9</t>
  </si>
  <si>
    <t>PZ-10</t>
  </si>
  <si>
    <t>PZ-11</t>
  </si>
  <si>
    <t>PZ-12</t>
  </si>
  <si>
    <t>PZ-13</t>
  </si>
  <si>
    <t>PZ-14</t>
  </si>
  <si>
    <t>PZ-15</t>
  </si>
  <si>
    <t>PZ-16</t>
  </si>
  <si>
    <t>PZ-17</t>
  </si>
  <si>
    <t>PZ-18</t>
  </si>
  <si>
    <t>PZ-19</t>
  </si>
  <si>
    <t>PZ-20</t>
  </si>
  <si>
    <t>PZ-21</t>
  </si>
  <si>
    <t>PZ-22</t>
  </si>
  <si>
    <t>PZ-23</t>
  </si>
  <si>
    <t>PZ-45</t>
  </si>
  <si>
    <t>PZ-46</t>
  </si>
  <si>
    <t>PZ-47</t>
  </si>
  <si>
    <t>PZ-48</t>
  </si>
  <si>
    <t>PZ-49</t>
  </si>
  <si>
    <t>PZ-50</t>
  </si>
  <si>
    <t>PZ-51</t>
  </si>
  <si>
    <t>PZ-52</t>
  </si>
  <si>
    <t>PZ-69</t>
  </si>
  <si>
    <t>PZ-53</t>
  </si>
  <si>
    <t>PZ-54</t>
  </si>
  <si>
    <t>PZ-55</t>
  </si>
  <si>
    <t>PZ-56</t>
  </si>
  <si>
    <t>PZ-57</t>
  </si>
  <si>
    <t>Superficial</t>
  </si>
  <si>
    <t>PZ-58</t>
  </si>
  <si>
    <t>PZ-59</t>
  </si>
  <si>
    <t>PZ-71</t>
  </si>
  <si>
    <t>PZ-72</t>
  </si>
  <si>
    <t>PZ-62</t>
  </si>
  <si>
    <t>PZ-63</t>
  </si>
  <si>
    <t>PZ-73</t>
  </si>
  <si>
    <t>PZ-74</t>
  </si>
  <si>
    <t>PZ-75</t>
  </si>
  <si>
    <t>PZ-76</t>
  </si>
  <si>
    <t>PZ-77</t>
  </si>
  <si>
    <t>PZ-78</t>
  </si>
  <si>
    <t>PZ-79</t>
  </si>
  <si>
    <t>PZ-80</t>
  </si>
  <si>
    <t>PZ-81</t>
  </si>
  <si>
    <t>PZ-82</t>
  </si>
  <si>
    <t>PZ-83</t>
  </si>
  <si>
    <t>PZ-65</t>
  </si>
  <si>
    <t>PZ-64</t>
  </si>
  <si>
    <t>TOTALES</t>
  </si>
  <si>
    <t>Capacidad máxima de la tubería (%):</t>
  </si>
  <si>
    <t>RESUMEN TUBERÍA, SILLA, PLACA.</t>
  </si>
  <si>
    <t>Velocidad mínima (m/s):</t>
  </si>
  <si>
    <r>
      <t>Tubería ø 8</t>
    </r>
    <r>
      <rPr>
        <sz val="9.35"/>
        <color theme="1"/>
        <rFont val="Arial"/>
        <family val="2"/>
      </rPr>
      <t>"</t>
    </r>
  </si>
  <si>
    <t>Velocidad máxima (m/s):</t>
  </si>
  <si>
    <r>
      <t>Tubería ø10</t>
    </r>
    <r>
      <rPr>
        <sz val="9.35"/>
        <color theme="1"/>
        <rFont val="Arial"/>
        <family val="2"/>
      </rPr>
      <t>"</t>
    </r>
  </si>
  <si>
    <t>Tirante mínimo (N/m2):</t>
  </si>
  <si>
    <r>
      <t>Tubería ø12</t>
    </r>
    <r>
      <rPr>
        <sz val="9.35"/>
        <color theme="1"/>
        <rFont val="Arial"/>
        <family val="2"/>
      </rPr>
      <t>"</t>
    </r>
  </si>
  <si>
    <t>Tirante máximo (N/m2):</t>
  </si>
  <si>
    <r>
      <t>Tubería ø14</t>
    </r>
    <r>
      <rPr>
        <sz val="9.35"/>
        <color theme="1"/>
        <rFont val="Arial"/>
        <family val="2"/>
      </rPr>
      <t>"</t>
    </r>
  </si>
  <si>
    <t>Profundidad alta de excavación (m):</t>
  </si>
  <si>
    <t>Total</t>
  </si>
  <si>
    <t>C.I. de 0-1 m</t>
  </si>
  <si>
    <t>C.I. de 0-2 m</t>
  </si>
  <si>
    <t>Siya Yee de 8"x160mm</t>
  </si>
  <si>
    <t>Siya Yee de 10"x160mm</t>
  </si>
  <si>
    <t>Siya Yee de 12"x160mm</t>
  </si>
  <si>
    <t>Siya Yee de 14"x160mm</t>
  </si>
  <si>
    <t>PRESUPUESTO GENERAL DEL PROYECTO</t>
  </si>
  <si>
    <t>REDES DE COLECTORES DE ALCANTARILLADO SANITARIO</t>
  </si>
  <si>
    <t>ENTIBADOS</t>
  </si>
  <si>
    <t>Construcción de pozo de inspección a todo costo, en concreto impermeabilizado de 4000 PSI de resistencia a los 28 días, espesor de 0,20 m. Incluye: formaleta,  producción, mezcla, vaciado, desencofrado, cañuelas pulidas en concreto puro, escalones en hierro de 3/4" separados cada 0,40 m. Llevará cono de reducción, diámetro interno de 1,20 m. y espesor 0,20 m., suministro e instalación de  aro tapa HD clase D400, mano de obra, curado, desencofrada, equipo, herramientas y todo lo relacionado para la correcta ejecución de la obra; diametro total 1,60 m. incluye: Base y cañuela.Pozo de Inspección de 0 a 2.00 metros de altura, desde la cota batea.</t>
  </si>
  <si>
    <t>Tapa en HD tipo D400</t>
  </si>
  <si>
    <t>Construcción de cajilla de domiciliaria inspección  para alcantarillado sanitario a todo costo en concreto de 3000 PSI impermeablizado ,de dimensión 0,60*0,60m libres; espesor de paredes de 0,10m, profundidad superior a 0,80 m. Tapa en concreto reforzado en hierro de 3/8"  separados cada  0,15 m. en  ambos sentidos, base 0,9*0,9*0,15 m .  Incluye: producción, formaleta, vaciado, desencofrado y todo lo necesario para la correcta ejecución de la obra .</t>
  </si>
  <si>
    <t>LIM1/128</t>
  </si>
  <si>
    <t>1.1.4</t>
  </si>
  <si>
    <t>1.1.5</t>
  </si>
  <si>
    <t>Localización, replanteo topográfico y control de niveles</t>
  </si>
  <si>
    <t>punt</t>
  </si>
  <si>
    <t>cerco</t>
  </si>
  <si>
    <t>PRELIMINARES Y MOVIMIENTO DE TIERRAS</t>
  </si>
  <si>
    <t>SUBTOTAL   ENTIBADOS</t>
  </si>
  <si>
    <t>CINTA PLASTICA "PELIGRO NO PASE" x 500 m</t>
  </si>
  <si>
    <t>SEÑALES PREVENTIVAS - VARIAS (TRABAJADORES EN LA VIA, DESVIO, INICIO Y FINAL DE VIA, MAQUINARIA)</t>
  </si>
  <si>
    <t xml:space="preserve">A 19% </t>
  </si>
  <si>
    <t>1.2.1</t>
  </si>
  <si>
    <t>1.2.2</t>
  </si>
  <si>
    <t>1.2.3</t>
  </si>
  <si>
    <t>1.2.4</t>
  </si>
  <si>
    <t>1.3.1</t>
  </si>
  <si>
    <t>1.3.2</t>
  </si>
  <si>
    <t>1.4.1</t>
  </si>
  <si>
    <t>1.4.2</t>
  </si>
  <si>
    <t>1.5.1</t>
  </si>
  <si>
    <t>1.5.2</t>
  </si>
  <si>
    <t>1.5.3</t>
  </si>
  <si>
    <t>1.6.1</t>
  </si>
  <si>
    <t>1.6.2</t>
  </si>
  <si>
    <t>Construcción de cajillas a todo costo en concreto simple de 3000 PSI de dimensión libres de 0.60 x 0.60, espesor de 0.10 mts Tapa en concreto reforzado en hierro de 3/8 separados cada 0.15 mts. en ambos sentidos, base de 0.80 * 0.80 * 0.15 mts, superficie y cañuela esmaltadas en concreto  puro . Incluye: produccion, formaleta , vaciado,  desencofrado y todo lo necesario para la correcta ejecución de la obra.</t>
  </si>
  <si>
    <t>,</t>
  </si>
  <si>
    <t>RED DE ALCANTARILLADO SANITARIO. EMPATE DE LOS COLECTORES  EN LOS POZOS POR COTA BATEA</t>
  </si>
  <si>
    <t>V (m/s)</t>
  </si>
  <si>
    <t>d (m)</t>
  </si>
  <si>
    <t>E (m)</t>
  </si>
  <si>
    <t>H (m)</t>
  </si>
  <si>
    <t>OBSERVACIONES Y RECOMENDACIONES</t>
  </si>
  <si>
    <t>VIA PRIPNCIPAL-TRAMO 1</t>
  </si>
  <si>
    <t>Se conecta el TRAMO-2 y el TRAMO-3</t>
  </si>
  <si>
    <t>Se conecta el TRAMO-4</t>
  </si>
  <si>
    <t>Se conecta el TRAMO-5</t>
  </si>
  <si>
    <t>Se conecta el TRAMO-6</t>
  </si>
  <si>
    <t>Se conecta el TRAMO-7</t>
  </si>
  <si>
    <t>Encofrar tubería últimos  L: 5.0 m</t>
  </si>
  <si>
    <t>Viaducto L: 22.50 m para tubería de Ø 12"</t>
  </si>
  <si>
    <t>Encofrar tubería primeros  L: 5.0 m</t>
  </si>
  <si>
    <t>Encofrar tubería</t>
  </si>
  <si>
    <t>REPOSICIÓN PAV. REDES PPLES</t>
  </si>
  <si>
    <t>Reposición Pav. e:0.15m (m3)</t>
  </si>
  <si>
    <t>Reposición Pav. e:0.20m (m3)</t>
  </si>
  <si>
    <t>REPOSICIÓN PAV. DOM.</t>
  </si>
  <si>
    <t>TRAMO 2</t>
  </si>
  <si>
    <t>TRAMO 3</t>
  </si>
  <si>
    <t>TRAMO 4</t>
  </si>
  <si>
    <t>TRAMO 5</t>
  </si>
  <si>
    <t>PZ-60</t>
  </si>
  <si>
    <t>TRAMO 6</t>
  </si>
  <si>
    <t>PZ-61</t>
  </si>
  <si>
    <t>PZ-66</t>
  </si>
  <si>
    <t>TRAMO 7</t>
  </si>
  <si>
    <t>PZ-67</t>
  </si>
  <si>
    <t>PZ-68</t>
  </si>
  <si>
    <t>PZ-70</t>
  </si>
  <si>
    <t>PZ-84</t>
  </si>
  <si>
    <t>TRAMO 8</t>
  </si>
  <si>
    <t>PZ-85</t>
  </si>
  <si>
    <t>PZ-86</t>
  </si>
  <si>
    <t>PZ-87</t>
  </si>
  <si>
    <t>PZ-88</t>
  </si>
  <si>
    <t>PZ-89</t>
  </si>
  <si>
    <t>PZ-90</t>
  </si>
  <si>
    <t>PZ-91</t>
  </si>
  <si>
    <t>PZ-92</t>
  </si>
  <si>
    <t>PZ-93</t>
  </si>
  <si>
    <t>PZ-94</t>
  </si>
  <si>
    <t>PZ-95</t>
  </si>
  <si>
    <t>PZ-96</t>
  </si>
  <si>
    <t>PZ-97</t>
  </si>
  <si>
    <t>TRAMO 9</t>
  </si>
  <si>
    <t>TRAMO 10</t>
  </si>
  <si>
    <t>TRAMO 11</t>
  </si>
  <si>
    <t>TRAMO 12</t>
  </si>
  <si>
    <t>TRAMO 13</t>
  </si>
  <si>
    <t>TRAMO 14</t>
  </si>
  <si>
    <t>TRAMO 15</t>
  </si>
  <si>
    <t>TRAMO 16</t>
  </si>
  <si>
    <t>MUNICIPIO DE GUADALUPE</t>
  </si>
  <si>
    <t>Yee de 6"x160mm</t>
  </si>
  <si>
    <t>ENCOFRADO DE TUBERÍAS</t>
  </si>
  <si>
    <t>Encofrado tubería de Ø 6"</t>
  </si>
  <si>
    <t>Encofrado tubería de Ø8"</t>
  </si>
  <si>
    <t>Encofrado tubería de Ø10"</t>
  </si>
  <si>
    <t>Encofrado tubería de Ø12"</t>
  </si>
  <si>
    <t>Encofrado tubería de Ø14"</t>
  </si>
  <si>
    <t>Encofrar tubería L:35,0 m, en mitad de tramo</t>
  </si>
  <si>
    <t>Encofrar tubería L:20,0 m, al final del tramo</t>
  </si>
  <si>
    <t>Encofrar tubería L:55,0 m, al final del tramo</t>
  </si>
  <si>
    <t>VIADUCTOS EN CERCHA</t>
  </si>
  <si>
    <t>Viaducto tubería de Ø 6"</t>
  </si>
  <si>
    <t>Viaducto tubería de Ø8"</t>
  </si>
  <si>
    <t>Viaducto tubería de Ø10"</t>
  </si>
  <si>
    <t>Viaducto tubería de Ø12"</t>
  </si>
  <si>
    <t>Viaducto tubería de Ø14"</t>
  </si>
  <si>
    <t>Pozos de inspección de 0-2 m</t>
  </si>
  <si>
    <t>Pozos de inspección de 0-3 m</t>
  </si>
  <si>
    <t>Pozos de inspección de 0-4 m</t>
  </si>
  <si>
    <t>Pozos de inspección más de 4 m</t>
  </si>
  <si>
    <r>
      <t>Tubería ø 6</t>
    </r>
    <r>
      <rPr>
        <sz val="9.35"/>
        <color theme="1"/>
        <rFont val="Arial"/>
        <family val="2"/>
      </rPr>
      <t>"</t>
    </r>
  </si>
  <si>
    <t>L. Total Dom. Ø6"</t>
  </si>
  <si>
    <t>SILLAS YEE</t>
  </si>
  <si>
    <t>CAJILLAS DE INSPECCIÓN</t>
  </si>
  <si>
    <t>TUBERÍA DOMICILIARIAS</t>
  </si>
  <si>
    <t>EXCAVACIÓN MANUAL</t>
  </si>
  <si>
    <t>Exc.Manual Colectores</t>
  </si>
  <si>
    <t>Exc.Manual Domiciliarias</t>
  </si>
  <si>
    <t>Exc.Manual Pozos</t>
  </si>
  <si>
    <t>EXCAVACIÓN MECÁNICA</t>
  </si>
  <si>
    <t>Exc.Mecánica Colectores</t>
  </si>
  <si>
    <t>Exc.Mecánica Domiciliarias</t>
  </si>
  <si>
    <t>Exc.Mecánica Pozos</t>
  </si>
  <si>
    <t>EXCAVACIÓN CONGLOMERADO</t>
  </si>
  <si>
    <t>Exc. Manual Conglomerado Colectores</t>
  </si>
  <si>
    <t>Exc. Conglomerado Domiciliarias</t>
  </si>
  <si>
    <t>Exc. ConglomeradoPozos</t>
  </si>
  <si>
    <t>RELLENO M.M.E</t>
  </si>
  <si>
    <t>Relleno Colectores</t>
  </si>
  <si>
    <t>Relleno Domiciliarias</t>
  </si>
  <si>
    <t>Relleno Pozos</t>
  </si>
  <si>
    <t>RELLENO RECEBO SELECCIONADO</t>
  </si>
  <si>
    <t>RELLENO CAMA DE ARENA</t>
  </si>
  <si>
    <t>Entibado Tipo I</t>
  </si>
  <si>
    <t>Entibado Tipo II</t>
  </si>
  <si>
    <t>Entibado Tipo III</t>
  </si>
  <si>
    <t>RETIRO MATERIAL SOBRANTE</t>
  </si>
  <si>
    <t>Retiro Colectores</t>
  </si>
  <si>
    <t>Retiro Domiciliarias</t>
  </si>
  <si>
    <t>Retiro Pozos</t>
  </si>
  <si>
    <t>PASOS ELEVADOS</t>
  </si>
  <si>
    <t>Construcción de pozo de inspección a todo costo, en concreto impermeabilizado de 4000 PSI de resistencia a los 28 días, espesor de 0,20 m. Incluye: formaleta,  producción, mezcla, vaciado, desencofrado, cañuelas pulidas en concreto puro, escalones en hierro de 3/4" separados cada 0,40 m. Llevará cono de reducción, diámetro interno de 1,20 m. y espesor 0,20 m., suministro e instalación de aro base y tapa HD clase D400, mano de obra, curado, desencofrada, equipo, herramientas y todo lo relacionado para la correcta ejecución de la obra; diametro total 1,60 m. incluye: Base y canuela. Pozo de Inspección de 0 a 4.00 metros de altura, desde la cota batea.</t>
  </si>
  <si>
    <t>Discos de corte 7"x1/8"</t>
  </si>
  <si>
    <t>Soldadura 6011 x 1/8"</t>
  </si>
  <si>
    <t>Tronzadora</t>
  </si>
  <si>
    <t>Compresor  para pintura</t>
  </si>
  <si>
    <t>SUBTOTAL PASOS ELEVADOS</t>
  </si>
  <si>
    <t>Viaducto en estructura metálica tipo cercha, en ángulo de 1"x3/16"  de sección 0,50 m de ancho x 1,50 de alto para paso de tubería PVC alcantarillado de  Ø8" a Ø14" y Luz máxima de L:22.0 m . Incluye: Protección en lámina Cold rolled Cal.18,  pintura anticorrosiva, tornillos de fijación a pedestales de concreto.</t>
  </si>
  <si>
    <t>Acero  de refuerzo de 60000 psi.</t>
  </si>
  <si>
    <t xml:space="preserve">Angulo de 1" x 3/16" </t>
  </si>
  <si>
    <t>M</t>
  </si>
  <si>
    <t>Kg</t>
  </si>
  <si>
    <t>C4000IMP</t>
  </si>
  <si>
    <t>Concreto de 280 Kg/cm2 (4000 PSI) Impermeabilizado</t>
  </si>
  <si>
    <t>Pasamuro en HD de 12" L=0,40 mts con Z=0,20 mts. Ext Liso</t>
  </si>
  <si>
    <t xml:space="preserve">Rejilla según diseño </t>
  </si>
  <si>
    <t>Compuerta laminar plana cal 12 de 0,50 x 0,25, incluye vastago ascendente</t>
  </si>
  <si>
    <t>Lamina alfajor Cal 3/16"</t>
  </si>
  <si>
    <t>Ángulo de 1 1/2" x 3/16"</t>
  </si>
  <si>
    <t>Ángulo Metálico 1 1/2" x 3/16"</t>
  </si>
  <si>
    <t>Soldadura Metálica 6013 - 1/8"</t>
  </si>
  <si>
    <t>Junta de Construcción en punto PVC a = 0,22 mts. Bulbo central</t>
  </si>
  <si>
    <t xml:space="preserve">Materiales varios </t>
  </si>
  <si>
    <t>Ton/km</t>
  </si>
  <si>
    <t>Pasamuro en HD de 6" L=0,40 mts con Z=0,20 mts. Ext Liso</t>
  </si>
  <si>
    <t>Válvula compuerta elástica de 6" vástago no ascendente extremos bridados</t>
  </si>
  <si>
    <t>Pernos para acople de brida</t>
  </si>
  <si>
    <t>Válvula Mariposa Tipo Wafer de 3"</t>
  </si>
  <si>
    <t>Tubería PVC 3" sanitaria</t>
  </si>
  <si>
    <t xml:space="preserve">Ladrillo Tolete Común </t>
  </si>
  <si>
    <t>M14i</t>
  </si>
  <si>
    <t>Tubo AN Cal 14</t>
  </si>
  <si>
    <t>Soldadura eléctrica 6013-1/8"</t>
  </si>
  <si>
    <t>Pintura anticorriva</t>
  </si>
  <si>
    <t>Perfil Acesco Cal 18 3"x1/5"</t>
  </si>
  <si>
    <t>Anticorrosivo (R-310)</t>
  </si>
  <si>
    <t>Perfil Acesco Cal 18, 3"x1.5"</t>
  </si>
  <si>
    <t>Amarres para Teja tornillo autoperforante</t>
  </si>
  <si>
    <t xml:space="preserve">Cubierta Master 1000 Cal.28 X 6.00MT </t>
  </si>
  <si>
    <t>Tubería PVC 6" sanitaria</t>
  </si>
  <si>
    <t>C3000IMP</t>
  </si>
  <si>
    <t xml:space="preserve">Concreto de 210 Kg/cm2 (3000 PSI) Impermeabilizado </t>
  </si>
  <si>
    <t>Concreto de 210 Kg/cm2 (3000 PSI) Impermeabilizado</t>
  </si>
  <si>
    <t>Llave Terminal Liviana 1/2" Salida 3/4" Bronce</t>
  </si>
  <si>
    <t>Tubo PVC Presión 1/2" RDE 13,5</t>
  </si>
  <si>
    <t>Unión PVC Presión 1/2"</t>
  </si>
  <si>
    <t>Accesorios PVC Presión 1/2"</t>
  </si>
  <si>
    <t>c2500</t>
  </si>
  <si>
    <t>Tubería PVC 4" sanitaria</t>
  </si>
  <si>
    <t>Tubo PVC Presión 3/4" RDE 21</t>
  </si>
  <si>
    <t>Tubería Sanitaria</t>
  </si>
  <si>
    <t>Tubería Presión</t>
  </si>
  <si>
    <t>Tubo PVC Sanitaria 4"</t>
  </si>
  <si>
    <t>Tubo PVC Sanitaria 3"</t>
  </si>
  <si>
    <t>Tubo PVC Sanitaria 2"</t>
  </si>
  <si>
    <t>ta6</t>
  </si>
  <si>
    <t>Enchape 20 x 20 Cerámica</t>
  </si>
  <si>
    <t>Cemento Blanco</t>
  </si>
  <si>
    <t xml:space="preserve">Combo Sanitario </t>
  </si>
  <si>
    <t>Accesorios</t>
  </si>
  <si>
    <t>Grapas, chasos, tornillos</t>
  </si>
  <si>
    <t>Glb</t>
  </si>
  <si>
    <t>Lamina Galvanizada cal. 18</t>
  </si>
  <si>
    <t>Bisagra de piso - vaiven</t>
  </si>
  <si>
    <t>Ventana reja metálica cal. 20</t>
  </si>
  <si>
    <t>m14</t>
  </si>
  <si>
    <t>lts</t>
  </si>
  <si>
    <t>Tubo conduit PVC 1/2"</t>
  </si>
  <si>
    <t>Curva conduit 1/2" PVC</t>
  </si>
  <si>
    <t>Caja 5800 rectangular</t>
  </si>
  <si>
    <t>cable cobre aislado THHN 12</t>
  </si>
  <si>
    <t>Luminaria incandescente con plafón</t>
  </si>
  <si>
    <t>Tubo conduit PVC de 1/2"</t>
  </si>
  <si>
    <t>chazo plastico con tornillo 1/4"</t>
  </si>
  <si>
    <t>Accesorios PVC Sanitarios de descole</t>
  </si>
  <si>
    <t>Materiales varios</t>
  </si>
  <si>
    <t>Sistema electrico, consistente en; Transformador trifásico de 30 KVA, retenedores, postes de concreto de 10 metros, herrajes de alta tensiòn, herraje para baja tensiòn, templetes, juego de pararrayos, cable para alta tension cable encauchetado para baja tensiòn, conexiòn a tierra, cableado interno para la caseta, contador trifásico, tablero para 8 circuitos, 8 breaker de 50 amperios, acometida cajilla en lamina para contador, breakers, matricula y aprobaciòn de planos ante la electrificadora y todo lo necesario para la correcta instalacion.</t>
  </si>
  <si>
    <t>Luminaria 150 W</t>
  </si>
  <si>
    <t>Portalampara con soporte</t>
  </si>
  <si>
    <t>Interruptor de cuchilla</t>
  </si>
  <si>
    <t>Ladrillo tolete prensado a la vista</t>
  </si>
  <si>
    <t>A1</t>
  </si>
  <si>
    <t>Alambre de Púas cal 12,5</t>
  </si>
  <si>
    <t>Soldadura 6013 x 1/8</t>
  </si>
  <si>
    <t>fm</t>
  </si>
  <si>
    <t>6% materiales</t>
  </si>
  <si>
    <t>2.10</t>
  </si>
  <si>
    <t>Piedra mediazonga</t>
  </si>
  <si>
    <t>C2500CI</t>
  </si>
  <si>
    <t>Concreto de 175 Kg/cm2 (2500 PSI) Ciclopeo</t>
  </si>
  <si>
    <t>Planta Modular de Inyección de Lodos: ACUASEG; 8 lps / 690 m3 /día, Carga DBO: (300 mg/l), dotado con: MANIFOLD DE ENTRADA, REACTOR DE AIREACION, SEDIMENTADOR, CAMARA DE CLORACION, TUBERIA DE AIREACION, BOMBA AIRLIFT, SOPLADOR, DIFUSORES, DESNATADOR, PLATAFORMA, 2 BOMBAS SUMERGIBLES, TABLERO DE CONTROL.</t>
  </si>
  <si>
    <t>Esp. EN AGUAS Y SANEAMIENTO AMBIENTAL</t>
  </si>
  <si>
    <t>______________________________________________</t>
  </si>
  <si>
    <t>Encofrado a todo costo en concreto reforzado en hierro de 1/2" para varilla principal y flejes de 3/8" separados cada 0.17 m. de 3000 PSI impermeabilizado, sección de 0.45 x 0.45 m. , para proteger tuberías en pasos de zanjones y demás, para diámetro de tubería PVC Ø 6", Ø 8" y Ø 10" según los planos.  Incluye: materiales, mano de obra, formaleta, vaciado y todo lo relacionado para la correcta ejecución de la obra.</t>
  </si>
  <si>
    <t>Encofrado a todo costo en concreto reforzado en hierro de 1/2" para varilla principal y flejes de 3/8" separados cada 0.17 m. de 3000 PSI impermeabilizado, sección de 0.55 x 0.55 m. , para proteger tuberías en pasos de zanjones y demás, para diámetro de tubería PVC Ø 12" y  Ø 14" según los planos.  Incluye: materiales, mano de obra, formaleta, vaciado y todo lo relacionado para la correcta ejecución de la obra.</t>
  </si>
  <si>
    <t>MES 14</t>
  </si>
  <si>
    <t>TOTAL PRESUPUESTO OBRA</t>
  </si>
  <si>
    <t xml:space="preserve">Und. </t>
  </si>
  <si>
    <t>TARIFA m3-ton/km</t>
  </si>
  <si>
    <t>Concreto de 175 Kg/cm2 (2500 PSI) Ciclópeo</t>
  </si>
  <si>
    <t>Segueta</t>
  </si>
  <si>
    <t>SG</t>
  </si>
  <si>
    <t>Madera medio cerco</t>
  </si>
  <si>
    <t>CODAL</t>
  </si>
  <si>
    <t>Yee</t>
  </si>
  <si>
    <t>Yee 160mmm</t>
  </si>
  <si>
    <t>Y160</t>
  </si>
  <si>
    <t xml:space="preserve"> </t>
  </si>
  <si>
    <t>FASE I</t>
  </si>
  <si>
    <t>1.7.1</t>
  </si>
  <si>
    <t>1.7.2</t>
  </si>
  <si>
    <t>1.7.3</t>
  </si>
  <si>
    <t>1.8.1</t>
  </si>
  <si>
    <t>1.8.2</t>
  </si>
  <si>
    <t>TAPON GALVANIZADO LISO 2"</t>
  </si>
  <si>
    <t>ALAMBRE DE PUAS Cal.12.5</t>
  </si>
  <si>
    <t>MALLA ESLABONADA GALV. Cal. 10 ROMBO DE 2"</t>
  </si>
  <si>
    <t>TUBO CIRCULAR HG DE 2" C.16 X 6.00 METROS</t>
  </si>
  <si>
    <t>SOLDADURA WEST ARCO 8013X1/8</t>
  </si>
  <si>
    <t>PLATINA 1/8"X1" X 6.00 METROS</t>
  </si>
  <si>
    <t>ANGULO 1 1/2" X 1/4"</t>
  </si>
  <si>
    <t>PINTURA A BASE DE ACEITE</t>
  </si>
  <si>
    <t>THINER (GALON)</t>
  </si>
  <si>
    <t xml:space="preserve">CONCRETO CICLOPEO </t>
  </si>
  <si>
    <t>SUMINISTRO DE TUBERÍAS DE PVC</t>
  </si>
  <si>
    <t>Suministro tubería de alcantarillado PVC ø 200 mm (8")</t>
  </si>
  <si>
    <t>Suministro tubería de alcantarillado PVC ø 250 mm (10")</t>
  </si>
  <si>
    <t>Suministro tubería de alcantarillado PVC ø 315 mm (12")</t>
  </si>
  <si>
    <t>Suministro tubería de alcantarillado PVC ø 355 mm (14")</t>
  </si>
  <si>
    <t>SUBTOTAL SUMINISTROS DE TUBERÍA</t>
  </si>
  <si>
    <t>INSTALACIÓN DE TUBERÍA DE ALCANTARILLADO</t>
  </si>
  <si>
    <t>1.3.3</t>
  </si>
  <si>
    <t>1.3.4</t>
  </si>
  <si>
    <t>SUMINISTROS DE ELEMENTOS PVC PARA DOMICILIARIAS</t>
  </si>
  <si>
    <t xml:space="preserve">Suministro  de tubería de alcantarillado PVC ø 160 mm (6") </t>
  </si>
  <si>
    <t xml:space="preserve">SUB TOTAL SUMINISTROS DE ELEMENTOS PVC PARA DOMICILIARIAS </t>
  </si>
  <si>
    <t>1.6.3</t>
  </si>
  <si>
    <t>1.6.4</t>
  </si>
  <si>
    <t>1.7.4</t>
  </si>
  <si>
    <t>1.7.5</t>
  </si>
  <si>
    <t>1.7.6</t>
  </si>
  <si>
    <t xml:space="preserve">SUBTOTAL SUMINISTROS </t>
  </si>
  <si>
    <t>ADMINISTRACIÓN SUMINISTROS</t>
  </si>
  <si>
    <t>TOTAL SUMINISTROS (SUMINISTROS + ADMINISTRACIÓN)</t>
  </si>
  <si>
    <t>INTERVENTORÍA OBRA CIVIL</t>
  </si>
  <si>
    <t>INTERVENTORÍA SUMINISTROS</t>
  </si>
  <si>
    <t>TOTAL INTERVENTORÍA (OBRA CIVIL + SUMINISTROS)</t>
  </si>
  <si>
    <t>1.9.1</t>
  </si>
  <si>
    <t>1.9.2</t>
  </si>
  <si>
    <t>1.9.3</t>
  </si>
  <si>
    <t>Polin de madera (.05x.0.5m)</t>
  </si>
  <si>
    <t>Tabla (0,025x0.25x3,0)</t>
  </si>
  <si>
    <t>Cerco 5x10</t>
  </si>
  <si>
    <t>Sistema de guias deslizantes corredera, se compone de4 paneles  base de 3.5 m X 2.4m  , para una altura entibada de  4.8  metros , contine codales  para asegurar los paneles ; el kid equivale a 33.6 m2  de entibaje.</t>
  </si>
  <si>
    <t>Cadena eslinga para manipulación de los paneles en obra . Incluye ganchos.</t>
  </si>
  <si>
    <t>Tapa basculante-aro y tapa en hierro dúctil ASTM A-536</t>
  </si>
  <si>
    <t>Fibra polipropileno para retracción al fraguado.</t>
  </si>
  <si>
    <t>Paso para pozo en acero 5/8", incl. Anticorrosivo</t>
  </si>
  <si>
    <t>Acero de refuerzo de 60000 psi</t>
  </si>
  <si>
    <t>Relleno de la brecha con material recebo seleccionado, incluye transporte al sitio de la obra, extendido, humedecido y apisonado mecánicamente en capas de 0.20 m.</t>
  </si>
  <si>
    <t>Entibado en madera Tipo 1A : Discontinuo en madera -Profundidades de entre 1.50-4.0 m ;para protección de excavaciones. 5 Usos(de ser necesario), por ambas caras</t>
  </si>
  <si>
    <t>Entibado metálico -Profundidades mayores a 3.0 m ;para protección de excavaciones. por ambas caras.</t>
  </si>
  <si>
    <t>1.1.6</t>
  </si>
  <si>
    <t>Excavación a todo costo en roca (compresor/polvora).  Incluye: mano de obra, materiales y equipo.</t>
  </si>
  <si>
    <t>Tiro TNT (Pólvora)</t>
  </si>
  <si>
    <t>Tiro</t>
  </si>
  <si>
    <t>1.8.3</t>
  </si>
  <si>
    <t>Cama en arena para soporte de tubería. Espesor: 15 cm por debajo de la cota batea.</t>
  </si>
  <si>
    <t>Lb.</t>
  </si>
  <si>
    <t>1/4 Gal</t>
  </si>
  <si>
    <t>Ángulo de 3" x 1/4"</t>
  </si>
  <si>
    <t>Lámina Galvanizada Cal.18</t>
  </si>
  <si>
    <t>Instalación de tubería de alcantarillado PVC ø 160 mm (6") y accesorios. Incluye: Nivelación, arreglo del fondo de la zanja, bajada y empalme del tubo, uso de herramienta y mano de obra, lubricante,y todo lo necesario para la correcta ejecución de la obra.</t>
  </si>
  <si>
    <t>Instalación de tubería de alcantarillado PVC ø 200 mm (8") y accesorios. Incluye: Nivelación, arreglo del fondo de la zanja, bajada y empalme del tubo, uso de herramienta y mano de obra, lubricante, y todo lo necesario para la correcta ejecución de la obra.</t>
  </si>
  <si>
    <t>Instalación de tubería de alcantarillado PVC ø 250 mm (10") y accesorios. Incluye: Nivelación, arreglo del fondo de la zanja, bajada y empalme del tubo, uso de herramienta y mano de obra, lubricante,  y todo lo necesario para la correcta ejecución de la obra.</t>
  </si>
  <si>
    <t>Instalación de tubería de alcantarillado PVC ø 355 mm (14") y accesorios. Incluye: Nivelación, arreglo del fondo de la zanja, bajada y empalme del tubo, uso de herramienta y mano de obra, lubricante  y todo lo necesario para la correcta ejecución de la obra.</t>
  </si>
  <si>
    <t>Pintura anticorrosiva</t>
  </si>
  <si>
    <t>Gal,</t>
  </si>
  <si>
    <t xml:space="preserve">Suministro de Kit Silla Yee de 160 mm para conexión de domiciliarias </t>
  </si>
  <si>
    <t xml:space="preserve">Suministro de Kit Silla Yee de 200 mm x 160 mm para conexión de domiciliarias </t>
  </si>
  <si>
    <t xml:space="preserve">Suministro de Kit Silla Yee de 250 mm x 160 mm para conexión de domiciliarias </t>
  </si>
  <si>
    <t xml:space="preserve">Suministro de Kit Silla Yee de 315 mm x 160 mm para conexión de domiciliarias </t>
  </si>
  <si>
    <t>Instalación de Kit Silla Yee 200 mm x 160 mm.  Incluye: Codo de 6x45, accesorios adecuados para su correcta conexión y sello hermético.</t>
  </si>
  <si>
    <t>Instalación de Kit Silla Yee 250 mm x 160 mm.  Incluye: Codo de 6x45, accesorios adecuados para su correcta conexión y sello hermético.</t>
  </si>
  <si>
    <t>Instalación de Kit Silla Yee 315 mm x 160 mm.  Incluye: Codo de 6x45, accesorios adecuados para su correcta conexión y sello hermético.</t>
  </si>
  <si>
    <t>COSTO LEGALIZACIÓN INTERVENCIÓN DE SERVIDUMBRE INVIAS</t>
  </si>
  <si>
    <t>MANUAL</t>
  </si>
  <si>
    <t>MECANICA</t>
  </si>
  <si>
    <t>ROCA</t>
  </si>
  <si>
    <t>RELL. MME</t>
  </si>
  <si>
    <t>RELL. RECEBO</t>
  </si>
  <si>
    <t xml:space="preserve">Exca. Manual </t>
  </si>
  <si>
    <t xml:space="preserve">Exc. Mecánica </t>
  </si>
  <si>
    <t>CONGLOMERADO</t>
  </si>
  <si>
    <r>
      <rPr>
        <b/>
        <sz val="10"/>
        <color theme="1"/>
        <rFont val="Arial"/>
        <family val="2"/>
      </rPr>
      <t>Relleno Tipo II</t>
    </r>
    <r>
      <rPr>
        <sz val="10"/>
        <color theme="1"/>
        <rFont val="Arial"/>
        <family val="2"/>
      </rPr>
      <t xml:space="preserve"> RECEBO </t>
    </r>
  </si>
  <si>
    <r>
      <rPr>
        <b/>
        <sz val="10"/>
        <color theme="1"/>
        <rFont val="Arial"/>
        <family val="2"/>
      </rPr>
      <t>Relleno Tipo III</t>
    </r>
    <r>
      <rPr>
        <sz val="10"/>
        <color theme="1"/>
        <rFont val="Arial"/>
        <family val="2"/>
      </rPr>
      <t xml:space="preserve"> M.M.E.</t>
    </r>
  </si>
  <si>
    <t>Exc .Conglomerado</t>
  </si>
  <si>
    <t>Exc .Roca</t>
  </si>
  <si>
    <t>Excavación mecánica   de 2,0 a 4,0 m de profundidad.</t>
  </si>
  <si>
    <t>Instalación de tubería de alcantarillado PVC ø 315 mm (12") y accesorios. Incluye: Nivelación, arreglo del fondo de la zanja, bajada y empalme del tubo, uso de herramienta y mano de obra, lubricante,  y todo lo necesario para la correcta ejecución de la obra.</t>
  </si>
  <si>
    <t xml:space="preserve">Excavación manual en material conglomnerado a todo factor. </t>
  </si>
  <si>
    <t>Base granular IP&lt;3%. Clase A</t>
  </si>
  <si>
    <t>Piedra Seleccionada Ø3" a Ø15"</t>
  </si>
  <si>
    <t>Puntilla 1 1/2" a 3"</t>
  </si>
  <si>
    <t xml:space="preserve">Cargue y retiro de material sobrante proveniente de la excavación y demolición hasta una distancia 5.0 Km del sitio de la obra. </t>
  </si>
  <si>
    <t>Distancia promedio</t>
  </si>
  <si>
    <t>Volumen total retiro</t>
  </si>
  <si>
    <t>km</t>
  </si>
  <si>
    <t>DESGLOCE DE ADMINISTRACIÓN, IMPREVISTOS, UTILIDAD 
AIU</t>
  </si>
  <si>
    <t>PRO DESARROLLO</t>
  </si>
  <si>
    <t>PRO CULTURA</t>
  </si>
  <si>
    <t>PRO DESARROLLO USCO</t>
  </si>
  <si>
    <t>VENTA DE BIENES Y SERVICIOS</t>
  </si>
  <si>
    <t>CONTRATO CON GACETA</t>
  </si>
  <si>
    <t xml:space="preserve">VALOR TOTAL - AIU </t>
  </si>
  <si>
    <t>Especialista en hidráulica y/o ingeniería sanitaria y/o aguas y saneamiento ambientalcon prestaciones sociales</t>
  </si>
  <si>
    <r>
      <t>Valla informativa 1.2 m</t>
    </r>
    <r>
      <rPr>
        <vertAlign val="superscript"/>
        <sz val="11"/>
        <rFont val="Arial Narrow"/>
        <family val="2"/>
      </rPr>
      <t>2</t>
    </r>
  </si>
  <si>
    <t>1. Auxiliar contable</t>
  </si>
  <si>
    <t>2. Secretaria</t>
  </si>
  <si>
    <t>ETAPA II - EJECUCION DE OBRA</t>
  </si>
  <si>
    <t>F.M=</t>
  </si>
  <si>
    <t>Plazo =</t>
  </si>
  <si>
    <t>No</t>
  </si>
  <si>
    <t>SUELDO MES</t>
  </si>
  <si>
    <t>DIAS</t>
  </si>
  <si>
    <t>TIEMPO MES</t>
  </si>
  <si>
    <t>DISP</t>
  </si>
  <si>
    <t>VR. BASICO</t>
  </si>
  <si>
    <t>F.M.</t>
  </si>
  <si>
    <t>VR. PARCIAL</t>
  </si>
  <si>
    <t>Personal Profesional</t>
  </si>
  <si>
    <t>DIRECTOR DE INTERVENTORIA</t>
  </si>
  <si>
    <t>RESIDENTE DE OBRA DE INTERVENTORIA</t>
  </si>
  <si>
    <t>INSPECTOR DE OBRA</t>
  </si>
  <si>
    <t>Personal tecnico y administrativo</t>
  </si>
  <si>
    <t>2. COSTOS EQUIPOS</t>
  </si>
  <si>
    <t>VALOR MENSUAL</t>
  </si>
  <si>
    <t xml:space="preserve">Vehículo  &gt;2000 cc. Con Conductor, Para personal técnico profesional </t>
  </si>
  <si>
    <t>3. COSTOS DE PERSONAL + COSTOS DIRECTOS</t>
  </si>
  <si>
    <t>5. IVA  19.00%</t>
  </si>
  <si>
    <t>6. COSTO FINAL DE LA ETAPA II (ajustado al Peso)</t>
  </si>
  <si>
    <t>PRESUPUESTO DE INTERVENTORIA AL SUMINISTRO</t>
  </si>
  <si>
    <t>ADMINISTRACIÓN AL SUMINISTRO</t>
  </si>
  <si>
    <t>DECRIPCIÓN</t>
  </si>
  <si>
    <t>PRODESARROLLO</t>
  </si>
  <si>
    <t>PRO USCO</t>
  </si>
  <si>
    <t>PRODEPORTE</t>
  </si>
  <si>
    <t>TIMBRE</t>
  </si>
  <si>
    <t>TOTAL ESTAMPILLAS E IMPUESTO</t>
  </si>
  <si>
    <t>CONTRIBUCIÓN</t>
  </si>
  <si>
    <t>ESTAMPILLAS Y CONTRIBUCIONES</t>
  </si>
  <si>
    <t>OTROS GASTOS</t>
  </si>
  <si>
    <t>ALQUILER DE BODEGA</t>
  </si>
  <si>
    <t xml:space="preserve">SERVICIOS PÚBLICOS </t>
  </si>
  <si>
    <t>ALMACENISTA</t>
  </si>
  <si>
    <t>VIGILANCIA</t>
  </si>
  <si>
    <t>PÓLIZA</t>
  </si>
  <si>
    <t>TOTAL ADMINISTRACIÓN SUMINISTRO</t>
  </si>
  <si>
    <t>TOTAL GARANTÍAS</t>
  </si>
  <si>
    <t>GARANTÍAS</t>
  </si>
  <si>
    <t>SUB TOTAL SUMINISTROS</t>
  </si>
  <si>
    <t>VR/. PARCIAL</t>
  </si>
  <si>
    <t>DEPTO. DEL HUILA</t>
  </si>
  <si>
    <r>
      <rPr>
        <b/>
        <sz val="9"/>
        <color indexed="8"/>
        <rFont val="Arial Narrow"/>
        <family val="2"/>
      </rPr>
      <t xml:space="preserve">Fuente: </t>
    </r>
    <r>
      <rPr>
        <sz val="9"/>
        <color indexed="8"/>
        <rFont val="Arial Narrow"/>
        <family val="2"/>
      </rPr>
      <t>Ministerio del Trabajo (</t>
    </r>
    <r>
      <rPr>
        <u/>
        <sz val="9"/>
        <color indexed="12"/>
        <rFont val="Arial Narrow"/>
        <family val="2"/>
      </rPr>
      <t>www.mintrabajo.gov.co</t>
    </r>
    <r>
      <rPr>
        <sz val="9"/>
        <color indexed="8"/>
        <rFont val="Arial Narrow"/>
        <family val="2"/>
      </rPr>
      <t>) y decretos del Gobierno Nacional (</t>
    </r>
    <r>
      <rPr>
        <u/>
        <sz val="9"/>
        <color indexed="12"/>
        <rFont val="Arial Narrow"/>
        <family val="2"/>
      </rPr>
      <t>www.presidencia.gov.co</t>
    </r>
    <r>
      <rPr>
        <sz val="9"/>
        <color indexed="8"/>
        <rFont val="Arial Narrow"/>
        <family val="2"/>
      </rPr>
      <t>).</t>
    </r>
  </si>
  <si>
    <r>
      <rPr>
        <sz val="9"/>
        <color indexed="8"/>
        <rFont val="Arial Narrow"/>
        <family val="2"/>
      </rPr>
      <t xml:space="preserve"> </t>
    </r>
    <r>
      <rPr>
        <b/>
        <sz val="9"/>
        <color indexed="8"/>
        <rFont val="Arial Narrow"/>
        <family val="2"/>
      </rPr>
      <t xml:space="preserve">Nota: </t>
    </r>
    <r>
      <rPr>
        <sz val="9"/>
        <color indexed="8"/>
        <rFont val="Arial Narrow"/>
        <family val="2"/>
      </rPr>
      <t xml:space="preserve"> desde el 1 de julio de 1984 se unificó el salario mínimo para todos los sectores de la economía.</t>
    </r>
  </si>
  <si>
    <r>
      <rPr>
        <sz val="9"/>
        <color indexed="8"/>
        <rFont val="Arial Narrow"/>
        <family val="2"/>
      </rPr>
      <t xml:space="preserve"> </t>
    </r>
    <r>
      <rPr>
        <b/>
        <sz val="9"/>
        <color indexed="8"/>
        <rFont val="Arial Narrow"/>
        <family val="2"/>
      </rPr>
      <t>¹</t>
    </r>
    <r>
      <rPr>
        <sz val="9"/>
        <color indexed="8"/>
        <rFont val="Arial Narrow"/>
        <family val="2"/>
      </rPr>
      <t xml:space="preserve"> Variación porcentual con respecto al dato del año imediatamente anterior. </t>
    </r>
  </si>
  <si>
    <r>
      <rPr>
        <sz val="9"/>
        <color indexed="8"/>
        <rFont val="Arial Narrow"/>
        <family val="2"/>
      </rPr>
      <t xml:space="preserve"> </t>
    </r>
    <r>
      <rPr>
        <b/>
        <sz val="9"/>
        <color indexed="8"/>
        <rFont val="Arial Narrow"/>
        <family val="2"/>
      </rPr>
      <t xml:space="preserve">(N/A) </t>
    </r>
    <r>
      <rPr>
        <sz val="9"/>
        <color indexed="8"/>
        <rFont val="Arial Narrow"/>
        <family val="2"/>
      </rPr>
      <t xml:space="preserve"> No aplica</t>
    </r>
  </si>
  <si>
    <t>TOTAL OTROS COSTOS (PAGA+PMT+INVIAS)</t>
  </si>
  <si>
    <t>VALOR TOTAL DEL PROYECTO (OBRA + INTERVENTORÍA)</t>
  </si>
  <si>
    <t>PZ-26</t>
  </si>
  <si>
    <t>PZ-27</t>
  </si>
  <si>
    <t>PZ-28</t>
  </si>
  <si>
    <t>PZ-29</t>
  </si>
  <si>
    <t>PZ-30</t>
  </si>
  <si>
    <t>PZ-31</t>
  </si>
  <si>
    <t>PZ-32</t>
  </si>
  <si>
    <t>PZ-33</t>
  </si>
  <si>
    <t>PZ-34</t>
  </si>
  <si>
    <t>“CONSTRUCCIÓN DE LA PRIMERA FASE DEL ALCANTARILLADO SANITARIO PARA LA RECOLECCIÓN DE LAS AGUAS RESIDUALES DEL CENTRO POBLADO CACHIMBAL DEL MUNICIPIO DE GUADALUPE, DEPARTAMENTO DEL HUILA”</t>
  </si>
  <si>
    <t>FECHA: Oct/2025</t>
  </si>
  <si>
    <t>CRONOGRAMA DE ACTIVIDADES, FLUJO DE FONDOS E INVERSIONES:</t>
  </si>
  <si>
    <t>ADMINISTRACION DEL PAGA+PMT, + LEGALIZACION SERVIDUMBRE INVIAS</t>
  </si>
  <si>
    <t>VALOR TOTAL OBRA CIVIL (COSTOS DIRECTOS + AIU + PAGA + PMT + INVIAS)</t>
  </si>
  <si>
    <t>Auxiliar contable</t>
  </si>
  <si>
    <t>SUBTOTAL SUMINISTROS</t>
  </si>
  <si>
    <t>Seguridad industrial (Elementos de Protección Personal-EPP) y dotación (camiseta, pantalón, botas) de la totalidad de los empleados.</t>
  </si>
  <si>
    <t>PERMISO DE BROCHE</t>
  </si>
  <si>
    <t xml:space="preserve">Excavación manual en material común a todo factor. </t>
  </si>
  <si>
    <t xml:space="preserve">AIU </t>
  </si>
  <si>
    <t>AIU</t>
  </si>
  <si>
    <t>SUB TOTAL COSTOS DIRECTOS OBRA CIVIL + AIU</t>
  </si>
  <si>
    <t>PLAN DE ADAPTACIÓN A LA GUÍA AMBIENTAL (PAGA)</t>
  </si>
  <si>
    <t>SMMLV Proyectado 2026 (Incremento 23%)</t>
  </si>
  <si>
    <t>Formulario 1 - Propuesta económica  - Documento tipo de licitación de obra pública de agua potable y saneamiento básico</t>
  </si>
  <si>
    <t>Código</t>
  </si>
  <si>
    <t>FORMULARIO 1</t>
  </si>
  <si>
    <t>PRESUPUESTO OFICIAL</t>
  </si>
  <si>
    <t>[La entidad puede utilizar este formulario de detalle del presupuesto oficial para determinar las condiciones bajo las cuales los proponentes analizarán y presentarán su propuesta económica de forma detallada, sin perjuicio que la entidad pueda modificarlo o establecer la presentación de la oferta económica con un formulario distinto al indicado.]</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</si>
  <si>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</si>
  <si>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TOTAL OBRA CIVL + AIU Y SUMINISTROS (SUMINISTROS + ADMINISTRACIÓN)</t>
  </si>
  <si>
    <t>I</t>
  </si>
  <si>
    <t xml:space="preserve">
UTILIDAD
</t>
  </si>
  <si>
    <t>U</t>
  </si>
  <si>
    <t>TOTAL A.I.U</t>
  </si>
  <si>
    <r>
      <rPr>
        <b/>
        <sz val="10"/>
        <rFont val="Arial"/>
        <family val="2"/>
      </rPr>
      <t xml:space="preserve">NOTA 1: </t>
    </r>
    <r>
      <rPr>
        <sz val="10"/>
        <rFont val="Arial"/>
        <family val="2"/>
      </rPr>
      <t xml:space="preserve"> Se debe tener en cuenta que el PRECIO UNITARIO  incluye el valor de A.I.U. </t>
    </r>
  </si>
  <si>
    <r>
      <rPr>
        <b/>
        <sz val="10"/>
        <rFont val="Arial"/>
        <family val="2"/>
      </rPr>
      <t>NOTA 2:</t>
    </r>
    <r>
      <rPr>
        <sz val="10"/>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</si>
  <si>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r>
      <rPr>
        <b/>
        <sz val="10"/>
        <color rgb="FF000000"/>
        <rFont val="Calibri"/>
        <family val="2"/>
        <scheme val="minor"/>
      </rPr>
      <t>NOTA 3</t>
    </r>
    <r>
      <rPr>
        <sz val="10"/>
        <color rgb="FF000000"/>
        <rFont val="Calibri"/>
        <family val="2"/>
        <scheme val="minor"/>
      </rPr>
      <t xml:space="preserve">: El A.I.U y su discriminación deben estar en porcentaje (%). </t>
    </r>
  </si>
  <si>
    <r>
      <rPr>
        <b/>
        <sz val="10"/>
        <color rgb="FF000000"/>
        <rFont val="Calibri"/>
        <family val="2"/>
        <scheme val="minor"/>
      </rPr>
      <t>NOTA 4</t>
    </r>
    <r>
      <rPr>
        <sz val="10"/>
        <color rgb="FF000000"/>
        <rFont val="Calibri"/>
        <family val="2"/>
        <scheme val="minor"/>
      </rPr>
      <t>:  La Administracion del Suministro: Se le aplica al suministro el equivalente al 10%</t>
    </r>
  </si>
  <si>
    <t>Especialista estructuralcon prestaciones sociales</t>
  </si>
  <si>
    <t>Topografo incluye prestaciones sociales</t>
  </si>
  <si>
    <t>Profesional SST con licencia, incluye prestaciones sociales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</si>
</sst>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7">
    <numFmt numFmtId="44" formatCode="_-&quot;$&quot;\ * #,##0.00_-;\-&quot;$&quot;\ * #,##0.00_-;_-&quot;$&quot;\ * &quot;-&quot;??_-;_-@_-"/>
    <numFmt numFmtId="43" formatCode="_-* #,##0.00_-;\-* #,##0.00_-;_-* &quot;-&quot;??_-;_-@_-"/>
    <numFmt numFmtId="164" formatCode="_ * #,##0_ ;_ * \-#,##0_ ;_ * &quot;-&quot;_ ;_ @_ "/>
    <numFmt numFmtId="165" formatCode="_ * #,##0.00_ ;_ * \-#,##0.00_ ;_ * &quot;-&quot;??_ ;_ @_ "/>
    <numFmt numFmtId="166" formatCode="_(&quot;$&quot;* #,##0.00_);_(&quot;$&quot;* \(#,##0.00\);_(&quot;$&quot;* &quot;-&quot;??_);_(@_)"/>
    <numFmt numFmtId="167" formatCode="_(* #,##0.00_);_(* \(#,##0.00\);_(* &quot;-&quot;??_);_(@_)"/>
    <numFmt numFmtId="168" formatCode="_-* #,##0.00\ &quot;€&quot;_-;\-* #,##0.00\ &quot;€&quot;_-;_-* &quot;-&quot;??\ &quot;€&quot;_-;_-@_-"/>
    <numFmt numFmtId="169" formatCode="_ &quot;$&quot;\ * #,##0.00_ ;_ &quot;$&quot;\ * \-#,##0.00_ ;_ &quot;$&quot;\ * &quot;-&quot;??_ ;_ @_ "/>
    <numFmt numFmtId="170" formatCode="_(&quot;C$&quot;* #,##0.00_);_(&quot;C$&quot;* \(#,##0.00\);_(&quot;C$&quot;* &quot;-&quot;??_);_(@_)"/>
    <numFmt numFmtId="171" formatCode="_(* #,##0.000_);_(* \(#,##0.000\);_(* &quot;-&quot;??_);_(@_)"/>
    <numFmt numFmtId="172" formatCode="\$#,##0\ ;\(\$#,##0\)"/>
    <numFmt numFmtId="173" formatCode="_-* #,##0.00\ [$€]_-;\-* #,##0.00\ [$€]_-;_-* &quot;-&quot;??\ [$€]_-;_-@_-"/>
    <numFmt numFmtId="174" formatCode="_ [$€-2]\ * #,##0.00_ ;_ [$€-2]\ * \-#,##0.00_ ;_ [$€-2]\ * &quot;-&quot;??_ "/>
    <numFmt numFmtId="175" formatCode="_-&quot;$&quot;* #,##0.00_-;\-&quot;$&quot;* #,##0.00_-;_-&quot;$&quot;* &quot;-&quot;??_-;_-@_-"/>
    <numFmt numFmtId="176" formatCode="_([$$-240A]\ * #,##0.00_);_([$$-240A]\ * \(#,##0.00\);_([$$-240A]\ * &quot;-&quot;??_);_(@_)"/>
    <numFmt numFmtId="177" formatCode="0.0%"/>
    <numFmt numFmtId="178" formatCode="0.0"/>
    <numFmt numFmtId="179" formatCode="_([$$-240A]\ * #,##0_);_([$$-240A]\ * \(#,##0\);_([$$-240A]\ * &quot;-&quot;??_);_(@_)"/>
    <numFmt numFmtId="180" formatCode="&quot;$&quot;\ #,##0.00"/>
    <numFmt numFmtId="181" formatCode="#\ &quot;MINIMO&quot;"/>
    <numFmt numFmtId="182" formatCode="#.0\ &quot;MINIMO&quot;"/>
    <numFmt numFmtId="183" formatCode="&quot;$&quot;\ #,##0"/>
    <numFmt numFmtId="184" formatCode="_-[$$-240A]\ * #,##0.00_-;\-[$$-240A]\ * #,##0.00_-;_-[$$-240A]\ * &quot;-&quot;??_-;_-@_-"/>
    <numFmt numFmtId="185" formatCode="#,##0_ ;\-#,##0\ "/>
    <numFmt numFmtId="186" formatCode="&quot;$ &quot;\ #,##0.00_);\(&quot;$ &quot;\ #,##0.00\)"/>
    <numFmt numFmtId="187" formatCode="[$$-240A]\ #,##0.00;[$$-240A]\ \-#,##0.00"/>
    <numFmt numFmtId="188" formatCode="_-* #,##0.00\ _€_-;\-* #,##0.00\ _€_-;_-* &quot;-&quot;??\ _€_-;_-@_-"/>
    <numFmt numFmtId="189" formatCode="_-* #,##0_-;\-* #,##0_-;_-* &quot;-&quot;??_-;_-@_-"/>
    <numFmt numFmtId="190" formatCode="[$$-240A]\ #,##0"/>
    <numFmt numFmtId="191" formatCode="[$$-240A]\ #,##0.00"/>
    <numFmt numFmtId="192" formatCode="#,##0.0"/>
    <numFmt numFmtId="193" formatCode="0.0000"/>
    <numFmt numFmtId="194" formatCode="0.000%"/>
    <numFmt numFmtId="195" formatCode="[$$]\ #,##0.00;\-[$$]\ #,##0.00"/>
    <numFmt numFmtId="196" formatCode="_-[$$-240A]\ * #,##0_-;\-[$$-240A]\ * #,##0_-;_-[$$-240A]\ * &quot;-&quot;??_-;_-@_-"/>
    <numFmt numFmtId="197" formatCode="&quot;$&quot;#,##0.00"/>
    <numFmt numFmtId="198" formatCode="_(&quot;$&quot;\ * #,##0_);_(&quot;$&quot;\ * \(#,##0\);_(&quot;$&quot;\ * &quot;-&quot;??_);_(@_)"/>
    <numFmt numFmtId="199" formatCode="[$$]#,##0.00;\-[$$]#,##0.00"/>
    <numFmt numFmtId="200" formatCode="[$€-2]\ #,##0.00_);[Red]\([$€-2]\ #,##0.00\)"/>
    <numFmt numFmtId="201" formatCode="0.000"/>
    <numFmt numFmtId="202" formatCode="_(&quot;$&quot;\ * #,##0.00_);_(&quot;$&quot;\ * \(#,##0.00\);_(&quot;$&quot;\ * &quot;-&quot;??_);_(@_)"/>
    <numFmt numFmtId="203" formatCode="&quot;$&quot;#,##0"/>
    <numFmt numFmtId="204" formatCode="_ * #,##0_ ;_ * \-#,##0_ ;_ * &quot;-&quot;??_ ;_ @_ "/>
    <numFmt numFmtId="205" formatCode="_-&quot;$&quot;* #,##0_-;\-&quot;$&quot;* #,##0_-;_-&quot;$&quot;* &quot;-&quot;_-;_-@_-"/>
    <numFmt numFmtId="206" formatCode="_(* #,##0_);_(* \(#,##0\);_(* &quot;-&quot;??_);_(@_)"/>
    <numFmt numFmtId="207" formatCode="_-[$$-240A]\ * #,##0.00_ ;_-[$$-240A]\ * \-#,##0.00\ ;_-[$$-240A]\ * &quot;-&quot;??_ ;_-@_ "/>
    <numFmt numFmtId="208" formatCode="_-&quot;$&quot;* #,##0_-;\-&quot;$&quot;* #,##0_-;_-&quot;$&quot;* &quot;-&quot;??_-;_-@_-"/>
    <numFmt numFmtId="209" formatCode="\K#0\+0#0.00"/>
    <numFmt numFmtId="210" formatCode="[$$-240A]\ #,##0.00;\-[$$-240A]\ #,##0.00"/>
    <numFmt numFmtId="211" formatCode="[$$-240A]#,##0.00"/>
    <numFmt numFmtId="212" formatCode="&quot;$&quot;\ #,##0.00;&quot;$&quot;\ \-#,##0.00"/>
    <numFmt numFmtId="213" formatCode="&quot;$&quot;#,##0.00;\-&quot;$&quot;#,##0.00"/>
    <numFmt numFmtId="214" formatCode="#,##0.00;[Red]#,##0.00"/>
    <numFmt numFmtId="215" formatCode="[$$-240A]#,##0"/>
    <numFmt numFmtId="216" formatCode="_-[$$-80A]* #,##0.00_-;\-[$$-80A]* #,##0.00_-;_-[$$-80A]* &quot;-&quot;??_-;_-@_-"/>
    <numFmt numFmtId="217" formatCode="0#.00\ \L\t"/>
    <numFmt numFmtId="218" formatCode="_([$$-540A]* #,##0.00_);_([$$-540A]* \(#,##0.00\);_([$$-540A]* &quot;-&quot;??_);_(@_)"/>
  </numFmts>
  <fonts count="189">
    <font>
      <sz val="10"/>
      <name val="Arial"/>
    </font>
    <font>
      <sz val="11"/>
      <color theme="1"/>
      <name val="Calibri"/>
      <family val="2"/>
      <scheme val="minor"/>
    </font>
    <font>
      <sz val="11"/>
      <color theme="1"/>
      <name val="Arial Narrow"/>
      <family val="2"/>
    </font>
    <font>
      <sz val="11"/>
      <color theme="1"/>
      <name val="Arial Narrow"/>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10"/>
      <name val="Arial"/>
      <family val="2"/>
    </font>
    <font>
      <sz val="11"/>
      <color indexed="8"/>
      <name val="Calibri"/>
      <family val="2"/>
    </font>
    <font>
      <sz val="11"/>
      <color indexed="9"/>
      <name val="Calibri"/>
      <family val="2"/>
    </font>
    <font>
      <b/>
      <sz val="11"/>
      <color indexed="52"/>
      <name val="Calibri"/>
      <family val="2"/>
    </font>
    <font>
      <b/>
      <sz val="11"/>
      <color indexed="56"/>
      <name val="Calibri"/>
      <family val="2"/>
    </font>
    <font>
      <sz val="11"/>
      <color indexed="20"/>
      <name val="Calibri"/>
      <family val="2"/>
    </font>
    <font>
      <b/>
      <sz val="11"/>
      <color indexed="63"/>
      <name val="Calibri"/>
      <family val="2"/>
    </font>
    <font>
      <i/>
      <sz val="11"/>
      <color indexed="23"/>
      <name val="Calibri"/>
      <family val="2"/>
    </font>
    <font>
      <b/>
      <sz val="18"/>
      <color indexed="56"/>
      <name val="Cambria"/>
      <family val="2"/>
    </font>
    <font>
      <sz val="8"/>
      <name val="Arial"/>
      <family val="2"/>
    </font>
    <font>
      <sz val="12"/>
      <color indexed="24"/>
      <name val="Arial"/>
      <family val="2"/>
    </font>
    <font>
      <sz val="18"/>
      <color indexed="24"/>
      <name val="Arial"/>
      <family val="2"/>
    </font>
    <font>
      <sz val="8"/>
      <color indexed="24"/>
      <name val="Arial"/>
      <family val="2"/>
    </font>
    <font>
      <sz val="9"/>
      <color indexed="81"/>
      <name val="Tahoma"/>
      <family val="2"/>
    </font>
    <font>
      <b/>
      <sz val="9"/>
      <color indexed="81"/>
      <name val="Tahoma"/>
      <family val="2"/>
    </font>
    <font>
      <i/>
      <sz val="10"/>
      <name val="Arial"/>
      <family val="2"/>
    </font>
    <font>
      <i/>
      <sz val="12"/>
      <name val="Arial"/>
      <family val="2"/>
    </font>
    <font>
      <b/>
      <i/>
      <sz val="12"/>
      <name val="Times New Roman"/>
      <family val="1"/>
    </font>
    <font>
      <i/>
      <sz val="12"/>
      <name val="Times New Roman"/>
      <family val="1"/>
    </font>
    <font>
      <b/>
      <i/>
      <sz val="8"/>
      <name val="Times New Roman"/>
      <family val="1"/>
    </font>
    <font>
      <i/>
      <sz val="8"/>
      <name val="Arial"/>
      <family val="2"/>
    </font>
    <font>
      <i/>
      <sz val="8"/>
      <name val="Times New Roman"/>
      <family val="1"/>
    </font>
    <font>
      <i/>
      <sz val="9"/>
      <name val="Times New Roman"/>
      <family val="1"/>
    </font>
    <font>
      <i/>
      <sz val="10"/>
      <name val="Times New Roman"/>
      <family val="1"/>
    </font>
    <font>
      <sz val="10"/>
      <color indexed="8"/>
      <name val="Arial"/>
      <family val="2"/>
    </font>
    <font>
      <sz val="12"/>
      <color indexed="8"/>
      <name val="Arial"/>
      <family val="2"/>
    </font>
    <font>
      <sz val="10"/>
      <color indexed="8"/>
      <name val="Arial"/>
      <family val="2"/>
    </font>
    <font>
      <sz val="9"/>
      <color indexed="8"/>
      <name val="Arial"/>
      <family val="2"/>
    </font>
    <font>
      <sz val="9"/>
      <name val="Arial"/>
      <family val="2"/>
    </font>
    <font>
      <sz val="10"/>
      <name val="Century Gothic"/>
      <family val="2"/>
    </font>
    <font>
      <b/>
      <sz val="10"/>
      <color indexed="8"/>
      <name val="Arial"/>
      <family val="2"/>
    </font>
    <font>
      <sz val="10"/>
      <color indexed="13"/>
      <name val="Arial"/>
      <family val="2"/>
    </font>
    <font>
      <b/>
      <sz val="10"/>
      <name val="Arial"/>
      <family val="2"/>
    </font>
    <font>
      <b/>
      <sz val="12"/>
      <name val="Arial"/>
      <family val="2"/>
    </font>
    <font>
      <b/>
      <sz val="8"/>
      <name val="Arial"/>
      <family val="2"/>
    </font>
    <font>
      <u/>
      <sz val="8.5"/>
      <color indexed="12"/>
      <name val="Arial"/>
      <family val="2"/>
    </font>
    <font>
      <b/>
      <sz val="16"/>
      <name val="Arial Narrow"/>
      <family val="2"/>
    </font>
    <font>
      <sz val="10"/>
      <name val="Arial Narrow"/>
      <family val="2"/>
    </font>
    <font>
      <b/>
      <sz val="12"/>
      <name val="Arial Narrow"/>
      <family val="2"/>
    </font>
    <font>
      <b/>
      <i/>
      <sz val="12"/>
      <name val="Arial Narrow"/>
      <family val="2"/>
    </font>
    <font>
      <b/>
      <sz val="10"/>
      <name val="Arial Narrow"/>
      <family val="2"/>
    </font>
    <font>
      <b/>
      <sz val="11"/>
      <name val="Arial Narrow"/>
      <family val="2"/>
    </font>
    <font>
      <sz val="10"/>
      <name val="Times New Roman"/>
      <family val="1"/>
    </font>
    <font>
      <sz val="8"/>
      <name val="Times New Roman"/>
      <family val="1"/>
    </font>
    <font>
      <b/>
      <sz val="14"/>
      <color indexed="8"/>
      <name val="Arial"/>
      <family val="2"/>
    </font>
    <font>
      <b/>
      <sz val="10"/>
      <name val="Times New Roman"/>
      <family val="1"/>
    </font>
    <font>
      <sz val="9"/>
      <name val="Times New Roman"/>
      <family val="1"/>
    </font>
    <font>
      <i/>
      <sz val="11"/>
      <name val="Times New Roman"/>
      <family val="1"/>
    </font>
    <font>
      <b/>
      <i/>
      <sz val="11"/>
      <name val="Times New Roman"/>
      <family val="1"/>
    </font>
    <font>
      <i/>
      <sz val="11"/>
      <name val="Arial"/>
      <family val="2"/>
    </font>
    <font>
      <b/>
      <sz val="11"/>
      <color indexed="81"/>
      <name val="Tahoma"/>
      <family val="2"/>
    </font>
    <font>
      <sz val="11"/>
      <color indexed="81"/>
      <name val="Tahoma"/>
      <family val="2"/>
    </font>
    <font>
      <b/>
      <sz val="10"/>
      <color indexed="8"/>
      <name val="Times New Roman"/>
      <family val="1"/>
    </font>
    <font>
      <sz val="10"/>
      <color indexed="8"/>
      <name val="Times New Roman"/>
      <family val="1"/>
    </font>
    <font>
      <sz val="10"/>
      <name val="Arial"/>
      <family val="2"/>
    </font>
    <font>
      <sz val="7"/>
      <name val="Arial"/>
      <family val="2"/>
    </font>
    <font>
      <sz val="10"/>
      <name val="Calibri"/>
      <family val="2"/>
    </font>
    <font>
      <sz val="10"/>
      <color indexed="8"/>
      <name val="Calibri"/>
      <family val="2"/>
    </font>
    <font>
      <sz val="8"/>
      <name val="Arial"/>
      <family val="2"/>
    </font>
    <font>
      <sz val="11"/>
      <name val="Gerfor Sans Pro"/>
    </font>
    <font>
      <sz val="5"/>
      <name val="Verdana"/>
      <family val="2"/>
    </font>
    <font>
      <sz val="10"/>
      <name val="MS Sans Serif"/>
      <family val="2"/>
    </font>
    <font>
      <sz val="11"/>
      <name val="Arial Narrow"/>
      <family val="2"/>
    </font>
    <font>
      <sz val="10"/>
      <name val="Cambria"/>
      <family val="1"/>
    </font>
    <font>
      <b/>
      <sz val="10"/>
      <name val="Cambria"/>
      <family val="1"/>
    </font>
    <font>
      <b/>
      <sz val="14"/>
      <name val="Arial Narrow"/>
      <family val="2"/>
    </font>
    <font>
      <b/>
      <sz val="13"/>
      <name val="Arial Narrow"/>
      <family val="2"/>
    </font>
    <font>
      <sz val="10"/>
      <color indexed="8"/>
      <name val="MS Sans Serif"/>
    </font>
    <font>
      <sz val="11"/>
      <name val="Arial"/>
      <family val="2"/>
    </font>
    <font>
      <sz val="11"/>
      <color theme="1"/>
      <name val="Calibri"/>
      <family val="2"/>
      <scheme val="minor"/>
    </font>
    <font>
      <sz val="11"/>
      <color theme="1"/>
      <name val="Calibri"/>
      <family val="2"/>
    </font>
    <font>
      <b/>
      <sz val="15"/>
      <color theme="3"/>
      <name val="Calibri"/>
      <family val="2"/>
      <scheme val="minor"/>
    </font>
    <font>
      <b/>
      <sz val="11"/>
      <color theme="1"/>
      <name val="Calibri"/>
      <family val="2"/>
      <scheme val="minor"/>
    </font>
    <font>
      <sz val="10"/>
      <color theme="4"/>
      <name val="Arial"/>
      <family val="2"/>
    </font>
    <font>
      <sz val="10"/>
      <color rgb="FF0070C0"/>
      <name val="Arial"/>
      <family val="2"/>
    </font>
    <font>
      <sz val="10"/>
      <color theme="5" tint="-0.249977111117893"/>
      <name val="Arial"/>
      <family val="2"/>
    </font>
    <font>
      <sz val="10"/>
      <color rgb="FF00B050"/>
      <name val="Arial"/>
      <family val="2"/>
    </font>
    <font>
      <sz val="10"/>
      <color rgb="FFFF0000"/>
      <name val="Arial"/>
      <family val="2"/>
    </font>
    <font>
      <sz val="10"/>
      <color rgb="FF006600"/>
      <name val="Arial"/>
      <family val="2"/>
    </font>
    <font>
      <sz val="10"/>
      <color theme="3" tint="-0.249977111117893"/>
      <name val="Arial"/>
      <family val="2"/>
    </font>
    <font>
      <sz val="10"/>
      <color theme="3" tint="0.39997558519241921"/>
      <name val="Arial"/>
      <family val="2"/>
    </font>
    <font>
      <sz val="9"/>
      <color rgb="FF00B050"/>
      <name val="Arial"/>
      <family val="2"/>
    </font>
    <font>
      <sz val="10"/>
      <color theme="1"/>
      <name val="Arial"/>
      <family val="2"/>
    </font>
    <font>
      <sz val="10"/>
      <color theme="1"/>
      <name val="Calibri"/>
      <family val="2"/>
      <scheme val="minor"/>
    </font>
    <font>
      <sz val="10"/>
      <color rgb="FFFFFF00"/>
      <name val="Arial"/>
      <family val="2"/>
    </font>
    <font>
      <b/>
      <sz val="10"/>
      <color rgb="FFFF0000"/>
      <name val="Arial Narrow"/>
      <family val="2"/>
    </font>
    <font>
      <b/>
      <sz val="12"/>
      <color rgb="FFFF0000"/>
      <name val="Arial Narrow"/>
      <family val="2"/>
    </font>
    <font>
      <sz val="10"/>
      <color rgb="FFFFFF00"/>
      <name val="Times New Roman"/>
      <family val="1"/>
    </font>
    <font>
      <sz val="10"/>
      <name val="Calibri"/>
      <family val="2"/>
      <scheme val="minor"/>
    </font>
    <font>
      <b/>
      <sz val="10"/>
      <color theme="1"/>
      <name val="Arial Narrow"/>
      <family val="2"/>
    </font>
    <font>
      <sz val="10"/>
      <color theme="1"/>
      <name val="Arial Narrow"/>
      <family val="2"/>
    </font>
    <font>
      <sz val="8"/>
      <color rgb="FF000000"/>
      <name val="Verdana"/>
      <family val="2"/>
    </font>
    <font>
      <b/>
      <sz val="12"/>
      <color theme="1"/>
      <name val="Arial Narrow"/>
      <family val="2"/>
    </font>
    <font>
      <b/>
      <sz val="11"/>
      <color theme="1"/>
      <name val="Arial Narrow"/>
      <family val="2"/>
    </font>
    <font>
      <sz val="11"/>
      <color theme="1"/>
      <name val="Arial Narrow"/>
      <family val="2"/>
    </font>
    <font>
      <sz val="11"/>
      <color rgb="FF000000"/>
      <name val="Arial Narrow"/>
      <family val="2"/>
    </font>
    <font>
      <b/>
      <sz val="12"/>
      <color theme="1"/>
      <name val="Times New Roman"/>
      <family val="1"/>
    </font>
    <font>
      <sz val="12"/>
      <color theme="1"/>
      <name val="Times New Roman"/>
      <family val="1"/>
    </font>
    <font>
      <b/>
      <sz val="12"/>
      <color theme="1"/>
      <name val="Arial"/>
      <family val="2"/>
    </font>
    <font>
      <b/>
      <sz val="10"/>
      <color theme="1"/>
      <name val="Arial"/>
      <family val="2"/>
    </font>
    <font>
      <sz val="11"/>
      <color theme="1"/>
      <name val="Arial"/>
      <family val="2"/>
    </font>
    <font>
      <sz val="12"/>
      <color theme="1"/>
      <name val="Arial"/>
      <family val="2"/>
    </font>
    <font>
      <sz val="11"/>
      <name val="Calibri"/>
      <family val="2"/>
      <scheme val="minor"/>
    </font>
    <font>
      <b/>
      <sz val="11"/>
      <color rgb="FFFFFF00"/>
      <name val="Arial Narrow"/>
      <family val="2"/>
    </font>
    <font>
      <b/>
      <sz val="14"/>
      <color theme="1"/>
      <name val="Arial"/>
      <family val="2"/>
    </font>
    <font>
      <sz val="11"/>
      <color rgb="FF7030A0"/>
      <name val="Arial"/>
      <family val="2"/>
    </font>
    <font>
      <sz val="11"/>
      <color theme="1"/>
      <name val="Century Gothic"/>
      <family val="2"/>
    </font>
    <font>
      <sz val="12"/>
      <color theme="1"/>
      <name val="Century Gothic"/>
      <family val="2"/>
    </font>
    <font>
      <b/>
      <sz val="11"/>
      <color theme="1"/>
      <name val="Arial"/>
      <family val="2"/>
    </font>
    <font>
      <sz val="11"/>
      <color rgb="FF00B0F0"/>
      <name val="Arial"/>
      <family val="2"/>
    </font>
    <font>
      <sz val="11"/>
      <color rgb="FF00B050"/>
      <name val="Arial"/>
      <family val="2"/>
    </font>
    <font>
      <sz val="11"/>
      <color rgb="FF0070C0"/>
      <name val="Arial"/>
      <family val="2"/>
    </font>
    <font>
      <sz val="11"/>
      <color rgb="FFFF0000"/>
      <name val="Arial"/>
      <family val="2"/>
    </font>
    <font>
      <i/>
      <sz val="11"/>
      <color theme="1"/>
      <name val="Arial"/>
      <family val="2"/>
    </font>
    <font>
      <i/>
      <sz val="11"/>
      <color rgb="FF7030A0"/>
      <name val="Arial"/>
      <family val="2"/>
    </font>
    <font>
      <i/>
      <sz val="11"/>
      <color rgb="FF0070C0"/>
      <name val="Arial"/>
      <family val="2"/>
    </font>
    <font>
      <i/>
      <sz val="11"/>
      <color rgb="FF008000"/>
      <name val="Arial"/>
      <family val="2"/>
    </font>
    <font>
      <i/>
      <sz val="11"/>
      <color rgb="FFFF0000"/>
      <name val="Arial"/>
      <family val="2"/>
    </font>
    <font>
      <i/>
      <sz val="11"/>
      <color rgb="FF7030A0"/>
      <name val="Century Gothic"/>
      <family val="2"/>
    </font>
    <font>
      <sz val="11"/>
      <color rgb="FF7030A0"/>
      <name val="Century Gothic"/>
      <family val="2"/>
    </font>
    <font>
      <b/>
      <sz val="11"/>
      <color rgb="FF7030A0"/>
      <name val="Arial"/>
      <family val="2"/>
    </font>
    <font>
      <sz val="9.35"/>
      <color theme="1"/>
      <name val="Arial"/>
      <family val="2"/>
    </font>
    <font>
      <sz val="10"/>
      <color rgb="FF1E1E1E"/>
      <name val="Segoe UI"/>
      <family val="2"/>
    </font>
    <font>
      <sz val="11"/>
      <color theme="1"/>
      <name val="Times New Roman"/>
      <family val="1"/>
    </font>
    <font>
      <b/>
      <sz val="11"/>
      <color theme="1"/>
      <name val="Times New Roman"/>
      <family val="1"/>
    </font>
    <font>
      <i/>
      <sz val="11"/>
      <color rgb="FFFF00FF"/>
      <name val="Arial"/>
      <family val="2"/>
    </font>
    <font>
      <sz val="8"/>
      <name val="Arial"/>
      <family val="2"/>
    </font>
    <font>
      <b/>
      <sz val="13"/>
      <color theme="1"/>
      <name val="Arial Narrow"/>
      <family val="2"/>
    </font>
    <font>
      <sz val="13"/>
      <color theme="1"/>
      <name val="Arial Narrow"/>
      <family val="2"/>
    </font>
    <font>
      <sz val="13"/>
      <name val="Arial Narrow"/>
      <family val="2"/>
    </font>
    <font>
      <u/>
      <sz val="13"/>
      <color theme="1"/>
      <name val="Arial Narrow"/>
      <family val="2"/>
    </font>
    <font>
      <b/>
      <i/>
      <sz val="11"/>
      <name val="Calibri"/>
      <family val="2"/>
      <scheme val="minor"/>
    </font>
    <font>
      <b/>
      <sz val="11"/>
      <name val="Calibri"/>
      <family val="2"/>
      <scheme val="minor"/>
    </font>
    <font>
      <sz val="12"/>
      <name val="Arial"/>
      <family val="2"/>
    </font>
    <font>
      <b/>
      <sz val="12"/>
      <name val="Times New Roman"/>
      <family val="1"/>
    </font>
    <font>
      <sz val="12"/>
      <name val="Times New Roman"/>
      <family val="1"/>
    </font>
    <font>
      <sz val="12"/>
      <color theme="1"/>
      <name val="Calibri"/>
      <family val="2"/>
      <scheme val="minor"/>
    </font>
    <font>
      <sz val="10"/>
      <color rgb="FFFF0000"/>
      <name val="Arial Narrow"/>
      <family val="2"/>
    </font>
    <font>
      <b/>
      <sz val="14"/>
      <color indexed="8"/>
      <name val="Arial Narrow"/>
      <family val="2"/>
    </font>
    <font>
      <sz val="10"/>
      <color indexed="8"/>
      <name val="Arial Narrow"/>
      <family val="2"/>
    </font>
    <font>
      <sz val="12"/>
      <color indexed="8"/>
      <name val="Arial Narrow"/>
      <family val="2"/>
    </font>
    <font>
      <b/>
      <sz val="12"/>
      <color indexed="8"/>
      <name val="Arial Narrow"/>
      <family val="2"/>
    </font>
    <font>
      <b/>
      <u/>
      <sz val="12"/>
      <color indexed="8"/>
      <name val="Arial Narrow"/>
      <family val="2"/>
    </font>
    <font>
      <u/>
      <sz val="10"/>
      <name val="Arial Narrow"/>
      <family val="2"/>
    </font>
    <font>
      <sz val="9"/>
      <color theme="1"/>
      <name val="Arial Narrow"/>
      <family val="2"/>
    </font>
    <font>
      <b/>
      <sz val="14"/>
      <color theme="1"/>
      <name val="Arial Narrow"/>
      <family val="2"/>
    </font>
    <font>
      <vertAlign val="superscript"/>
      <sz val="11"/>
      <name val="Arial Narrow"/>
      <family val="2"/>
    </font>
    <font>
      <sz val="9"/>
      <name val="Arial Narrow"/>
      <family val="2"/>
    </font>
    <font>
      <b/>
      <sz val="10"/>
      <color indexed="8"/>
      <name val="Arial Narrow"/>
      <family val="2"/>
    </font>
    <font>
      <sz val="8"/>
      <name val="Arial Narrow"/>
      <family val="2"/>
    </font>
    <font>
      <b/>
      <i/>
      <sz val="8"/>
      <color indexed="8"/>
      <name val="Arial Narrow"/>
      <family val="2"/>
    </font>
    <font>
      <b/>
      <sz val="18"/>
      <color theme="1"/>
      <name val="Arial Narrow"/>
      <family val="2"/>
    </font>
    <font>
      <sz val="12"/>
      <color theme="1"/>
      <name val="Arial Narrow"/>
      <family val="2"/>
    </font>
    <font>
      <sz val="12"/>
      <name val="Arial Narrow"/>
      <family val="2"/>
    </font>
    <font>
      <b/>
      <sz val="11"/>
      <color rgb="FF333399"/>
      <name val="Arial Narrow"/>
      <family val="2"/>
    </font>
    <font>
      <sz val="11"/>
      <color rgb="FF333399"/>
      <name val="Arial Narrow"/>
      <family val="2"/>
    </font>
    <font>
      <u/>
      <sz val="12"/>
      <color theme="1"/>
      <name val="Arial Narrow"/>
      <family val="2"/>
    </font>
    <font>
      <b/>
      <sz val="9"/>
      <color indexed="8"/>
      <name val="Arial Narrow"/>
      <family val="2"/>
    </font>
    <font>
      <sz val="9"/>
      <color indexed="8"/>
      <name val="Arial Narrow"/>
      <family val="2"/>
    </font>
    <font>
      <u/>
      <sz val="9"/>
      <color indexed="12"/>
      <name val="Arial Narrow"/>
      <family val="2"/>
    </font>
    <font>
      <sz val="14"/>
      <name val="Arial Narrow"/>
      <family val="2"/>
    </font>
    <font>
      <b/>
      <sz val="11"/>
      <color rgb="FFFF0000"/>
      <name val="Arial Narrow"/>
      <family val="2"/>
    </font>
    <font>
      <sz val="8"/>
      <name val="Calibri"/>
      <family val="2"/>
    </font>
    <font>
      <b/>
      <sz val="8"/>
      <name val="Arial"/>
      <family val="2"/>
      <charset val="1"/>
    </font>
    <font>
      <b/>
      <sz val="9"/>
      <name val="Arial"/>
      <family val="2"/>
    </font>
    <font>
      <b/>
      <sz val="11"/>
      <name val="Arial"/>
      <family val="2"/>
    </font>
    <font>
      <b/>
      <sz val="11"/>
      <color theme="0"/>
      <name val="Century Gothic"/>
      <family val="2"/>
    </font>
    <font>
      <sz val="11"/>
      <color rgb="FF000000"/>
      <name val="Calibri"/>
      <family val="2"/>
      <scheme val="minor"/>
    </font>
    <font>
      <sz val="10"/>
      <color theme="1"/>
      <name val="Century Gothic"/>
      <family val="2"/>
    </font>
    <font>
      <b/>
      <sz val="10"/>
      <color theme="0"/>
      <name val="Century Gothic"/>
      <family val="2"/>
    </font>
    <font>
      <b/>
      <sz val="10"/>
      <color theme="1"/>
      <name val="Century Gothic"/>
      <family val="2"/>
    </font>
    <font>
      <b/>
      <sz val="10"/>
      <color rgb="FF000000"/>
      <name val="Calibri"/>
      <family val="2"/>
      <scheme val="minor"/>
    </font>
    <font>
      <b/>
      <sz val="10"/>
      <color rgb="FF000000"/>
      <name val="Century Gothic"/>
      <family val="2"/>
    </font>
    <font>
      <sz val="10"/>
      <color rgb="FF000000"/>
      <name val="Century Gothic"/>
      <family val="2"/>
    </font>
    <font>
      <sz val="10"/>
      <color rgb="FF000000"/>
      <name val="Calibri"/>
      <family val="2"/>
      <scheme val="minor"/>
    </font>
    <font>
      <b/>
      <sz val="10"/>
      <color rgb="FF000000"/>
      <name val="Arial"/>
      <family val="2"/>
    </font>
  </fonts>
  <fills count="6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9"/>
        <bgColor indexed="64"/>
      </patternFill>
    </fill>
    <fill>
      <patternFill patternType="solid">
        <fgColor indexed="15"/>
        <bgColor indexed="64"/>
      </patternFill>
    </fill>
    <fill>
      <patternFill patternType="solid">
        <fgColor indexed="54"/>
        <bgColor indexed="64"/>
      </patternFill>
    </fill>
    <fill>
      <patternFill patternType="solid">
        <fgColor indexed="22"/>
        <bgColor indexed="64"/>
      </patternFill>
    </fill>
    <fill>
      <patternFill patternType="solid">
        <fgColor indexed="51"/>
        <bgColor indexed="64"/>
      </patternFill>
    </fill>
    <fill>
      <patternFill patternType="solid">
        <fgColor rgb="FF92D050"/>
        <bgColor indexed="64"/>
      </patternFill>
    </fill>
    <fill>
      <patternFill patternType="solid">
        <fgColor theme="4" tint="0.39997558519241921"/>
        <bgColor indexed="64"/>
      </patternFill>
    </fill>
    <fill>
      <patternFill patternType="solid">
        <fgColor theme="0"/>
        <bgColor indexed="64"/>
      </patternFill>
    </fill>
    <fill>
      <patternFill patternType="solid">
        <fgColor theme="0" tint="-0.14999847407452621"/>
        <bgColor indexed="64"/>
      </patternFill>
    </fill>
    <fill>
      <patternFill patternType="solid">
        <fgColor theme="8" tint="0.79998168889431442"/>
        <bgColor indexed="64"/>
      </patternFill>
    </fill>
    <fill>
      <patternFill patternType="solid">
        <fgColor rgb="FFFFFFFF"/>
      </patternFill>
    </fill>
    <fill>
      <patternFill patternType="solid">
        <fgColor rgb="FFCFE0F1"/>
      </patternFill>
    </fill>
    <fill>
      <patternFill patternType="solid">
        <fgColor rgb="FFF2F5F9"/>
      </patternFill>
    </fill>
    <fill>
      <patternFill patternType="solid">
        <fgColor theme="4" tint="0.79998168889431442"/>
        <bgColor indexed="64"/>
      </patternFill>
    </fill>
    <fill>
      <patternFill patternType="solid">
        <fgColor theme="0" tint="-0.249977111117893"/>
        <bgColor indexed="64"/>
      </patternFill>
    </fill>
    <fill>
      <patternFill patternType="solid">
        <fgColor theme="7" tint="0.79998168889431442"/>
        <bgColor indexed="64"/>
      </patternFill>
    </fill>
    <fill>
      <patternFill patternType="solid">
        <fgColor theme="3" tint="0.39997558519241921"/>
        <bgColor indexed="64"/>
      </patternFill>
    </fill>
    <fill>
      <patternFill patternType="solid">
        <fgColor rgb="FFFF9900"/>
        <bgColor indexed="64"/>
      </patternFill>
    </fill>
    <fill>
      <patternFill patternType="solid">
        <fgColor theme="6" tint="0.39997558519241921"/>
        <bgColor indexed="64"/>
      </patternFill>
    </fill>
    <fill>
      <patternFill patternType="solid">
        <fgColor theme="9" tint="0.39997558519241921"/>
        <bgColor indexed="64"/>
      </patternFill>
    </fill>
    <fill>
      <patternFill patternType="solid">
        <fgColor theme="6" tint="0.59999389629810485"/>
        <bgColor indexed="64"/>
      </patternFill>
    </fill>
    <fill>
      <patternFill patternType="solid">
        <fgColor theme="2" tint="-9.9978637043366805E-2"/>
        <bgColor indexed="64"/>
      </patternFill>
    </fill>
    <fill>
      <patternFill patternType="solid">
        <fgColor rgb="FFFFFF00"/>
        <bgColor indexed="64"/>
      </patternFill>
    </fill>
    <fill>
      <patternFill patternType="solid">
        <fgColor theme="9" tint="0.59999389629810485"/>
        <bgColor indexed="64"/>
      </patternFill>
    </fill>
    <fill>
      <patternFill patternType="solid">
        <fgColor theme="6" tint="0.79998168889431442"/>
        <bgColor indexed="64"/>
      </patternFill>
    </fill>
    <fill>
      <patternFill patternType="solid">
        <fgColor theme="3" tint="0.79998168889431442"/>
        <bgColor indexed="64"/>
      </patternFill>
    </fill>
    <fill>
      <patternFill patternType="solid">
        <fgColor rgb="FF00B050"/>
        <bgColor indexed="64"/>
      </patternFill>
    </fill>
    <fill>
      <patternFill patternType="solid">
        <fgColor theme="4" tint="0.59999389629810485"/>
        <bgColor indexed="64"/>
      </patternFill>
    </fill>
    <fill>
      <patternFill patternType="solid">
        <fgColor theme="9" tint="0.79998168889431442"/>
        <bgColor indexed="64"/>
      </patternFill>
    </fill>
    <fill>
      <patternFill patternType="solid">
        <fgColor rgb="FF00B0F0"/>
        <bgColor indexed="64"/>
      </patternFill>
    </fill>
    <fill>
      <patternFill patternType="solid">
        <fgColor theme="0" tint="-4.9989318521683403E-2"/>
        <bgColor indexed="64"/>
      </patternFill>
    </fill>
    <fill>
      <patternFill patternType="solid">
        <fgColor theme="7" tint="0.59999389629810485"/>
        <bgColor indexed="64"/>
      </patternFill>
    </fill>
    <fill>
      <patternFill patternType="solid">
        <fgColor theme="5" tint="0.39997558519241921"/>
        <bgColor indexed="64"/>
      </patternFill>
    </fill>
    <fill>
      <patternFill patternType="solid">
        <fgColor theme="2" tint="-0.249977111117893"/>
        <bgColor indexed="64"/>
      </patternFill>
    </fill>
    <fill>
      <patternFill patternType="solid">
        <fgColor rgb="FFCCFFFF"/>
        <bgColor indexed="64"/>
      </patternFill>
    </fill>
    <fill>
      <patternFill patternType="solid">
        <fgColor theme="3" tint="-0.249977111117893"/>
        <bgColor indexed="64"/>
      </patternFill>
    </fill>
    <fill>
      <patternFill patternType="solid">
        <fgColor theme="1" tint="0.499984740745262"/>
        <bgColor indexed="64"/>
      </patternFill>
    </fill>
    <fill>
      <patternFill patternType="solid">
        <fgColor rgb="FFFF0000"/>
        <bgColor indexed="64"/>
      </patternFill>
    </fill>
    <fill>
      <patternFill patternType="solid">
        <fgColor theme="2" tint="-0.499984740745262"/>
        <bgColor indexed="64"/>
      </patternFill>
    </fill>
    <fill>
      <patternFill patternType="solid">
        <fgColor theme="0" tint="-0.14999847407452621"/>
        <bgColor rgb="FF000000"/>
      </patternFill>
    </fill>
    <fill>
      <patternFill patternType="solid">
        <fgColor rgb="FFFFFFFF"/>
        <bgColor indexed="64"/>
      </patternFill>
    </fill>
    <fill>
      <patternFill patternType="solid">
        <fgColor theme="0"/>
        <bgColor rgb="FF44546A"/>
      </patternFill>
    </fill>
  </fills>
  <borders count="140">
    <border>
      <left/>
      <right/>
      <top/>
      <bottom/>
      <diagonal/>
    </border>
    <border>
      <left style="medium">
        <color indexed="64"/>
      </left>
      <right style="thin">
        <color indexed="64"/>
      </right>
      <top style="hair">
        <color indexed="64"/>
      </top>
      <bottom style="hair">
        <color indexed="64"/>
      </bottom>
      <diagonal/>
    </border>
    <border>
      <left style="thin">
        <color indexed="23"/>
      </left>
      <right style="thin">
        <color indexed="23"/>
      </right>
      <top style="thin">
        <color indexed="23"/>
      </top>
      <bottom style="thin">
        <color indexed="23"/>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medium">
        <color indexed="64"/>
      </left>
      <right style="thin">
        <color indexed="64"/>
      </right>
      <top/>
      <bottom/>
      <diagonal/>
    </border>
    <border>
      <left style="thin">
        <color indexed="64"/>
      </left>
      <right/>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style="thin">
        <color indexed="64"/>
      </right>
      <top/>
      <bottom/>
      <diagonal/>
    </border>
    <border>
      <left style="medium">
        <color indexed="64"/>
      </left>
      <right style="medium">
        <color indexed="64"/>
      </right>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double">
        <color indexed="64"/>
      </bottom>
      <diagonal/>
    </border>
    <border>
      <left/>
      <right/>
      <top/>
      <bottom style="double">
        <color indexed="64"/>
      </bottom>
      <diagonal/>
    </border>
    <border>
      <left style="thin">
        <color indexed="64"/>
      </left>
      <right style="thin">
        <color indexed="64"/>
      </right>
      <top/>
      <bottom style="double">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style="thin">
        <color indexed="64"/>
      </right>
      <top style="double">
        <color indexed="64"/>
      </top>
      <bottom style="thin">
        <color indexed="64"/>
      </bottom>
      <diagonal/>
    </border>
    <border>
      <left/>
      <right/>
      <top style="double">
        <color indexed="64"/>
      </top>
      <bottom/>
      <diagonal/>
    </border>
    <border>
      <left/>
      <right style="thin">
        <color indexed="64"/>
      </right>
      <top/>
      <bottom style="thin">
        <color indexed="64"/>
      </bottom>
      <diagonal/>
    </border>
    <border>
      <left/>
      <right style="thin">
        <color indexed="64"/>
      </right>
      <top style="medium">
        <color indexed="64"/>
      </top>
      <bottom style="medium">
        <color indexed="64"/>
      </bottom>
      <diagonal/>
    </border>
    <border>
      <left style="thin">
        <color indexed="64"/>
      </left>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bottom/>
      <diagonal/>
    </border>
    <border>
      <left style="medium">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medium">
        <color indexed="64"/>
      </right>
      <top style="hair">
        <color indexed="64"/>
      </top>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top style="medium">
        <color indexed="64"/>
      </top>
      <bottom style="medium">
        <color indexed="64"/>
      </bottom>
      <diagonal/>
    </border>
    <border>
      <left style="hair">
        <color indexed="64"/>
      </left>
      <right style="hair">
        <color indexed="64"/>
      </right>
      <top/>
      <bottom/>
      <diagonal/>
    </border>
    <border>
      <left/>
      <right style="hair">
        <color indexed="64"/>
      </right>
      <top/>
      <bottom/>
      <diagonal/>
    </border>
    <border>
      <left style="hair">
        <color indexed="64"/>
      </left>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thin">
        <color indexed="64"/>
      </top>
      <bottom/>
      <diagonal/>
    </border>
    <border>
      <left/>
      <right style="medium">
        <color indexed="64"/>
      </right>
      <top style="medium">
        <color indexed="64"/>
      </top>
      <bottom style="medium">
        <color indexed="64"/>
      </bottom>
      <diagonal/>
    </border>
    <border>
      <left/>
      <right style="thin">
        <color indexed="64"/>
      </right>
      <top style="double">
        <color indexed="64"/>
      </top>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diagonal/>
    </border>
    <border>
      <left style="medium">
        <color indexed="64"/>
      </left>
      <right/>
      <top style="thin">
        <color indexed="64"/>
      </top>
      <bottom/>
      <diagonal/>
    </border>
    <border>
      <left style="medium">
        <color indexed="64"/>
      </left>
      <right/>
      <top style="thin">
        <color indexed="64"/>
      </top>
      <bottom style="medium">
        <color indexed="64"/>
      </bottom>
      <diagonal/>
    </border>
    <border>
      <left/>
      <right/>
      <top/>
      <bottom style="thick">
        <color theme="4"/>
      </bottom>
      <diagonal/>
    </border>
    <border>
      <left style="thin">
        <color rgb="FF979991"/>
      </left>
      <right/>
      <top style="thin">
        <color rgb="FF979991"/>
      </top>
      <bottom/>
      <diagonal/>
    </border>
    <border>
      <left style="thin">
        <color rgb="FF979991"/>
      </left>
      <right style="thin">
        <color rgb="FF979991"/>
      </right>
      <top style="thin">
        <color rgb="FF979991"/>
      </top>
      <bottom/>
      <diagonal/>
    </border>
    <border>
      <left/>
      <right/>
      <top/>
      <bottom style="thick">
        <color rgb="FFA3BED8"/>
      </bottom>
      <diagonal/>
    </border>
    <border>
      <left style="thin">
        <color rgb="FF979991"/>
      </left>
      <right/>
      <top style="medium">
        <color indexed="64"/>
      </top>
      <bottom style="medium">
        <color indexed="64"/>
      </bottom>
      <diagonal/>
    </border>
    <border>
      <left style="thin">
        <color rgb="FF979991"/>
      </left>
      <right style="medium">
        <color indexed="64"/>
      </right>
      <top style="medium">
        <color indexed="64"/>
      </top>
      <bottom style="medium">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medium">
        <color indexed="64"/>
      </top>
      <bottom style="double">
        <color indexed="64"/>
      </bottom>
      <diagonal/>
    </border>
    <border>
      <left style="medium">
        <color indexed="64"/>
      </left>
      <right style="thin">
        <color indexed="64"/>
      </right>
      <top style="double">
        <color indexed="64"/>
      </top>
      <bottom style="double">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right style="thin">
        <color indexed="64"/>
      </right>
      <top style="double">
        <color indexed="64"/>
      </top>
      <bottom style="double">
        <color indexed="64"/>
      </bottom>
      <diagonal/>
    </border>
    <border>
      <left/>
      <right style="medium">
        <color indexed="64"/>
      </right>
      <top style="double">
        <color indexed="64"/>
      </top>
      <bottom style="double">
        <color indexed="64"/>
      </bottom>
      <diagonal/>
    </border>
    <border>
      <left/>
      <right style="double">
        <color indexed="64"/>
      </right>
      <top/>
      <bottom/>
      <diagonal/>
    </border>
    <border>
      <left style="double">
        <color indexed="64"/>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style="thin">
        <color indexed="64"/>
      </left>
      <right style="medium">
        <color indexed="64"/>
      </right>
      <top style="double">
        <color indexed="64"/>
      </top>
      <bottom style="double">
        <color indexed="64"/>
      </bottom>
      <diagonal/>
    </border>
    <border>
      <left style="medium">
        <color indexed="64"/>
      </left>
      <right style="double">
        <color indexed="64"/>
      </right>
      <top style="double">
        <color indexed="64"/>
      </top>
      <bottom/>
      <diagonal/>
    </border>
    <border>
      <left style="double">
        <color indexed="64"/>
      </left>
      <right style="double">
        <color indexed="64"/>
      </right>
      <top style="double">
        <color indexed="64"/>
      </top>
      <bottom/>
      <diagonal/>
    </border>
    <border>
      <left style="double">
        <color indexed="64"/>
      </left>
      <right style="medium">
        <color indexed="64"/>
      </right>
      <top style="double">
        <color indexed="64"/>
      </top>
      <bottom/>
      <diagonal/>
    </border>
    <border>
      <left style="medium">
        <color indexed="64"/>
      </left>
      <right style="double">
        <color indexed="64"/>
      </right>
      <top/>
      <bottom style="double">
        <color indexed="64"/>
      </bottom>
      <diagonal/>
    </border>
    <border>
      <left style="double">
        <color indexed="64"/>
      </left>
      <right style="double">
        <color indexed="64"/>
      </right>
      <top/>
      <bottom style="double">
        <color indexed="64"/>
      </bottom>
      <diagonal/>
    </border>
    <border>
      <left style="double">
        <color indexed="64"/>
      </left>
      <right style="medium">
        <color indexed="64"/>
      </right>
      <top/>
      <bottom style="double">
        <color indexed="64"/>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double">
        <color indexed="64"/>
      </left>
      <right style="medium">
        <color indexed="64"/>
      </right>
      <top style="double">
        <color indexed="64"/>
      </top>
      <bottom style="double">
        <color indexed="64"/>
      </bottom>
      <diagonal/>
    </border>
    <border>
      <left style="double">
        <color indexed="64"/>
      </left>
      <right/>
      <top style="double">
        <color indexed="64"/>
      </top>
      <bottom/>
      <diagonal/>
    </border>
    <border>
      <left/>
      <right style="double">
        <color indexed="64"/>
      </right>
      <top style="double">
        <color indexed="64"/>
      </top>
      <bottom/>
      <diagonal/>
    </border>
    <border>
      <left style="double">
        <color indexed="64"/>
      </left>
      <right/>
      <top/>
      <bottom style="double">
        <color indexed="64"/>
      </bottom>
      <diagonal/>
    </border>
    <border>
      <left/>
      <right style="double">
        <color indexed="64"/>
      </right>
      <top/>
      <bottom style="double">
        <color indexed="64"/>
      </bottom>
      <diagonal/>
    </border>
    <border>
      <left style="medium">
        <color indexed="64"/>
      </left>
      <right/>
      <top style="double">
        <color indexed="64"/>
      </top>
      <bottom/>
      <diagonal/>
    </border>
    <border>
      <left style="medium">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medium">
        <color indexed="64"/>
      </left>
      <right/>
      <top style="double">
        <color indexed="64"/>
      </top>
      <bottom style="double">
        <color indexed="64"/>
      </bottom>
      <diagonal/>
    </border>
    <border>
      <left/>
      <right style="double">
        <color indexed="64"/>
      </right>
      <top style="double">
        <color indexed="64"/>
      </top>
      <bottom style="double">
        <color indexed="64"/>
      </bottom>
      <diagonal/>
    </border>
    <border>
      <left/>
      <right style="medium">
        <color indexed="64"/>
      </right>
      <top style="double">
        <color indexed="64"/>
      </top>
      <bottom/>
      <diagonal/>
    </border>
    <border>
      <left style="thin">
        <color indexed="64"/>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s>
  <cellStyleXfs count="1571">
    <xf numFmtId="0" fontId="0" fillId="0" borderId="0"/>
    <xf numFmtId="0" fontId="13" fillId="0" borderId="0"/>
    <xf numFmtId="0" fontId="12" fillId="0" borderId="0"/>
    <xf numFmtId="0" fontId="12" fillId="0" borderId="0"/>
    <xf numFmtId="0" fontId="14" fillId="2" borderId="0" applyNumberFormat="0" applyBorder="0" applyAlignment="0" applyProtection="0"/>
    <xf numFmtId="0" fontId="14" fillId="3"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8" borderId="0" applyNumberFormat="0" applyBorder="0" applyAlignment="0" applyProtection="0"/>
    <xf numFmtId="0" fontId="14" fillId="11" borderId="0" applyNumberFormat="0" applyBorder="0" applyAlignment="0" applyProtection="0"/>
    <xf numFmtId="0" fontId="15" fillId="12"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22" fillId="0" borderId="1" applyNumberFormat="0" applyBorder="0" applyAlignment="0"/>
    <xf numFmtId="0" fontId="15" fillId="16" borderId="0" applyNumberFormat="0" applyBorder="0" applyAlignment="0" applyProtection="0"/>
    <xf numFmtId="0" fontId="15" fillId="17" borderId="0" applyNumberFormat="0" applyBorder="0" applyAlignment="0" applyProtection="0"/>
    <xf numFmtId="0" fontId="15" fillId="18"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9" borderId="0" applyNumberFormat="0" applyBorder="0" applyAlignment="0" applyProtection="0"/>
    <xf numFmtId="0" fontId="18" fillId="3" borderId="0" applyNumberFormat="0" applyBorder="0" applyAlignment="0" applyProtection="0"/>
    <xf numFmtId="0" fontId="16" fillId="20" borderId="2" applyNumberFormat="0" applyAlignment="0" applyProtection="0"/>
    <xf numFmtId="3" fontId="23" fillId="0" borderId="0" applyFont="0" applyFill="0" applyBorder="0" applyAlignment="0" applyProtection="0"/>
    <xf numFmtId="172" fontId="23" fillId="0" borderId="0" applyFont="0" applyFill="0" applyBorder="0" applyAlignment="0" applyProtection="0"/>
    <xf numFmtId="0" fontId="23" fillId="0" borderId="0" applyFont="0" applyFill="0" applyBorder="0" applyAlignment="0" applyProtection="0"/>
    <xf numFmtId="173" fontId="13"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3" fontId="12" fillId="0" borderId="0" applyFont="0" applyFill="0" applyBorder="0" applyAlignment="0" applyProtection="0"/>
    <xf numFmtId="173"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3" fillId="0" borderId="0" applyFont="0" applyFill="0" applyBorder="0" applyAlignment="0" applyProtection="0"/>
    <xf numFmtId="0" fontId="20" fillId="0" borderId="0" applyNumberFormat="0" applyFill="0" applyBorder="0" applyAlignment="0" applyProtection="0"/>
    <xf numFmtId="2" fontId="23" fillId="0" borderId="0" applyFont="0" applyFill="0" applyBorder="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17" fillId="0" borderId="3" applyNumberFormat="0" applyFill="0" applyAlignment="0" applyProtection="0"/>
    <xf numFmtId="0" fontId="48" fillId="0" borderId="0" applyNumberFormat="0" applyFill="0" applyBorder="0" applyAlignment="0" applyProtection="0">
      <alignment vertical="top"/>
      <protection locked="0"/>
    </xf>
    <xf numFmtId="167" fontId="11" fillId="0" borderId="0" applyFont="0" applyFill="0" applyBorder="0" applyAlignment="0" applyProtection="0"/>
    <xf numFmtId="164" fontId="12" fillId="0" borderId="0" applyFont="0" applyFill="0" applyBorder="0" applyAlignment="0" applyProtection="0"/>
    <xf numFmtId="165"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165" fontId="12" fillId="0" borderId="0" applyFont="0" applyFill="0" applyBorder="0" applyAlignment="0" applyProtection="0"/>
    <xf numFmtId="167" fontId="14"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165"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165"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165"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167" fontId="14" fillId="0" borderId="0" applyFont="0" applyFill="0" applyBorder="0" applyAlignment="0" applyProtection="0"/>
    <xf numFmtId="167" fontId="14" fillId="0" borderId="0" applyFont="0" applyFill="0" applyBorder="0" applyAlignment="0" applyProtection="0"/>
    <xf numFmtId="167" fontId="14" fillId="0" borderId="0" applyFont="0" applyFill="0" applyBorder="0" applyAlignment="0" applyProtection="0"/>
    <xf numFmtId="165" fontId="12" fillId="0" borderId="0" applyFont="0" applyFill="0" applyBorder="0" applyAlignment="0" applyProtection="0"/>
    <xf numFmtId="188"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3" fillId="0" borderId="0" applyFont="0" applyFill="0" applyBorder="0" applyAlignment="0" applyProtection="0"/>
    <xf numFmtId="167"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9"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43" fontId="8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165"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165" fontId="12" fillId="0" borderId="0" applyFont="0" applyFill="0" applyBorder="0" applyAlignment="0" applyProtection="0"/>
    <xf numFmtId="167" fontId="8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165"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165" fontId="12" fillId="0" borderId="0" applyFont="0" applyFill="0" applyBorder="0" applyAlignment="0" applyProtection="0"/>
    <xf numFmtId="167"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165"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70" fontId="11" fillId="0" borderId="0" applyFont="0" applyFill="0" applyBorder="0" applyAlignment="0" applyProtection="0"/>
    <xf numFmtId="205" fontId="8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8"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202" fontId="14"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202" fontId="8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8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75" fontId="12" fillId="0" borderId="0" applyFont="0" applyFill="0" applyBorder="0" applyAlignment="0" applyProtection="0"/>
    <xf numFmtId="169" fontId="12"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82" fillId="0" borderId="0"/>
    <xf numFmtId="0" fontId="12" fillId="0" borderId="0"/>
    <xf numFmtId="0" fontId="12" fillId="0" borderId="0"/>
    <xf numFmtId="0" fontId="82" fillId="0" borderId="0"/>
    <xf numFmtId="0" fontId="12" fillId="0" borderId="0"/>
    <xf numFmtId="0" fontId="12" fillId="0" borderId="0"/>
    <xf numFmtId="0" fontId="14" fillId="0" borderId="0"/>
    <xf numFmtId="0" fontId="14" fillId="0" borderId="0"/>
    <xf numFmtId="0" fontId="14" fillId="0" borderId="0"/>
    <xf numFmtId="0" fontId="14" fillId="0" borderId="0"/>
    <xf numFmtId="0" fontId="14" fillId="0" borderId="0"/>
    <xf numFmtId="0" fontId="12" fillId="0" borderId="0"/>
    <xf numFmtId="0" fontId="12" fillId="0" borderId="0"/>
    <xf numFmtId="0" fontId="80"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4" fillId="0" borderId="0"/>
    <xf numFmtId="0" fontId="14" fillId="0" borderId="0"/>
    <xf numFmtId="0" fontId="14" fillId="0" borderId="0"/>
    <xf numFmtId="0" fontId="82" fillId="0" borderId="0"/>
    <xf numFmtId="0" fontId="83" fillId="0" borderId="0"/>
    <xf numFmtId="0" fontId="12" fillId="0" borderId="0" applyAlignment="0"/>
    <xf numFmtId="0" fontId="12" fillId="0" borderId="0"/>
    <xf numFmtId="0" fontId="12" fillId="0" borderId="0"/>
    <xf numFmtId="0" fontId="74" fillId="0" borderId="0"/>
    <xf numFmtId="0" fontId="12" fillId="0" borderId="0"/>
    <xf numFmtId="0" fontId="12" fillId="0" borderId="0"/>
    <xf numFmtId="0" fontId="12" fillId="0" borderId="0"/>
    <xf numFmtId="0" fontId="12" fillId="0" borderId="0"/>
    <xf numFmtId="200" fontId="12" fillId="0" borderId="0"/>
    <xf numFmtId="0" fontId="12" fillId="0" borderId="0"/>
    <xf numFmtId="0" fontId="12" fillId="0" borderId="0"/>
    <xf numFmtId="0" fontId="12" fillId="0" borderId="0"/>
    <xf numFmtId="0" fontId="12" fillId="21" borderId="4" applyNumberFormat="0" applyFont="0" applyAlignment="0" applyProtection="0"/>
    <xf numFmtId="0" fontId="12" fillId="21" borderId="4" applyNumberFormat="0" applyFont="0" applyAlignment="0" applyProtection="0"/>
    <xf numFmtId="0" fontId="19" fillId="20" borderId="5" applyNumberFormat="0" applyAlignment="0" applyProtection="0"/>
    <xf numFmtId="9" fontId="11" fillId="0" borderId="0" applyFont="0" applyFill="0" applyBorder="0" applyAlignment="0" applyProtection="0"/>
    <xf numFmtId="9" fontId="13" fillId="0" borderId="0" applyFont="0" applyFill="0" applyBorder="0" applyAlignment="0" applyProtection="0"/>
    <xf numFmtId="9" fontId="12" fillId="0" borderId="0" applyFont="0" applyFill="0" applyBorder="0" applyAlignment="0" applyProtection="0"/>
    <xf numFmtId="9" fontId="82" fillId="0" borderId="0" applyFont="0" applyFill="0" applyBorder="0" applyAlignment="0" applyProtection="0"/>
    <xf numFmtId="9" fontId="14"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0" fontId="21" fillId="0" borderId="0" applyNumberFormat="0" applyFill="0" applyBorder="0" applyAlignment="0" applyProtection="0"/>
    <xf numFmtId="0" fontId="84" fillId="0" borderId="100" applyNumberFormat="0" applyFill="0" applyAlignment="0" applyProtection="0"/>
    <xf numFmtId="0" fontId="10" fillId="0" borderId="0"/>
    <xf numFmtId="202" fontId="10" fillId="0" borderId="0" applyFont="0" applyFill="0" applyBorder="0" applyAlignment="0" applyProtection="0"/>
    <xf numFmtId="9" fontId="10" fillId="0" borderId="0" applyFont="0" applyFill="0" applyBorder="0" applyAlignment="0" applyProtection="0"/>
    <xf numFmtId="0" fontId="11" fillId="0" borderId="0"/>
    <xf numFmtId="0" fontId="11" fillId="0" borderId="0"/>
    <xf numFmtId="165" fontId="11" fillId="0" borderId="0" applyFont="0" applyFill="0" applyBorder="0" applyAlignment="0" applyProtection="0"/>
    <xf numFmtId="169" fontId="11" fillId="0" borderId="0" applyFont="0" applyFill="0" applyBorder="0" applyAlignment="0" applyProtection="0"/>
    <xf numFmtId="188" fontId="11" fillId="0" borderId="0" applyFont="0" applyFill="0" applyBorder="0" applyAlignment="0" applyProtection="0"/>
    <xf numFmtId="0" fontId="9" fillId="0" borderId="0"/>
    <xf numFmtId="202" fontId="9" fillId="0" borderId="0" applyFont="0" applyFill="0" applyBorder="0" applyAlignment="0" applyProtection="0"/>
    <xf numFmtId="9" fontId="9" fillId="0" borderId="0" applyFont="0" applyFill="0" applyBorder="0" applyAlignment="0" applyProtection="0"/>
    <xf numFmtId="0" fontId="8" fillId="0" borderId="0"/>
    <xf numFmtId="202" fontId="8" fillId="0" borderId="0" applyFont="0" applyFill="0" applyBorder="0" applyAlignment="0" applyProtection="0"/>
    <xf numFmtId="9" fontId="8" fillId="0" borderId="0" applyFont="0" applyFill="0" applyBorder="0" applyAlignment="0" applyProtection="0"/>
    <xf numFmtId="175" fontId="11" fillId="0" borderId="0" applyFont="0" applyFill="0" applyBorder="0" applyAlignment="0" applyProtection="0"/>
    <xf numFmtId="165" fontId="11"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0" fontId="11" fillId="0" borderId="0"/>
    <xf numFmtId="0" fontId="11" fillId="0" borderId="0"/>
    <xf numFmtId="0" fontId="11" fillId="0" borderId="0"/>
    <xf numFmtId="173"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165" fontId="11" fillId="0" borderId="0" applyFont="0" applyFill="0" applyBorder="0" applyAlignment="0" applyProtection="0"/>
    <xf numFmtId="165" fontId="14"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165"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165"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165"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165" fontId="14" fillId="0" borderId="0" applyFont="0" applyFill="0" applyBorder="0" applyAlignment="0" applyProtection="0"/>
    <xf numFmtId="165" fontId="14" fillId="0" borderId="0" applyFont="0" applyFill="0" applyBorder="0" applyAlignment="0" applyProtection="0"/>
    <xf numFmtId="165" fontId="14"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9"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43" fontId="4"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165"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165" fontId="11" fillId="0" borderId="0" applyFont="0" applyFill="0" applyBorder="0" applyAlignment="0" applyProtection="0"/>
    <xf numFmtId="165" fontId="4"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165"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165"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205" fontId="4"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69" fontId="11" fillId="0" borderId="0" applyFont="0" applyFill="0" applyBorder="0" applyAlignment="0" applyProtection="0"/>
    <xf numFmtId="169" fontId="11" fillId="0" borderId="0" applyFont="0" applyFill="0" applyBorder="0" applyAlignment="0" applyProtection="0"/>
    <xf numFmtId="168"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202" fontId="4"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4"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4" fillId="0" borderId="0"/>
    <xf numFmtId="0" fontId="11" fillId="0" borderId="0"/>
    <xf numFmtId="0" fontId="11" fillId="0" borderId="0"/>
    <xf numFmtId="0" fontId="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4" fillId="0" borderId="0"/>
    <xf numFmtId="0" fontId="11" fillId="0" borderId="0" applyAlignment="0"/>
    <xf numFmtId="0" fontId="11" fillId="0" borderId="0"/>
    <xf numFmtId="0" fontId="11" fillId="0" borderId="0"/>
    <xf numFmtId="0" fontId="11" fillId="0" borderId="0"/>
    <xf numFmtId="0" fontId="11" fillId="0" borderId="0"/>
    <xf numFmtId="0" fontId="11" fillId="0" borderId="0"/>
    <xf numFmtId="0" fontId="11" fillId="0" borderId="0"/>
    <xf numFmtId="200" fontId="11" fillId="0" borderId="0"/>
    <xf numFmtId="0" fontId="11" fillId="0" borderId="0"/>
    <xf numFmtId="0" fontId="11" fillId="21" borderId="4" applyNumberFormat="0" applyFont="0" applyAlignment="0" applyProtection="0"/>
    <xf numFmtId="0" fontId="11" fillId="21" borderId="4" applyNumberFormat="0" applyFont="0" applyAlignment="0" applyProtection="0"/>
    <xf numFmtId="9" fontId="11" fillId="0" borderId="0" applyFont="0" applyFill="0" applyBorder="0" applyAlignment="0" applyProtection="0"/>
    <xf numFmtId="9" fontId="11" fillId="0" borderId="0" applyFont="0" applyFill="0" applyBorder="0" applyAlignment="0" applyProtection="0"/>
    <xf numFmtId="9" fontId="4"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0" fontId="4" fillId="0" borderId="0"/>
    <xf numFmtId="202" fontId="4" fillId="0" borderId="0" applyFont="0" applyFill="0" applyBorder="0" applyAlignment="0" applyProtection="0"/>
    <xf numFmtId="9" fontId="4" fillId="0" borderId="0" applyFont="0" applyFill="0" applyBorder="0" applyAlignment="0" applyProtection="0"/>
    <xf numFmtId="0" fontId="4" fillId="0" borderId="0"/>
    <xf numFmtId="202" fontId="4" fillId="0" borderId="0" applyFont="0" applyFill="0" applyBorder="0" applyAlignment="0" applyProtection="0"/>
    <xf numFmtId="9" fontId="4" fillId="0" borderId="0" applyFont="0" applyFill="0" applyBorder="0" applyAlignment="0" applyProtection="0"/>
    <xf numFmtId="0" fontId="4" fillId="0" borderId="0"/>
    <xf numFmtId="202" fontId="4" fillId="0" borderId="0" applyFont="0" applyFill="0" applyBorder="0" applyAlignment="0" applyProtection="0"/>
    <xf numFmtId="9"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1" fillId="0" borderId="0"/>
    <xf numFmtId="217" fontId="11" fillId="0" borderId="0" applyFont="0" applyFill="0" applyBorder="0" applyAlignment="0" applyProtection="0"/>
  </cellStyleXfs>
  <cellXfs count="2282">
    <xf numFmtId="0" fontId="0" fillId="0" borderId="0" xfId="0"/>
    <xf numFmtId="0" fontId="30" fillId="0" borderId="0" xfId="0" applyFont="1"/>
    <xf numFmtId="0" fontId="31" fillId="0" borderId="0" xfId="0" applyFont="1" applyAlignment="1">
      <alignment horizontal="center"/>
    </xf>
    <xf numFmtId="0" fontId="31" fillId="0" borderId="0" xfId="0" applyFont="1"/>
    <xf numFmtId="167" fontId="31" fillId="0" borderId="0" xfId="146" applyFont="1"/>
    <xf numFmtId="0" fontId="30" fillId="0" borderId="6" xfId="0" applyFont="1" applyBorder="1"/>
    <xf numFmtId="167" fontId="30" fillId="0" borderId="6" xfId="146" applyFont="1" applyBorder="1" applyAlignment="1">
      <alignment horizontal="center"/>
    </xf>
    <xf numFmtId="176" fontId="29" fillId="0" borderId="0" xfId="303" applyNumberFormat="1" applyFont="1"/>
    <xf numFmtId="167" fontId="31" fillId="0" borderId="0" xfId="0" applyNumberFormat="1" applyFont="1"/>
    <xf numFmtId="0" fontId="33" fillId="0" borderId="0" xfId="0" applyFont="1"/>
    <xf numFmtId="0" fontId="33" fillId="22" borderId="0" xfId="0" applyFont="1" applyFill="1"/>
    <xf numFmtId="0" fontId="34" fillId="0" borderId="6" xfId="0" applyFont="1" applyBorder="1" applyAlignment="1">
      <alignment horizontal="center" vertical="center"/>
    </xf>
    <xf numFmtId="0" fontId="34" fillId="0" borderId="6" xfId="650" applyFont="1" applyBorder="1" applyAlignment="1">
      <alignment vertical="center"/>
    </xf>
    <xf numFmtId="176" fontId="34" fillId="0" borderId="6" xfId="303" applyNumberFormat="1" applyFont="1" applyFill="1" applyBorder="1" applyAlignment="1">
      <alignment vertical="center"/>
    </xf>
    <xf numFmtId="0" fontId="34" fillId="0" borderId="6" xfId="650" applyFont="1" applyBorder="1" applyAlignment="1">
      <alignment horizontal="center" vertical="center"/>
    </xf>
    <xf numFmtId="179" fontId="34" fillId="0" borderId="6" xfId="303" applyNumberFormat="1" applyFont="1" applyFill="1" applyBorder="1" applyAlignment="1">
      <alignment vertical="center"/>
    </xf>
    <xf numFmtId="0" fontId="33" fillId="0" borderId="0" xfId="0" applyFont="1" applyAlignment="1">
      <alignment vertical="center"/>
    </xf>
    <xf numFmtId="0" fontId="33" fillId="22" borderId="0" xfId="0" applyFont="1" applyFill="1" applyAlignment="1">
      <alignment vertical="center"/>
    </xf>
    <xf numFmtId="0" fontId="36" fillId="0" borderId="0" xfId="0" applyFont="1"/>
    <xf numFmtId="0" fontId="28" fillId="0" borderId="0" xfId="0" applyFont="1"/>
    <xf numFmtId="0" fontId="36" fillId="0" borderId="0" xfId="0" applyFont="1" applyAlignment="1">
      <alignment horizontal="center"/>
    </xf>
    <xf numFmtId="0" fontId="34" fillId="0" borderId="0" xfId="0" applyFont="1"/>
    <xf numFmtId="9" fontId="31" fillId="0" borderId="0" xfId="0" applyNumberFormat="1" applyFont="1" applyAlignment="1">
      <alignment horizontal="center"/>
    </xf>
    <xf numFmtId="0" fontId="38" fillId="0" borderId="0" xfId="637" applyFont="1" applyAlignment="1">
      <alignment horizontal="left" vertical="center"/>
    </xf>
    <xf numFmtId="0" fontId="39" fillId="0" borderId="0" xfId="637" applyFont="1" applyAlignment="1">
      <alignment horizontal="left" vertical="center"/>
    </xf>
    <xf numFmtId="0" fontId="39" fillId="0" borderId="0" xfId="637" applyFont="1" applyAlignment="1">
      <alignment horizontal="center" vertical="center"/>
    </xf>
    <xf numFmtId="167" fontId="39" fillId="0" borderId="0" xfId="160" applyFont="1" applyAlignment="1">
      <alignment horizontal="right" vertical="center"/>
    </xf>
    <xf numFmtId="0" fontId="39" fillId="27" borderId="7" xfId="637" applyFont="1" applyFill="1" applyBorder="1" applyAlignment="1">
      <alignment horizontal="center" vertical="center"/>
    </xf>
    <xf numFmtId="180" fontId="86" fillId="0" borderId="0" xfId="160" applyNumberFormat="1" applyFont="1" applyFill="1" applyBorder="1" applyAlignment="1">
      <alignment horizontal="right" vertical="center"/>
    </xf>
    <xf numFmtId="0" fontId="39" fillId="0" borderId="8" xfId="637" applyFont="1" applyBorder="1" applyAlignment="1">
      <alignment horizontal="left" vertical="center"/>
    </xf>
    <xf numFmtId="167" fontId="87" fillId="0" borderId="0" xfId="160" applyFont="1" applyBorder="1" applyAlignment="1">
      <alignment horizontal="right" vertical="center"/>
    </xf>
    <xf numFmtId="0" fontId="39" fillId="0" borderId="6" xfId="637" applyFont="1" applyBorder="1" applyAlignment="1">
      <alignment horizontal="left" vertical="center"/>
    </xf>
    <xf numFmtId="180" fontId="12" fillId="0" borderId="0" xfId="160" applyNumberFormat="1" applyFont="1" applyFill="1" applyBorder="1" applyAlignment="1">
      <alignment horizontal="right" vertical="center"/>
    </xf>
    <xf numFmtId="167" fontId="39" fillId="0" borderId="0" xfId="160" applyFont="1" applyBorder="1" applyAlignment="1">
      <alignment horizontal="right" vertical="center"/>
    </xf>
    <xf numFmtId="0" fontId="86" fillId="0" borderId="0" xfId="637" applyFont="1" applyAlignment="1">
      <alignment horizontal="center" vertical="center"/>
    </xf>
    <xf numFmtId="167" fontId="86" fillId="0" borderId="0" xfId="160" applyFont="1" applyBorder="1" applyAlignment="1">
      <alignment horizontal="right" vertical="center"/>
    </xf>
    <xf numFmtId="0" fontId="39" fillId="0" borderId="0" xfId="637" applyFont="1" applyAlignment="1">
      <alignment horizontal="left" vertical="center" wrapText="1"/>
    </xf>
    <xf numFmtId="0" fontId="39" fillId="0" borderId="9" xfId="637" applyFont="1" applyBorder="1" applyAlignment="1">
      <alignment horizontal="left" vertical="center"/>
    </xf>
    <xf numFmtId="167" fontId="88" fillId="0" borderId="0" xfId="160" applyFont="1" applyBorder="1" applyAlignment="1">
      <alignment horizontal="right" vertical="center"/>
    </xf>
    <xf numFmtId="180" fontId="89" fillId="0" borderId="0" xfId="160" applyNumberFormat="1" applyFont="1" applyFill="1" applyBorder="1" applyAlignment="1">
      <alignment horizontal="right" vertical="center"/>
    </xf>
    <xf numFmtId="167" fontId="90" fillId="0" borderId="0" xfId="160" applyFont="1" applyBorder="1" applyAlignment="1">
      <alignment horizontal="right" vertical="center"/>
    </xf>
    <xf numFmtId="167" fontId="91" fillId="0" borderId="6" xfId="160" applyFont="1" applyFill="1" applyBorder="1" applyAlignment="1">
      <alignment horizontal="right" vertical="center"/>
    </xf>
    <xf numFmtId="0" fontId="91" fillId="0" borderId="0" xfId="637" applyFont="1" applyAlignment="1">
      <alignment horizontal="left" vertical="center"/>
    </xf>
    <xf numFmtId="0" fontId="12" fillId="0" borderId="0" xfId="424" applyAlignment="1">
      <alignment horizontal="left" vertical="center"/>
    </xf>
    <xf numFmtId="167" fontId="86" fillId="0" borderId="0" xfId="160" applyFont="1" applyAlignment="1">
      <alignment horizontal="right" vertical="center"/>
    </xf>
    <xf numFmtId="0" fontId="12" fillId="0" borderId="0" xfId="424" applyAlignment="1">
      <alignment horizontal="center" vertical="center"/>
    </xf>
    <xf numFmtId="167" fontId="92" fillId="0" borderId="0" xfId="160" applyFont="1" applyBorder="1" applyAlignment="1">
      <alignment horizontal="right" vertical="center"/>
    </xf>
    <xf numFmtId="167" fontId="39" fillId="0" borderId="0" xfId="209" applyFont="1" applyAlignment="1">
      <alignment horizontal="right" vertical="center"/>
    </xf>
    <xf numFmtId="180" fontId="87" fillId="0" borderId="0" xfId="160" applyNumberFormat="1" applyFont="1" applyFill="1" applyBorder="1" applyAlignment="1">
      <alignment horizontal="right" vertical="center"/>
    </xf>
    <xf numFmtId="180" fontId="93" fillId="0" borderId="0" xfId="160" applyNumberFormat="1" applyFont="1" applyFill="1" applyBorder="1" applyAlignment="1">
      <alignment horizontal="right" vertical="center"/>
    </xf>
    <xf numFmtId="0" fontId="40" fillId="0" borderId="0" xfId="637" applyFont="1" applyAlignment="1">
      <alignment horizontal="left" vertical="center"/>
    </xf>
    <xf numFmtId="0" fontId="40" fillId="0" borderId="0" xfId="637" applyFont="1" applyAlignment="1">
      <alignment horizontal="center" vertical="center"/>
    </xf>
    <xf numFmtId="180" fontId="41" fillId="0" borderId="0" xfId="160" applyNumberFormat="1" applyFont="1" applyFill="1" applyBorder="1" applyAlignment="1">
      <alignment horizontal="right" vertical="center"/>
    </xf>
    <xf numFmtId="0" fontId="94" fillId="0" borderId="0" xfId="637" applyFont="1" applyAlignment="1">
      <alignment horizontal="left" vertical="center"/>
    </xf>
    <xf numFmtId="180" fontId="94" fillId="0" borderId="0" xfId="160" applyNumberFormat="1" applyFont="1" applyFill="1" applyBorder="1" applyAlignment="1">
      <alignment horizontal="right" vertical="center"/>
    </xf>
    <xf numFmtId="0" fontId="89" fillId="0" borderId="10" xfId="637" applyFont="1" applyBorder="1" applyAlignment="1">
      <alignment horizontal="left" vertical="center"/>
    </xf>
    <xf numFmtId="0" fontId="39" fillId="0" borderId="11" xfId="637" applyFont="1" applyBorder="1" applyAlignment="1">
      <alignment horizontal="center" vertical="center"/>
    </xf>
    <xf numFmtId="180" fontId="94" fillId="0" borderId="11" xfId="160" applyNumberFormat="1" applyFont="1" applyFill="1" applyBorder="1" applyAlignment="1">
      <alignment horizontal="right" vertical="center"/>
    </xf>
    <xf numFmtId="0" fontId="39" fillId="0" borderId="11" xfId="637" applyFont="1" applyBorder="1" applyAlignment="1">
      <alignment horizontal="left" vertical="center"/>
    </xf>
    <xf numFmtId="0" fontId="91" fillId="0" borderId="12" xfId="637" applyFont="1" applyBorder="1" applyAlignment="1">
      <alignment horizontal="left" vertical="center"/>
    </xf>
    <xf numFmtId="0" fontId="39" fillId="0" borderId="10" xfId="637" applyFont="1" applyBorder="1" applyAlignment="1">
      <alignment horizontal="left" vertical="center"/>
    </xf>
    <xf numFmtId="180" fontId="12" fillId="0" borderId="11" xfId="160" applyNumberFormat="1" applyFont="1" applyFill="1" applyBorder="1" applyAlignment="1">
      <alignment horizontal="right" vertical="center"/>
    </xf>
    <xf numFmtId="180" fontId="89" fillId="0" borderId="11" xfId="160" applyNumberFormat="1" applyFont="1" applyFill="1" applyBorder="1" applyAlignment="1">
      <alignment horizontal="right" vertical="center"/>
    </xf>
    <xf numFmtId="0" fontId="89" fillId="0" borderId="11" xfId="637" applyFont="1" applyBorder="1" applyAlignment="1">
      <alignment horizontal="left" vertical="center"/>
    </xf>
    <xf numFmtId="0" fontId="89" fillId="0" borderId="0" xfId="637" applyFont="1" applyAlignment="1">
      <alignment horizontal="left" vertical="center"/>
    </xf>
    <xf numFmtId="167" fontId="89" fillId="0" borderId="0" xfId="160" applyFont="1" applyAlignment="1">
      <alignment horizontal="right" vertical="center"/>
    </xf>
    <xf numFmtId="167" fontId="39" fillId="0" borderId="11" xfId="160" applyFont="1" applyBorder="1" applyAlignment="1">
      <alignment horizontal="right" vertical="center"/>
    </xf>
    <xf numFmtId="167" fontId="89" fillId="0" borderId="11" xfId="160" applyFont="1" applyBorder="1" applyAlignment="1">
      <alignment horizontal="right" vertical="center"/>
    </xf>
    <xf numFmtId="167" fontId="87" fillId="0" borderId="0" xfId="160" applyFont="1" applyAlignment="1">
      <alignment horizontal="right" vertical="center"/>
    </xf>
    <xf numFmtId="0" fontId="89" fillId="0" borderId="0" xfId="637" applyFont="1" applyAlignment="1">
      <alignment horizontal="center" vertical="center"/>
    </xf>
    <xf numFmtId="0" fontId="12" fillId="0" borderId="9" xfId="424" applyBorder="1" applyAlignment="1">
      <alignment horizontal="left" vertical="center"/>
    </xf>
    <xf numFmtId="0" fontId="39" fillId="0" borderId="0" xfId="637" applyFont="1"/>
    <xf numFmtId="0" fontId="12" fillId="0" borderId="0" xfId="424" applyAlignment="1">
      <alignment horizontal="left" vertical="center" wrapText="1"/>
    </xf>
    <xf numFmtId="0" fontId="12" fillId="0" borderId="0" xfId="424" applyAlignment="1">
      <alignment horizontal="left"/>
    </xf>
    <xf numFmtId="0" fontId="12" fillId="0" borderId="0" xfId="424" applyAlignment="1">
      <alignment horizontal="center"/>
    </xf>
    <xf numFmtId="0" fontId="12" fillId="0" borderId="0" xfId="424" applyAlignment="1">
      <alignment vertical="center" wrapText="1"/>
    </xf>
    <xf numFmtId="167" fontId="39" fillId="0" borderId="0" xfId="160" applyFont="1" applyAlignment="1">
      <alignment horizontal="center" vertical="center"/>
    </xf>
    <xf numFmtId="0" fontId="95" fillId="0" borderId="0" xfId="637" applyFont="1"/>
    <xf numFmtId="0" fontId="96" fillId="0" borderId="0" xfId="637" applyFont="1"/>
    <xf numFmtId="0" fontId="12" fillId="0" borderId="0" xfId="424"/>
    <xf numFmtId="0" fontId="42" fillId="0" borderId="0" xfId="424" applyFont="1"/>
    <xf numFmtId="167" fontId="89" fillId="0" borderId="0" xfId="160" applyFont="1" applyAlignment="1">
      <alignment horizontal="center" vertical="center"/>
    </xf>
    <xf numFmtId="167" fontId="39" fillId="0" borderId="0" xfId="160" applyFont="1" applyFill="1" applyAlignment="1">
      <alignment horizontal="right" vertical="center"/>
    </xf>
    <xf numFmtId="0" fontId="95" fillId="0" borderId="0" xfId="637" applyFont="1" applyAlignment="1">
      <alignment vertical="center"/>
    </xf>
    <xf numFmtId="167" fontId="39" fillId="0" borderId="0" xfId="160" applyFont="1" applyBorder="1" applyAlignment="1">
      <alignment horizontal="center" vertical="center"/>
    </xf>
    <xf numFmtId="0" fontId="43" fillId="23" borderId="13" xfId="0" applyFont="1" applyFill="1" applyBorder="1" applyAlignment="1">
      <alignment horizontal="justify" vertical="center"/>
    </xf>
    <xf numFmtId="0" fontId="43" fillId="23" borderId="13" xfId="0" applyFont="1" applyFill="1" applyBorder="1" applyAlignment="1">
      <alignment horizontal="center" vertical="center"/>
    </xf>
    <xf numFmtId="183" fontId="0" fillId="0" borderId="6" xfId="0" applyNumberFormat="1" applyBorder="1" applyAlignment="1">
      <alignment horizontal="right" vertical="center"/>
    </xf>
    <xf numFmtId="3" fontId="12" fillId="0" borderId="6" xfId="0" applyNumberFormat="1" applyFont="1" applyBorder="1" applyAlignment="1">
      <alignment horizontal="right" vertical="center"/>
    </xf>
    <xf numFmtId="0" fontId="97" fillId="24" borderId="6" xfId="0" applyFont="1" applyFill="1" applyBorder="1" applyAlignment="1">
      <alignment horizontal="justify" vertical="center" wrapText="1"/>
    </xf>
    <xf numFmtId="0" fontId="97" fillId="24" borderId="6" xfId="0" applyFont="1" applyFill="1" applyBorder="1" applyAlignment="1">
      <alignment horizontal="center" vertical="center"/>
    </xf>
    <xf numFmtId="183" fontId="0" fillId="0" borderId="12" xfId="0" applyNumberFormat="1" applyBorder="1" applyAlignment="1">
      <alignment horizontal="right" vertical="center"/>
    </xf>
    <xf numFmtId="0" fontId="12" fillId="0" borderId="0" xfId="0" applyFont="1"/>
    <xf numFmtId="0" fontId="0" fillId="28" borderId="6" xfId="0" applyFill="1" applyBorder="1" applyAlignment="1" applyProtection="1">
      <alignment horizontal="center" vertical="center"/>
      <protection locked="0"/>
    </xf>
    <xf numFmtId="0" fontId="12" fillId="28" borderId="6" xfId="0" applyFont="1" applyFill="1" applyBorder="1" applyAlignment="1" applyProtection="1">
      <alignment horizontal="center" vertical="center"/>
      <protection locked="0"/>
    </xf>
    <xf numFmtId="0" fontId="12" fillId="0" borderId="0" xfId="414"/>
    <xf numFmtId="0" fontId="45" fillId="0" borderId="0" xfId="302" applyNumberFormat="1" applyFont="1" applyAlignment="1">
      <alignment horizontal="center" vertical="center"/>
    </xf>
    <xf numFmtId="0" fontId="12" fillId="0" borderId="0" xfId="302" applyNumberFormat="1" applyFont="1" applyAlignment="1">
      <alignment horizontal="center" vertical="center"/>
    </xf>
    <xf numFmtId="0" fontId="41" fillId="0" borderId="14" xfId="414" applyFont="1" applyBorder="1" applyAlignment="1">
      <alignment vertical="center" wrapText="1"/>
    </xf>
    <xf numFmtId="0" fontId="41" fillId="0" borderId="15" xfId="414" applyFont="1" applyBorder="1" applyAlignment="1">
      <alignment vertical="center" wrapText="1"/>
    </xf>
    <xf numFmtId="168" fontId="50" fillId="0" borderId="0" xfId="312" applyFont="1" applyBorder="1" applyAlignment="1">
      <alignment horizontal="right" vertical="center"/>
    </xf>
    <xf numFmtId="0" fontId="50" fillId="0" borderId="0" xfId="414" applyFont="1" applyAlignment="1">
      <alignment horizontal="center" vertical="center"/>
    </xf>
    <xf numFmtId="0" fontId="50" fillId="0" borderId="0" xfId="414" applyFont="1" applyAlignment="1">
      <alignment vertical="center"/>
    </xf>
    <xf numFmtId="168" fontId="50" fillId="29" borderId="0" xfId="312" applyFont="1" applyFill="1" applyBorder="1" applyAlignment="1">
      <alignment horizontal="right" vertical="center"/>
    </xf>
    <xf numFmtId="0" fontId="50" fillId="29" borderId="0" xfId="414" applyFont="1" applyFill="1" applyAlignment="1">
      <alignment horizontal="center" vertical="center"/>
    </xf>
    <xf numFmtId="0" fontId="50" fillId="29" borderId="0" xfId="414" applyFont="1" applyFill="1" applyAlignment="1">
      <alignment vertical="center"/>
    </xf>
    <xf numFmtId="0" fontId="50" fillId="30" borderId="0" xfId="414" applyFont="1" applyFill="1" applyAlignment="1">
      <alignment vertical="center"/>
    </xf>
    <xf numFmtId="0" fontId="53" fillId="29" borderId="6" xfId="414" applyFont="1" applyFill="1" applyBorder="1" applyAlignment="1">
      <alignment horizontal="center" vertical="center" wrapText="1"/>
    </xf>
    <xf numFmtId="4" fontId="53" fillId="29" borderId="6" xfId="414" applyNumberFormat="1" applyFont="1" applyFill="1" applyBorder="1" applyAlignment="1">
      <alignment horizontal="center" vertical="center" wrapText="1"/>
    </xf>
    <xf numFmtId="184" fontId="50" fillId="29" borderId="0" xfId="312" applyNumberFormat="1" applyFont="1" applyFill="1" applyBorder="1" applyAlignment="1">
      <alignment horizontal="right" vertical="center"/>
    </xf>
    <xf numFmtId="0" fontId="50" fillId="29" borderId="6" xfId="414" applyFont="1" applyFill="1" applyBorder="1" applyAlignment="1">
      <alignment horizontal="center" vertical="center" wrapText="1"/>
    </xf>
    <xf numFmtId="191" fontId="50" fillId="0" borderId="6" xfId="414" applyNumberFormat="1" applyFont="1" applyBorder="1" applyAlignment="1">
      <alignment horizontal="right" vertical="center" wrapText="1"/>
    </xf>
    <xf numFmtId="0" fontId="53" fillId="29" borderId="6" xfId="414" applyFont="1" applyFill="1" applyBorder="1" applyAlignment="1">
      <alignment horizontal="right" vertical="center" wrapText="1"/>
    </xf>
    <xf numFmtId="4" fontId="50" fillId="29" borderId="6" xfId="301" applyNumberFormat="1" applyFont="1" applyFill="1" applyBorder="1" applyAlignment="1">
      <alignment horizontal="center" vertical="center" wrapText="1"/>
    </xf>
    <xf numFmtId="190" fontId="53" fillId="0" borderId="6" xfId="301" applyNumberFormat="1" applyFont="1" applyFill="1" applyBorder="1" applyAlignment="1">
      <alignment horizontal="right" vertical="center" wrapText="1"/>
    </xf>
    <xf numFmtId="49" fontId="50" fillId="29" borderId="6" xfId="414" applyNumberFormat="1" applyFont="1" applyFill="1" applyBorder="1" applyAlignment="1">
      <alignment horizontal="justify" vertical="center" wrapText="1"/>
    </xf>
    <xf numFmtId="190" fontId="50" fillId="0" borderId="6" xfId="301" applyNumberFormat="1" applyFont="1" applyFill="1" applyBorder="1" applyAlignment="1">
      <alignment horizontal="right" vertical="center" wrapText="1"/>
    </xf>
    <xf numFmtId="0" fontId="50" fillId="29" borderId="6" xfId="414" applyFont="1" applyFill="1" applyBorder="1" applyAlignment="1">
      <alignment horizontal="center" vertical="center"/>
    </xf>
    <xf numFmtId="4" fontId="50" fillId="29" borderId="6" xfId="414" applyNumberFormat="1" applyFont="1" applyFill="1" applyBorder="1" applyAlignment="1">
      <alignment horizontal="center" vertical="center"/>
    </xf>
    <xf numFmtId="0" fontId="50" fillId="0" borderId="0" xfId="414" applyFont="1" applyAlignment="1">
      <alignment horizontal="center" vertical="center" wrapText="1"/>
    </xf>
    <xf numFmtId="0" fontId="53" fillId="0" borderId="0" xfId="414" applyFont="1" applyAlignment="1">
      <alignment horizontal="left" vertical="center" wrapText="1"/>
    </xf>
    <xf numFmtId="4" fontId="50" fillId="0" borderId="0" xfId="301" applyNumberFormat="1" applyFont="1" applyFill="1" applyBorder="1" applyAlignment="1">
      <alignment horizontal="center" vertical="center"/>
    </xf>
    <xf numFmtId="183" fontId="50" fillId="0" borderId="0" xfId="301" applyNumberFormat="1" applyFont="1" applyFill="1" applyBorder="1" applyAlignment="1">
      <alignment horizontal="right" vertical="center"/>
    </xf>
    <xf numFmtId="184" fontId="50" fillId="0" borderId="0" xfId="312" applyNumberFormat="1" applyFont="1" applyBorder="1" applyAlignment="1">
      <alignment horizontal="right" vertical="center"/>
    </xf>
    <xf numFmtId="0" fontId="50" fillId="0" borderId="0" xfId="414" applyFont="1" applyAlignment="1">
      <alignment horizontal="justify" vertical="center" wrapText="1"/>
    </xf>
    <xf numFmtId="4" fontId="50" fillId="0" borderId="0" xfId="649" applyNumberFormat="1" applyFont="1" applyAlignment="1">
      <alignment horizontal="center" vertical="center" wrapText="1"/>
    </xf>
    <xf numFmtId="183" fontId="50" fillId="0" borderId="0" xfId="649" applyNumberFormat="1" applyFont="1" applyAlignment="1">
      <alignment horizontal="right" vertical="center" wrapText="1"/>
    </xf>
    <xf numFmtId="0" fontId="50" fillId="0" borderId="0" xfId="414" applyFont="1" applyAlignment="1">
      <alignment horizontal="justify" vertical="center"/>
    </xf>
    <xf numFmtId="0" fontId="53" fillId="0" borderId="0" xfId="414" applyFont="1" applyAlignment="1">
      <alignment horizontal="right" vertical="center" wrapText="1"/>
    </xf>
    <xf numFmtId="183" fontId="53" fillId="0" borderId="0" xfId="301" applyNumberFormat="1" applyFont="1" applyFill="1" applyBorder="1" applyAlignment="1">
      <alignment horizontal="right" vertical="center"/>
    </xf>
    <xf numFmtId="0" fontId="53" fillId="0" borderId="0" xfId="414" applyFont="1" applyAlignment="1">
      <alignment vertical="center"/>
    </xf>
    <xf numFmtId="4" fontId="50" fillId="0" borderId="0" xfId="414" applyNumberFormat="1" applyFont="1" applyAlignment="1">
      <alignment horizontal="center" vertical="center"/>
    </xf>
    <xf numFmtId="0" fontId="0" fillId="0" borderId="6" xfId="0" applyBorder="1"/>
    <xf numFmtId="0" fontId="12" fillId="0" borderId="6" xfId="0" applyFont="1" applyBorder="1"/>
    <xf numFmtId="0" fontId="12" fillId="0" borderId="6" xfId="0" applyFont="1" applyBorder="1" applyAlignment="1">
      <alignment horizontal="center" vertical="center"/>
    </xf>
    <xf numFmtId="3" fontId="12" fillId="0" borderId="6" xfId="147" applyNumberFormat="1" applyFont="1" applyFill="1" applyBorder="1" applyAlignment="1" applyProtection="1">
      <alignment horizontal="right" vertical="center"/>
    </xf>
    <xf numFmtId="0" fontId="12" fillId="0" borderId="6" xfId="0" applyFont="1" applyBorder="1" applyAlignment="1">
      <alignment horizontal="justify" vertical="center" wrapText="1"/>
    </xf>
    <xf numFmtId="0" fontId="37" fillId="0" borderId="6" xfId="0" applyFont="1" applyBorder="1" applyAlignment="1">
      <alignment horizontal="center" vertical="center"/>
    </xf>
    <xf numFmtId="0" fontId="12" fillId="0" borderId="6" xfId="0" applyFont="1" applyBorder="1" applyAlignment="1">
      <alignment horizontal="justify" vertical="top"/>
    </xf>
    <xf numFmtId="17" fontId="0" fillId="0" borderId="6" xfId="0" applyNumberFormat="1" applyBorder="1" applyAlignment="1">
      <alignment vertical="center"/>
    </xf>
    <xf numFmtId="0" fontId="43" fillId="28" borderId="6" xfId="0" applyFont="1" applyFill="1" applyBorder="1" applyAlignment="1">
      <alignment vertical="center"/>
    </xf>
    <xf numFmtId="0" fontId="34" fillId="0" borderId="6" xfId="0" applyFont="1" applyBorder="1" applyAlignment="1">
      <alignment horizontal="left" vertical="center"/>
    </xf>
    <xf numFmtId="0" fontId="57" fillId="0" borderId="0" xfId="0" applyFont="1" applyAlignment="1">
      <alignment vertical="center"/>
    </xf>
    <xf numFmtId="0" fontId="43" fillId="0" borderId="0" xfId="0" applyFont="1" applyAlignment="1">
      <alignment vertical="center"/>
    </xf>
    <xf numFmtId="0" fontId="43" fillId="0" borderId="0" xfId="0" applyFont="1" applyAlignment="1">
      <alignment horizontal="center" vertical="center"/>
    </xf>
    <xf numFmtId="184" fontId="0" fillId="0" borderId="6" xfId="0" applyNumberFormat="1" applyBorder="1"/>
    <xf numFmtId="178" fontId="0" fillId="0" borderId="6" xfId="0" applyNumberFormat="1" applyBorder="1" applyAlignment="1">
      <alignment horizontal="center" vertical="center"/>
    </xf>
    <xf numFmtId="0" fontId="43" fillId="28" borderId="0" xfId="0" applyFont="1" applyFill="1" applyAlignment="1">
      <alignment vertical="center"/>
    </xf>
    <xf numFmtId="2" fontId="43" fillId="23" borderId="13" xfId="0" applyNumberFormat="1" applyFont="1" applyFill="1" applyBorder="1" applyAlignment="1">
      <alignment horizontal="center" vertical="center"/>
    </xf>
    <xf numFmtId="2" fontId="43" fillId="23" borderId="18" xfId="0" applyNumberFormat="1" applyFont="1" applyFill="1" applyBorder="1" applyAlignment="1">
      <alignment horizontal="center" vertical="center"/>
    </xf>
    <xf numFmtId="2" fontId="44" fillId="24" borderId="6" xfId="0" applyNumberFormat="1" applyFont="1" applyFill="1" applyBorder="1" applyAlignment="1">
      <alignment vertical="center"/>
    </xf>
    <xf numFmtId="2" fontId="0" fillId="0" borderId="0" xfId="0" applyNumberFormat="1"/>
    <xf numFmtId="2" fontId="43" fillId="28" borderId="6" xfId="0" applyNumberFormat="1" applyFont="1" applyFill="1" applyBorder="1" applyAlignment="1">
      <alignment vertical="center"/>
    </xf>
    <xf numFmtId="2" fontId="43" fillId="28" borderId="0" xfId="0" applyNumberFormat="1" applyFont="1" applyFill="1" applyAlignment="1">
      <alignment vertical="center"/>
    </xf>
    <xf numFmtId="179" fontId="34" fillId="0" borderId="19" xfId="303" applyNumberFormat="1" applyFont="1" applyFill="1" applyBorder="1"/>
    <xf numFmtId="179" fontId="34" fillId="0" borderId="8" xfId="303" applyNumberFormat="1" applyFont="1" applyFill="1" applyBorder="1"/>
    <xf numFmtId="179" fontId="34" fillId="0" borderId="20" xfId="303" applyNumberFormat="1" applyFont="1" applyFill="1" applyBorder="1"/>
    <xf numFmtId="10" fontId="34" fillId="0" borderId="6" xfId="654" applyNumberFormat="1" applyFont="1" applyFill="1" applyBorder="1" applyAlignment="1">
      <alignment horizontal="center" vertical="center"/>
    </xf>
    <xf numFmtId="10" fontId="34" fillId="0" borderId="19" xfId="303" applyNumberFormat="1" applyFont="1" applyFill="1" applyBorder="1" applyAlignment="1">
      <alignment horizontal="center"/>
    </xf>
    <xf numFmtId="10" fontId="34" fillId="0" borderId="8" xfId="303" applyNumberFormat="1" applyFont="1" applyFill="1" applyBorder="1" applyAlignment="1">
      <alignment horizontal="center"/>
    </xf>
    <xf numFmtId="10" fontId="34" fillId="0" borderId="20" xfId="303" applyNumberFormat="1" applyFont="1" applyFill="1" applyBorder="1" applyAlignment="1">
      <alignment horizontal="center"/>
    </xf>
    <xf numFmtId="184" fontId="34" fillId="0" borderId="6" xfId="303" applyNumberFormat="1" applyFont="1" applyFill="1" applyBorder="1" applyAlignment="1">
      <alignment vertical="center"/>
    </xf>
    <xf numFmtId="184" fontId="35" fillId="0" borderId="6" xfId="0" applyNumberFormat="1" applyFont="1" applyBorder="1" applyAlignment="1">
      <alignment vertical="center"/>
    </xf>
    <xf numFmtId="176" fontId="34" fillId="0" borderId="19" xfId="303" applyNumberFormat="1" applyFont="1" applyFill="1" applyBorder="1" applyAlignment="1"/>
    <xf numFmtId="176" fontId="34" fillId="0" borderId="8" xfId="303" applyNumberFormat="1" applyFont="1" applyFill="1" applyBorder="1" applyAlignment="1"/>
    <xf numFmtId="0" fontId="34" fillId="0" borderId="8" xfId="650" applyFont="1" applyBorder="1" applyAlignment="1">
      <alignment horizontal="center"/>
    </xf>
    <xf numFmtId="0" fontId="34" fillId="0" borderId="19" xfId="650" applyFont="1" applyBorder="1" applyAlignment="1">
      <alignment horizontal="center"/>
    </xf>
    <xf numFmtId="176" fontId="34" fillId="0" borderId="20" xfId="303" applyNumberFormat="1" applyFont="1" applyFill="1" applyBorder="1" applyAlignment="1"/>
    <xf numFmtId="0" fontId="34" fillId="0" borderId="20" xfId="650" applyFont="1" applyBorder="1" applyAlignment="1">
      <alignment horizontal="center"/>
    </xf>
    <xf numFmtId="166" fontId="12" fillId="0" borderId="6" xfId="303" applyNumberFormat="1" applyFont="1" applyFill="1" applyBorder="1" applyAlignment="1" applyProtection="1">
      <alignment horizontal="right" vertical="center"/>
    </xf>
    <xf numFmtId="167" fontId="30" fillId="0" borderId="10" xfId="146" applyFont="1" applyBorder="1" applyAlignment="1">
      <alignment horizontal="center"/>
    </xf>
    <xf numFmtId="0" fontId="30" fillId="0" borderId="10" xfId="0" applyFont="1" applyBorder="1"/>
    <xf numFmtId="0" fontId="31" fillId="0" borderId="12" xfId="0" applyFont="1" applyBorder="1" applyAlignment="1">
      <alignment horizontal="center"/>
    </xf>
    <xf numFmtId="0" fontId="60" fillId="0" borderId="0" xfId="0" applyFont="1"/>
    <xf numFmtId="0" fontId="61" fillId="0" borderId="0" xfId="0" applyFont="1" applyAlignment="1">
      <alignment horizontal="center"/>
    </xf>
    <xf numFmtId="0" fontId="60" fillId="0" borderId="0" xfId="0" applyFont="1" applyAlignment="1">
      <alignment horizontal="center"/>
    </xf>
    <xf numFmtId="0" fontId="61" fillId="30" borderId="10" xfId="0" applyFont="1" applyFill="1" applyBorder="1"/>
    <xf numFmtId="0" fontId="61" fillId="30" borderId="12" xfId="0" applyFont="1" applyFill="1" applyBorder="1" applyAlignment="1">
      <alignment horizontal="center"/>
    </xf>
    <xf numFmtId="0" fontId="61" fillId="30" borderId="6" xfId="0" applyFont="1" applyFill="1" applyBorder="1"/>
    <xf numFmtId="0" fontId="61" fillId="30" borderId="6" xfId="0" applyFont="1" applyFill="1" applyBorder="1" applyAlignment="1">
      <alignment horizontal="center"/>
    </xf>
    <xf numFmtId="0" fontId="60" fillId="30" borderId="6" xfId="0" applyFont="1" applyFill="1" applyBorder="1"/>
    <xf numFmtId="0" fontId="60" fillId="0" borderId="6" xfId="0" applyFont="1" applyBorder="1"/>
    <xf numFmtId="0" fontId="60" fillId="0" borderId="6" xfId="0" applyFont="1" applyBorder="1" applyAlignment="1">
      <alignment horizontal="center"/>
    </xf>
    <xf numFmtId="167" fontId="60" fillId="0" borderId="6" xfId="146" applyFont="1" applyFill="1" applyBorder="1"/>
    <xf numFmtId="167" fontId="60" fillId="35" borderId="6" xfId="146" applyFont="1" applyFill="1" applyBorder="1"/>
    <xf numFmtId="167" fontId="60" fillId="0" borderId="6" xfId="146" applyFont="1" applyBorder="1" applyAlignment="1">
      <alignment horizontal="center"/>
    </xf>
    <xf numFmtId="9" fontId="60" fillId="0" borderId="6" xfId="0" applyNumberFormat="1" applyFont="1" applyBorder="1" applyAlignment="1">
      <alignment horizontal="center"/>
    </xf>
    <xf numFmtId="9" fontId="60" fillId="0" borderId="6" xfId="0" applyNumberFormat="1" applyFont="1" applyBorder="1"/>
    <xf numFmtId="167" fontId="61" fillId="0" borderId="6" xfId="146" applyFont="1" applyFill="1" applyBorder="1"/>
    <xf numFmtId="10" fontId="60" fillId="0" borderId="6" xfId="654" applyNumberFormat="1" applyFont="1" applyBorder="1" applyAlignment="1">
      <alignment horizontal="center"/>
    </xf>
    <xf numFmtId="10" fontId="60" fillId="0" borderId="6" xfId="654" applyNumberFormat="1" applyFont="1" applyFill="1" applyBorder="1" applyAlignment="1">
      <alignment horizontal="center"/>
    </xf>
    <xf numFmtId="10" fontId="60" fillId="0" borderId="6" xfId="654" applyNumberFormat="1" applyFont="1" applyFill="1" applyBorder="1"/>
    <xf numFmtId="10" fontId="60" fillId="0" borderId="6" xfId="0" applyNumberFormat="1" applyFont="1" applyBorder="1" applyAlignment="1">
      <alignment horizontal="center"/>
    </xf>
    <xf numFmtId="0" fontId="61" fillId="36" borderId="6" xfId="0" applyFont="1" applyFill="1" applyBorder="1"/>
    <xf numFmtId="0" fontId="60" fillId="36" borderId="6" xfId="0" applyFont="1" applyFill="1" applyBorder="1" applyAlignment="1">
      <alignment horizontal="center"/>
    </xf>
    <xf numFmtId="167" fontId="61" fillId="36" borderId="6" xfId="0" applyNumberFormat="1" applyFont="1" applyFill="1" applyBorder="1"/>
    <xf numFmtId="9" fontId="61" fillId="36" borderId="6" xfId="0" applyNumberFormat="1" applyFont="1" applyFill="1" applyBorder="1" applyAlignment="1">
      <alignment horizontal="center"/>
    </xf>
    <xf numFmtId="9" fontId="61" fillId="36" borderId="6" xfId="0" applyNumberFormat="1" applyFont="1" applyFill="1" applyBorder="1"/>
    <xf numFmtId="171" fontId="60" fillId="0" borderId="0" xfId="146" applyNumberFormat="1" applyFont="1"/>
    <xf numFmtId="10" fontId="60" fillId="0" borderId="0" xfId="0" applyNumberFormat="1" applyFont="1" applyAlignment="1">
      <alignment horizontal="center"/>
    </xf>
    <xf numFmtId="194" fontId="31" fillId="0" borderId="0" xfId="654" applyNumberFormat="1" applyFont="1"/>
    <xf numFmtId="2" fontId="60" fillId="0" borderId="6" xfId="146" applyNumberFormat="1" applyFont="1" applyBorder="1" applyAlignment="1">
      <alignment horizontal="center"/>
    </xf>
    <xf numFmtId="2" fontId="60" fillId="0" borderId="6" xfId="0" applyNumberFormat="1" applyFont="1" applyBorder="1" applyAlignment="1">
      <alignment horizontal="center"/>
    </xf>
    <xf numFmtId="177" fontId="60" fillId="0" borderId="6" xfId="0" applyNumberFormat="1" applyFont="1" applyBorder="1" applyAlignment="1">
      <alignment horizontal="center"/>
    </xf>
    <xf numFmtId="167" fontId="60" fillId="0" borderId="0" xfId="0" applyNumberFormat="1" applyFont="1" applyAlignment="1">
      <alignment horizontal="center"/>
    </xf>
    <xf numFmtId="167" fontId="60" fillId="0" borderId="6" xfId="146" applyFont="1" applyBorder="1" applyAlignment="1">
      <alignment horizontal="center" vertical="center"/>
    </xf>
    <xf numFmtId="179" fontId="35" fillId="0" borderId="19" xfId="0" applyNumberFormat="1" applyFont="1" applyBorder="1" applyAlignment="1">
      <alignment horizontal="center" vertical="center"/>
    </xf>
    <xf numFmtId="179" fontId="35" fillId="0" borderId="8" xfId="0" applyNumberFormat="1" applyFont="1" applyBorder="1" applyAlignment="1">
      <alignment horizontal="center" vertical="center"/>
    </xf>
    <xf numFmtId="179" fontId="35" fillId="0" borderId="20" xfId="0" applyNumberFormat="1" applyFont="1" applyBorder="1" applyAlignment="1">
      <alignment horizontal="center" vertical="center"/>
    </xf>
    <xf numFmtId="170" fontId="36" fillId="0" borderId="0" xfId="303" applyFont="1"/>
    <xf numFmtId="165" fontId="45" fillId="0" borderId="21" xfId="302" applyFont="1" applyBorder="1" applyAlignment="1">
      <alignment horizontal="center" vertical="center"/>
    </xf>
    <xf numFmtId="0" fontId="34" fillId="0" borderId="19" xfId="650" applyFont="1" applyBorder="1" applyAlignment="1">
      <alignment vertical="center"/>
    </xf>
    <xf numFmtId="0" fontId="34" fillId="0" borderId="8" xfId="650" applyFont="1" applyBorder="1" applyAlignment="1">
      <alignment vertical="center"/>
    </xf>
    <xf numFmtId="0" fontId="34" fillId="0" borderId="20" xfId="650" applyFont="1" applyBorder="1" applyAlignment="1">
      <alignment vertical="center"/>
    </xf>
    <xf numFmtId="0" fontId="34" fillId="0" borderId="19" xfId="650" applyFont="1" applyBorder="1" applyAlignment="1">
      <alignment horizontal="center" vertical="center"/>
    </xf>
    <xf numFmtId="0" fontId="34" fillId="0" borderId="8" xfId="650" applyFont="1" applyBorder="1" applyAlignment="1">
      <alignment horizontal="center" vertical="center"/>
    </xf>
    <xf numFmtId="0" fontId="34" fillId="37" borderId="6" xfId="0" applyFont="1" applyFill="1" applyBorder="1" applyAlignment="1">
      <alignment horizontal="center" vertical="center"/>
    </xf>
    <xf numFmtId="0" fontId="34" fillId="37" borderId="6" xfId="0" applyFont="1" applyFill="1" applyBorder="1" applyAlignment="1">
      <alignment horizontal="left" vertical="center"/>
    </xf>
    <xf numFmtId="184" fontId="35" fillId="37" borderId="6" xfId="0" applyNumberFormat="1" applyFont="1" applyFill="1" applyBorder="1" applyAlignment="1">
      <alignment vertical="center"/>
    </xf>
    <xf numFmtId="176" fontId="34" fillId="37" borderId="19" xfId="303" applyNumberFormat="1" applyFont="1" applyFill="1" applyBorder="1" applyAlignment="1"/>
    <xf numFmtId="0" fontId="34" fillId="37" borderId="19" xfId="650" applyFont="1" applyFill="1" applyBorder="1" applyAlignment="1">
      <alignment horizontal="center"/>
    </xf>
    <xf numFmtId="179" fontId="34" fillId="37" borderId="19" xfId="303" applyNumberFormat="1" applyFont="1" applyFill="1" applyBorder="1"/>
    <xf numFmtId="10" fontId="34" fillId="37" borderId="19" xfId="303" applyNumberFormat="1" applyFont="1" applyFill="1" applyBorder="1" applyAlignment="1">
      <alignment horizontal="center"/>
    </xf>
    <xf numFmtId="176" fontId="34" fillId="37" borderId="8" xfId="303" applyNumberFormat="1" applyFont="1" applyFill="1" applyBorder="1" applyAlignment="1"/>
    <xf numFmtId="0" fontId="34" fillId="37" borderId="8" xfId="650" applyFont="1" applyFill="1" applyBorder="1" applyAlignment="1">
      <alignment horizontal="center"/>
    </xf>
    <xf numFmtId="179" fontId="34" fillId="37" borderId="8" xfId="303" applyNumberFormat="1" applyFont="1" applyFill="1" applyBorder="1"/>
    <xf numFmtId="10" fontId="34" fillId="37" borderId="8" xfId="303" applyNumberFormat="1" applyFont="1" applyFill="1" applyBorder="1" applyAlignment="1">
      <alignment horizontal="center"/>
    </xf>
    <xf numFmtId="0" fontId="32" fillId="28" borderId="6" xfId="0" applyFont="1" applyFill="1" applyBorder="1" applyAlignment="1">
      <alignment horizontal="center" vertical="center"/>
    </xf>
    <xf numFmtId="0" fontId="32" fillId="28" borderId="6" xfId="650" applyFont="1" applyFill="1" applyBorder="1" applyAlignment="1">
      <alignment horizontal="center" vertical="center"/>
    </xf>
    <xf numFmtId="0" fontId="32" fillId="28" borderId="6" xfId="650" applyFont="1" applyFill="1" applyBorder="1" applyAlignment="1">
      <alignment horizontal="center" vertical="center" wrapText="1"/>
    </xf>
    <xf numFmtId="179" fontId="32" fillId="28" borderId="6" xfId="303" applyNumberFormat="1" applyFont="1" applyFill="1" applyBorder="1" applyAlignment="1">
      <alignment horizontal="center" vertical="center"/>
    </xf>
    <xf numFmtId="179" fontId="32" fillId="28" borderId="6" xfId="303" applyNumberFormat="1" applyFont="1" applyFill="1" applyBorder="1" applyAlignment="1">
      <alignment horizontal="center" vertical="center" wrapText="1"/>
    </xf>
    <xf numFmtId="0" fontId="32" fillId="28" borderId="6" xfId="0" applyFont="1" applyFill="1" applyBorder="1" applyAlignment="1">
      <alignment horizontal="center" vertical="center" wrapText="1"/>
    </xf>
    <xf numFmtId="0" fontId="34" fillId="37" borderId="19" xfId="650" applyFont="1" applyFill="1" applyBorder="1" applyAlignment="1">
      <alignment horizontal="center" vertical="center"/>
    </xf>
    <xf numFmtId="0" fontId="34" fillId="37" borderId="8" xfId="650" applyFont="1" applyFill="1" applyBorder="1" applyAlignment="1">
      <alignment horizontal="center" vertical="center"/>
    </xf>
    <xf numFmtId="0" fontId="34" fillId="37" borderId="20" xfId="650" applyFont="1" applyFill="1" applyBorder="1" applyAlignment="1">
      <alignment horizontal="center" vertical="center"/>
    </xf>
    <xf numFmtId="176" fontId="34" fillId="37" borderId="20" xfId="303" applyNumberFormat="1" applyFont="1" applyFill="1" applyBorder="1" applyAlignment="1"/>
    <xf numFmtId="0" fontId="34" fillId="37" borderId="20" xfId="650" applyFont="1" applyFill="1" applyBorder="1" applyAlignment="1">
      <alignment horizontal="center"/>
    </xf>
    <xf numFmtId="179" fontId="34" fillId="37" borderId="20" xfId="303" applyNumberFormat="1" applyFont="1" applyFill="1" applyBorder="1"/>
    <xf numFmtId="10" fontId="34" fillId="37" borderId="20" xfId="303" applyNumberFormat="1" applyFont="1" applyFill="1" applyBorder="1" applyAlignment="1">
      <alignment horizontal="center"/>
    </xf>
    <xf numFmtId="0" fontId="34" fillId="37" borderId="19" xfId="650" applyFont="1" applyFill="1" applyBorder="1" applyAlignment="1">
      <alignment vertical="center"/>
    </xf>
    <xf numFmtId="0" fontId="34" fillId="37" borderId="8" xfId="650" applyFont="1" applyFill="1" applyBorder="1" applyAlignment="1">
      <alignment vertical="center"/>
    </xf>
    <xf numFmtId="0" fontId="12" fillId="0" borderId="0" xfId="414" applyAlignment="1">
      <alignment horizontal="center"/>
    </xf>
    <xf numFmtId="0" fontId="34" fillId="0" borderId="0" xfId="0" applyFont="1" applyAlignment="1">
      <alignment horizontal="center"/>
    </xf>
    <xf numFmtId="179" fontId="35" fillId="37" borderId="19" xfId="0" applyNumberFormat="1" applyFont="1" applyFill="1" applyBorder="1" applyAlignment="1">
      <alignment horizontal="center" vertical="center"/>
    </xf>
    <xf numFmtId="179" fontId="35" fillId="37" borderId="20" xfId="0" applyNumberFormat="1" applyFont="1" applyFill="1" applyBorder="1" applyAlignment="1">
      <alignment horizontal="center" vertical="center"/>
    </xf>
    <xf numFmtId="179" fontId="35" fillId="37" borderId="6" xfId="0" applyNumberFormat="1" applyFont="1" applyFill="1" applyBorder="1" applyAlignment="1">
      <alignment horizontal="center" vertical="center"/>
    </xf>
    <xf numFmtId="0" fontId="12" fillId="0" borderId="0" xfId="414" applyAlignment="1">
      <alignment vertical="center"/>
    </xf>
    <xf numFmtId="0" fontId="34" fillId="37" borderId="20" xfId="650" applyFont="1" applyFill="1" applyBorder="1" applyAlignment="1">
      <alignment vertical="center"/>
    </xf>
    <xf numFmtId="0" fontId="36" fillId="0" borderId="0" xfId="0" applyFont="1" applyAlignment="1">
      <alignment vertical="center"/>
    </xf>
    <xf numFmtId="0" fontId="36" fillId="0" borderId="0" xfId="0" applyFont="1" applyAlignment="1">
      <alignment horizontal="center" vertical="center"/>
    </xf>
    <xf numFmtId="0" fontId="34" fillId="0" borderId="0" xfId="0" applyFont="1" applyAlignment="1">
      <alignment vertical="center"/>
    </xf>
    <xf numFmtId="178" fontId="34" fillId="0" borderId="19" xfId="650" applyNumberFormat="1" applyFont="1" applyBorder="1" applyAlignment="1">
      <alignment horizontal="center"/>
    </xf>
    <xf numFmtId="167" fontId="34" fillId="0" borderId="20" xfId="650" applyNumberFormat="1" applyFont="1" applyBorder="1" applyAlignment="1">
      <alignment horizontal="center" vertical="center"/>
    </xf>
    <xf numFmtId="167" fontId="34" fillId="0" borderId="8" xfId="650" applyNumberFormat="1" applyFont="1" applyBorder="1" applyAlignment="1">
      <alignment horizontal="center" vertical="center"/>
    </xf>
    <xf numFmtId="196" fontId="34" fillId="0" borderId="20" xfId="303" applyNumberFormat="1" applyFont="1" applyFill="1" applyBorder="1"/>
    <xf numFmtId="178" fontId="34" fillId="37" borderId="19" xfId="650" applyNumberFormat="1" applyFont="1" applyFill="1" applyBorder="1" applyAlignment="1">
      <alignment horizontal="center"/>
    </xf>
    <xf numFmtId="0" fontId="33" fillId="37" borderId="0" xfId="0" applyFont="1" applyFill="1"/>
    <xf numFmtId="167" fontId="34" fillId="37" borderId="20" xfId="650" applyNumberFormat="1" applyFont="1" applyFill="1" applyBorder="1" applyAlignment="1">
      <alignment horizontal="center" vertical="center"/>
    </xf>
    <xf numFmtId="196" fontId="34" fillId="37" borderId="20" xfId="303" applyNumberFormat="1" applyFont="1" applyFill="1" applyBorder="1"/>
    <xf numFmtId="167" fontId="34" fillId="37" borderId="8" xfId="650" applyNumberFormat="1" applyFont="1" applyFill="1" applyBorder="1" applyAlignment="1">
      <alignment horizontal="center" vertical="center"/>
    </xf>
    <xf numFmtId="179" fontId="35" fillId="37" borderId="8" xfId="0" applyNumberFormat="1" applyFont="1" applyFill="1" applyBorder="1" applyAlignment="1">
      <alignment horizontal="center" vertical="center"/>
    </xf>
    <xf numFmtId="1" fontId="34" fillId="0" borderId="19" xfId="650" applyNumberFormat="1" applyFont="1" applyBorder="1" applyAlignment="1">
      <alignment horizontal="center"/>
    </xf>
    <xf numFmtId="1" fontId="34" fillId="37" borderId="19" xfId="650" applyNumberFormat="1" applyFont="1" applyFill="1" applyBorder="1" applyAlignment="1">
      <alignment horizontal="center"/>
    </xf>
    <xf numFmtId="0" fontId="34" fillId="29" borderId="6" xfId="0" applyFont="1" applyFill="1" applyBorder="1" applyAlignment="1">
      <alignment horizontal="center" vertical="center"/>
    </xf>
    <xf numFmtId="0" fontId="34" fillId="29" borderId="6" xfId="0" applyFont="1" applyFill="1" applyBorder="1" applyAlignment="1">
      <alignment horizontal="left" vertical="center"/>
    </xf>
    <xf numFmtId="179" fontId="35" fillId="29" borderId="6" xfId="0" applyNumberFormat="1" applyFont="1" applyFill="1" applyBorder="1" applyAlignment="1">
      <alignment horizontal="center" vertical="center"/>
    </xf>
    <xf numFmtId="184" fontId="35" fillId="29" borderId="6" xfId="0" applyNumberFormat="1" applyFont="1" applyFill="1" applyBorder="1" applyAlignment="1">
      <alignment vertical="center"/>
    </xf>
    <xf numFmtId="0" fontId="33" fillId="29" borderId="0" xfId="0" applyFont="1" applyFill="1"/>
    <xf numFmtId="0" fontId="34" fillId="29" borderId="6" xfId="650" applyFont="1" applyFill="1" applyBorder="1" applyAlignment="1">
      <alignment vertical="center"/>
    </xf>
    <xf numFmtId="0" fontId="34" fillId="29" borderId="6" xfId="650" applyFont="1" applyFill="1" applyBorder="1" applyAlignment="1">
      <alignment horizontal="center" vertical="center"/>
    </xf>
    <xf numFmtId="176" fontId="34" fillId="29" borderId="6" xfId="303" applyNumberFormat="1" applyFont="1" applyFill="1" applyBorder="1" applyAlignment="1"/>
    <xf numFmtId="0" fontId="34" fillId="29" borderId="6" xfId="650" applyFont="1" applyFill="1" applyBorder="1" applyAlignment="1">
      <alignment horizontal="center"/>
    </xf>
    <xf numFmtId="179" fontId="34" fillId="29" borderId="6" xfId="303" applyNumberFormat="1" applyFont="1" applyFill="1" applyBorder="1"/>
    <xf numFmtId="10" fontId="34" fillId="29" borderId="6" xfId="303" applyNumberFormat="1" applyFont="1" applyFill="1" applyBorder="1" applyAlignment="1">
      <alignment horizontal="center"/>
    </xf>
    <xf numFmtId="167" fontId="34" fillId="37" borderId="19" xfId="650" applyNumberFormat="1" applyFont="1" applyFill="1" applyBorder="1" applyAlignment="1">
      <alignment horizontal="center" vertical="center"/>
    </xf>
    <xf numFmtId="165" fontId="12" fillId="0" borderId="20" xfId="302" applyFont="1" applyBorder="1" applyAlignment="1">
      <alignment horizontal="center" vertical="center"/>
    </xf>
    <xf numFmtId="165" fontId="47" fillId="0" borderId="22" xfId="302" applyFont="1" applyBorder="1" applyAlignment="1">
      <alignment horizontal="center" vertical="center"/>
    </xf>
    <xf numFmtId="165" fontId="47" fillId="0" borderId="23" xfId="302" applyFont="1" applyBorder="1" applyAlignment="1">
      <alignment horizontal="center" vertical="center"/>
    </xf>
    <xf numFmtId="165" fontId="46" fillId="0" borderId="24" xfId="302" applyFont="1" applyBorder="1" applyAlignment="1">
      <alignment vertical="center"/>
    </xf>
    <xf numFmtId="165" fontId="46" fillId="0" borderId="25" xfId="302" applyFont="1" applyBorder="1" applyAlignment="1">
      <alignment vertical="center"/>
    </xf>
    <xf numFmtId="165" fontId="46" fillId="0" borderId="9" xfId="302" applyFont="1" applyBorder="1" applyAlignment="1">
      <alignment vertical="center"/>
    </xf>
    <xf numFmtId="165" fontId="46" fillId="0" borderId="0" xfId="302" applyFont="1" applyBorder="1" applyAlignment="1">
      <alignment vertical="center"/>
    </xf>
    <xf numFmtId="0" fontId="0" fillId="0" borderId="15" xfId="0" applyBorder="1" applyAlignment="1">
      <alignment vertical="center"/>
    </xf>
    <xf numFmtId="49" fontId="47" fillId="0" borderId="25" xfId="414" applyNumberFormat="1" applyFont="1" applyBorder="1" applyAlignment="1">
      <alignment vertical="center" wrapText="1"/>
    </xf>
    <xf numFmtId="165" fontId="12" fillId="0" borderId="0" xfId="302" applyAlignment="1">
      <alignment vertical="center"/>
    </xf>
    <xf numFmtId="165" fontId="12" fillId="0" borderId="0" xfId="302" applyAlignment="1">
      <alignment horizontal="center" vertical="center"/>
    </xf>
    <xf numFmtId="165" fontId="12" fillId="0" borderId="0" xfId="302" applyFont="1" applyAlignment="1">
      <alignment horizontal="center" vertical="center"/>
    </xf>
    <xf numFmtId="0" fontId="48" fillId="0" borderId="0" xfId="145" applyAlignment="1" applyProtection="1">
      <alignment vertical="center"/>
    </xf>
    <xf numFmtId="0" fontId="12" fillId="0" borderId="0" xfId="302" applyNumberFormat="1" applyAlignment="1">
      <alignment vertical="center"/>
    </xf>
    <xf numFmtId="0" fontId="12" fillId="0" borderId="0" xfId="302" applyNumberFormat="1" applyAlignment="1">
      <alignment horizontal="center" vertical="center"/>
    </xf>
    <xf numFmtId="0" fontId="12" fillId="0" borderId="0" xfId="302" applyNumberFormat="1" applyFont="1" applyAlignment="1">
      <alignment vertical="center" wrapText="1"/>
    </xf>
    <xf numFmtId="49" fontId="12" fillId="0" borderId="0" xfId="302" applyNumberFormat="1" applyFont="1" applyAlignment="1">
      <alignment horizontal="left" vertical="center" wrapText="1"/>
    </xf>
    <xf numFmtId="49" fontId="12" fillId="0" borderId="0" xfId="302" applyNumberFormat="1" applyFont="1" applyAlignment="1">
      <alignment vertical="center" wrapText="1"/>
    </xf>
    <xf numFmtId="4" fontId="45" fillId="0" borderId="0" xfId="414" applyNumberFormat="1" applyFont="1" applyAlignment="1">
      <alignment vertical="center" wrapText="1"/>
    </xf>
    <xf numFmtId="165" fontId="45" fillId="0" borderId="0" xfId="302" applyFont="1" applyAlignment="1">
      <alignment vertical="center"/>
    </xf>
    <xf numFmtId="0" fontId="45" fillId="0" borderId="15" xfId="414" applyFont="1" applyBorder="1" applyAlignment="1">
      <alignment vertical="center" wrapText="1"/>
    </xf>
    <xf numFmtId="165" fontId="47" fillId="0" borderId="26" xfId="302" applyFont="1" applyBorder="1" applyAlignment="1">
      <alignment vertical="center"/>
    </xf>
    <xf numFmtId="165" fontId="12" fillId="0" borderId="27" xfId="302" applyBorder="1" applyAlignment="1">
      <alignment vertical="center"/>
    </xf>
    <xf numFmtId="165" fontId="47" fillId="0" borderId="27" xfId="302" applyFont="1" applyBorder="1" applyAlignment="1">
      <alignment horizontal="center" vertical="center"/>
    </xf>
    <xf numFmtId="165" fontId="47" fillId="0" borderId="15" xfId="302" applyFont="1" applyFill="1" applyBorder="1" applyAlignment="1">
      <alignment horizontal="center" vertical="center"/>
    </xf>
    <xf numFmtId="165" fontId="47" fillId="0" borderId="28" xfId="302" applyFont="1" applyFill="1" applyBorder="1" applyAlignment="1">
      <alignment horizontal="center" vertical="center"/>
    </xf>
    <xf numFmtId="165" fontId="47" fillId="0" borderId="28" xfId="302" applyFont="1" applyBorder="1" applyAlignment="1">
      <alignment horizontal="center" vertical="center"/>
    </xf>
    <xf numFmtId="165" fontId="47" fillId="0" borderId="29" xfId="302" applyFont="1" applyBorder="1" applyAlignment="1">
      <alignment horizontal="center" vertical="center"/>
    </xf>
    <xf numFmtId="185" fontId="12" fillId="0" borderId="30" xfId="302" applyNumberFormat="1" applyBorder="1" applyAlignment="1">
      <alignment vertical="center"/>
    </xf>
    <xf numFmtId="165" fontId="12" fillId="0" borderId="0" xfId="302" applyFont="1" applyBorder="1" applyAlignment="1">
      <alignment vertical="center"/>
    </xf>
    <xf numFmtId="165" fontId="12" fillId="0" borderId="0" xfId="302" applyBorder="1" applyAlignment="1">
      <alignment vertical="center"/>
    </xf>
    <xf numFmtId="184" fontId="12" fillId="0" borderId="31" xfId="413" quotePrefix="1" applyNumberFormat="1" applyFont="1" applyBorder="1" applyAlignment="1">
      <alignment vertical="center"/>
    </xf>
    <xf numFmtId="186" fontId="12" fillId="0" borderId="32" xfId="413" quotePrefix="1" applyNumberFormat="1" applyFont="1" applyBorder="1" applyAlignment="1">
      <alignment vertical="center"/>
    </xf>
    <xf numFmtId="193" fontId="12" fillId="0" borderId="0" xfId="414" applyNumberFormat="1" applyAlignment="1">
      <alignment vertical="center"/>
    </xf>
    <xf numFmtId="184" fontId="12" fillId="0" borderId="0" xfId="413" quotePrefix="1" applyNumberFormat="1" applyFont="1" applyBorder="1" applyAlignment="1">
      <alignment vertical="center"/>
    </xf>
    <xf numFmtId="186" fontId="12" fillId="0" borderId="33" xfId="413" quotePrefix="1" applyNumberFormat="1" applyFont="1" applyBorder="1" applyAlignment="1">
      <alignment vertical="center"/>
    </xf>
    <xf numFmtId="185" fontId="12" fillId="0" borderId="34" xfId="302" applyNumberFormat="1" applyBorder="1" applyAlignment="1">
      <alignment vertical="center"/>
    </xf>
    <xf numFmtId="165" fontId="12" fillId="0" borderId="15" xfId="302" applyFont="1" applyBorder="1" applyAlignment="1">
      <alignment vertical="center"/>
    </xf>
    <xf numFmtId="165" fontId="12" fillId="0" borderId="15" xfId="302" applyBorder="1" applyAlignment="1">
      <alignment vertical="center"/>
    </xf>
    <xf numFmtId="165" fontId="12" fillId="0" borderId="28" xfId="302" applyFont="1" applyBorder="1" applyAlignment="1">
      <alignment horizontal="center" vertical="center"/>
    </xf>
    <xf numFmtId="184" fontId="12" fillId="0" borderId="28" xfId="302" applyNumberFormat="1" applyBorder="1" applyAlignment="1">
      <alignment vertical="center"/>
    </xf>
    <xf numFmtId="165" fontId="45" fillId="0" borderId="7" xfId="302" applyFont="1" applyBorder="1" applyAlignment="1">
      <alignment horizontal="center" vertical="center"/>
    </xf>
    <xf numFmtId="186" fontId="45" fillId="0" borderId="7" xfId="413" applyNumberFormat="1" applyFont="1" applyBorder="1" applyAlignment="1">
      <alignment vertical="center"/>
    </xf>
    <xf numFmtId="186" fontId="45" fillId="0" borderId="0" xfId="413" applyNumberFormat="1" applyFont="1" applyBorder="1" applyAlignment="1">
      <alignment vertical="center"/>
    </xf>
    <xf numFmtId="165" fontId="12" fillId="0" borderId="15" xfId="302" applyBorder="1" applyAlignment="1">
      <alignment horizontal="center" vertical="center"/>
    </xf>
    <xf numFmtId="165" fontId="47" fillId="0" borderId="35" xfId="302" applyFont="1" applyBorder="1" applyAlignment="1">
      <alignment horizontal="center" vertical="center"/>
    </xf>
    <xf numFmtId="165" fontId="47" fillId="0" borderId="36" xfId="302" applyFont="1" applyBorder="1" applyAlignment="1">
      <alignment horizontal="center" vertical="center"/>
    </xf>
    <xf numFmtId="49" fontId="12" fillId="0" borderId="37" xfId="302" applyNumberFormat="1" applyBorder="1" applyAlignment="1">
      <alignment vertical="center"/>
    </xf>
    <xf numFmtId="49" fontId="12" fillId="0" borderId="30" xfId="302" applyNumberFormat="1" applyBorder="1" applyAlignment="1">
      <alignment vertical="center"/>
    </xf>
    <xf numFmtId="49" fontId="12" fillId="0" borderId="34" xfId="302" applyNumberFormat="1" applyBorder="1" applyAlignment="1">
      <alignment vertical="center"/>
    </xf>
    <xf numFmtId="165" fontId="12" fillId="0" borderId="38" xfId="302" applyFont="1" applyBorder="1" applyAlignment="1">
      <alignment vertical="center"/>
    </xf>
    <xf numFmtId="187" fontId="12" fillId="0" borderId="29" xfId="302" applyNumberFormat="1" applyBorder="1" applyAlignment="1">
      <alignment vertical="center"/>
    </xf>
    <xf numFmtId="165" fontId="45" fillId="0" borderId="7" xfId="302" applyFont="1" applyBorder="1" applyAlignment="1">
      <alignment vertical="center"/>
    </xf>
    <xf numFmtId="165" fontId="45" fillId="0" borderId="0" xfId="302" applyFont="1" applyBorder="1" applyAlignment="1">
      <alignment vertical="center"/>
    </xf>
    <xf numFmtId="165" fontId="45" fillId="0" borderId="15" xfId="302" applyFont="1" applyBorder="1" applyAlignment="1">
      <alignment vertical="center"/>
    </xf>
    <xf numFmtId="0" fontId="47" fillId="0" borderId="22" xfId="414" applyFont="1" applyBorder="1" applyAlignment="1">
      <alignment horizontal="center" vertical="center"/>
    </xf>
    <xf numFmtId="185" fontId="12" fillId="0" borderId="37" xfId="302" applyNumberFormat="1" applyBorder="1" applyAlignment="1">
      <alignment vertical="center"/>
    </xf>
    <xf numFmtId="165" fontId="12" fillId="0" borderId="39" xfId="302" applyFont="1" applyBorder="1" applyAlignment="1">
      <alignment vertical="center"/>
    </xf>
    <xf numFmtId="166" fontId="12" fillId="0" borderId="0" xfId="413" quotePrefix="1" applyNumberFormat="1" applyFont="1" applyBorder="1" applyAlignment="1">
      <alignment vertical="center"/>
    </xf>
    <xf numFmtId="185" fontId="12" fillId="0" borderId="30" xfId="414" applyNumberFormat="1" applyBorder="1" applyAlignment="1">
      <alignment vertical="center"/>
    </xf>
    <xf numFmtId="166" fontId="12" fillId="0" borderId="20" xfId="302" applyNumberFormat="1" applyFont="1" applyBorder="1" applyAlignment="1">
      <alignment vertical="center"/>
    </xf>
    <xf numFmtId="185" fontId="12" fillId="0" borderId="34" xfId="414" applyNumberFormat="1" applyBorder="1" applyAlignment="1">
      <alignment vertical="center"/>
    </xf>
    <xf numFmtId="0" fontId="12" fillId="0" borderId="15" xfId="414" applyBorder="1" applyAlignment="1">
      <alignment vertical="center"/>
    </xf>
    <xf numFmtId="166" fontId="12" fillId="0" borderId="15" xfId="302" applyNumberFormat="1" applyBorder="1" applyAlignment="1">
      <alignment vertical="center"/>
    </xf>
    <xf numFmtId="189" fontId="22" fillId="0" borderId="0" xfId="202" applyNumberFormat="1" applyFont="1" applyBorder="1" applyAlignment="1">
      <alignment vertical="center"/>
    </xf>
    <xf numFmtId="189" fontId="0" fillId="0" borderId="0" xfId="202" applyNumberFormat="1" applyFont="1" applyBorder="1" applyAlignment="1">
      <alignment vertical="center"/>
    </xf>
    <xf numFmtId="186" fontId="45" fillId="0" borderId="7" xfId="302" applyNumberFormat="1" applyFont="1" applyBorder="1" applyAlignment="1">
      <alignment vertical="center"/>
    </xf>
    <xf numFmtId="186" fontId="45" fillId="0" borderId="0" xfId="302" applyNumberFormat="1" applyFont="1" applyBorder="1" applyAlignment="1">
      <alignment vertical="center"/>
    </xf>
    <xf numFmtId="0" fontId="12" fillId="0" borderId="30" xfId="302" applyNumberFormat="1" applyBorder="1" applyAlignment="1">
      <alignment horizontal="center" vertical="center"/>
    </xf>
    <xf numFmtId="0" fontId="12" fillId="0" borderId="34" xfId="302" applyNumberFormat="1" applyBorder="1" applyAlignment="1">
      <alignment horizontal="center" vertical="center"/>
    </xf>
    <xf numFmtId="165" fontId="45" fillId="0" borderId="0" xfId="302" applyFont="1" applyAlignment="1">
      <alignment horizontal="center" vertical="center"/>
    </xf>
    <xf numFmtId="165" fontId="45" fillId="0" borderId="0" xfId="302" applyFont="1" applyAlignment="1">
      <alignment horizontal="centerContinuous" vertical="center"/>
    </xf>
    <xf numFmtId="187" fontId="45" fillId="0" borderId="7" xfId="302" applyNumberFormat="1" applyFont="1" applyBorder="1" applyAlignment="1">
      <alignment vertical="center"/>
    </xf>
    <xf numFmtId="187" fontId="45" fillId="0" borderId="0" xfId="302" applyNumberFormat="1" applyFont="1" applyBorder="1" applyAlignment="1">
      <alignment vertical="center"/>
    </xf>
    <xf numFmtId="0" fontId="58" fillId="0" borderId="0" xfId="414" applyFont="1" applyAlignment="1">
      <alignment vertical="center"/>
    </xf>
    <xf numFmtId="0" fontId="59" fillId="0" borderId="0" xfId="414" applyFont="1" applyAlignment="1">
      <alignment vertical="center"/>
    </xf>
    <xf numFmtId="165" fontId="12" fillId="0" borderId="0" xfId="302" applyFont="1" applyBorder="1" applyAlignment="1">
      <alignment horizontal="center" vertical="center"/>
    </xf>
    <xf numFmtId="165" fontId="12" fillId="0" borderId="0" xfId="302" applyFont="1" applyBorder="1" applyAlignment="1">
      <alignment horizontal="left" vertical="center"/>
    </xf>
    <xf numFmtId="0" fontId="34" fillId="30" borderId="19" xfId="650" applyFont="1" applyFill="1" applyBorder="1" applyAlignment="1">
      <alignment vertical="center"/>
    </xf>
    <xf numFmtId="0" fontId="34" fillId="30" borderId="19" xfId="650" applyFont="1" applyFill="1" applyBorder="1" applyAlignment="1">
      <alignment horizontal="center" vertical="center"/>
    </xf>
    <xf numFmtId="176" fontId="34" fillId="30" borderId="19" xfId="303" applyNumberFormat="1" applyFont="1" applyFill="1" applyBorder="1" applyAlignment="1"/>
    <xf numFmtId="179" fontId="34" fillId="30" borderId="19" xfId="303" applyNumberFormat="1" applyFont="1" applyFill="1" applyBorder="1"/>
    <xf numFmtId="10" fontId="34" fillId="30" borderId="19" xfId="303" applyNumberFormat="1" applyFont="1" applyFill="1" applyBorder="1" applyAlignment="1">
      <alignment horizontal="center"/>
    </xf>
    <xf numFmtId="179" fontId="35" fillId="30" borderId="19" xfId="0" applyNumberFormat="1" applyFont="1" applyFill="1" applyBorder="1" applyAlignment="1">
      <alignment horizontal="center" vertical="center"/>
    </xf>
    <xf numFmtId="0" fontId="34" fillId="30" borderId="8" xfId="650" applyFont="1" applyFill="1" applyBorder="1" applyAlignment="1">
      <alignment vertical="center"/>
    </xf>
    <xf numFmtId="176" fontId="34" fillId="30" borderId="8" xfId="303" applyNumberFormat="1" applyFont="1" applyFill="1" applyBorder="1" applyAlignment="1"/>
    <xf numFmtId="0" fontId="34" fillId="30" borderId="8" xfId="650" applyFont="1" applyFill="1" applyBorder="1" applyAlignment="1">
      <alignment horizontal="center"/>
    </xf>
    <xf numFmtId="179" fontId="34" fillId="30" borderId="8" xfId="303" applyNumberFormat="1" applyFont="1" applyFill="1" applyBorder="1"/>
    <xf numFmtId="10" fontId="34" fillId="30" borderId="8" xfId="303" applyNumberFormat="1" applyFont="1" applyFill="1" applyBorder="1" applyAlignment="1">
      <alignment horizontal="center"/>
    </xf>
    <xf numFmtId="179" fontId="35" fillId="30" borderId="8" xfId="0" applyNumberFormat="1" applyFont="1" applyFill="1" applyBorder="1" applyAlignment="1">
      <alignment horizontal="center" vertical="center"/>
    </xf>
    <xf numFmtId="0" fontId="33" fillId="29" borderId="0" xfId="0" applyFont="1" applyFill="1" applyAlignment="1">
      <alignment horizontal="center" vertical="center"/>
    </xf>
    <xf numFmtId="0" fontId="34" fillId="0" borderId="0" xfId="0" applyFont="1" applyAlignment="1">
      <alignment horizontal="center" vertical="center"/>
    </xf>
    <xf numFmtId="0" fontId="34" fillId="30" borderId="19" xfId="650" applyFont="1" applyFill="1" applyBorder="1" applyAlignment="1">
      <alignment horizontal="center"/>
    </xf>
    <xf numFmtId="0" fontId="34" fillId="30" borderId="8" xfId="650" applyFont="1" applyFill="1" applyBorder="1" applyAlignment="1">
      <alignment horizontal="center" vertical="center"/>
    </xf>
    <xf numFmtId="0" fontId="28" fillId="0" borderId="0" xfId="414" applyFont="1" applyAlignment="1">
      <alignment horizontal="center" vertical="center"/>
    </xf>
    <xf numFmtId="0" fontId="33" fillId="0" borderId="0" xfId="0" applyFont="1" applyAlignment="1">
      <alignment horizontal="center" vertical="center"/>
    </xf>
    <xf numFmtId="0" fontId="33" fillId="22" borderId="0" xfId="0" applyFont="1" applyFill="1" applyAlignment="1">
      <alignment horizontal="center" vertical="center"/>
    </xf>
    <xf numFmtId="0" fontId="33" fillId="0" borderId="6" xfId="0" applyFont="1" applyBorder="1" applyAlignment="1">
      <alignment horizontal="center" vertical="center"/>
    </xf>
    <xf numFmtId="0" fontId="35" fillId="0" borderId="6" xfId="0" applyFont="1" applyBorder="1" applyAlignment="1">
      <alignment horizontal="center" vertical="center"/>
    </xf>
    <xf numFmtId="0" fontId="35" fillId="37" borderId="6" xfId="0" applyFont="1" applyFill="1" applyBorder="1" applyAlignment="1">
      <alignment horizontal="center" vertical="center"/>
    </xf>
    <xf numFmtId="0" fontId="35" fillId="29" borderId="6" xfId="0" applyFont="1" applyFill="1" applyBorder="1" applyAlignment="1">
      <alignment horizontal="center" vertical="center"/>
    </xf>
    <xf numFmtId="187" fontId="12" fillId="0" borderId="29" xfId="302" applyNumberFormat="1" applyBorder="1" applyAlignment="1">
      <alignment horizontal="right" vertical="center"/>
    </xf>
    <xf numFmtId="184" fontId="0" fillId="0" borderId="6" xfId="303" applyNumberFormat="1" applyFont="1" applyFill="1" applyBorder="1"/>
    <xf numFmtId="184" fontId="0" fillId="0" borderId="6" xfId="303" applyNumberFormat="1" applyFont="1" applyFill="1" applyBorder="1" applyAlignment="1">
      <alignment horizontal="center" vertical="center"/>
    </xf>
    <xf numFmtId="184" fontId="12" fillId="0" borderId="6" xfId="303" applyNumberFormat="1" applyFont="1" applyFill="1" applyBorder="1" applyAlignment="1" applyProtection="1">
      <alignment horizontal="right" vertical="center"/>
    </xf>
    <xf numFmtId="184" fontId="12" fillId="0" borderId="6" xfId="303" applyNumberFormat="1" applyFont="1" applyFill="1" applyBorder="1" applyAlignment="1" applyProtection="1">
      <alignment horizontal="center" vertical="center"/>
    </xf>
    <xf numFmtId="0" fontId="43" fillId="26" borderId="6" xfId="0" applyFont="1" applyFill="1" applyBorder="1" applyAlignment="1">
      <alignment horizontal="center" vertical="center"/>
    </xf>
    <xf numFmtId="2" fontId="43" fillId="26" borderId="6" xfId="0" applyNumberFormat="1" applyFont="1" applyFill="1" applyBorder="1" applyAlignment="1">
      <alignment horizontal="center" vertical="center"/>
    </xf>
    <xf numFmtId="9" fontId="43" fillId="26" borderId="6" xfId="654" applyFont="1" applyFill="1" applyBorder="1" applyAlignment="1" applyProtection="1">
      <alignment horizontal="center" vertical="center"/>
    </xf>
    <xf numFmtId="175" fontId="12" fillId="0" borderId="6" xfId="305" applyFont="1" applyFill="1" applyBorder="1" applyAlignment="1" applyProtection="1">
      <alignment horizontal="center" vertical="center"/>
      <protection locked="0"/>
    </xf>
    <xf numFmtId="183" fontId="0" fillId="0" borderId="8" xfId="0" applyNumberFormat="1" applyBorder="1" applyAlignment="1">
      <alignment horizontal="right" vertical="center"/>
    </xf>
    <xf numFmtId="3" fontId="12" fillId="0" borderId="8" xfId="0" applyNumberFormat="1" applyFont="1" applyBorder="1" applyAlignment="1">
      <alignment horizontal="right" vertical="center"/>
    </xf>
    <xf numFmtId="175" fontId="12" fillId="0" borderId="8" xfId="305" applyFont="1" applyFill="1" applyBorder="1" applyAlignment="1" applyProtection="1">
      <alignment horizontal="center" vertical="center"/>
      <protection locked="0"/>
    </xf>
    <xf numFmtId="184" fontId="12" fillId="0" borderId="6" xfId="147" applyNumberFormat="1" applyFont="1" applyFill="1" applyBorder="1" applyAlignment="1" applyProtection="1">
      <alignment horizontal="right" vertical="center"/>
    </xf>
    <xf numFmtId="184" fontId="43" fillId="28" borderId="0" xfId="0" applyNumberFormat="1" applyFont="1" applyFill="1" applyAlignment="1">
      <alignment vertical="center"/>
    </xf>
    <xf numFmtId="184" fontId="12" fillId="0" borderId="6" xfId="0" applyNumberFormat="1" applyFont="1" applyBorder="1" applyAlignment="1">
      <alignment horizontal="right" vertical="center"/>
    </xf>
    <xf numFmtId="184" fontId="37" fillId="0" borderId="6" xfId="0" applyNumberFormat="1" applyFont="1" applyBorder="1" applyAlignment="1">
      <alignment horizontal="right" vertical="center"/>
    </xf>
    <xf numFmtId="2" fontId="43" fillId="0" borderId="0" xfId="0" applyNumberFormat="1" applyFont="1" applyAlignment="1">
      <alignment vertical="center"/>
    </xf>
    <xf numFmtId="2" fontId="43" fillId="0" borderId="6" xfId="0" applyNumberFormat="1" applyFont="1" applyBorder="1" applyAlignment="1">
      <alignment vertical="center"/>
    </xf>
    <xf numFmtId="0" fontId="43" fillId="0" borderId="6" xfId="0" applyFont="1" applyBorder="1" applyAlignment="1">
      <alignment vertical="center"/>
    </xf>
    <xf numFmtId="0" fontId="55" fillId="0" borderId="0" xfId="414" applyFont="1"/>
    <xf numFmtId="49" fontId="65" fillId="23" borderId="40" xfId="0" applyNumberFormat="1" applyFont="1" applyFill="1" applyBorder="1" applyAlignment="1">
      <alignment horizontal="center" vertical="center"/>
    </xf>
    <xf numFmtId="49" fontId="100" fillId="24" borderId="6" xfId="0" applyNumberFormat="1" applyFont="1" applyFill="1" applyBorder="1" applyAlignment="1">
      <alignment vertical="center"/>
    </xf>
    <xf numFmtId="49" fontId="65" fillId="28" borderId="6" xfId="0" applyNumberFormat="1" applyFont="1" applyFill="1" applyBorder="1" applyAlignment="1">
      <alignment vertical="center"/>
    </xf>
    <xf numFmtId="49" fontId="55" fillId="0" borderId="6" xfId="0" applyNumberFormat="1" applyFont="1" applyBorder="1"/>
    <xf numFmtId="49" fontId="55" fillId="0" borderId="6" xfId="0" applyNumberFormat="1" applyFont="1" applyBorder="1" applyAlignment="1">
      <alignment vertical="center"/>
    </xf>
    <xf numFmtId="49" fontId="65" fillId="28" borderId="31" xfId="0" applyNumberFormat="1" applyFont="1" applyFill="1" applyBorder="1" applyAlignment="1">
      <alignment vertical="center"/>
    </xf>
    <xf numFmtId="49" fontId="66" fillId="0" borderId="6" xfId="0" applyNumberFormat="1" applyFont="1" applyBorder="1" applyAlignment="1">
      <alignment vertical="center"/>
    </xf>
    <xf numFmtId="49" fontId="55" fillId="0" borderId="0" xfId="0" applyNumberFormat="1" applyFont="1"/>
    <xf numFmtId="2" fontId="12" fillId="0" borderId="41" xfId="302" applyNumberFormat="1" applyBorder="1" applyAlignment="1">
      <alignment horizontal="center" vertical="center"/>
    </xf>
    <xf numFmtId="2" fontId="12" fillId="0" borderId="29" xfId="302" applyNumberFormat="1" applyBorder="1" applyAlignment="1">
      <alignment vertical="center"/>
    </xf>
    <xf numFmtId="184" fontId="0" fillId="0" borderId="6" xfId="303" applyNumberFormat="1" applyFont="1" applyBorder="1"/>
    <xf numFmtId="2" fontId="12" fillId="0" borderId="29" xfId="302" applyNumberFormat="1" applyBorder="1" applyAlignment="1">
      <alignment horizontal="center" vertical="center"/>
    </xf>
    <xf numFmtId="0" fontId="12" fillId="0" borderId="0" xfId="302" applyNumberFormat="1" applyFont="1" applyBorder="1" applyAlignment="1">
      <alignment horizontal="center" vertical="center"/>
    </xf>
    <xf numFmtId="0" fontId="12" fillId="0" borderId="20" xfId="414" applyBorder="1" applyAlignment="1">
      <alignment horizontal="center" vertical="center"/>
    </xf>
    <xf numFmtId="0" fontId="12" fillId="0" borderId="28" xfId="414" applyBorder="1" applyAlignment="1">
      <alignment horizontal="center" vertical="center"/>
    </xf>
    <xf numFmtId="0" fontId="0" fillId="0" borderId="15" xfId="202" applyNumberFormat="1" applyFont="1" applyBorder="1" applyAlignment="1">
      <alignment horizontal="center" vertical="center"/>
    </xf>
    <xf numFmtId="2" fontId="12" fillId="0" borderId="20" xfId="302" applyNumberFormat="1" applyFont="1" applyBorder="1" applyAlignment="1">
      <alignment horizontal="center" vertical="center"/>
    </xf>
    <xf numFmtId="165" fontId="45" fillId="0" borderId="42" xfId="302" applyFont="1" applyBorder="1" applyAlignment="1">
      <alignment horizontal="center" vertical="center"/>
    </xf>
    <xf numFmtId="186" fontId="45" fillId="0" borderId="42" xfId="302" applyNumberFormat="1" applyFont="1" applyBorder="1" applyAlignment="1">
      <alignment vertical="center"/>
    </xf>
    <xf numFmtId="165" fontId="47" fillId="0" borderId="43" xfId="302" applyFont="1" applyBorder="1" applyAlignment="1">
      <alignment horizontal="center" vertical="center"/>
    </xf>
    <xf numFmtId="186" fontId="12" fillId="0" borderId="23" xfId="413" quotePrefix="1" applyNumberFormat="1" applyFont="1" applyBorder="1" applyAlignment="1">
      <alignment vertical="center"/>
    </xf>
    <xf numFmtId="2" fontId="12" fillId="0" borderId="28" xfId="302" applyNumberFormat="1" applyFont="1" applyBorder="1" applyAlignment="1">
      <alignment horizontal="center" vertical="center"/>
    </xf>
    <xf numFmtId="178" fontId="12" fillId="0" borderId="20" xfId="302" applyNumberFormat="1" applyFont="1" applyBorder="1" applyAlignment="1">
      <alignment horizontal="center" vertical="center"/>
    </xf>
    <xf numFmtId="0" fontId="45" fillId="0" borderId="0" xfId="302" applyNumberFormat="1" applyFont="1" applyAlignment="1">
      <alignment horizontal="left" vertical="center" wrapText="1"/>
    </xf>
    <xf numFmtId="49" fontId="45" fillId="0" borderId="0" xfId="302" applyNumberFormat="1" applyFont="1" applyAlignment="1">
      <alignment horizontal="left" vertical="center" wrapText="1"/>
    </xf>
    <xf numFmtId="49" fontId="47" fillId="0" borderId="0" xfId="414" applyNumberFormat="1" applyFont="1" applyAlignment="1">
      <alignment vertical="center" wrapText="1"/>
    </xf>
    <xf numFmtId="165" fontId="12" fillId="0" borderId="0" xfId="302" applyBorder="1" applyAlignment="1">
      <alignment horizontal="center" vertical="center"/>
    </xf>
    <xf numFmtId="0" fontId="45" fillId="0" borderId="0" xfId="302" applyNumberFormat="1" applyFont="1" applyBorder="1" applyAlignment="1">
      <alignment horizontal="center" vertical="center"/>
    </xf>
    <xf numFmtId="0" fontId="12" fillId="0" borderId="0" xfId="302" applyNumberFormat="1" applyBorder="1" applyAlignment="1">
      <alignment vertical="center"/>
    </xf>
    <xf numFmtId="0" fontId="12" fillId="0" borderId="0" xfId="302" applyNumberFormat="1" applyBorder="1" applyAlignment="1">
      <alignment horizontal="center" vertical="center"/>
    </xf>
    <xf numFmtId="0" fontId="12" fillId="0" borderId="0" xfId="302" applyNumberFormat="1" applyFont="1" applyBorder="1" applyAlignment="1">
      <alignment vertical="center" wrapText="1"/>
    </xf>
    <xf numFmtId="0" fontId="45" fillId="0" borderId="0" xfId="302" applyNumberFormat="1" applyFont="1" applyBorder="1" applyAlignment="1">
      <alignment horizontal="left" vertical="center" wrapText="1"/>
    </xf>
    <xf numFmtId="49" fontId="45" fillId="0" borderId="0" xfId="302" applyNumberFormat="1" applyFont="1" applyBorder="1" applyAlignment="1">
      <alignment horizontal="left" vertical="center" wrapText="1"/>
    </xf>
    <xf numFmtId="49" fontId="12" fillId="0" borderId="0" xfId="302" applyNumberFormat="1" applyFont="1" applyBorder="1" applyAlignment="1">
      <alignment horizontal="left" vertical="center" wrapText="1"/>
    </xf>
    <xf numFmtId="49" fontId="12" fillId="0" borderId="0" xfId="302" applyNumberFormat="1" applyFont="1" applyBorder="1" applyAlignment="1">
      <alignment vertical="center" wrapText="1"/>
    </xf>
    <xf numFmtId="0" fontId="45" fillId="30" borderId="0" xfId="302" applyNumberFormat="1" applyFont="1" applyFill="1" applyAlignment="1">
      <alignment horizontal="center" vertical="center"/>
    </xf>
    <xf numFmtId="9" fontId="12" fillId="0" borderId="20" xfId="654" applyFont="1" applyBorder="1" applyAlignment="1">
      <alignment horizontal="center" vertical="center"/>
    </xf>
    <xf numFmtId="49" fontId="55" fillId="0" borderId="31" xfId="0" applyNumberFormat="1" applyFont="1" applyBorder="1"/>
    <xf numFmtId="0" fontId="12" fillId="0" borderId="0" xfId="0" applyFont="1" applyAlignment="1">
      <alignment horizontal="center" vertical="center"/>
    </xf>
    <xf numFmtId="184" fontId="43" fillId="0" borderId="6" xfId="0" applyNumberFormat="1" applyFont="1" applyBorder="1" applyAlignment="1">
      <alignment vertical="center"/>
    </xf>
    <xf numFmtId="184" fontId="37" fillId="0" borderId="6" xfId="0" applyNumberFormat="1" applyFont="1" applyBorder="1" applyAlignment="1">
      <alignment vertical="center"/>
    </xf>
    <xf numFmtId="2" fontId="44" fillId="37" borderId="6" xfId="0" applyNumberFormat="1" applyFont="1" applyFill="1" applyBorder="1" applyAlignment="1">
      <alignment vertical="center"/>
    </xf>
    <xf numFmtId="183" fontId="0" fillId="37" borderId="12" xfId="0" applyNumberFormat="1" applyFill="1" applyBorder="1" applyAlignment="1">
      <alignment horizontal="right" vertical="center"/>
    </xf>
    <xf numFmtId="183" fontId="0" fillId="37" borderId="6" xfId="0" applyNumberFormat="1" applyFill="1" applyBorder="1" applyAlignment="1">
      <alignment horizontal="right" vertical="center"/>
    </xf>
    <xf numFmtId="3" fontId="12" fillId="37" borderId="6" xfId="0" applyNumberFormat="1" applyFont="1" applyFill="1" applyBorder="1" applyAlignment="1">
      <alignment horizontal="right" vertical="center"/>
    </xf>
    <xf numFmtId="175" fontId="12" fillId="37" borderId="6" xfId="305" applyFont="1" applyFill="1" applyBorder="1" applyAlignment="1" applyProtection="1">
      <alignment horizontal="center" vertical="center"/>
      <protection locked="0"/>
    </xf>
    <xf numFmtId="184" fontId="67" fillId="37" borderId="6" xfId="303" applyNumberFormat="1" applyFont="1" applyFill="1" applyBorder="1"/>
    <xf numFmtId="9" fontId="12" fillId="37" borderId="6" xfId="654" applyFont="1" applyFill="1" applyBorder="1" applyAlignment="1" applyProtection="1">
      <alignment horizontal="center" vertical="center"/>
    </xf>
    <xf numFmtId="0" fontId="45" fillId="38" borderId="6" xfId="0" applyFont="1" applyFill="1" applyBorder="1" applyAlignment="1">
      <alignment horizontal="center" vertical="center"/>
    </xf>
    <xf numFmtId="17" fontId="45" fillId="38" borderId="6" xfId="0" applyNumberFormat="1" applyFont="1" applyFill="1" applyBorder="1" applyAlignment="1">
      <alignment horizontal="center" vertical="center"/>
    </xf>
    <xf numFmtId="0" fontId="45" fillId="39" borderId="6" xfId="0" applyFont="1" applyFill="1" applyBorder="1" applyAlignment="1">
      <alignment horizontal="center" vertical="center"/>
    </xf>
    <xf numFmtId="17" fontId="45" fillId="39" borderId="6" xfId="0" applyNumberFormat="1" applyFont="1" applyFill="1" applyBorder="1" applyAlignment="1">
      <alignment horizontal="center" vertical="center"/>
    </xf>
    <xf numFmtId="184" fontId="12" fillId="0" borderId="8" xfId="303" applyNumberFormat="1" applyFont="1" applyFill="1" applyBorder="1" applyAlignment="1" applyProtection="1">
      <alignment horizontal="center" vertical="center"/>
    </xf>
    <xf numFmtId="17" fontId="0" fillId="0" borderId="8" xfId="0" applyNumberFormat="1" applyBorder="1" applyAlignment="1">
      <alignment vertical="center"/>
    </xf>
    <xf numFmtId="0" fontId="0" fillId="0" borderId="8" xfId="0" applyBorder="1"/>
    <xf numFmtId="184" fontId="37" fillId="0" borderId="44" xfId="0" applyNumberFormat="1" applyFont="1" applyBorder="1" applyAlignment="1">
      <alignment horizontal="right" vertical="center"/>
    </xf>
    <xf numFmtId="184" fontId="12" fillId="0" borderId="44" xfId="303" applyNumberFormat="1" applyFont="1" applyFill="1" applyBorder="1" applyAlignment="1" applyProtection="1">
      <alignment horizontal="center" vertical="center"/>
    </xf>
    <xf numFmtId="17" fontId="0" fillId="0" borderId="44" xfId="0" applyNumberFormat="1" applyBorder="1" applyAlignment="1">
      <alignment vertical="center"/>
    </xf>
    <xf numFmtId="0" fontId="0" fillId="0" borderId="44" xfId="0" applyBorder="1"/>
    <xf numFmtId="0" fontId="0" fillId="0" borderId="45" xfId="0" applyBorder="1"/>
    <xf numFmtId="184" fontId="0" fillId="39" borderId="6" xfId="0" applyNumberFormat="1" applyFill="1" applyBorder="1"/>
    <xf numFmtId="184" fontId="0" fillId="38" borderId="6" xfId="0" applyNumberFormat="1" applyFill="1" applyBorder="1"/>
    <xf numFmtId="184" fontId="0" fillId="39" borderId="44" xfId="0" applyNumberFormat="1" applyFill="1" applyBorder="1"/>
    <xf numFmtId="184" fontId="0" fillId="38" borderId="44" xfId="0" applyNumberFormat="1" applyFill="1" applyBorder="1"/>
    <xf numFmtId="184" fontId="0" fillId="39" borderId="8" xfId="0" applyNumberFormat="1" applyFill="1" applyBorder="1"/>
    <xf numFmtId="184" fontId="0" fillId="38" borderId="8" xfId="0" applyNumberFormat="1" applyFill="1" applyBorder="1"/>
    <xf numFmtId="49" fontId="65" fillId="28" borderId="46" xfId="0" applyNumberFormat="1" applyFont="1" applyFill="1" applyBorder="1" applyAlignment="1">
      <alignment vertical="center"/>
    </xf>
    <xf numFmtId="49" fontId="65" fillId="28" borderId="47" xfId="0" applyNumberFormat="1" applyFont="1" applyFill="1" applyBorder="1" applyAlignment="1">
      <alignment vertical="center"/>
    </xf>
    <xf numFmtId="49" fontId="65" fillId="28" borderId="45" xfId="0" applyNumberFormat="1" applyFont="1" applyFill="1" applyBorder="1" applyAlignment="1">
      <alignment vertical="center"/>
    </xf>
    <xf numFmtId="49" fontId="65" fillId="0" borderId="48" xfId="0" applyNumberFormat="1" applyFont="1" applyBorder="1" applyAlignment="1">
      <alignment vertical="center"/>
    </xf>
    <xf numFmtId="0" fontId="12" fillId="40" borderId="6" xfId="0" applyFont="1" applyFill="1" applyBorder="1" applyAlignment="1">
      <alignment horizontal="justify" vertical="center" wrapText="1"/>
    </xf>
    <xf numFmtId="3" fontId="12" fillId="40" borderId="6" xfId="147" applyNumberFormat="1" applyFont="1" applyFill="1" applyBorder="1" applyAlignment="1" applyProtection="1">
      <alignment horizontal="right" vertical="center"/>
    </xf>
    <xf numFmtId="184" fontId="37" fillId="40" borderId="6" xfId="0" applyNumberFormat="1" applyFont="1" applyFill="1" applyBorder="1" applyAlignment="1">
      <alignment horizontal="right" vertical="center"/>
    </xf>
    <xf numFmtId="184" fontId="12" fillId="40" borderId="6" xfId="303" applyNumberFormat="1" applyFont="1" applyFill="1" applyBorder="1" applyAlignment="1" applyProtection="1">
      <alignment horizontal="center" vertical="center"/>
    </xf>
    <xf numFmtId="17" fontId="0" fillId="40" borderId="6" xfId="0" applyNumberFormat="1" applyFill="1" applyBorder="1" applyAlignment="1">
      <alignment vertical="center"/>
    </xf>
    <xf numFmtId="0" fontId="0" fillId="40" borderId="6" xfId="0" applyFill="1" applyBorder="1"/>
    <xf numFmtId="3" fontId="12" fillId="0" borderId="6" xfId="147" applyNumberFormat="1" applyFont="1" applyFill="1" applyBorder="1" applyAlignment="1" applyProtection="1">
      <alignment horizontal="center" vertical="center"/>
    </xf>
    <xf numFmtId="198" fontId="101" fillId="0" borderId="20" xfId="303" applyNumberFormat="1" applyFont="1" applyBorder="1" applyAlignment="1">
      <alignment horizontal="center" vertical="center" wrapText="1"/>
    </xf>
    <xf numFmtId="0" fontId="101" fillId="0" borderId="49" xfId="424" applyFont="1" applyBorder="1" applyAlignment="1">
      <alignment horizontal="center" vertical="center" wrapText="1"/>
    </xf>
    <xf numFmtId="0" fontId="101" fillId="0" borderId="31" xfId="424" applyFont="1" applyBorder="1" applyAlignment="1">
      <alignment horizontal="center" vertical="center" wrapText="1"/>
    </xf>
    <xf numFmtId="0" fontId="101" fillId="0" borderId="50" xfId="424" applyFont="1" applyBorder="1" applyAlignment="1">
      <alignment horizontal="center" vertical="center" wrapText="1"/>
    </xf>
    <xf numFmtId="49" fontId="57" fillId="26" borderId="0" xfId="0" applyNumberFormat="1" applyFont="1" applyFill="1" applyAlignment="1">
      <alignment horizontal="center" vertical="center"/>
    </xf>
    <xf numFmtId="0" fontId="43" fillId="26" borderId="0" xfId="0" applyFont="1" applyFill="1" applyAlignment="1">
      <alignment horizontal="center" vertical="center"/>
    </xf>
    <xf numFmtId="184" fontId="0" fillId="0" borderId="0" xfId="0" applyNumberFormat="1"/>
    <xf numFmtId="184" fontId="43" fillId="0" borderId="0" xfId="0" applyNumberFormat="1" applyFont="1" applyAlignment="1">
      <alignment vertical="center"/>
    </xf>
    <xf numFmtId="0" fontId="0" fillId="40" borderId="0" xfId="0" applyFill="1"/>
    <xf numFmtId="0" fontId="12" fillId="38" borderId="6" xfId="0" applyFont="1" applyFill="1" applyBorder="1" applyAlignment="1">
      <alignment horizontal="justify" vertical="center" wrapText="1"/>
    </xf>
    <xf numFmtId="198" fontId="101" fillId="0" borderId="8" xfId="303" applyNumberFormat="1" applyFont="1" applyBorder="1" applyAlignment="1">
      <alignment horizontal="center" vertical="center" wrapText="1"/>
    </xf>
    <xf numFmtId="12" fontId="101" fillId="0" borderId="31" xfId="424" applyNumberFormat="1" applyFont="1" applyBorder="1" applyAlignment="1">
      <alignment horizontal="center" vertical="center" wrapText="1"/>
    </xf>
    <xf numFmtId="16" fontId="101" fillId="0" borderId="31" xfId="424" applyNumberFormat="1" applyFont="1" applyBorder="1" applyAlignment="1">
      <alignment horizontal="center" vertical="center" wrapText="1"/>
    </xf>
    <xf numFmtId="49" fontId="0" fillId="0" borderId="0" xfId="0" applyNumberFormat="1"/>
    <xf numFmtId="49" fontId="12" fillId="0" borderId="6" xfId="147" applyNumberFormat="1" applyFont="1" applyFill="1" applyBorder="1" applyAlignment="1" applyProtection="1">
      <alignment horizontal="center" vertical="center"/>
    </xf>
    <xf numFmtId="49" fontId="0" fillId="0" borderId="6" xfId="0" applyNumberFormat="1" applyBorder="1" applyAlignment="1">
      <alignment horizontal="center" vertical="center"/>
    </xf>
    <xf numFmtId="49" fontId="0" fillId="0" borderId="0" xfId="0" applyNumberFormat="1" applyAlignment="1">
      <alignment horizontal="center" vertical="center"/>
    </xf>
    <xf numFmtId="49" fontId="12" fillId="0" borderId="31" xfId="424" applyNumberFormat="1" applyBorder="1" applyAlignment="1">
      <alignment horizontal="center" vertical="center" wrapText="1"/>
    </xf>
    <xf numFmtId="49" fontId="12" fillId="0" borderId="50" xfId="424" applyNumberFormat="1" applyBorder="1" applyAlignment="1">
      <alignment horizontal="center" vertical="center" wrapText="1"/>
    </xf>
    <xf numFmtId="49" fontId="12" fillId="0" borderId="0" xfId="0" applyNumberFormat="1" applyFont="1"/>
    <xf numFmtId="49" fontId="101" fillId="0" borderId="31" xfId="424" applyNumberFormat="1" applyFont="1" applyBorder="1" applyAlignment="1">
      <alignment horizontal="center" vertical="center" wrapText="1"/>
    </xf>
    <xf numFmtId="49" fontId="101" fillId="0" borderId="50" xfId="424" applyNumberFormat="1" applyFont="1" applyBorder="1" applyAlignment="1">
      <alignment horizontal="center" vertical="center" wrapText="1"/>
    </xf>
    <xf numFmtId="49" fontId="0" fillId="0" borderId="0" xfId="0" applyNumberFormat="1" applyAlignment="1">
      <alignment horizontal="center"/>
    </xf>
    <xf numFmtId="49" fontId="12" fillId="0" borderId="0" xfId="0" applyNumberFormat="1" applyFont="1" applyAlignment="1">
      <alignment horizontal="center"/>
    </xf>
    <xf numFmtId="49" fontId="12" fillId="0" borderId="0" xfId="0" applyNumberFormat="1" applyFont="1" applyAlignment="1">
      <alignment horizontal="center" vertical="center"/>
    </xf>
    <xf numFmtId="3" fontId="12" fillId="41" borderId="6" xfId="147" applyNumberFormat="1" applyFont="1" applyFill="1" applyBorder="1" applyAlignment="1" applyProtection="1">
      <alignment horizontal="left" vertical="center"/>
    </xf>
    <xf numFmtId="184" fontId="37" fillId="41" borderId="6" xfId="0" applyNumberFormat="1" applyFont="1" applyFill="1" applyBorder="1" applyAlignment="1">
      <alignment horizontal="right" vertical="center"/>
    </xf>
    <xf numFmtId="0" fontId="0" fillId="0" borderId="41" xfId="0" applyBorder="1"/>
    <xf numFmtId="0" fontId="0" fillId="0" borderId="51" xfId="0" applyBorder="1" applyAlignment="1">
      <alignment vertical="center"/>
    </xf>
    <xf numFmtId="0" fontId="101" fillId="0" borderId="0" xfId="424" applyFont="1" applyAlignment="1">
      <alignment horizontal="center" vertical="center" wrapText="1"/>
    </xf>
    <xf numFmtId="49" fontId="58" fillId="40" borderId="6" xfId="0" applyNumberFormat="1" applyFont="1" applyFill="1" applyBorder="1" applyAlignment="1">
      <alignment vertical="center"/>
    </xf>
    <xf numFmtId="3" fontId="12" fillId="0" borderId="6" xfId="147" applyNumberFormat="1" applyFont="1" applyFill="1" applyBorder="1" applyAlignment="1" applyProtection="1">
      <alignment horizontal="left" vertical="center"/>
    </xf>
    <xf numFmtId="0" fontId="12" fillId="0" borderId="8" xfId="0" applyFont="1" applyBorder="1" applyAlignment="1">
      <alignment horizontal="justify" vertical="center" wrapText="1"/>
    </xf>
    <xf numFmtId="3" fontId="12" fillId="0" borderId="8" xfId="147" applyNumberFormat="1" applyFont="1" applyFill="1" applyBorder="1" applyAlignment="1" applyProtection="1">
      <alignment horizontal="center" vertical="center"/>
    </xf>
    <xf numFmtId="184" fontId="37" fillId="0" borderId="8" xfId="0" applyNumberFormat="1" applyFont="1" applyBorder="1" applyAlignment="1">
      <alignment horizontal="right" vertical="center"/>
    </xf>
    <xf numFmtId="0" fontId="12" fillId="0" borderId="44" xfId="0" applyFont="1" applyBorder="1" applyAlignment="1">
      <alignment horizontal="justify" vertical="center" wrapText="1"/>
    </xf>
    <xf numFmtId="3" fontId="12" fillId="0" borderId="44" xfId="147" applyNumberFormat="1" applyFont="1" applyFill="1" applyBorder="1" applyAlignment="1" applyProtection="1">
      <alignment horizontal="center" vertical="center"/>
    </xf>
    <xf numFmtId="49" fontId="0" fillId="0" borderId="45" xfId="0" applyNumberFormat="1" applyBorder="1" applyAlignment="1">
      <alignment horizontal="center" vertical="center"/>
    </xf>
    <xf numFmtId="0" fontId="12" fillId="0" borderId="52" xfId="0" applyFont="1" applyBorder="1" applyAlignment="1">
      <alignment horizontal="justify" vertical="center" wrapText="1"/>
    </xf>
    <xf numFmtId="3" fontId="12" fillId="0" borderId="52" xfId="147" applyNumberFormat="1" applyFont="1" applyFill="1" applyBorder="1" applyAlignment="1" applyProtection="1">
      <alignment horizontal="center" vertical="center"/>
    </xf>
    <xf numFmtId="184" fontId="37" fillId="0" borderId="52" xfId="0" applyNumberFormat="1" applyFont="1" applyBorder="1" applyAlignment="1">
      <alignment horizontal="right" vertical="center"/>
    </xf>
    <xf numFmtId="184" fontId="12" fillId="0" borderId="52" xfId="303" applyNumberFormat="1" applyFont="1" applyFill="1" applyBorder="1" applyAlignment="1" applyProtection="1">
      <alignment horizontal="center" vertical="center"/>
    </xf>
    <xf numFmtId="17" fontId="0" fillId="0" borderId="52" xfId="0" applyNumberFormat="1" applyBorder="1" applyAlignment="1">
      <alignment vertical="center"/>
    </xf>
    <xf numFmtId="0" fontId="0" fillId="0" borderId="52" xfId="0" applyBorder="1"/>
    <xf numFmtId="0" fontId="0" fillId="0" borderId="53" xfId="0" applyBorder="1"/>
    <xf numFmtId="49" fontId="0" fillId="0" borderId="53" xfId="0" applyNumberFormat="1" applyBorder="1" applyAlignment="1">
      <alignment horizontal="center" vertical="center"/>
    </xf>
    <xf numFmtId="184" fontId="0" fillId="39" borderId="52" xfId="0" applyNumberFormat="1" applyFill="1" applyBorder="1"/>
    <xf numFmtId="3" fontId="12" fillId="0" borderId="8" xfId="147" applyNumberFormat="1" applyFont="1" applyFill="1" applyBorder="1" applyAlignment="1" applyProtection="1">
      <alignment horizontal="right" vertical="center"/>
    </xf>
    <xf numFmtId="184" fontId="0" fillId="38" borderId="52" xfId="0" applyNumberFormat="1" applyFill="1" applyBorder="1"/>
    <xf numFmtId="0" fontId="0" fillId="0" borderId="51" xfId="0" applyBorder="1" applyAlignment="1">
      <alignment horizontal="center" vertical="center"/>
    </xf>
    <xf numFmtId="0" fontId="0" fillId="0" borderId="54" xfId="0" applyBorder="1" applyAlignment="1">
      <alignment horizontal="center" vertical="center"/>
    </xf>
    <xf numFmtId="49" fontId="55" fillId="0" borderId="6" xfId="0" applyNumberFormat="1" applyFont="1" applyBorder="1" applyAlignment="1">
      <alignment horizontal="left" vertical="center"/>
    </xf>
    <xf numFmtId="49" fontId="58" fillId="40" borderId="6" xfId="0" applyNumberFormat="1" applyFont="1" applyFill="1" applyBorder="1" applyAlignment="1">
      <alignment horizontal="left" vertical="center"/>
    </xf>
    <xf numFmtId="49" fontId="55" fillId="0" borderId="44" xfId="0" applyNumberFormat="1" applyFont="1" applyBorder="1" applyAlignment="1">
      <alignment horizontal="left" vertical="center"/>
    </xf>
    <xf numFmtId="49" fontId="55" fillId="0" borderId="8" xfId="0" applyNumberFormat="1" applyFont="1" applyBorder="1" applyAlignment="1">
      <alignment horizontal="left" vertical="center"/>
    </xf>
    <xf numFmtId="49" fontId="55" fillId="0" borderId="52" xfId="0" applyNumberFormat="1" applyFont="1" applyBorder="1" applyAlignment="1">
      <alignment horizontal="left" vertical="center"/>
    </xf>
    <xf numFmtId="165" fontId="12" fillId="0" borderId="41" xfId="302" applyFont="1" applyBorder="1" applyAlignment="1">
      <alignment vertical="center"/>
    </xf>
    <xf numFmtId="165" fontId="47" fillId="0" borderId="55" xfId="302" applyFont="1" applyBorder="1" applyAlignment="1">
      <alignment horizontal="center" vertical="center"/>
    </xf>
    <xf numFmtId="185" fontId="68" fillId="0" borderId="30" xfId="302" applyNumberFormat="1" applyFont="1" applyBorder="1" applyAlignment="1">
      <alignment vertical="center"/>
    </xf>
    <xf numFmtId="49" fontId="68" fillId="0" borderId="37" xfId="302" applyNumberFormat="1" applyFont="1" applyBorder="1" applyAlignment="1">
      <alignment horizontal="left" vertical="center"/>
    </xf>
    <xf numFmtId="49" fontId="68" fillId="0" borderId="30" xfId="302" applyNumberFormat="1" applyFont="1" applyBorder="1" applyAlignment="1">
      <alignment horizontal="left" vertical="center"/>
    </xf>
    <xf numFmtId="49" fontId="68" fillId="0" borderId="34" xfId="302" applyNumberFormat="1" applyFont="1" applyBorder="1" applyAlignment="1">
      <alignment horizontal="left" vertical="center"/>
    </xf>
    <xf numFmtId="185" fontId="68" fillId="0" borderId="30" xfId="302" applyNumberFormat="1" applyFont="1" applyBorder="1" applyAlignment="1">
      <alignment horizontal="left" vertical="center"/>
    </xf>
    <xf numFmtId="185" fontId="68" fillId="0" borderId="34" xfId="302" applyNumberFormat="1" applyFont="1" applyBorder="1" applyAlignment="1">
      <alignment horizontal="left" vertical="center"/>
    </xf>
    <xf numFmtId="197" fontId="12" fillId="0" borderId="20" xfId="302" applyNumberFormat="1" applyBorder="1" applyAlignment="1">
      <alignment horizontal="center" vertical="center"/>
    </xf>
    <xf numFmtId="187" fontId="12" fillId="0" borderId="28" xfId="302" applyNumberFormat="1" applyBorder="1" applyAlignment="1">
      <alignment horizontal="center" vertical="center"/>
    </xf>
    <xf numFmtId="197" fontId="12" fillId="0" borderId="0" xfId="302" applyNumberFormat="1" applyBorder="1" applyAlignment="1">
      <alignment horizontal="right" vertical="center"/>
    </xf>
    <xf numFmtId="197" fontId="12" fillId="0" borderId="41" xfId="302" applyNumberFormat="1" applyBorder="1" applyAlignment="1">
      <alignment horizontal="right" vertical="center"/>
    </xf>
    <xf numFmtId="187" fontId="12" fillId="0" borderId="33" xfId="302" applyNumberFormat="1" applyBorder="1" applyAlignment="1">
      <alignment horizontal="right" vertical="center"/>
    </xf>
    <xf numFmtId="187" fontId="12" fillId="0" borderId="23" xfId="302" applyNumberFormat="1" applyBorder="1" applyAlignment="1">
      <alignment horizontal="right" vertical="center"/>
    </xf>
    <xf numFmtId="2" fontId="12" fillId="0" borderId="20" xfId="414" applyNumberFormat="1" applyBorder="1" applyAlignment="1">
      <alignment horizontal="center" vertical="center"/>
    </xf>
    <xf numFmtId="2" fontId="12" fillId="0" borderId="28" xfId="414" applyNumberFormat="1" applyBorder="1" applyAlignment="1">
      <alignment horizontal="center" vertical="center"/>
    </xf>
    <xf numFmtId="185" fontId="68" fillId="0" borderId="37" xfId="302" applyNumberFormat="1" applyFont="1" applyBorder="1" applyAlignment="1">
      <alignment vertical="center"/>
    </xf>
    <xf numFmtId="185" fontId="68" fillId="0" borderId="30" xfId="414" applyNumberFormat="1" applyFont="1" applyBorder="1" applyAlignment="1">
      <alignment vertical="center"/>
    </xf>
    <xf numFmtId="185" fontId="68" fillId="0" borderId="34" xfId="414" applyNumberFormat="1" applyFont="1" applyBorder="1" applyAlignment="1">
      <alignment vertical="center"/>
    </xf>
    <xf numFmtId="49" fontId="22" fillId="0" borderId="37" xfId="302" applyNumberFormat="1" applyFont="1" applyBorder="1" applyAlignment="1">
      <alignment vertical="center"/>
    </xf>
    <xf numFmtId="49" fontId="22" fillId="0" borderId="30" xfId="302" applyNumberFormat="1" applyFont="1" applyBorder="1" applyAlignment="1">
      <alignment vertical="center"/>
    </xf>
    <xf numFmtId="49" fontId="22" fillId="0" borderId="34" xfId="302" applyNumberFormat="1" applyFont="1" applyBorder="1" applyAlignment="1">
      <alignment vertical="center"/>
    </xf>
    <xf numFmtId="185" fontId="22" fillId="0" borderId="37" xfId="302" applyNumberFormat="1" applyFont="1" applyBorder="1" applyAlignment="1">
      <alignment vertical="center"/>
    </xf>
    <xf numFmtId="185" fontId="22" fillId="0" borderId="30" xfId="414" applyNumberFormat="1" applyFont="1" applyBorder="1" applyAlignment="1">
      <alignment vertical="center"/>
    </xf>
    <xf numFmtId="185" fontId="22" fillId="0" borderId="34" xfId="414" applyNumberFormat="1" applyFont="1" applyBorder="1" applyAlignment="1">
      <alignment vertical="center"/>
    </xf>
    <xf numFmtId="0" fontId="68" fillId="0" borderId="30" xfId="302" applyNumberFormat="1" applyFont="1" applyBorder="1" applyAlignment="1">
      <alignment horizontal="left" vertical="center"/>
    </xf>
    <xf numFmtId="0" fontId="68" fillId="0" borderId="34" xfId="302" applyNumberFormat="1" applyFont="1" applyBorder="1" applyAlignment="1">
      <alignment horizontal="left" vertical="center"/>
    </xf>
    <xf numFmtId="184" fontId="69" fillId="0" borderId="0" xfId="0" applyNumberFormat="1" applyFont="1"/>
    <xf numFmtId="0" fontId="35" fillId="30" borderId="6" xfId="0" applyFont="1" applyFill="1" applyBorder="1" applyAlignment="1">
      <alignment horizontal="center" vertical="center"/>
    </xf>
    <xf numFmtId="0" fontId="34" fillId="30" borderId="6" xfId="0" applyFont="1" applyFill="1" applyBorder="1" applyAlignment="1">
      <alignment horizontal="center" vertical="center"/>
    </xf>
    <xf numFmtId="0" fontId="34" fillId="30" borderId="6" xfId="0" applyFont="1" applyFill="1" applyBorder="1" applyAlignment="1">
      <alignment horizontal="left" vertical="center"/>
    </xf>
    <xf numFmtId="179" fontId="35" fillId="30" borderId="6" xfId="0" applyNumberFormat="1" applyFont="1" applyFill="1" applyBorder="1" applyAlignment="1">
      <alignment horizontal="center" vertical="center"/>
    </xf>
    <xf numFmtId="176" fontId="35" fillId="30" borderId="6" xfId="0" applyNumberFormat="1" applyFont="1" applyFill="1" applyBorder="1" applyAlignment="1">
      <alignment horizontal="center" vertical="center"/>
    </xf>
    <xf numFmtId="0" fontId="68" fillId="0" borderId="30" xfId="302" applyNumberFormat="1" applyFont="1" applyBorder="1" applyAlignment="1">
      <alignment horizontal="center" vertical="center"/>
    </xf>
    <xf numFmtId="0" fontId="68" fillId="0" borderId="34" xfId="302" applyNumberFormat="1" applyFont="1" applyBorder="1" applyAlignment="1">
      <alignment horizontal="center" vertical="center"/>
    </xf>
    <xf numFmtId="0" fontId="34" fillId="30" borderId="6" xfId="650" applyFont="1" applyFill="1" applyBorder="1" applyAlignment="1">
      <alignment vertical="center"/>
    </xf>
    <xf numFmtId="0" fontId="34" fillId="30" borderId="6" xfId="650" applyFont="1" applyFill="1" applyBorder="1" applyAlignment="1">
      <alignment horizontal="center" vertical="center"/>
    </xf>
    <xf numFmtId="176" fontId="34" fillId="30" borderId="6" xfId="303" applyNumberFormat="1" applyFont="1" applyFill="1" applyBorder="1" applyAlignment="1"/>
    <xf numFmtId="0" fontId="34" fillId="30" borderId="6" xfId="650" applyFont="1" applyFill="1" applyBorder="1" applyAlignment="1">
      <alignment horizontal="center"/>
    </xf>
    <xf numFmtId="179" fontId="34" fillId="30" borderId="6" xfId="303" applyNumberFormat="1" applyFont="1" applyFill="1" applyBorder="1"/>
    <xf numFmtId="10" fontId="34" fillId="30" borderId="6" xfId="303" applyNumberFormat="1" applyFont="1" applyFill="1" applyBorder="1" applyAlignment="1">
      <alignment horizontal="center"/>
    </xf>
    <xf numFmtId="183" fontId="0" fillId="0" borderId="0" xfId="0" applyNumberFormat="1" applyAlignment="1">
      <alignment horizontal="right" vertical="center"/>
    </xf>
    <xf numFmtId="3" fontId="12" fillId="0" borderId="0" xfId="0" applyNumberFormat="1" applyFont="1" applyAlignment="1">
      <alignment horizontal="right" vertical="center"/>
    </xf>
    <xf numFmtId="175" fontId="12" fillId="0" borderId="0" xfId="305" applyFont="1" applyFill="1" applyBorder="1" applyAlignment="1" applyProtection="1">
      <alignment horizontal="center" vertical="center"/>
      <protection locked="0"/>
    </xf>
    <xf numFmtId="184" fontId="0" fillId="0" borderId="0" xfId="303" applyNumberFormat="1" applyFont="1" applyBorder="1"/>
    <xf numFmtId="0" fontId="0" fillId="0" borderId="6" xfId="0" applyBorder="1" applyAlignment="1">
      <alignment vertical="center"/>
    </xf>
    <xf numFmtId="0" fontId="53" fillId="42" borderId="6" xfId="414" applyFont="1" applyFill="1" applyBorder="1" applyAlignment="1">
      <alignment horizontal="justify" vertical="center" wrapText="1"/>
    </xf>
    <xf numFmtId="4" fontId="50" fillId="42" borderId="6" xfId="414" applyNumberFormat="1" applyFont="1" applyFill="1" applyBorder="1" applyAlignment="1">
      <alignment horizontal="center" vertical="center" wrapText="1"/>
    </xf>
    <xf numFmtId="49" fontId="53" fillId="29" borderId="6" xfId="414" applyNumberFormat="1" applyFont="1" applyFill="1" applyBorder="1" applyAlignment="1">
      <alignment horizontal="right" vertical="center" wrapText="1"/>
    </xf>
    <xf numFmtId="0" fontId="0" fillId="0" borderId="6" xfId="0" applyBorder="1" applyAlignment="1">
      <alignment horizontal="center" vertical="center"/>
    </xf>
    <xf numFmtId="184" fontId="12" fillId="0" borderId="6" xfId="303" applyNumberFormat="1" applyFont="1" applyFill="1" applyBorder="1"/>
    <xf numFmtId="184" fontId="12" fillId="0" borderId="0" xfId="303" applyNumberFormat="1" applyFont="1" applyFill="1"/>
    <xf numFmtId="184" fontId="12" fillId="0" borderId="0" xfId="414" applyNumberFormat="1"/>
    <xf numFmtId="184" fontId="12" fillId="0" borderId="0" xfId="0" applyNumberFormat="1" applyFont="1"/>
    <xf numFmtId="184" fontId="12" fillId="0" borderId="6" xfId="0" applyNumberFormat="1" applyFont="1" applyBorder="1"/>
    <xf numFmtId="201" fontId="12" fillId="0" borderId="41" xfId="302" applyNumberFormat="1" applyBorder="1" applyAlignment="1">
      <alignment horizontal="center" vertical="center"/>
    </xf>
    <xf numFmtId="184" fontId="12" fillId="28" borderId="6" xfId="303" applyNumberFormat="1" applyFont="1" applyFill="1" applyBorder="1" applyAlignment="1" applyProtection="1">
      <alignment horizontal="center" vertical="center"/>
    </xf>
    <xf numFmtId="0" fontId="102" fillId="29" borderId="6" xfId="414" applyFont="1" applyFill="1" applyBorder="1" applyAlignment="1">
      <alignment horizontal="center" vertical="center" wrapText="1"/>
    </xf>
    <xf numFmtId="0" fontId="102" fillId="42" borderId="6" xfId="414" applyFont="1" applyFill="1" applyBorder="1" applyAlignment="1">
      <alignment horizontal="center" vertical="center" wrapText="1"/>
    </xf>
    <xf numFmtId="0" fontId="103" fillId="29" borderId="6" xfId="414" applyFont="1" applyFill="1" applyBorder="1" applyAlignment="1">
      <alignment horizontal="center" vertical="center" wrapText="1"/>
    </xf>
    <xf numFmtId="2" fontId="103" fillId="29" borderId="6" xfId="414" applyNumberFormat="1" applyFont="1" applyFill="1" applyBorder="1" applyAlignment="1">
      <alignment horizontal="center" vertical="center" wrapText="1"/>
    </xf>
    <xf numFmtId="0" fontId="103" fillId="29" borderId="10" xfId="414" applyFont="1" applyFill="1" applyBorder="1" applyAlignment="1">
      <alignment vertical="center"/>
    </xf>
    <xf numFmtId="0" fontId="103" fillId="29" borderId="10" xfId="414" applyFont="1" applyFill="1" applyBorder="1" applyAlignment="1">
      <alignment vertical="center" wrapText="1"/>
    </xf>
    <xf numFmtId="0" fontId="103" fillId="0" borderId="0" xfId="414" applyFont="1" applyAlignment="1">
      <alignment horizontal="center" vertical="center"/>
    </xf>
    <xf numFmtId="192" fontId="103" fillId="0" borderId="0" xfId="414" applyNumberFormat="1" applyFont="1" applyAlignment="1">
      <alignment horizontal="center" vertical="center"/>
    </xf>
    <xf numFmtId="0" fontId="103" fillId="0" borderId="0" xfId="414" applyFont="1" applyAlignment="1">
      <alignment horizontal="left" vertical="center"/>
    </xf>
    <xf numFmtId="0" fontId="53" fillId="42" borderId="6" xfId="414" applyFont="1" applyFill="1" applyBorder="1" applyAlignment="1">
      <alignment horizontal="center" vertical="center" wrapText="1"/>
    </xf>
    <xf numFmtId="0" fontId="55" fillId="0" borderId="0" xfId="414" applyFont="1" applyAlignment="1">
      <alignment horizontal="center" vertical="center"/>
    </xf>
    <xf numFmtId="0" fontId="56" fillId="0" borderId="0" xfId="414" applyFont="1" applyAlignment="1">
      <alignment horizontal="center" vertical="center"/>
    </xf>
    <xf numFmtId="0" fontId="37" fillId="0" borderId="6" xfId="0" applyFont="1" applyBorder="1" applyAlignment="1">
      <alignment vertical="center"/>
    </xf>
    <xf numFmtId="184" fontId="0" fillId="0" borderId="6" xfId="654" applyNumberFormat="1" applyFont="1" applyFill="1" applyBorder="1" applyAlignment="1" applyProtection="1">
      <alignment vertical="center"/>
    </xf>
    <xf numFmtId="184" fontId="0" fillId="0" borderId="6" xfId="654" applyNumberFormat="1" applyFont="1" applyBorder="1"/>
    <xf numFmtId="178" fontId="0" fillId="0" borderId="6" xfId="654" applyNumberFormat="1" applyFont="1" applyFill="1" applyBorder="1" applyAlignment="1" applyProtection="1">
      <alignment vertical="center"/>
    </xf>
    <xf numFmtId="49" fontId="55" fillId="44" borderId="6" xfId="0" applyNumberFormat="1" applyFont="1" applyFill="1" applyBorder="1"/>
    <xf numFmtId="0" fontId="12" fillId="44" borderId="6" xfId="0" applyFont="1" applyFill="1" applyBorder="1"/>
    <xf numFmtId="0" fontId="12" fillId="44" borderId="6" xfId="0" applyFont="1" applyFill="1" applyBorder="1" applyAlignment="1">
      <alignment horizontal="center" vertical="center"/>
    </xf>
    <xf numFmtId="2" fontId="43" fillId="44" borderId="6" xfId="0" applyNumberFormat="1" applyFont="1" applyFill="1" applyBorder="1" applyAlignment="1">
      <alignment vertical="center"/>
    </xf>
    <xf numFmtId="184" fontId="37" fillId="44" borderId="6" xfId="0" applyNumberFormat="1" applyFont="1" applyFill="1" applyBorder="1" applyAlignment="1">
      <alignment vertical="center"/>
    </xf>
    <xf numFmtId="178" fontId="37" fillId="44" borderId="6" xfId="0" applyNumberFormat="1" applyFont="1" applyFill="1" applyBorder="1" applyAlignment="1">
      <alignment vertical="center"/>
    </xf>
    <xf numFmtId="184" fontId="0" fillId="44" borderId="6" xfId="0" applyNumberFormat="1" applyFill="1" applyBorder="1"/>
    <xf numFmtId="49" fontId="50" fillId="29" borderId="6" xfId="414" applyNumberFormat="1" applyFont="1" applyFill="1" applyBorder="1" applyAlignment="1">
      <alignment horizontal="justify" vertical="top" wrapText="1"/>
    </xf>
    <xf numFmtId="0" fontId="102" fillId="0" borderId="10" xfId="414" applyFont="1" applyBorder="1" applyAlignment="1">
      <alignment vertical="center"/>
    </xf>
    <xf numFmtId="0" fontId="53" fillId="0" borderId="11" xfId="414" applyFont="1" applyBorder="1" applyAlignment="1">
      <alignment vertical="center" wrapText="1"/>
    </xf>
    <xf numFmtId="0" fontId="53" fillId="0" borderId="11" xfId="414" applyFont="1" applyBorder="1" applyAlignment="1">
      <alignment horizontal="center" vertical="center" wrapText="1"/>
    </xf>
    <xf numFmtId="184" fontId="53" fillId="0" borderId="6" xfId="414" applyNumberFormat="1" applyFont="1" applyBorder="1" applyAlignment="1">
      <alignment vertical="center" wrapText="1"/>
    </xf>
    <xf numFmtId="198" fontId="72" fillId="0" borderId="20" xfId="303" applyNumberFormat="1" applyFont="1" applyBorder="1" applyAlignment="1">
      <alignment horizontal="left" vertical="center" wrapText="1"/>
    </xf>
    <xf numFmtId="198" fontId="72" fillId="0" borderId="8" xfId="303" applyNumberFormat="1" applyFont="1" applyBorder="1" applyAlignment="1">
      <alignment horizontal="left" vertical="center" wrapText="1"/>
    </xf>
    <xf numFmtId="198" fontId="72" fillId="0" borderId="19" xfId="303" applyNumberFormat="1" applyFont="1" applyBorder="1" applyAlignment="1">
      <alignment horizontal="left" vertical="center" wrapText="1"/>
    </xf>
    <xf numFmtId="201" fontId="12" fillId="0" borderId="20" xfId="414" applyNumberFormat="1" applyBorder="1" applyAlignment="1">
      <alignment horizontal="center" vertical="center"/>
    </xf>
    <xf numFmtId="197" fontId="0" fillId="0" borderId="6" xfId="0" applyNumberFormat="1" applyBorder="1"/>
    <xf numFmtId="197" fontId="0" fillId="0" borderId="0" xfId="0" applyNumberFormat="1"/>
    <xf numFmtId="184" fontId="12" fillId="0" borderId="10" xfId="303" applyNumberFormat="1" applyFont="1" applyFill="1" applyBorder="1"/>
    <xf numFmtId="203" fontId="0" fillId="0" borderId="6" xfId="0" applyNumberFormat="1" applyBorder="1"/>
    <xf numFmtId="203" fontId="12" fillId="0" borderId="6" xfId="0" applyNumberFormat="1" applyFont="1" applyBorder="1"/>
    <xf numFmtId="200" fontId="106" fillId="0" borderId="0" xfId="647" applyFont="1" applyAlignment="1" applyProtection="1">
      <alignment vertical="top"/>
      <protection locked="0"/>
    </xf>
    <xf numFmtId="200" fontId="54" fillId="0" borderId="7" xfId="647" applyFont="1" applyBorder="1" applyAlignment="1" applyProtection="1">
      <alignment horizontal="center" vertical="center"/>
      <protection hidden="1"/>
    </xf>
    <xf numFmtId="204" fontId="54" fillId="0" borderId="7" xfId="647" applyNumberFormat="1" applyFont="1" applyBorder="1" applyAlignment="1" applyProtection="1">
      <alignment horizontal="center" vertical="center"/>
      <protection hidden="1"/>
    </xf>
    <xf numFmtId="204" fontId="54" fillId="0" borderId="7" xfId="256" applyNumberFormat="1" applyFont="1" applyBorder="1" applyAlignment="1" applyProtection="1">
      <alignment horizontal="center" vertical="center" wrapText="1"/>
      <protection hidden="1"/>
    </xf>
    <xf numFmtId="200" fontId="107" fillId="0" borderId="60" xfId="647" applyFont="1" applyBorder="1" applyAlignment="1">
      <alignment vertical="top"/>
    </xf>
    <xf numFmtId="200" fontId="107" fillId="0" borderId="61" xfId="647" applyFont="1" applyBorder="1" applyAlignment="1">
      <alignment vertical="top" wrapText="1"/>
    </xf>
    <xf numFmtId="200" fontId="107" fillId="0" borderId="61" xfId="647" applyFont="1" applyBorder="1" applyAlignment="1">
      <alignment horizontal="center" vertical="top"/>
    </xf>
    <xf numFmtId="200" fontId="107" fillId="0" borderId="61" xfId="647" applyFont="1" applyBorder="1" applyAlignment="1">
      <alignment horizontal="right" vertical="top"/>
    </xf>
    <xf numFmtId="200" fontId="107" fillId="0" borderId="61" xfId="647" applyFont="1" applyBorder="1" applyAlignment="1">
      <alignment vertical="top"/>
    </xf>
    <xf numFmtId="167" fontId="107" fillId="0" borderId="62" xfId="256" applyFont="1" applyBorder="1" applyAlignment="1">
      <alignment vertical="top"/>
    </xf>
    <xf numFmtId="2" fontId="54" fillId="0" borderId="63" xfId="647" applyNumberFormat="1" applyFont="1" applyBorder="1" applyAlignment="1" applyProtection="1">
      <alignment horizontal="center" vertical="top" wrapText="1"/>
      <protection locked="0" hidden="1"/>
    </xf>
    <xf numFmtId="200" fontId="54" fillId="0" borderId="64" xfId="647" applyFont="1" applyBorder="1" applyAlignment="1" applyProtection="1">
      <alignment vertical="top"/>
      <protection locked="0"/>
    </xf>
    <xf numFmtId="200" fontId="54" fillId="0" borderId="64" xfId="647" applyFont="1" applyBorder="1" applyAlignment="1" applyProtection="1">
      <alignment vertical="top" wrapText="1"/>
      <protection hidden="1"/>
    </xf>
    <xf numFmtId="205" fontId="54" fillId="0" borderId="65" xfId="304" applyFont="1" applyBorder="1" applyAlignment="1" applyProtection="1">
      <alignment horizontal="right" vertical="top" wrapText="1"/>
      <protection hidden="1"/>
    </xf>
    <xf numFmtId="2" fontId="75" fillId="0" borderId="66" xfId="647" applyNumberFormat="1" applyFont="1" applyBorder="1" applyAlignment="1" applyProtection="1">
      <alignment horizontal="center" vertical="top"/>
      <protection locked="0" hidden="1"/>
    </xf>
    <xf numFmtId="200" fontId="75" fillId="0" borderId="67" xfId="647" applyFont="1" applyBorder="1" applyAlignment="1" applyProtection="1">
      <alignment vertical="top" wrapText="1"/>
      <protection hidden="1"/>
    </xf>
    <xf numFmtId="200" fontId="107" fillId="0" borderId="67" xfId="647" applyFont="1" applyBorder="1" applyAlignment="1" applyProtection="1">
      <alignment horizontal="center" vertical="top"/>
      <protection hidden="1"/>
    </xf>
    <xf numFmtId="200" fontId="107" fillId="0" borderId="67" xfId="647" applyFont="1" applyBorder="1" applyAlignment="1" applyProtection="1">
      <alignment horizontal="right" vertical="top"/>
      <protection locked="0" hidden="1"/>
    </xf>
    <xf numFmtId="204" fontId="107" fillId="0" borderId="67" xfId="256" applyNumberFormat="1" applyFont="1" applyBorder="1" applyAlignment="1" applyProtection="1">
      <alignment horizontal="right" vertical="top"/>
      <protection hidden="1"/>
    </xf>
    <xf numFmtId="205" fontId="107" fillId="0" borderId="68" xfId="304" applyFont="1" applyBorder="1" applyAlignment="1" applyProtection="1">
      <alignment horizontal="right" vertical="top"/>
      <protection hidden="1"/>
    </xf>
    <xf numFmtId="2" fontId="75" fillId="0" borderId="69" xfId="647" applyNumberFormat="1" applyFont="1" applyBorder="1" applyAlignment="1" applyProtection="1">
      <alignment horizontal="center" vertical="top"/>
      <protection locked="0" hidden="1"/>
    </xf>
    <xf numFmtId="200" fontId="54" fillId="0" borderId="70" xfId="647" applyFont="1" applyBorder="1" applyAlignment="1" applyProtection="1">
      <alignment vertical="top" wrapText="1"/>
      <protection hidden="1"/>
    </xf>
    <xf numFmtId="200" fontId="107" fillId="0" borderId="70" xfId="647" applyFont="1" applyBorder="1" applyAlignment="1" applyProtection="1">
      <alignment horizontal="center" vertical="top"/>
      <protection hidden="1"/>
    </xf>
    <xf numFmtId="200" fontId="107" fillId="0" borderId="70" xfId="647" applyFont="1" applyBorder="1" applyAlignment="1" applyProtection="1">
      <alignment horizontal="right" vertical="top"/>
      <protection locked="0" hidden="1"/>
    </xf>
    <xf numFmtId="204" fontId="107" fillId="0" borderId="70" xfId="256" applyNumberFormat="1" applyFont="1" applyBorder="1" applyAlignment="1" applyProtection="1">
      <alignment horizontal="right" vertical="top"/>
      <protection hidden="1"/>
    </xf>
    <xf numFmtId="205" fontId="107" fillId="0" borderId="71" xfId="304" applyFont="1" applyBorder="1" applyAlignment="1" applyProtection="1">
      <alignment horizontal="right" vertical="top"/>
      <protection hidden="1"/>
    </xf>
    <xf numFmtId="200" fontId="75" fillId="0" borderId="64" xfId="647" applyFont="1" applyBorder="1" applyAlignment="1" applyProtection="1">
      <alignment horizontal="left" vertical="center"/>
      <protection hidden="1"/>
    </xf>
    <xf numFmtId="200" fontId="75" fillId="0" borderId="64" xfId="647" applyFont="1" applyBorder="1" applyAlignment="1" applyProtection="1">
      <alignment horizontal="center" vertical="center"/>
      <protection hidden="1"/>
    </xf>
    <xf numFmtId="200" fontId="107" fillId="0" borderId="67" xfId="647" applyFont="1" applyBorder="1" applyAlignment="1">
      <alignment vertical="center"/>
    </xf>
    <xf numFmtId="200" fontId="75" fillId="0" borderId="67" xfId="647" applyFont="1" applyBorder="1" applyAlignment="1" applyProtection="1">
      <alignment horizontal="center" vertical="center"/>
      <protection hidden="1"/>
    </xf>
    <xf numFmtId="204" fontId="54" fillId="0" borderId="72" xfId="256" applyNumberFormat="1" applyFont="1" applyBorder="1" applyAlignment="1" applyProtection="1">
      <alignment horizontal="right" vertical="top"/>
      <protection hidden="1"/>
    </xf>
    <xf numFmtId="205" fontId="54" fillId="0" borderId="7" xfId="304" applyFont="1" applyBorder="1" applyAlignment="1" applyProtection="1">
      <alignment horizontal="right" vertical="top"/>
      <protection hidden="1"/>
    </xf>
    <xf numFmtId="200" fontId="107" fillId="0" borderId="0" xfId="647" applyFont="1" applyAlignment="1">
      <alignment vertical="top"/>
    </xf>
    <xf numFmtId="200" fontId="107" fillId="0" borderId="0" xfId="647" applyFont="1" applyAlignment="1">
      <alignment vertical="top" wrapText="1"/>
    </xf>
    <xf numFmtId="200" fontId="107" fillId="0" borderId="0" xfId="647" applyFont="1" applyAlignment="1">
      <alignment horizontal="center" vertical="top"/>
    </xf>
    <xf numFmtId="200" fontId="107" fillId="0" borderId="0" xfId="647" applyFont="1" applyAlignment="1">
      <alignment horizontal="right" vertical="top"/>
    </xf>
    <xf numFmtId="205" fontId="107" fillId="0" borderId="0" xfId="304" applyFont="1" applyAlignment="1">
      <alignment vertical="top"/>
    </xf>
    <xf numFmtId="200" fontId="106" fillId="0" borderId="7" xfId="647" applyFont="1" applyBorder="1" applyAlignment="1">
      <alignment horizontal="center" vertical="center"/>
    </xf>
    <xf numFmtId="200" fontId="106" fillId="0" borderId="7" xfId="647" applyFont="1" applyBorder="1" applyAlignment="1">
      <alignment horizontal="center" vertical="center" wrapText="1"/>
    </xf>
    <xf numFmtId="200" fontId="107" fillId="0" borderId="70" xfId="647" applyFont="1" applyBorder="1"/>
    <xf numFmtId="200" fontId="107" fillId="0" borderId="71" xfId="647" applyFont="1" applyBorder="1"/>
    <xf numFmtId="200" fontId="108" fillId="0" borderId="73" xfId="647" applyFont="1" applyBorder="1" applyAlignment="1">
      <alignment vertical="center"/>
    </xf>
    <xf numFmtId="2" fontId="75" fillId="0" borderId="74" xfId="647" applyNumberFormat="1" applyFont="1" applyBorder="1" applyAlignment="1">
      <alignment horizontal="center" vertical="center"/>
    </xf>
    <xf numFmtId="2" fontId="75" fillId="0" borderId="73" xfId="279" applyNumberFormat="1" applyFont="1" applyBorder="1" applyAlignment="1">
      <alignment horizontal="center" vertical="center"/>
    </xf>
    <xf numFmtId="206" fontId="75" fillId="0" borderId="73" xfId="279" applyNumberFormat="1" applyFont="1" applyBorder="1" applyAlignment="1">
      <alignment horizontal="right" vertical="center"/>
    </xf>
    <xf numFmtId="192" fontId="107" fillId="0" borderId="75" xfId="647" applyNumberFormat="1" applyFont="1" applyBorder="1" applyAlignment="1">
      <alignment horizontal="right" vertical="center"/>
    </xf>
    <xf numFmtId="200" fontId="106" fillId="0" borderId="21" xfId="647" applyFont="1" applyBorder="1" applyAlignment="1">
      <alignment vertical="center"/>
    </xf>
    <xf numFmtId="200" fontId="106" fillId="0" borderId="27" xfId="647" applyFont="1" applyBorder="1" applyAlignment="1">
      <alignment vertical="center"/>
    </xf>
    <xf numFmtId="0" fontId="109" fillId="0" borderId="0" xfId="0" applyFont="1"/>
    <xf numFmtId="0" fontId="76" fillId="0" borderId="0" xfId="426" applyFont="1"/>
    <xf numFmtId="0" fontId="77" fillId="0" borderId="0" xfId="429" applyFont="1" applyAlignment="1">
      <alignment horizontal="left" vertical="center"/>
    </xf>
    <xf numFmtId="0" fontId="110" fillId="0" borderId="0" xfId="0" applyFont="1"/>
    <xf numFmtId="200" fontId="53" fillId="29" borderId="6" xfId="647" applyFont="1" applyFill="1" applyBorder="1" applyAlignment="1" applyProtection="1">
      <alignment vertical="top" wrapText="1"/>
      <protection hidden="1"/>
    </xf>
    <xf numFmtId="200" fontId="75" fillId="0" borderId="64" xfId="647" applyFont="1" applyBorder="1" applyAlignment="1" applyProtection="1">
      <alignment horizontal="left" vertical="center" wrapText="1"/>
      <protection hidden="1"/>
    </xf>
    <xf numFmtId="2" fontId="107" fillId="0" borderId="64" xfId="647" applyNumberFormat="1" applyFont="1" applyBorder="1" applyAlignment="1" applyProtection="1">
      <alignment horizontal="center" vertical="center"/>
      <protection locked="0" hidden="1"/>
    </xf>
    <xf numFmtId="204" fontId="107" fillId="0" borderId="64" xfId="256" applyNumberFormat="1" applyFont="1" applyBorder="1" applyAlignment="1" applyProtection="1">
      <alignment horizontal="right" vertical="center"/>
      <protection hidden="1"/>
    </xf>
    <xf numFmtId="205" fontId="107" fillId="0" borderId="65" xfId="304" applyFont="1" applyBorder="1" applyAlignment="1" applyProtection="1">
      <alignment horizontal="right" vertical="center"/>
      <protection hidden="1"/>
    </xf>
    <xf numFmtId="200" fontId="107" fillId="0" borderId="64" xfId="647" applyFont="1" applyBorder="1" applyAlignment="1" applyProtection="1">
      <alignment horizontal="center" vertical="center"/>
      <protection hidden="1"/>
    </xf>
    <xf numFmtId="204" fontId="107" fillId="0" borderId="65" xfId="256" applyNumberFormat="1" applyFont="1" applyBorder="1" applyAlignment="1" applyProtection="1">
      <alignment horizontal="right" vertical="center"/>
      <protection hidden="1"/>
    </xf>
    <xf numFmtId="2" fontId="107" fillId="0" borderId="67" xfId="647" applyNumberFormat="1" applyFont="1" applyBorder="1" applyAlignment="1" applyProtection="1">
      <alignment horizontal="center" vertical="center"/>
      <protection locked="0" hidden="1"/>
    </xf>
    <xf numFmtId="204" fontId="107" fillId="0" borderId="67" xfId="256" applyNumberFormat="1" applyFont="1" applyBorder="1" applyAlignment="1" applyProtection="1">
      <alignment horizontal="right" vertical="center"/>
      <protection hidden="1"/>
    </xf>
    <xf numFmtId="205" fontId="107" fillId="0" borderId="68" xfId="304" applyFont="1" applyBorder="1" applyAlignment="1" applyProtection="1">
      <alignment horizontal="right" vertical="center"/>
      <protection hidden="1"/>
    </xf>
    <xf numFmtId="205" fontId="54" fillId="0" borderId="7" xfId="304" applyFont="1" applyBorder="1" applyAlignment="1" applyProtection="1">
      <alignment horizontal="right" vertical="center"/>
      <protection hidden="1"/>
    </xf>
    <xf numFmtId="0" fontId="79" fillId="0" borderId="54" xfId="0" applyFont="1" applyBorder="1" applyAlignment="1">
      <alignment horizontal="left" vertical="center" wrapText="1"/>
    </xf>
    <xf numFmtId="0" fontId="79" fillId="0" borderId="6" xfId="0" applyFont="1" applyBorder="1" applyAlignment="1">
      <alignment horizontal="center" vertical="center" wrapText="1"/>
    </xf>
    <xf numFmtId="0" fontId="0" fillId="0" borderId="0" xfId="0" applyAlignment="1">
      <alignment horizontal="center" vertical="center"/>
    </xf>
    <xf numFmtId="178" fontId="75" fillId="0" borderId="6" xfId="647" applyNumberFormat="1" applyFont="1" applyBorder="1" applyAlignment="1">
      <alignment horizontal="center" vertical="center"/>
    </xf>
    <xf numFmtId="178" fontId="75" fillId="0" borderId="63" xfId="647" applyNumberFormat="1" applyFont="1" applyBorder="1" applyAlignment="1" applyProtection="1">
      <alignment horizontal="center" vertical="center"/>
      <protection locked="0" hidden="1"/>
    </xf>
    <xf numFmtId="178" fontId="75" fillId="0" borderId="66" xfId="647" applyNumberFormat="1" applyFont="1" applyBorder="1" applyAlignment="1" applyProtection="1">
      <alignment horizontal="center" vertical="center"/>
      <protection locked="0" hidden="1"/>
    </xf>
    <xf numFmtId="1" fontId="75" fillId="0" borderId="69" xfId="647" applyNumberFormat="1" applyFont="1" applyBorder="1" applyAlignment="1" applyProtection="1">
      <alignment horizontal="center" vertical="center"/>
      <protection locked="0" hidden="1"/>
    </xf>
    <xf numFmtId="200" fontId="107" fillId="0" borderId="0" xfId="647" applyFont="1" applyAlignment="1">
      <alignment vertical="center"/>
    </xf>
    <xf numFmtId="200" fontId="107" fillId="0" borderId="69" xfId="647" applyFont="1" applyBorder="1" applyAlignment="1">
      <alignment vertical="center"/>
    </xf>
    <xf numFmtId="49" fontId="75" fillId="0" borderId="9" xfId="647" applyNumberFormat="1" applyFont="1" applyBorder="1" applyAlignment="1" applyProtection="1">
      <alignment horizontal="center" vertical="center"/>
      <protection locked="0"/>
    </xf>
    <xf numFmtId="184" fontId="116" fillId="48" borderId="93" xfId="312" applyNumberFormat="1" applyFont="1" applyFill="1" applyBorder="1" applyAlignment="1">
      <alignment horizontal="right" vertical="center"/>
    </xf>
    <xf numFmtId="2" fontId="113" fillId="31" borderId="6" xfId="806" applyNumberFormat="1" applyFont="1" applyFill="1" applyBorder="1" applyAlignment="1">
      <alignment horizontal="center" vertical="center"/>
    </xf>
    <xf numFmtId="1" fontId="113" fillId="31" borderId="6" xfId="806" applyNumberFormat="1" applyFont="1" applyFill="1" applyBorder="1" applyAlignment="1">
      <alignment horizontal="center" vertical="center"/>
    </xf>
    <xf numFmtId="2" fontId="113" fillId="0" borderId="6" xfId="806" applyNumberFormat="1" applyFont="1" applyBorder="1" applyAlignment="1">
      <alignment horizontal="center" vertical="center"/>
    </xf>
    <xf numFmtId="1" fontId="113" fillId="0" borderId="6" xfId="806" applyNumberFormat="1" applyFont="1" applyBorder="1" applyAlignment="1">
      <alignment horizontal="center" vertical="center"/>
    </xf>
    <xf numFmtId="1" fontId="113" fillId="0" borderId="12" xfId="806" applyNumberFormat="1" applyFont="1" applyBorder="1" applyAlignment="1">
      <alignment horizontal="center" vertical="center"/>
    </xf>
    <xf numFmtId="0" fontId="11" fillId="0" borderId="0" xfId="807" applyAlignment="1">
      <alignment vertical="center"/>
    </xf>
    <xf numFmtId="165" fontId="46" fillId="0" borderId="24" xfId="808" applyFont="1" applyBorder="1" applyAlignment="1">
      <alignment vertical="center"/>
    </xf>
    <xf numFmtId="165" fontId="46" fillId="0" borderId="25" xfId="808" applyFont="1" applyBorder="1" applyAlignment="1">
      <alignment vertical="center"/>
    </xf>
    <xf numFmtId="165" fontId="46" fillId="0" borderId="9" xfId="808" applyFont="1" applyBorder="1" applyAlignment="1">
      <alignment vertical="center"/>
    </xf>
    <xf numFmtId="165" fontId="46" fillId="0" borderId="0" xfId="808" applyFont="1" applyBorder="1" applyAlignment="1">
      <alignment vertical="center"/>
    </xf>
    <xf numFmtId="0" fontId="41" fillId="0" borderId="14" xfId="807" applyFont="1" applyBorder="1" applyAlignment="1">
      <alignment vertical="center" wrapText="1"/>
    </xf>
    <xf numFmtId="0" fontId="41" fillId="0" borderId="15" xfId="807" applyFont="1" applyBorder="1" applyAlignment="1">
      <alignment vertical="center" wrapText="1"/>
    </xf>
    <xf numFmtId="0" fontId="11" fillId="0" borderId="15" xfId="807" applyBorder="1" applyAlignment="1">
      <alignment vertical="center"/>
    </xf>
    <xf numFmtId="49" fontId="47" fillId="0" borderId="25" xfId="807" applyNumberFormat="1" applyFont="1" applyBorder="1" applyAlignment="1">
      <alignment vertical="center" wrapText="1"/>
    </xf>
    <xf numFmtId="165" fontId="11" fillId="0" borderId="0" xfId="808" applyAlignment="1">
      <alignment vertical="center"/>
    </xf>
    <xf numFmtId="165" fontId="11" fillId="0" borderId="0" xfId="808" applyAlignment="1">
      <alignment horizontal="center" vertical="center"/>
    </xf>
    <xf numFmtId="165" fontId="11" fillId="0" borderId="0" xfId="808" applyFont="1" applyAlignment="1">
      <alignment horizontal="center" vertical="center"/>
    </xf>
    <xf numFmtId="0" fontId="45" fillId="0" borderId="0" xfId="808" applyNumberFormat="1" applyFont="1" applyAlignment="1">
      <alignment horizontal="center" vertical="center"/>
    </xf>
    <xf numFmtId="0" fontId="11" fillId="0" borderId="0" xfId="808" applyNumberFormat="1" applyAlignment="1">
      <alignment vertical="center"/>
    </xf>
    <xf numFmtId="0" fontId="11" fillId="0" borderId="0" xfId="808" applyNumberFormat="1" applyAlignment="1">
      <alignment horizontal="center" vertical="center"/>
    </xf>
    <xf numFmtId="0" fontId="11" fillId="0" borderId="0" xfId="808" applyNumberFormat="1" applyFont="1" applyAlignment="1">
      <alignment horizontal="center" vertical="center"/>
    </xf>
    <xf numFmtId="0" fontId="11" fillId="0" borderId="0" xfId="808" applyNumberFormat="1" applyFont="1" applyAlignment="1">
      <alignment vertical="center" wrapText="1"/>
    </xf>
    <xf numFmtId="0" fontId="45" fillId="0" borderId="0" xfId="808" applyNumberFormat="1" applyFont="1" applyAlignment="1">
      <alignment horizontal="left" vertical="center" wrapText="1"/>
    </xf>
    <xf numFmtId="49" fontId="45" fillId="0" borderId="0" xfId="808" applyNumberFormat="1" applyFont="1" applyAlignment="1">
      <alignment horizontal="left" vertical="center" wrapText="1"/>
    </xf>
    <xf numFmtId="0" fontId="11" fillId="0" borderId="0" xfId="807"/>
    <xf numFmtId="49" fontId="11" fillId="0" borderId="0" xfId="808" applyNumberFormat="1" applyFont="1" applyAlignment="1">
      <alignment horizontal="left" vertical="center" wrapText="1"/>
    </xf>
    <xf numFmtId="49" fontId="11" fillId="0" borderId="0" xfId="808" applyNumberFormat="1" applyFont="1" applyAlignment="1">
      <alignment vertical="center" wrapText="1"/>
    </xf>
    <xf numFmtId="4" fontId="45" fillId="0" borderId="0" xfId="807" applyNumberFormat="1" applyFont="1" applyAlignment="1">
      <alignment vertical="center" wrapText="1"/>
    </xf>
    <xf numFmtId="165" fontId="45" fillId="0" borderId="0" xfId="808" applyFont="1" applyAlignment="1">
      <alignment vertical="center"/>
    </xf>
    <xf numFmtId="0" fontId="45" fillId="0" borderId="15" xfId="807" applyFont="1" applyBorder="1" applyAlignment="1">
      <alignment vertical="center" wrapText="1"/>
    </xf>
    <xf numFmtId="165" fontId="47" fillId="0" borderId="26" xfId="808" applyFont="1" applyBorder="1" applyAlignment="1">
      <alignment vertical="center"/>
    </xf>
    <xf numFmtId="165" fontId="11" fillId="0" borderId="27" xfId="808" applyBorder="1" applyAlignment="1">
      <alignment vertical="center"/>
    </xf>
    <xf numFmtId="165" fontId="47" fillId="0" borderId="27" xfId="808" applyFont="1" applyBorder="1" applyAlignment="1">
      <alignment horizontal="center" vertical="center"/>
    </xf>
    <xf numFmtId="165" fontId="47" fillId="0" borderId="15" xfId="808" applyFont="1" applyFill="1" applyBorder="1" applyAlignment="1">
      <alignment horizontal="center" vertical="center"/>
    </xf>
    <xf numFmtId="165" fontId="47" fillId="0" borderId="28" xfId="808" applyFont="1" applyFill="1" applyBorder="1" applyAlignment="1">
      <alignment horizontal="center" vertical="center"/>
    </xf>
    <xf numFmtId="165" fontId="47" fillId="0" borderId="28" xfId="808" applyFont="1" applyBorder="1" applyAlignment="1">
      <alignment horizontal="center" vertical="center"/>
    </xf>
    <xf numFmtId="165" fontId="47" fillId="0" borderId="29" xfId="808" applyFont="1" applyBorder="1" applyAlignment="1">
      <alignment horizontal="center" vertical="center"/>
    </xf>
    <xf numFmtId="165" fontId="47" fillId="0" borderId="23" xfId="808" applyFont="1" applyBorder="1" applyAlignment="1">
      <alignment horizontal="center" vertical="center"/>
    </xf>
    <xf numFmtId="185" fontId="68" fillId="0" borderId="30" xfId="808" applyNumberFormat="1" applyFont="1" applyBorder="1" applyAlignment="1">
      <alignment horizontal="left" vertical="center"/>
    </xf>
    <xf numFmtId="165" fontId="11" fillId="0" borderId="0" xfId="808" applyFont="1" applyBorder="1" applyAlignment="1">
      <alignment vertical="center"/>
    </xf>
    <xf numFmtId="165" fontId="11" fillId="0" borderId="0" xfId="808" applyBorder="1" applyAlignment="1">
      <alignment vertical="center"/>
    </xf>
    <xf numFmtId="165" fontId="11" fillId="0" borderId="20" xfId="808" applyFont="1" applyBorder="1" applyAlignment="1">
      <alignment horizontal="center" vertical="center"/>
    </xf>
    <xf numFmtId="9" fontId="11" fillId="0" borderId="20" xfId="654" applyFont="1" applyBorder="1" applyAlignment="1">
      <alignment horizontal="center" vertical="center"/>
    </xf>
    <xf numFmtId="184" fontId="11" fillId="0" borderId="31" xfId="809" quotePrefix="1" applyNumberFormat="1" applyFont="1" applyBorder="1" applyAlignment="1">
      <alignment vertical="center"/>
    </xf>
    <xf numFmtId="186" fontId="11" fillId="0" borderId="32" xfId="809" quotePrefix="1" applyNumberFormat="1" applyFont="1" applyBorder="1" applyAlignment="1">
      <alignment vertical="center"/>
    </xf>
    <xf numFmtId="193" fontId="11" fillId="0" borderId="0" xfId="807" applyNumberFormat="1" applyAlignment="1">
      <alignment vertical="center"/>
    </xf>
    <xf numFmtId="2" fontId="11" fillId="0" borderId="41" xfId="808" applyNumberFormat="1" applyBorder="1" applyAlignment="1">
      <alignment horizontal="center" vertical="center"/>
    </xf>
    <xf numFmtId="184" fontId="11" fillId="0" borderId="0" xfId="809" quotePrefix="1" applyNumberFormat="1" applyFont="1" applyBorder="1" applyAlignment="1">
      <alignment vertical="center"/>
    </xf>
    <xf numFmtId="186" fontId="11" fillId="0" borderId="33" xfId="809" quotePrefix="1" applyNumberFormat="1" applyFont="1" applyBorder="1" applyAlignment="1">
      <alignment vertical="center"/>
    </xf>
    <xf numFmtId="185" fontId="68" fillId="0" borderId="34" xfId="808" applyNumberFormat="1" applyFont="1" applyBorder="1" applyAlignment="1">
      <alignment horizontal="left" vertical="center"/>
    </xf>
    <xf numFmtId="165" fontId="11" fillId="0" borderId="15" xfId="808" applyFont="1" applyBorder="1" applyAlignment="1">
      <alignment vertical="center"/>
    </xf>
    <xf numFmtId="165" fontId="11" fillId="0" borderId="15" xfId="808" applyBorder="1" applyAlignment="1">
      <alignment vertical="center"/>
    </xf>
    <xf numFmtId="165" fontId="11" fillId="0" borderId="28" xfId="808" applyFont="1" applyBorder="1" applyAlignment="1">
      <alignment horizontal="center" vertical="center"/>
    </xf>
    <xf numFmtId="2" fontId="11" fillId="0" borderId="29" xfId="808" applyNumberFormat="1" applyBorder="1" applyAlignment="1">
      <alignment horizontal="center" vertical="center"/>
    </xf>
    <xf numFmtId="184" fontId="11" fillId="0" borderId="28" xfId="808" applyNumberFormat="1" applyBorder="1" applyAlignment="1">
      <alignment vertical="center"/>
    </xf>
    <xf numFmtId="165" fontId="45" fillId="0" borderId="7" xfId="808" applyFont="1" applyBorder="1" applyAlignment="1">
      <alignment horizontal="center" vertical="center"/>
    </xf>
    <xf numFmtId="186" fontId="45" fillId="0" borderId="7" xfId="809" applyNumberFormat="1" applyFont="1" applyBorder="1" applyAlignment="1">
      <alignment vertical="center"/>
    </xf>
    <xf numFmtId="186" fontId="45" fillId="0" borderId="0" xfId="809" applyNumberFormat="1" applyFont="1" applyBorder="1" applyAlignment="1">
      <alignment vertical="center"/>
    </xf>
    <xf numFmtId="165" fontId="11" fillId="0" borderId="15" xfId="808" applyBorder="1" applyAlignment="1">
      <alignment horizontal="center" vertical="center"/>
    </xf>
    <xf numFmtId="165" fontId="47" fillId="0" borderId="35" xfId="808" applyFont="1" applyBorder="1" applyAlignment="1">
      <alignment horizontal="center" vertical="center"/>
    </xf>
    <xf numFmtId="165" fontId="47" fillId="0" borderId="36" xfId="808" applyFont="1" applyBorder="1" applyAlignment="1">
      <alignment horizontal="center" vertical="center"/>
    </xf>
    <xf numFmtId="49" fontId="68" fillId="0" borderId="30" xfId="808" applyNumberFormat="1" applyFont="1" applyBorder="1" applyAlignment="1">
      <alignment horizontal="left" vertical="center"/>
    </xf>
    <xf numFmtId="165" fontId="11" fillId="0" borderId="0" xfId="808" applyFont="1" applyBorder="1" applyAlignment="1">
      <alignment horizontal="left" vertical="center"/>
    </xf>
    <xf numFmtId="49" fontId="68" fillId="0" borderId="34" xfId="808" applyNumberFormat="1" applyFont="1" applyBorder="1" applyAlignment="1">
      <alignment horizontal="left" vertical="center"/>
    </xf>
    <xf numFmtId="165" fontId="11" fillId="0" borderId="38" xfId="808" applyFont="1" applyBorder="1" applyAlignment="1">
      <alignment vertical="center"/>
    </xf>
    <xf numFmtId="2" fontId="11" fillId="0" borderId="29" xfId="808" applyNumberFormat="1" applyBorder="1" applyAlignment="1">
      <alignment vertical="center"/>
    </xf>
    <xf numFmtId="187" fontId="11" fillId="0" borderId="29" xfId="808" applyNumberFormat="1" applyBorder="1" applyAlignment="1">
      <alignment vertical="center"/>
    </xf>
    <xf numFmtId="165" fontId="45" fillId="0" borderId="21" xfId="808" applyFont="1" applyBorder="1" applyAlignment="1">
      <alignment horizontal="center" vertical="center"/>
    </xf>
    <xf numFmtId="165" fontId="45" fillId="0" borderId="7" xfId="808" applyFont="1" applyBorder="1" applyAlignment="1">
      <alignment vertical="center"/>
    </xf>
    <xf numFmtId="165" fontId="45" fillId="0" borderId="0" xfId="808" applyFont="1" applyBorder="1" applyAlignment="1">
      <alignment vertical="center"/>
    </xf>
    <xf numFmtId="165" fontId="45" fillId="0" borderId="15" xfId="808" applyFont="1" applyBorder="1" applyAlignment="1">
      <alignment vertical="center"/>
    </xf>
    <xf numFmtId="0" fontId="47" fillId="0" borderId="22" xfId="807" applyFont="1" applyBorder="1" applyAlignment="1">
      <alignment horizontal="center" vertical="center"/>
    </xf>
    <xf numFmtId="165" fontId="47" fillId="0" borderId="43" xfId="808" applyFont="1" applyBorder="1" applyAlignment="1">
      <alignment horizontal="center" vertical="center"/>
    </xf>
    <xf numFmtId="185" fontId="68" fillId="0" borderId="30" xfId="808" applyNumberFormat="1" applyFont="1" applyBorder="1" applyAlignment="1">
      <alignment vertical="center"/>
    </xf>
    <xf numFmtId="165" fontId="11" fillId="0" borderId="41" xfId="808" applyFont="1" applyBorder="1" applyAlignment="1">
      <alignment vertical="center"/>
    </xf>
    <xf numFmtId="0" fontId="11" fillId="0" borderId="0" xfId="808" applyNumberFormat="1" applyFont="1" applyBorder="1" applyAlignment="1">
      <alignment horizontal="center" vertical="center"/>
    </xf>
    <xf numFmtId="178" fontId="11" fillId="0" borderId="20" xfId="808" applyNumberFormat="1" applyFont="1" applyBorder="1" applyAlignment="1">
      <alignment horizontal="center" vertical="center"/>
    </xf>
    <xf numFmtId="193" fontId="11" fillId="0" borderId="20" xfId="808" applyNumberFormat="1" applyFont="1" applyBorder="1" applyAlignment="1">
      <alignment horizontal="center" vertical="center"/>
    </xf>
    <xf numFmtId="166" fontId="11" fillId="0" borderId="0" xfId="809" quotePrefix="1" applyNumberFormat="1" applyFont="1" applyBorder="1" applyAlignment="1">
      <alignment vertical="center"/>
    </xf>
    <xf numFmtId="2" fontId="11" fillId="0" borderId="20" xfId="808" applyNumberFormat="1" applyFont="1" applyBorder="1" applyAlignment="1">
      <alignment horizontal="center" vertical="center"/>
    </xf>
    <xf numFmtId="185" fontId="68" fillId="0" borderId="30" xfId="807" applyNumberFormat="1" applyFont="1" applyBorder="1" applyAlignment="1">
      <alignment vertical="center"/>
    </xf>
    <xf numFmtId="0" fontId="11" fillId="0" borderId="20" xfId="807" applyBorder="1" applyAlignment="1">
      <alignment horizontal="center" vertical="center"/>
    </xf>
    <xf numFmtId="166" fontId="11" fillId="0" borderId="20" xfId="808" applyNumberFormat="1" applyFont="1" applyBorder="1" applyAlignment="1">
      <alignment vertical="center"/>
    </xf>
    <xf numFmtId="185" fontId="68" fillId="0" borderId="34" xfId="807" applyNumberFormat="1" applyFont="1" applyBorder="1" applyAlignment="1">
      <alignment vertical="center"/>
    </xf>
    <xf numFmtId="0" fontId="11" fillId="0" borderId="28" xfId="807" applyBorder="1" applyAlignment="1">
      <alignment horizontal="center" vertical="center"/>
    </xf>
    <xf numFmtId="0" fontId="0" fillId="0" borderId="15" xfId="810" applyNumberFormat="1" applyFont="1" applyBorder="1" applyAlignment="1">
      <alignment horizontal="center" vertical="center"/>
    </xf>
    <xf numFmtId="2" fontId="11" fillId="0" borderId="28" xfId="808" applyNumberFormat="1" applyFont="1" applyBorder="1" applyAlignment="1">
      <alignment horizontal="center" vertical="center"/>
    </xf>
    <xf numFmtId="166" fontId="11" fillId="0" borderId="15" xfId="808" applyNumberFormat="1" applyBorder="1" applyAlignment="1">
      <alignment vertical="center"/>
    </xf>
    <xf numFmtId="186" fontId="11" fillId="0" borderId="23" xfId="809" quotePrefix="1" applyNumberFormat="1" applyFont="1" applyBorder="1" applyAlignment="1">
      <alignment vertical="center"/>
    </xf>
    <xf numFmtId="189" fontId="22" fillId="0" borderId="0" xfId="810" applyNumberFormat="1" applyFont="1" applyBorder="1" applyAlignment="1">
      <alignment vertical="center"/>
    </xf>
    <xf numFmtId="189" fontId="0" fillId="0" borderId="0" xfId="810" applyNumberFormat="1" applyFont="1" applyBorder="1" applyAlignment="1">
      <alignment vertical="center"/>
    </xf>
    <xf numFmtId="165" fontId="45" fillId="0" borderId="42" xfId="808" applyFont="1" applyBorder="1" applyAlignment="1">
      <alignment horizontal="center" vertical="center"/>
    </xf>
    <xf numFmtId="186" fontId="45" fillId="0" borderId="42" xfId="808" applyNumberFormat="1" applyFont="1" applyBorder="1" applyAlignment="1">
      <alignment vertical="center"/>
    </xf>
    <xf numFmtId="186" fontId="45" fillId="0" borderId="0" xfId="808" applyNumberFormat="1" applyFont="1" applyBorder="1" applyAlignment="1">
      <alignment vertical="center"/>
    </xf>
    <xf numFmtId="165" fontId="47" fillId="0" borderId="22" xfId="808" applyFont="1" applyBorder="1" applyAlignment="1">
      <alignment horizontal="center" vertical="center"/>
    </xf>
    <xf numFmtId="165" fontId="47" fillId="0" borderId="55" xfId="808" applyFont="1" applyBorder="1" applyAlignment="1">
      <alignment horizontal="center" vertical="center"/>
    </xf>
    <xf numFmtId="0" fontId="68" fillId="0" borderId="30" xfId="808" applyNumberFormat="1" applyFont="1" applyBorder="1" applyAlignment="1">
      <alignment horizontal="center" vertical="center"/>
    </xf>
    <xf numFmtId="197" fontId="11" fillId="0" borderId="20" xfId="808" applyNumberFormat="1" applyBorder="1" applyAlignment="1">
      <alignment horizontal="center" vertical="center"/>
    </xf>
    <xf numFmtId="2" fontId="11" fillId="0" borderId="20" xfId="807" applyNumberFormat="1" applyBorder="1" applyAlignment="1">
      <alignment horizontal="center" vertical="center"/>
    </xf>
    <xf numFmtId="197" fontId="11" fillId="0" borderId="0" xfId="808" applyNumberFormat="1" applyBorder="1" applyAlignment="1">
      <alignment horizontal="right" vertical="center"/>
    </xf>
    <xf numFmtId="187" fontId="11" fillId="0" borderId="33" xfId="808" applyNumberFormat="1" applyBorder="1" applyAlignment="1">
      <alignment horizontal="right" vertical="center"/>
    </xf>
    <xf numFmtId="197" fontId="11" fillId="0" borderId="41" xfId="808" applyNumberFormat="1" applyBorder="1" applyAlignment="1">
      <alignment horizontal="right" vertical="center"/>
    </xf>
    <xf numFmtId="0" fontId="68" fillId="0" borderId="34" xfId="808" applyNumberFormat="1" applyFont="1" applyBorder="1" applyAlignment="1">
      <alignment horizontal="center" vertical="center"/>
    </xf>
    <xf numFmtId="187" fontId="11" fillId="0" borderId="28" xfId="808" applyNumberFormat="1" applyBorder="1" applyAlignment="1">
      <alignment horizontal="center" vertical="center"/>
    </xf>
    <xf numFmtId="2" fontId="11" fillId="0" borderId="28" xfId="807" applyNumberFormat="1" applyBorder="1" applyAlignment="1">
      <alignment horizontal="center" vertical="center"/>
    </xf>
    <xf numFmtId="187" fontId="11" fillId="0" borderId="29" xfId="808" applyNumberFormat="1" applyBorder="1" applyAlignment="1">
      <alignment horizontal="right" vertical="center"/>
    </xf>
    <xf numFmtId="187" fontId="11" fillId="0" borderId="23" xfId="808" applyNumberFormat="1" applyBorder="1" applyAlignment="1">
      <alignment horizontal="right" vertical="center"/>
    </xf>
    <xf numFmtId="186" fontId="45" fillId="0" borderId="7" xfId="808" applyNumberFormat="1" applyFont="1" applyBorder="1" applyAlignment="1">
      <alignment vertical="center"/>
    </xf>
    <xf numFmtId="165" fontId="45" fillId="0" borderId="0" xfId="808" applyFont="1" applyAlignment="1">
      <alignment horizontal="center" vertical="center"/>
    </xf>
    <xf numFmtId="165" fontId="45" fillId="0" borderId="0" xfId="808" applyFont="1" applyAlignment="1">
      <alignment horizontal="centerContinuous" vertical="center"/>
    </xf>
    <xf numFmtId="187" fontId="45" fillId="0" borderId="7" xfId="808" applyNumberFormat="1" applyFont="1" applyBorder="1" applyAlignment="1">
      <alignment vertical="center"/>
    </xf>
    <xf numFmtId="187" fontId="45" fillId="0" borderId="0" xfId="808" applyNumberFormat="1" applyFont="1" applyBorder="1" applyAlignment="1">
      <alignment vertical="center"/>
    </xf>
    <xf numFmtId="0" fontId="58" fillId="0" borderId="0" xfId="807" applyFont="1" applyAlignment="1">
      <alignment vertical="center"/>
    </xf>
    <xf numFmtId="0" fontId="59" fillId="0" borderId="0" xfId="807" applyFont="1" applyAlignment="1">
      <alignment vertical="center"/>
    </xf>
    <xf numFmtId="49" fontId="68" fillId="0" borderId="37" xfId="808" applyNumberFormat="1" applyFont="1" applyBorder="1" applyAlignment="1">
      <alignment horizontal="left" vertical="center"/>
    </xf>
    <xf numFmtId="185" fontId="68" fillId="0" borderId="37" xfId="808" applyNumberFormat="1" applyFont="1" applyBorder="1" applyAlignment="1">
      <alignment vertical="center"/>
    </xf>
    <xf numFmtId="165" fontId="11" fillId="0" borderId="39" xfId="808" applyFont="1" applyBorder="1" applyAlignment="1">
      <alignment vertical="center"/>
    </xf>
    <xf numFmtId="165" fontId="11" fillId="0" borderId="20" xfId="302" applyFont="1" applyBorder="1" applyAlignment="1">
      <alignment horizontal="center" vertical="center"/>
    </xf>
    <xf numFmtId="165" fontId="11" fillId="0" borderId="0" xfId="302" applyFont="1" applyBorder="1" applyAlignment="1">
      <alignment vertical="center"/>
    </xf>
    <xf numFmtId="0" fontId="11" fillId="0" borderId="0" xfId="302" applyNumberFormat="1" applyFont="1" applyBorder="1" applyAlignment="1">
      <alignment horizontal="center" vertical="center"/>
    </xf>
    <xf numFmtId="49" fontId="50" fillId="0" borderId="6" xfId="414" applyNumberFormat="1" applyFont="1" applyBorder="1" applyAlignment="1">
      <alignment horizontal="justify" vertical="center" wrapText="1"/>
    </xf>
    <xf numFmtId="0" fontId="11" fillId="0" borderId="6" xfId="0" applyFont="1" applyBorder="1" applyAlignment="1">
      <alignment horizontal="justify" vertical="center" wrapText="1"/>
    </xf>
    <xf numFmtId="184" fontId="0" fillId="42" borderId="6" xfId="0" applyNumberFormat="1" applyFill="1" applyBorder="1"/>
    <xf numFmtId="0" fontId="48" fillId="0" borderId="0" xfId="145" applyFill="1" applyAlignment="1" applyProtection="1">
      <alignment vertical="center"/>
    </xf>
    <xf numFmtId="0" fontId="73" fillId="0" borderId="0" xfId="0" applyFont="1" applyAlignment="1">
      <alignment horizontal="left" vertical="center" wrapText="1"/>
    </xf>
    <xf numFmtId="0" fontId="73" fillId="0" borderId="0" xfId="0" applyFont="1" applyAlignment="1">
      <alignment horizontal="center" vertical="center" wrapText="1"/>
    </xf>
    <xf numFmtId="4" fontId="73" fillId="0" borderId="0" xfId="0" applyNumberFormat="1" applyFont="1" applyAlignment="1">
      <alignment horizontal="center" vertical="center" wrapText="1"/>
    </xf>
    <xf numFmtId="0" fontId="104" fillId="0" borderId="0" xfId="0" applyFont="1" applyAlignment="1">
      <alignment vertical="top" wrapText="1"/>
    </xf>
    <xf numFmtId="0" fontId="45" fillId="0" borderId="0" xfId="0" applyFont="1"/>
    <xf numFmtId="0" fontId="103" fillId="29" borderId="6" xfId="807" applyFont="1" applyFill="1" applyBorder="1" applyAlignment="1">
      <alignment horizontal="center" vertical="center" wrapText="1"/>
    </xf>
    <xf numFmtId="0" fontId="136" fillId="0" borderId="0" xfId="414" applyFont="1" applyAlignment="1">
      <alignment horizontal="left" vertical="center"/>
    </xf>
    <xf numFmtId="0" fontId="105" fillId="46" borderId="10" xfId="414" applyFont="1" applyFill="1" applyBorder="1" applyAlignment="1">
      <alignment horizontal="left" vertical="center"/>
    </xf>
    <xf numFmtId="0" fontId="51" fillId="46" borderId="11" xfId="414" applyFont="1" applyFill="1" applyBorder="1" applyAlignment="1">
      <alignment vertical="center" wrapText="1"/>
    </xf>
    <xf numFmtId="0" fontId="51" fillId="46" borderId="11" xfId="414" applyFont="1" applyFill="1" applyBorder="1" applyAlignment="1">
      <alignment horizontal="center" vertical="center" wrapText="1"/>
    </xf>
    <xf numFmtId="191" fontId="51" fillId="46" borderId="6" xfId="301" applyNumberFormat="1" applyFont="1" applyFill="1" applyBorder="1" applyAlignment="1">
      <alignment horizontal="right" vertical="center"/>
    </xf>
    <xf numFmtId="184" fontId="54" fillId="37" borderId="6" xfId="301" applyNumberFormat="1" applyFont="1" applyFill="1" applyBorder="1" applyAlignment="1">
      <alignment horizontal="right" vertical="center"/>
    </xf>
    <xf numFmtId="0" fontId="102" fillId="35" borderId="6" xfId="414" applyFont="1" applyFill="1" applyBorder="1" applyAlignment="1">
      <alignment horizontal="center" vertical="center" wrapText="1"/>
    </xf>
    <xf numFmtId="0" fontId="53" fillId="35" borderId="6" xfId="414" applyFont="1" applyFill="1" applyBorder="1" applyAlignment="1">
      <alignment horizontal="left" vertical="center" wrapText="1"/>
    </xf>
    <xf numFmtId="0" fontId="50" fillId="35" borderId="6" xfId="414" applyFont="1" applyFill="1" applyBorder="1" applyAlignment="1">
      <alignment horizontal="center" vertical="center" wrapText="1"/>
    </xf>
    <xf numFmtId="4" fontId="50" fillId="35" borderId="6" xfId="301" applyNumberFormat="1" applyFont="1" applyFill="1" applyBorder="1" applyAlignment="1">
      <alignment horizontal="center" vertical="center" wrapText="1"/>
    </xf>
    <xf numFmtId="190" fontId="53" fillId="35" borderId="6" xfId="301" applyNumberFormat="1" applyFont="1" applyFill="1" applyBorder="1" applyAlignment="1">
      <alignment horizontal="right" vertical="center" wrapText="1"/>
    </xf>
    <xf numFmtId="0" fontId="102" fillId="46" borderId="6" xfId="414" applyFont="1" applyFill="1" applyBorder="1" applyAlignment="1">
      <alignment horizontal="center" vertical="center" wrapText="1"/>
    </xf>
    <xf numFmtId="0" fontId="53" fillId="46" borderId="6" xfId="414" applyFont="1" applyFill="1" applyBorder="1" applyAlignment="1">
      <alignment horizontal="justify" vertical="center" wrapText="1"/>
    </xf>
    <xf numFmtId="0" fontId="53" fillId="46" borderId="6" xfId="414" applyFont="1" applyFill="1" applyBorder="1" applyAlignment="1">
      <alignment horizontal="center" vertical="center" wrapText="1"/>
    </xf>
    <xf numFmtId="4" fontId="50" fillId="46" borderId="6" xfId="414" applyNumberFormat="1" applyFont="1" applyFill="1" applyBorder="1" applyAlignment="1">
      <alignment horizontal="center" vertical="center" wrapText="1"/>
    </xf>
    <xf numFmtId="191" fontId="53" fillId="46" borderId="6" xfId="414" applyNumberFormat="1" applyFont="1" applyFill="1" applyBorder="1" applyAlignment="1">
      <alignment horizontal="center" vertical="center" wrapText="1"/>
    </xf>
    <xf numFmtId="0" fontId="102" fillId="46" borderId="6" xfId="807" applyFont="1" applyFill="1" applyBorder="1" applyAlignment="1">
      <alignment horizontal="center" vertical="center" wrapText="1"/>
    </xf>
    <xf numFmtId="4" fontId="50" fillId="46" borderId="6" xfId="414" applyNumberFormat="1" applyFont="1" applyFill="1" applyBorder="1" applyAlignment="1">
      <alignment horizontal="right" vertical="center" wrapText="1"/>
    </xf>
    <xf numFmtId="0" fontId="136" fillId="0" borderId="0" xfId="0" applyFont="1"/>
    <xf numFmtId="0" fontId="11" fillId="0" borderId="0" xfId="414" applyFont="1" applyAlignment="1">
      <alignment vertical="center"/>
    </xf>
    <xf numFmtId="1" fontId="113" fillId="0" borderId="8" xfId="806" applyNumberFormat="1" applyFont="1" applyBorder="1" applyAlignment="1">
      <alignment horizontal="center" vertical="center"/>
    </xf>
    <xf numFmtId="1" fontId="113" fillId="31" borderId="12" xfId="806" applyNumberFormat="1" applyFont="1" applyFill="1" applyBorder="1" applyAlignment="1">
      <alignment horizontal="center" vertical="center"/>
    </xf>
    <xf numFmtId="0" fontId="113" fillId="0" borderId="0" xfId="814" applyFont="1" applyAlignment="1">
      <alignment vertical="center"/>
    </xf>
    <xf numFmtId="0" fontId="118" fillId="0" borderId="0" xfId="814" applyFont="1" applyAlignment="1">
      <alignment vertical="center"/>
    </xf>
    <xf numFmtId="201" fontId="113" fillId="0" borderId="0" xfId="814" applyNumberFormat="1" applyFont="1" applyAlignment="1">
      <alignment vertical="center"/>
    </xf>
    <xf numFmtId="0" fontId="113" fillId="0" borderId="0" xfId="814" applyFont="1" applyAlignment="1">
      <alignment horizontal="center" vertical="center"/>
    </xf>
    <xf numFmtId="1" fontId="113" fillId="0" borderId="0" xfId="814" applyNumberFormat="1" applyFont="1" applyAlignment="1">
      <alignment vertical="center"/>
    </xf>
    <xf numFmtId="0" fontId="117" fillId="0" borderId="0" xfId="814" applyFont="1" applyAlignment="1">
      <alignment vertical="center"/>
    </xf>
    <xf numFmtId="202" fontId="113" fillId="0" borderId="0" xfId="814" applyNumberFormat="1" applyFont="1" applyAlignment="1">
      <alignment vertical="center"/>
    </xf>
    <xf numFmtId="202" fontId="113" fillId="0" borderId="0" xfId="815" applyFont="1" applyAlignment="1">
      <alignment vertical="center"/>
    </xf>
    <xf numFmtId="2" fontId="113" fillId="0" borderId="0" xfId="814" applyNumberFormat="1" applyFont="1" applyAlignment="1">
      <alignment vertical="center"/>
    </xf>
    <xf numFmtId="202" fontId="113" fillId="0" borderId="13" xfId="815" applyFont="1" applyFill="1" applyBorder="1" applyAlignment="1">
      <alignment vertical="center"/>
    </xf>
    <xf numFmtId="0" fontId="112" fillId="46" borderId="6" xfId="814" applyFont="1" applyFill="1" applyBorder="1" applyAlignment="1">
      <alignment horizontal="center" vertical="center"/>
    </xf>
    <xf numFmtId="0" fontId="112" fillId="46" borderId="6" xfId="814" applyFont="1" applyFill="1" applyBorder="1" applyAlignment="1">
      <alignment horizontal="center" vertical="center" wrapText="1"/>
    </xf>
    <xf numFmtId="201" fontId="112" fillId="46" borderId="6" xfId="814" applyNumberFormat="1" applyFont="1" applyFill="1" applyBorder="1" applyAlignment="1">
      <alignment horizontal="center" vertical="center"/>
    </xf>
    <xf numFmtId="0" fontId="112" fillId="0" borderId="0" xfId="814" applyFont="1" applyAlignment="1">
      <alignment horizontal="center" vertical="center"/>
    </xf>
    <xf numFmtId="0" fontId="117" fillId="0" borderId="0" xfId="814" applyFont="1" applyAlignment="1">
      <alignment horizontal="center" vertical="center"/>
    </xf>
    <xf numFmtId="0" fontId="95" fillId="0" borderId="0" xfId="814" applyFont="1" applyAlignment="1">
      <alignment vertical="center"/>
    </xf>
    <xf numFmtId="0" fontId="112" fillId="46" borderId="8" xfId="814" applyFont="1" applyFill="1" applyBorder="1" applyAlignment="1">
      <alignment horizontal="center" vertical="center" wrapText="1"/>
    </xf>
    <xf numFmtId="0" fontId="112" fillId="46" borderId="50" xfId="814" applyFont="1" applyFill="1" applyBorder="1" applyAlignment="1">
      <alignment vertical="center" wrapText="1"/>
    </xf>
    <xf numFmtId="0" fontId="112" fillId="46" borderId="50" xfId="814" applyFont="1" applyFill="1" applyBorder="1" applyAlignment="1">
      <alignment horizontal="center" vertical="center" wrapText="1"/>
    </xf>
    <xf numFmtId="0" fontId="112" fillId="0" borderId="6" xfId="814" applyFont="1" applyBorder="1" applyAlignment="1">
      <alignment horizontal="center" vertical="center" wrapText="1"/>
    </xf>
    <xf numFmtId="0" fontId="95" fillId="0" borderId="8" xfId="814" applyFont="1" applyBorder="1" applyAlignment="1">
      <alignment horizontal="center" vertical="center" wrapText="1"/>
    </xf>
    <xf numFmtId="1" fontId="113" fillId="0" borderId="8" xfId="814" applyNumberFormat="1" applyFont="1" applyBorder="1" applyAlignment="1">
      <alignment horizontal="center" vertical="center" wrapText="1"/>
    </xf>
    <xf numFmtId="1" fontId="95" fillId="0" borderId="8" xfId="814" applyNumberFormat="1" applyFont="1" applyBorder="1" applyAlignment="1">
      <alignment horizontal="center" vertical="center" wrapText="1"/>
    </xf>
    <xf numFmtId="0" fontId="95" fillId="0" borderId="8" xfId="814" applyFont="1" applyBorder="1" applyAlignment="1">
      <alignment horizontal="center" vertical="center"/>
    </xf>
    <xf numFmtId="0" fontId="95" fillId="31" borderId="8" xfId="814" applyFont="1" applyFill="1" applyBorder="1" applyAlignment="1">
      <alignment horizontal="center" vertical="center" wrapText="1"/>
    </xf>
    <xf numFmtId="0" fontId="95" fillId="37" borderId="50" xfId="814" applyFont="1" applyFill="1" applyBorder="1" applyAlignment="1">
      <alignment horizontal="center" vertical="center" wrapText="1"/>
    </xf>
    <xf numFmtId="49" fontId="95" fillId="0" borderId="8" xfId="814" applyNumberFormat="1" applyFont="1" applyBorder="1" applyAlignment="1">
      <alignment horizontal="center" vertical="center"/>
    </xf>
    <xf numFmtId="0" fontId="95" fillId="44" borderId="8" xfId="814" applyFont="1" applyFill="1" applyBorder="1" applyAlignment="1">
      <alignment horizontal="center" vertical="center" wrapText="1"/>
    </xf>
    <xf numFmtId="0" fontId="95" fillId="0" borderId="8" xfId="814" applyFont="1" applyBorder="1" applyAlignment="1">
      <alignment vertical="center"/>
    </xf>
    <xf numFmtId="0" fontId="112" fillId="27" borderId="8" xfId="814" applyFont="1" applyFill="1" applyBorder="1" applyAlignment="1">
      <alignment horizontal="center" vertical="center" wrapText="1"/>
    </xf>
    <xf numFmtId="0" fontId="112" fillId="0" borderId="8" xfId="814" applyFont="1" applyBorder="1" applyAlignment="1">
      <alignment horizontal="center" vertical="center" wrapText="1"/>
    </xf>
    <xf numFmtId="0" fontId="112" fillId="0" borderId="0" xfId="814" applyFont="1" applyAlignment="1">
      <alignment horizontal="center" vertical="center" wrapText="1"/>
    </xf>
    <xf numFmtId="0" fontId="95" fillId="0" borderId="6" xfId="814" applyFont="1" applyBorder="1" applyAlignment="1">
      <alignment horizontal="center" vertical="center" wrapText="1"/>
    </xf>
    <xf numFmtId="0" fontId="95" fillId="31" borderId="6" xfId="814" applyFont="1" applyFill="1" applyBorder="1" applyAlignment="1">
      <alignment horizontal="center" vertical="center" wrapText="1"/>
    </xf>
    <xf numFmtId="0" fontId="95" fillId="37" borderId="10" xfId="814" applyFont="1" applyFill="1" applyBorder="1" applyAlignment="1">
      <alignment horizontal="center" vertical="center" wrapText="1"/>
    </xf>
    <xf numFmtId="49" fontId="95" fillId="0" borderId="6" xfId="814" applyNumberFormat="1" applyFont="1" applyBorder="1" applyAlignment="1">
      <alignment horizontal="center" vertical="center"/>
    </xf>
    <xf numFmtId="0" fontId="95" fillId="0" borderId="6" xfId="814" applyFont="1" applyBorder="1" applyAlignment="1">
      <alignment vertical="center"/>
    </xf>
    <xf numFmtId="0" fontId="112" fillId="27" borderId="6" xfId="814" applyFont="1" applyFill="1" applyBorder="1" applyAlignment="1">
      <alignment horizontal="center" vertical="center" wrapText="1"/>
    </xf>
    <xf numFmtId="0" fontId="95" fillId="0" borderId="0" xfId="814" applyFont="1" applyAlignment="1">
      <alignment horizontal="center" vertical="center" wrapText="1"/>
    </xf>
    <xf numFmtId="0" fontId="113" fillId="30" borderId="44" xfId="814" applyFont="1" applyFill="1" applyBorder="1" applyAlignment="1">
      <alignment horizontal="center" vertical="center"/>
    </xf>
    <xf numFmtId="1" fontId="113" fillId="30" borderId="44" xfId="814" applyNumberFormat="1" applyFont="1" applyFill="1" applyBorder="1" applyAlignment="1">
      <alignment horizontal="center" vertical="center"/>
    </xf>
    <xf numFmtId="0" fontId="113" fillId="30" borderId="44" xfId="814" applyFont="1" applyFill="1" applyBorder="1" applyAlignment="1">
      <alignment horizontal="center" vertical="center" wrapText="1"/>
    </xf>
    <xf numFmtId="0" fontId="113" fillId="30" borderId="44" xfId="814" quotePrefix="1" applyFont="1" applyFill="1" applyBorder="1" applyAlignment="1">
      <alignment horizontal="center" vertical="center"/>
    </xf>
    <xf numFmtId="201" fontId="113" fillId="30" borderId="44" xfId="814" applyNumberFormat="1" applyFont="1" applyFill="1" applyBorder="1" applyAlignment="1">
      <alignment horizontal="center" vertical="center"/>
    </xf>
    <xf numFmtId="0" fontId="113" fillId="0" borderId="6" xfId="814" applyFont="1" applyBorder="1" applyAlignment="1">
      <alignment horizontal="center" vertical="center"/>
    </xf>
    <xf numFmtId="1" fontId="113" fillId="0" borderId="6" xfId="814" applyNumberFormat="1" applyFont="1" applyBorder="1" applyAlignment="1">
      <alignment horizontal="center" vertical="center"/>
    </xf>
    <xf numFmtId="0" fontId="113" fillId="27" borderId="6" xfId="814" applyFont="1" applyFill="1" applyBorder="1" applyAlignment="1">
      <alignment horizontal="center" vertical="center"/>
    </xf>
    <xf numFmtId="0" fontId="121" fillId="0" borderId="6" xfId="814" applyFont="1" applyBorder="1" applyAlignment="1">
      <alignment horizontal="center" vertical="center"/>
    </xf>
    <xf numFmtId="0" fontId="121" fillId="0" borderId="0" xfId="814" applyFont="1" applyAlignment="1">
      <alignment horizontal="center" vertical="center"/>
    </xf>
    <xf numFmtId="0" fontId="121" fillId="31" borderId="6" xfId="814" applyFont="1" applyFill="1" applyBorder="1" applyAlignment="1">
      <alignment horizontal="left" vertical="center"/>
    </xf>
    <xf numFmtId="0" fontId="113" fillId="31" borderId="6" xfId="814" applyFont="1" applyFill="1" applyBorder="1" applyAlignment="1">
      <alignment horizontal="center" vertical="center" wrapText="1"/>
    </xf>
    <xf numFmtId="2" fontId="113" fillId="31" borderId="6" xfId="814" applyNumberFormat="1" applyFont="1" applyFill="1" applyBorder="1" applyAlignment="1">
      <alignment horizontal="center" vertical="center"/>
    </xf>
    <xf numFmtId="209" fontId="81" fillId="31" borderId="6" xfId="814" applyNumberFormat="1" applyFont="1" applyFill="1" applyBorder="1" applyAlignment="1">
      <alignment horizontal="center" vertical="center" wrapText="1"/>
    </xf>
    <xf numFmtId="0" fontId="113" fillId="31" borderId="6" xfId="814" applyFont="1" applyFill="1" applyBorder="1" applyAlignment="1">
      <alignment horizontal="center" vertical="center"/>
    </xf>
    <xf numFmtId="193" fontId="113" fillId="31" borderId="6" xfId="814" applyNumberFormat="1" applyFont="1" applyFill="1" applyBorder="1" applyAlignment="1">
      <alignment horizontal="center" vertical="center"/>
    </xf>
    <xf numFmtId="10" fontId="113" fillId="31" borderId="6" xfId="816" applyNumberFormat="1" applyFont="1" applyFill="1" applyBorder="1" applyAlignment="1">
      <alignment horizontal="center" vertical="center"/>
    </xf>
    <xf numFmtId="10" fontId="118" fillId="31" borderId="6" xfId="814" applyNumberFormat="1" applyFont="1" applyFill="1" applyBorder="1" applyAlignment="1">
      <alignment horizontal="center" vertical="center"/>
    </xf>
    <xf numFmtId="201" fontId="113" fillId="31" borderId="6" xfId="814" applyNumberFormat="1" applyFont="1" applyFill="1" applyBorder="1" applyAlignment="1">
      <alignment horizontal="center" vertical="center"/>
    </xf>
    <xf numFmtId="1" fontId="113" fillId="31" borderId="6" xfId="814" applyNumberFormat="1" applyFont="1" applyFill="1" applyBorder="1" applyAlignment="1">
      <alignment horizontal="center" vertical="center"/>
    </xf>
    <xf numFmtId="2" fontId="122" fillId="31" borderId="6" xfId="814" applyNumberFormat="1" applyFont="1" applyFill="1" applyBorder="1" applyAlignment="1">
      <alignment horizontal="center" vertical="center"/>
    </xf>
    <xf numFmtId="2" fontId="113" fillId="31" borderId="10" xfId="814" applyNumberFormat="1" applyFont="1" applyFill="1" applyBorder="1" applyAlignment="1">
      <alignment horizontal="left" vertical="center"/>
    </xf>
    <xf numFmtId="2" fontId="123" fillId="31" borderId="12" xfId="814" applyNumberFormat="1" applyFont="1" applyFill="1" applyBorder="1" applyAlignment="1">
      <alignment horizontal="center" vertical="center"/>
    </xf>
    <xf numFmtId="2" fontId="123" fillId="31" borderId="6" xfId="814" applyNumberFormat="1" applyFont="1" applyFill="1" applyBorder="1" applyAlignment="1">
      <alignment horizontal="center" vertical="center"/>
    </xf>
    <xf numFmtId="2" fontId="124" fillId="31" borderId="6" xfId="814" applyNumberFormat="1" applyFont="1" applyFill="1" applyBorder="1" applyAlignment="1">
      <alignment horizontal="center" vertical="center"/>
    </xf>
    <xf numFmtId="201" fontId="125" fillId="31" borderId="6" xfId="814" applyNumberFormat="1" applyFont="1" applyFill="1" applyBorder="1" applyAlignment="1">
      <alignment horizontal="center" vertical="center"/>
    </xf>
    <xf numFmtId="2" fontId="113" fillId="31" borderId="6" xfId="814" applyNumberFormat="1" applyFont="1" applyFill="1" applyBorder="1" applyAlignment="1">
      <alignment horizontal="left" vertical="center"/>
    </xf>
    <xf numFmtId="2" fontId="113" fillId="31" borderId="0" xfId="814" applyNumberFormat="1" applyFont="1" applyFill="1" applyAlignment="1">
      <alignment horizontal="center" vertical="center"/>
    </xf>
    <xf numFmtId="0" fontId="113" fillId="31" borderId="6" xfId="814" applyFont="1" applyFill="1" applyBorder="1" applyAlignment="1">
      <alignment vertical="center"/>
    </xf>
    <xf numFmtId="0" fontId="113" fillId="31" borderId="0" xfId="814" applyFont="1" applyFill="1" applyAlignment="1">
      <alignment horizontal="center" vertical="center"/>
    </xf>
    <xf numFmtId="0" fontId="113" fillId="31" borderId="0" xfId="814" applyFont="1" applyFill="1" applyAlignment="1">
      <alignment vertical="center"/>
    </xf>
    <xf numFmtId="0" fontId="126" fillId="0" borderId="6" xfId="814" applyFont="1" applyBorder="1" applyAlignment="1">
      <alignment horizontal="center" vertical="center" wrapText="1"/>
    </xf>
    <xf numFmtId="209" fontId="62" fillId="0" borderId="6" xfId="814" applyNumberFormat="1" applyFont="1" applyBorder="1" applyAlignment="1">
      <alignment horizontal="center" vertical="center" wrapText="1"/>
    </xf>
    <xf numFmtId="0" fontId="126" fillId="0" borderId="6" xfId="814" applyFont="1" applyBorder="1" applyAlignment="1">
      <alignment horizontal="center" vertical="center"/>
    </xf>
    <xf numFmtId="2" fontId="126" fillId="0" borderId="6" xfId="814" applyNumberFormat="1" applyFont="1" applyBorder="1" applyAlignment="1">
      <alignment horizontal="center" vertical="center"/>
    </xf>
    <xf numFmtId="193" fontId="126" fillId="0" borderId="6" xfId="814" applyNumberFormat="1" applyFont="1" applyBorder="1" applyAlignment="1">
      <alignment horizontal="center" vertical="center"/>
    </xf>
    <xf numFmtId="10" fontId="126" fillId="0" borderId="6" xfId="816" applyNumberFormat="1" applyFont="1" applyFill="1" applyBorder="1" applyAlignment="1">
      <alignment horizontal="center" vertical="center"/>
    </xf>
    <xf numFmtId="10" fontId="127" fillId="0" borderId="8" xfId="814" applyNumberFormat="1" applyFont="1" applyBorder="1" applyAlignment="1">
      <alignment horizontal="center" vertical="center"/>
    </xf>
    <xf numFmtId="201" fontId="126" fillId="0" borderId="6" xfId="814" applyNumberFormat="1" applyFont="1" applyBorder="1" applyAlignment="1">
      <alignment horizontal="center" vertical="center"/>
    </xf>
    <xf numFmtId="1" fontId="126" fillId="0" borderId="6" xfId="814" applyNumberFormat="1" applyFont="1" applyBorder="1" applyAlignment="1">
      <alignment horizontal="center" vertical="center"/>
    </xf>
    <xf numFmtId="201" fontId="62" fillId="0" borderId="6" xfId="814" applyNumberFormat="1" applyFont="1" applyBorder="1" applyAlignment="1">
      <alignment horizontal="center" vertical="center"/>
    </xf>
    <xf numFmtId="2" fontId="128" fillId="0" borderId="6" xfId="814" applyNumberFormat="1" applyFont="1" applyBorder="1" applyAlignment="1">
      <alignment horizontal="center" vertical="center"/>
    </xf>
    <xf numFmtId="201" fontId="138" fillId="0" borderId="6" xfId="814" applyNumberFormat="1" applyFont="1" applyBorder="1" applyAlignment="1">
      <alignment horizontal="center" vertical="center"/>
    </xf>
    <xf numFmtId="2" fontId="126" fillId="0" borderId="10" xfId="814" applyNumberFormat="1" applyFont="1" applyBorder="1" applyAlignment="1">
      <alignment horizontal="left" vertical="center"/>
    </xf>
    <xf numFmtId="2" fontId="129" fillId="0" borderId="6" xfId="814" applyNumberFormat="1" applyFont="1" applyBorder="1" applyAlignment="1">
      <alignment horizontal="center" vertical="center"/>
    </xf>
    <xf numFmtId="201" fontId="130" fillId="0" borderId="6" xfId="814" applyNumberFormat="1" applyFont="1" applyBorder="1" applyAlignment="1">
      <alignment horizontal="center" vertical="center"/>
    </xf>
    <xf numFmtId="2" fontId="126" fillId="0" borderId="6" xfId="814" applyNumberFormat="1" applyFont="1" applyBorder="1" applyAlignment="1">
      <alignment horizontal="left" vertical="center"/>
    </xf>
    <xf numFmtId="2" fontId="113" fillId="0" borderId="0" xfId="814" applyNumberFormat="1" applyFont="1" applyAlignment="1">
      <alignment horizontal="center" vertical="center"/>
    </xf>
    <xf numFmtId="0" fontId="113" fillId="0" borderId="6" xfId="814" applyFont="1" applyBorder="1" applyAlignment="1">
      <alignment vertical="center"/>
    </xf>
    <xf numFmtId="2" fontId="113" fillId="0" borderId="6" xfId="814" applyNumberFormat="1" applyFont="1" applyBorder="1" applyAlignment="1">
      <alignment horizontal="center" vertical="center"/>
    </xf>
    <xf numFmtId="201" fontId="130" fillId="53" borderId="6" xfId="814" applyNumberFormat="1" applyFont="1" applyFill="1" applyBorder="1" applyAlignment="1">
      <alignment horizontal="center" vertical="center"/>
    </xf>
    <xf numFmtId="201" fontId="130" fillId="54" borderId="6" xfId="814" applyNumberFormat="1" applyFont="1" applyFill="1" applyBorder="1" applyAlignment="1">
      <alignment horizontal="center" vertical="center"/>
    </xf>
    <xf numFmtId="201" fontId="130" fillId="38" borderId="6" xfId="814" applyNumberFormat="1" applyFont="1" applyFill="1" applyBorder="1" applyAlignment="1">
      <alignment horizontal="center" vertical="center"/>
    </xf>
    <xf numFmtId="201" fontId="130" fillId="41" borderId="6" xfId="814" applyNumberFormat="1" applyFont="1" applyFill="1" applyBorder="1" applyAlignment="1">
      <alignment horizontal="center" vertical="center"/>
    </xf>
    <xf numFmtId="2" fontId="128" fillId="55" borderId="6" xfId="814" applyNumberFormat="1" applyFont="1" applyFill="1" applyBorder="1" applyAlignment="1">
      <alignment horizontal="center" vertical="center"/>
    </xf>
    <xf numFmtId="201" fontId="130" fillId="51" borderId="6" xfId="814" applyNumberFormat="1" applyFont="1" applyFill="1" applyBorder="1" applyAlignment="1">
      <alignment horizontal="center" vertical="center"/>
    </xf>
    <xf numFmtId="201" fontId="130" fillId="56" borderId="6" xfId="814" applyNumberFormat="1" applyFont="1" applyFill="1" applyBorder="1" applyAlignment="1">
      <alignment horizontal="center" vertical="center"/>
    </xf>
    <xf numFmtId="2" fontId="126" fillId="0" borderId="6" xfId="814" applyNumberFormat="1" applyFont="1" applyBorder="1" applyAlignment="1">
      <alignment horizontal="left" vertical="center" wrapText="1"/>
    </xf>
    <xf numFmtId="201" fontId="130" fillId="57" borderId="6" xfId="814" applyNumberFormat="1" applyFont="1" applyFill="1" applyBorder="1" applyAlignment="1">
      <alignment horizontal="center" vertical="center"/>
    </xf>
    <xf numFmtId="0" fontId="126" fillId="31" borderId="6" xfId="814" applyFont="1" applyFill="1" applyBorder="1" applyAlignment="1">
      <alignment horizontal="center" vertical="center"/>
    </xf>
    <xf numFmtId="0" fontId="126" fillId="31" borderId="6" xfId="814" applyFont="1" applyFill="1" applyBorder="1" applyAlignment="1">
      <alignment horizontal="center" vertical="center" wrapText="1"/>
    </xf>
    <xf numFmtId="209" fontId="62" fillId="31" borderId="6" xfId="814" applyNumberFormat="1" applyFont="1" applyFill="1" applyBorder="1" applyAlignment="1">
      <alignment horizontal="center" vertical="center"/>
    </xf>
    <xf numFmtId="2" fontId="126" fillId="31" borderId="6" xfId="814" applyNumberFormat="1" applyFont="1" applyFill="1" applyBorder="1" applyAlignment="1">
      <alignment horizontal="center" vertical="center"/>
    </xf>
    <xf numFmtId="193" fontId="126" fillId="31" borderId="6" xfId="814" applyNumberFormat="1" applyFont="1" applyFill="1" applyBorder="1" applyAlignment="1">
      <alignment horizontal="center" vertical="center"/>
    </xf>
    <xf numFmtId="10" fontId="126" fillId="31" borderId="6" xfId="816" applyNumberFormat="1" applyFont="1" applyFill="1" applyBorder="1" applyAlignment="1">
      <alignment horizontal="center" vertical="center"/>
    </xf>
    <xf numFmtId="10" fontId="127" fillId="31" borderId="8" xfId="814" applyNumberFormat="1" applyFont="1" applyFill="1" applyBorder="1" applyAlignment="1">
      <alignment horizontal="center" vertical="center"/>
    </xf>
    <xf numFmtId="201" fontId="126" fillId="31" borderId="6" xfId="814" applyNumberFormat="1" applyFont="1" applyFill="1" applyBorder="1" applyAlignment="1">
      <alignment horizontal="center" vertical="center"/>
    </xf>
    <xf numFmtId="1" fontId="126" fillId="31" borderId="6" xfId="814" applyNumberFormat="1" applyFont="1" applyFill="1" applyBorder="1" applyAlignment="1">
      <alignment horizontal="center" vertical="center"/>
    </xf>
    <xf numFmtId="201" fontId="62" fillId="31" borderId="6" xfId="814" applyNumberFormat="1" applyFont="1" applyFill="1" applyBorder="1" applyAlignment="1">
      <alignment horizontal="center" vertical="center"/>
    </xf>
    <xf numFmtId="2" fontId="128" fillId="31" borderId="6" xfId="814" applyNumberFormat="1" applyFont="1" applyFill="1" applyBorder="1" applyAlignment="1">
      <alignment horizontal="center" vertical="center"/>
    </xf>
    <xf numFmtId="201" fontId="138" fillId="31" borderId="6" xfId="814" applyNumberFormat="1" applyFont="1" applyFill="1" applyBorder="1" applyAlignment="1">
      <alignment horizontal="center" vertical="center"/>
    </xf>
    <xf numFmtId="2" fontId="126" fillId="31" borderId="10" xfId="814" applyNumberFormat="1" applyFont="1" applyFill="1" applyBorder="1" applyAlignment="1">
      <alignment horizontal="left" vertical="center"/>
    </xf>
    <xf numFmtId="2" fontId="129" fillId="31" borderId="6" xfId="814" applyNumberFormat="1" applyFont="1" applyFill="1" applyBorder="1" applyAlignment="1">
      <alignment horizontal="center" vertical="center"/>
    </xf>
    <xf numFmtId="201" fontId="130" fillId="31" borderId="6" xfId="814" applyNumberFormat="1" applyFont="1" applyFill="1" applyBorder="1" applyAlignment="1">
      <alignment horizontal="center" vertical="center"/>
    </xf>
    <xf numFmtId="2" fontId="126" fillId="31" borderId="6" xfId="814" applyNumberFormat="1" applyFont="1" applyFill="1" applyBorder="1" applyAlignment="1">
      <alignment horizontal="left" vertical="center"/>
    </xf>
    <xf numFmtId="209" fontId="62" fillId="31" borderId="6" xfId="814" applyNumberFormat="1" applyFont="1" applyFill="1" applyBorder="1" applyAlignment="1">
      <alignment horizontal="center" vertical="center" wrapText="1"/>
    </xf>
    <xf numFmtId="10" fontId="131" fillId="31" borderId="6" xfId="814" applyNumberFormat="1" applyFont="1" applyFill="1" applyBorder="1" applyAlignment="1">
      <alignment horizontal="center" vertical="center"/>
    </xf>
    <xf numFmtId="2" fontId="126" fillId="31" borderId="6" xfId="814" applyNumberFormat="1" applyFont="1" applyFill="1" applyBorder="1" applyAlignment="1">
      <alignment horizontal="left" vertical="center" wrapText="1"/>
    </xf>
    <xf numFmtId="10" fontId="131" fillId="0" borderId="6" xfId="814" applyNumberFormat="1" applyFont="1" applyBorder="1" applyAlignment="1">
      <alignment horizontal="center" vertical="center"/>
    </xf>
    <xf numFmtId="0" fontId="113" fillId="0" borderId="13" xfId="814" applyFont="1" applyBorder="1" applyAlignment="1">
      <alignment vertical="center"/>
    </xf>
    <xf numFmtId="2" fontId="113" fillId="0" borderId="13" xfId="814" applyNumberFormat="1" applyFont="1" applyBorder="1" applyAlignment="1">
      <alignment horizontal="center" vertical="center"/>
    </xf>
    <xf numFmtId="0" fontId="126" fillId="0" borderId="8" xfId="814" applyFont="1" applyBorder="1" applyAlignment="1">
      <alignment horizontal="center" vertical="center" wrapText="1"/>
    </xf>
    <xf numFmtId="2" fontId="126" fillId="0" borderId="8" xfId="814" applyNumberFormat="1" applyFont="1" applyBorder="1" applyAlignment="1">
      <alignment horizontal="center" vertical="center"/>
    </xf>
    <xf numFmtId="2" fontId="126" fillId="0" borderId="8" xfId="814" applyNumberFormat="1" applyFont="1" applyBorder="1" applyAlignment="1">
      <alignment horizontal="left" vertical="center" wrapText="1"/>
    </xf>
    <xf numFmtId="0" fontId="113" fillId="0" borderId="8" xfId="814" applyFont="1" applyBorder="1" applyAlignment="1">
      <alignment vertical="center"/>
    </xf>
    <xf numFmtId="1" fontId="113" fillId="0" borderId="8" xfId="814" applyNumberFormat="1" applyFont="1" applyBorder="1" applyAlignment="1">
      <alignment horizontal="center" vertical="center"/>
    </xf>
    <xf numFmtId="2" fontId="113" fillId="0" borderId="8" xfId="814" applyNumberFormat="1" applyFont="1" applyBorder="1" applyAlignment="1">
      <alignment horizontal="center" vertical="center"/>
    </xf>
    <xf numFmtId="201" fontId="130" fillId="58" borderId="6" xfId="814" applyNumberFormat="1" applyFont="1" applyFill="1" applyBorder="1" applyAlignment="1">
      <alignment horizontal="center" vertical="center"/>
    </xf>
    <xf numFmtId="201" fontId="130" fillId="30" borderId="6" xfId="814" applyNumberFormat="1" applyFont="1" applyFill="1" applyBorder="1" applyAlignment="1">
      <alignment horizontal="center" vertical="center"/>
    </xf>
    <xf numFmtId="201" fontId="130" fillId="48" borderId="6" xfId="814" applyNumberFormat="1" applyFont="1" applyFill="1" applyBorder="1" applyAlignment="1">
      <alignment horizontal="center" vertical="center"/>
    </xf>
    <xf numFmtId="0" fontId="126" fillId="0" borderId="6" xfId="814" applyFont="1" applyBorder="1" applyAlignment="1">
      <alignment horizontal="left" vertical="center"/>
    </xf>
    <xf numFmtId="1" fontId="113" fillId="0" borderId="10" xfId="814" applyNumberFormat="1" applyFont="1" applyBorder="1" applyAlignment="1">
      <alignment horizontal="center" vertical="center"/>
    </xf>
    <xf numFmtId="2" fontId="113" fillId="0" borderId="6" xfId="814" applyNumberFormat="1" applyFont="1" applyBorder="1" applyAlignment="1">
      <alignment vertical="center"/>
    </xf>
    <xf numFmtId="0" fontId="126" fillId="31" borderId="6" xfId="814" applyFont="1" applyFill="1" applyBorder="1" applyAlignment="1">
      <alignment horizontal="left" vertical="center"/>
    </xf>
    <xf numFmtId="1" fontId="113" fillId="31" borderId="10" xfId="814" applyNumberFormat="1" applyFont="1" applyFill="1" applyBorder="1" applyAlignment="1">
      <alignment horizontal="center" vertical="center"/>
    </xf>
    <xf numFmtId="2" fontId="113" fillId="31" borderId="6" xfId="814" applyNumberFormat="1" applyFont="1" applyFill="1" applyBorder="1" applyAlignment="1">
      <alignment vertical="center"/>
    </xf>
    <xf numFmtId="201" fontId="130" fillId="44" borderId="6" xfId="814" applyNumberFormat="1" applyFont="1" applyFill="1" applyBorder="1" applyAlignment="1">
      <alignment horizontal="center" vertical="center"/>
    </xf>
    <xf numFmtId="2" fontId="129" fillId="59" borderId="6" xfId="814" applyNumberFormat="1" applyFont="1" applyFill="1" applyBorder="1" applyAlignment="1">
      <alignment horizontal="center" vertical="center"/>
    </xf>
    <xf numFmtId="2" fontId="128" fillId="59" borderId="6" xfId="814" applyNumberFormat="1" applyFont="1" applyFill="1" applyBorder="1" applyAlignment="1">
      <alignment horizontal="center" vertical="center"/>
    </xf>
    <xf numFmtId="201" fontId="130" fillId="60" borderId="6" xfId="814" applyNumberFormat="1" applyFont="1" applyFill="1" applyBorder="1" applyAlignment="1">
      <alignment horizontal="center" vertical="center"/>
    </xf>
    <xf numFmtId="0" fontId="113" fillId="0" borderId="0" xfId="814" applyFont="1" applyAlignment="1">
      <alignment horizontal="center" vertical="center" wrapText="1"/>
    </xf>
    <xf numFmtId="209" fontId="81" fillId="0" borderId="0" xfId="814" applyNumberFormat="1" applyFont="1" applyAlignment="1">
      <alignment horizontal="center" vertical="center" wrapText="1"/>
    </xf>
    <xf numFmtId="193" fontId="113" fillId="0" borderId="0" xfId="814" applyNumberFormat="1" applyFont="1" applyAlignment="1">
      <alignment horizontal="center" vertical="center"/>
    </xf>
    <xf numFmtId="10" fontId="113" fillId="0" borderId="0" xfId="816" applyNumberFormat="1" applyFont="1" applyFill="1" applyBorder="1" applyAlignment="1">
      <alignment horizontal="center" vertical="center"/>
    </xf>
    <xf numFmtId="10" fontId="132" fillId="0" borderId="0" xfId="814" applyNumberFormat="1" applyFont="1" applyAlignment="1">
      <alignment horizontal="center" vertical="center"/>
    </xf>
    <xf numFmtId="201" fontId="113" fillId="0" borderId="0" xfId="814" applyNumberFormat="1" applyFont="1" applyAlignment="1">
      <alignment horizontal="center" vertical="center"/>
    </xf>
    <xf numFmtId="1" fontId="119" fillId="0" borderId="0" xfId="814" applyNumberFormat="1" applyFont="1" applyAlignment="1">
      <alignment horizontal="center" vertical="center"/>
    </xf>
    <xf numFmtId="2" fontId="122" fillId="0" borderId="0" xfId="814" applyNumberFormat="1" applyFont="1" applyAlignment="1">
      <alignment horizontal="center" vertical="center"/>
    </xf>
    <xf numFmtId="2" fontId="113" fillId="0" borderId="0" xfId="814" applyNumberFormat="1" applyFont="1" applyAlignment="1">
      <alignment horizontal="left" vertical="center"/>
    </xf>
    <xf numFmtId="2" fontId="123" fillId="0" borderId="0" xfId="814" applyNumberFormat="1" applyFont="1" applyAlignment="1">
      <alignment horizontal="center" vertical="center"/>
    </xf>
    <xf numFmtId="2" fontId="124" fillId="0" borderId="0" xfId="814" applyNumberFormat="1" applyFont="1" applyAlignment="1">
      <alignment horizontal="center" vertical="center"/>
    </xf>
    <xf numFmtId="201" fontId="125" fillId="0" borderId="0" xfId="814" applyNumberFormat="1" applyFont="1" applyAlignment="1">
      <alignment horizontal="center" vertical="center"/>
    </xf>
    <xf numFmtId="0" fontId="121" fillId="0" borderId="0" xfId="814" applyFont="1" applyAlignment="1">
      <alignment vertical="center"/>
    </xf>
    <xf numFmtId="0" fontId="133" fillId="0" borderId="0" xfId="814" applyFont="1" applyAlignment="1">
      <alignment vertical="center"/>
    </xf>
    <xf numFmtId="0" fontId="121" fillId="0" borderId="0" xfId="814" applyFont="1" applyAlignment="1">
      <alignment horizontal="left" vertical="center"/>
    </xf>
    <xf numFmtId="201" fontId="121" fillId="0" borderId="0" xfId="814" applyNumberFormat="1" applyFont="1" applyAlignment="1">
      <alignment vertical="center"/>
    </xf>
    <xf numFmtId="0" fontId="121" fillId="31" borderId="6" xfId="814" applyFont="1" applyFill="1" applyBorder="1" applyAlignment="1">
      <alignment vertical="center"/>
    </xf>
    <xf numFmtId="0" fontId="121" fillId="31" borderId="6" xfId="814" applyFont="1" applyFill="1" applyBorder="1" applyAlignment="1">
      <alignment horizontal="center" vertical="center"/>
    </xf>
    <xf numFmtId="2" fontId="121" fillId="31" borderId="6" xfId="814" applyNumberFormat="1" applyFont="1" applyFill="1" applyBorder="1" applyAlignment="1">
      <alignment horizontal="center" vertical="center"/>
    </xf>
    <xf numFmtId="0" fontId="121" fillId="31" borderId="10" xfId="814" applyFont="1" applyFill="1" applyBorder="1" applyAlignment="1">
      <alignment vertical="center"/>
    </xf>
    <xf numFmtId="0" fontId="121" fillId="31" borderId="12" xfId="814" applyFont="1" applyFill="1" applyBorder="1" applyAlignment="1">
      <alignment vertical="center"/>
    </xf>
    <xf numFmtId="2" fontId="121" fillId="31" borderId="6" xfId="814" applyNumberFormat="1" applyFont="1" applyFill="1" applyBorder="1" applyAlignment="1">
      <alignment vertical="center"/>
    </xf>
    <xf numFmtId="0" fontId="113" fillId="0" borderId="10" xfId="814" applyFont="1" applyBorder="1" applyAlignment="1">
      <alignment vertical="center"/>
    </xf>
    <xf numFmtId="0" fontId="113" fillId="0" borderId="11" xfId="814" applyFont="1" applyBorder="1" applyAlignment="1">
      <alignment vertical="center"/>
    </xf>
    <xf numFmtId="0" fontId="113" fillId="0" borderId="12" xfId="814" applyFont="1" applyBorder="1" applyAlignment="1">
      <alignment vertical="center"/>
    </xf>
    <xf numFmtId="9" fontId="113" fillId="0" borderId="6" xfId="816" applyFont="1" applyBorder="1" applyAlignment="1">
      <alignment vertical="center"/>
    </xf>
    <xf numFmtId="0" fontId="113" fillId="0" borderId="0" xfId="814" applyFont="1" applyAlignment="1">
      <alignment horizontal="left" vertical="center"/>
    </xf>
    <xf numFmtId="0" fontId="121" fillId="0" borderId="10" xfId="814" applyFont="1" applyBorder="1" applyAlignment="1">
      <alignment horizontal="left" vertical="center"/>
    </xf>
    <xf numFmtId="0" fontId="113" fillId="0" borderId="11" xfId="814" applyFont="1" applyBorder="1" applyAlignment="1">
      <alignment horizontal="center" vertical="center"/>
    </xf>
    <xf numFmtId="1" fontId="113" fillId="0" borderId="6" xfId="814" applyNumberFormat="1" applyFont="1" applyBorder="1" applyAlignment="1">
      <alignment vertical="center"/>
    </xf>
    <xf numFmtId="0" fontId="8" fillId="0" borderId="0" xfId="814" applyAlignment="1">
      <alignment vertical="center"/>
    </xf>
    <xf numFmtId="4" fontId="113" fillId="0" borderId="6" xfId="814" applyNumberFormat="1" applyFont="1" applyBorder="1" applyAlignment="1">
      <alignment vertical="center"/>
    </xf>
    <xf numFmtId="4" fontId="113" fillId="0" borderId="0" xfId="814" applyNumberFormat="1" applyFont="1" applyAlignment="1">
      <alignment vertical="center"/>
    </xf>
    <xf numFmtId="0" fontId="135" fillId="0" borderId="0" xfId="814" applyFont="1" applyAlignment="1">
      <alignment vertical="center"/>
    </xf>
    <xf numFmtId="0" fontId="113" fillId="31" borderId="6" xfId="814" applyFont="1" applyFill="1" applyBorder="1" applyAlignment="1">
      <alignment horizontal="left" vertical="center"/>
    </xf>
    <xf numFmtId="1" fontId="113" fillId="0" borderId="10" xfId="814" applyNumberFormat="1" applyFont="1" applyBorder="1" applyAlignment="1">
      <alignment vertical="center"/>
    </xf>
    <xf numFmtId="2" fontId="113" fillId="0" borderId="10" xfId="814" applyNumberFormat="1" applyFont="1" applyBorder="1" applyAlignment="1">
      <alignment vertical="center"/>
    </xf>
    <xf numFmtId="0" fontId="121" fillId="0" borderId="6" xfId="814" applyFont="1" applyBorder="1" applyAlignment="1">
      <alignment vertical="center"/>
    </xf>
    <xf numFmtId="2" fontId="121" fillId="0" borderId="10" xfId="814" applyNumberFormat="1" applyFont="1" applyBorder="1" applyAlignment="1">
      <alignment vertical="center"/>
    </xf>
    <xf numFmtId="0" fontId="121" fillId="0" borderId="12" xfId="814" applyFont="1" applyBorder="1" applyAlignment="1">
      <alignment vertical="center"/>
    </xf>
    <xf numFmtId="1" fontId="121" fillId="0" borderId="0" xfId="814" applyNumberFormat="1" applyFont="1" applyAlignment="1">
      <alignment vertical="center"/>
    </xf>
    <xf numFmtId="168" fontId="50" fillId="0" borderId="0" xfId="312" applyFont="1" applyFill="1" applyBorder="1" applyAlignment="1">
      <alignment horizontal="right" vertical="center"/>
    </xf>
    <xf numFmtId="0" fontId="103" fillId="0" borderId="6" xfId="414" applyFont="1" applyBorder="1" applyAlignment="1">
      <alignment horizontal="center" vertical="center" wrapText="1"/>
    </xf>
    <xf numFmtId="0" fontId="50" fillId="0" borderId="6" xfId="414" applyFont="1" applyBorder="1" applyAlignment="1">
      <alignment horizontal="center" vertical="center" wrapText="1"/>
    </xf>
    <xf numFmtId="165" fontId="11" fillId="0" borderId="0" xfId="302" applyFont="1" applyBorder="1" applyAlignment="1">
      <alignment horizontal="left" vertical="center"/>
    </xf>
    <xf numFmtId="184" fontId="11" fillId="0" borderId="0" xfId="809" quotePrefix="1" applyNumberFormat="1" applyFont="1" applyFill="1" applyBorder="1" applyAlignment="1">
      <alignment vertical="center"/>
    </xf>
    <xf numFmtId="2" fontId="11" fillId="0" borderId="41" xfId="808" applyNumberFormat="1" applyFill="1" applyBorder="1" applyAlignment="1">
      <alignment horizontal="center" vertical="center"/>
    </xf>
    <xf numFmtId="165" fontId="11" fillId="0" borderId="31" xfId="808" applyFont="1" applyBorder="1" applyAlignment="1">
      <alignment vertical="center"/>
    </xf>
    <xf numFmtId="165" fontId="11" fillId="0" borderId="29" xfId="808" applyBorder="1" applyAlignment="1">
      <alignment vertical="center"/>
    </xf>
    <xf numFmtId="2" fontId="11" fillId="0" borderId="20" xfId="808" applyNumberFormat="1" applyBorder="1" applyAlignment="1">
      <alignment horizontal="center" vertical="center"/>
    </xf>
    <xf numFmtId="184" fontId="11" fillId="0" borderId="20" xfId="808" applyNumberFormat="1" applyBorder="1" applyAlignment="1">
      <alignment vertical="center"/>
    </xf>
    <xf numFmtId="2" fontId="126" fillId="42" borderId="6" xfId="814" applyNumberFormat="1" applyFont="1" applyFill="1" applyBorder="1" applyAlignment="1">
      <alignment horizontal="left" vertical="center"/>
    </xf>
    <xf numFmtId="2" fontId="126" fillId="42" borderId="6" xfId="814" applyNumberFormat="1" applyFont="1" applyFill="1" applyBorder="1" applyAlignment="1">
      <alignment horizontal="left" vertical="center" wrapText="1"/>
    </xf>
    <xf numFmtId="49" fontId="11" fillId="0" borderId="30" xfId="302" applyNumberFormat="1" applyFont="1" applyBorder="1" applyAlignment="1">
      <alignment vertical="center"/>
    </xf>
    <xf numFmtId="49" fontId="55" fillId="59" borderId="6" xfId="0" applyNumberFormat="1" applyFont="1" applyFill="1" applyBorder="1"/>
    <xf numFmtId="0" fontId="11" fillId="59" borderId="6" xfId="0" applyFont="1" applyFill="1" applyBorder="1"/>
    <xf numFmtId="0" fontId="11" fillId="59" borderId="6" xfId="0" applyFont="1" applyFill="1" applyBorder="1" applyAlignment="1">
      <alignment horizontal="center" vertical="center"/>
    </xf>
    <xf numFmtId="2" fontId="43" fillId="59" borderId="6" xfId="0" applyNumberFormat="1" applyFont="1" applyFill="1" applyBorder="1" applyAlignment="1">
      <alignment vertical="center"/>
    </xf>
    <xf numFmtId="184" fontId="37" fillId="59" borderId="6" xfId="0" applyNumberFormat="1" applyFont="1" applyFill="1" applyBorder="1" applyAlignment="1">
      <alignment vertical="center"/>
    </xf>
    <xf numFmtId="0" fontId="37" fillId="59" borderId="6" xfId="0" applyFont="1" applyFill="1" applyBorder="1" applyAlignment="1">
      <alignment vertical="center"/>
    </xf>
    <xf numFmtId="180" fontId="12" fillId="0" borderId="0" xfId="413" quotePrefix="1" applyNumberFormat="1" applyFont="1" applyBorder="1" applyAlignment="1">
      <alignment vertical="center"/>
    </xf>
    <xf numFmtId="2" fontId="11" fillId="0" borderId="41" xfId="302" applyNumberFormat="1" applyFont="1" applyBorder="1" applyAlignment="1">
      <alignment horizontal="center" vertical="center"/>
    </xf>
    <xf numFmtId="180" fontId="12" fillId="0" borderId="33" xfId="413" quotePrefix="1" applyNumberFormat="1" applyFont="1" applyBorder="1" applyAlignment="1">
      <alignment vertical="center"/>
    </xf>
    <xf numFmtId="0" fontId="0" fillId="0" borderId="56" xfId="0" applyBorder="1"/>
    <xf numFmtId="0" fontId="0" fillId="0" borderId="39" xfId="0" applyBorder="1"/>
    <xf numFmtId="0" fontId="11" fillId="0" borderId="19" xfId="0" applyFont="1" applyBorder="1"/>
    <xf numFmtId="0" fontId="0" fillId="0" borderId="31" xfId="0" applyBorder="1"/>
    <xf numFmtId="0" fontId="11" fillId="0" borderId="20" xfId="0" applyFont="1" applyBorder="1"/>
    <xf numFmtId="0" fontId="0" fillId="0" borderId="51" xfId="0" applyBorder="1" applyAlignment="1">
      <alignment horizontal="center"/>
    </xf>
    <xf numFmtId="0" fontId="0" fillId="0" borderId="20" xfId="0" applyBorder="1" applyAlignment="1">
      <alignment horizontal="center"/>
    </xf>
    <xf numFmtId="0" fontId="11" fillId="0" borderId="6" xfId="0" applyFont="1" applyBorder="1"/>
    <xf numFmtId="0" fontId="11" fillId="0" borderId="6" xfId="0" applyFont="1" applyBorder="1" applyAlignment="1">
      <alignment horizontal="center" vertical="center"/>
    </xf>
    <xf numFmtId="0" fontId="12" fillId="0" borderId="25" xfId="414" applyBorder="1" applyAlignment="1">
      <alignment vertical="center"/>
    </xf>
    <xf numFmtId="0" fontId="11" fillId="0" borderId="0" xfId="302" applyNumberFormat="1" applyFont="1" applyAlignment="1">
      <alignment horizontal="center" vertical="center"/>
    </xf>
    <xf numFmtId="4" fontId="12" fillId="0" borderId="0" xfId="302" applyNumberFormat="1" applyFont="1" applyAlignment="1">
      <alignment horizontal="center" vertical="center"/>
    </xf>
    <xf numFmtId="170" fontId="113" fillId="0" borderId="6" xfId="303" applyFont="1" applyBorder="1" applyAlignment="1">
      <alignment vertical="center"/>
    </xf>
    <xf numFmtId="10" fontId="11" fillId="0" borderId="20" xfId="808" applyNumberFormat="1" applyFont="1" applyBorder="1" applyAlignment="1">
      <alignment horizontal="center" vertical="center"/>
    </xf>
    <xf numFmtId="10" fontId="11" fillId="0" borderId="0" xfId="809" quotePrefix="1" applyNumberFormat="1" applyFont="1" applyBorder="1" applyAlignment="1">
      <alignment vertical="center"/>
    </xf>
    <xf numFmtId="180" fontId="11" fillId="0" borderId="19" xfId="0" applyNumberFormat="1" applyFont="1" applyBorder="1" applyAlignment="1">
      <alignment horizontal="center" vertical="center"/>
    </xf>
    <xf numFmtId="184" fontId="12" fillId="0" borderId="20" xfId="413" quotePrefix="1" applyNumberFormat="1" applyFont="1" applyBorder="1" applyAlignment="1">
      <alignment vertical="center"/>
    </xf>
    <xf numFmtId="0" fontId="55" fillId="0" borderId="0" xfId="807" applyFont="1" applyAlignment="1">
      <alignment vertical="center"/>
    </xf>
    <xf numFmtId="4" fontId="140" fillId="30" borderId="22" xfId="0" applyNumberFormat="1" applyFont="1" applyFill="1" applyBorder="1" applyAlignment="1">
      <alignment horizontal="center" vertical="center"/>
    </xf>
    <xf numFmtId="2" fontId="79" fillId="30" borderId="22" xfId="0" applyNumberFormat="1" applyFont="1" applyFill="1" applyBorder="1" applyAlignment="1">
      <alignment horizontal="center" vertical="center"/>
    </xf>
    <xf numFmtId="175" fontId="79" fillId="30" borderId="22" xfId="817" applyFont="1" applyFill="1" applyBorder="1" applyAlignment="1">
      <alignment horizontal="center" vertical="center"/>
    </xf>
    <xf numFmtId="191" fontId="79" fillId="30" borderId="43" xfId="0" applyNumberFormat="1" applyFont="1" applyFill="1" applyBorder="1" applyAlignment="1">
      <alignment horizontal="center" vertical="center"/>
    </xf>
    <xf numFmtId="4" fontId="140" fillId="30" borderId="21" xfId="0" applyNumberFormat="1" applyFont="1" applyFill="1" applyBorder="1" applyAlignment="1">
      <alignment horizontal="center" vertical="center"/>
    </xf>
    <xf numFmtId="4" fontId="140" fillId="30" borderId="88" xfId="0" applyNumberFormat="1" applyFont="1" applyFill="1" applyBorder="1" applyAlignment="1">
      <alignment horizontal="center" vertical="center"/>
    </xf>
    <xf numFmtId="4" fontId="140" fillId="30" borderId="55" xfId="0" applyNumberFormat="1" applyFont="1" applyFill="1" applyBorder="1" applyAlignment="1">
      <alignment horizontal="center" vertical="center"/>
    </xf>
    <xf numFmtId="4" fontId="140" fillId="30" borderId="43" xfId="0" applyNumberFormat="1" applyFont="1" applyFill="1" applyBorder="1" applyAlignment="1">
      <alignment horizontal="center" vertical="center"/>
    </xf>
    <xf numFmtId="4" fontId="140" fillId="30" borderId="27" xfId="0" applyNumberFormat="1" applyFont="1" applyFill="1" applyBorder="1" applyAlignment="1">
      <alignment horizontal="center" vertical="center"/>
    </xf>
    <xf numFmtId="4" fontId="140" fillId="30" borderId="26" xfId="0" applyNumberFormat="1" applyFont="1" applyFill="1" applyBorder="1" applyAlignment="1">
      <alignment horizontal="center" vertical="center"/>
    </xf>
    <xf numFmtId="2" fontId="79" fillId="0" borderId="6" xfId="0" applyNumberFormat="1" applyFont="1" applyBorder="1" applyAlignment="1">
      <alignment horizontal="center" vertical="center"/>
    </xf>
    <xf numFmtId="175" fontId="79" fillId="0" borderId="6" xfId="817" applyFont="1" applyBorder="1" applyAlignment="1">
      <alignment horizontal="center" vertical="center"/>
    </xf>
    <xf numFmtId="191" fontId="79" fillId="0" borderId="77" xfId="0" applyNumberFormat="1" applyFont="1" applyBorder="1" applyAlignment="1">
      <alignment horizontal="center" vertical="center"/>
    </xf>
    <xf numFmtId="197" fontId="141" fillId="0" borderId="76" xfId="817" applyNumberFormat="1" applyFont="1" applyBorder="1" applyAlignment="1">
      <alignment horizontal="center" vertical="center"/>
    </xf>
    <xf numFmtId="197" fontId="141" fillId="0" borderId="6" xfId="817" applyNumberFormat="1" applyFont="1" applyBorder="1" applyAlignment="1">
      <alignment horizontal="center" vertical="center"/>
    </xf>
    <xf numFmtId="197" fontId="141" fillId="0" borderId="10" xfId="817" applyNumberFormat="1" applyFont="1" applyBorder="1" applyAlignment="1">
      <alignment horizontal="center" vertical="center"/>
    </xf>
    <xf numFmtId="197" fontId="141" fillId="0" borderId="6" xfId="0" applyNumberFormat="1" applyFont="1" applyBorder="1" applyAlignment="1">
      <alignment horizontal="center" vertical="center"/>
    </xf>
    <xf numFmtId="197" fontId="141" fillId="0" borderId="10" xfId="0" applyNumberFormat="1" applyFont="1" applyBorder="1" applyAlignment="1">
      <alignment horizontal="center" vertical="center"/>
    </xf>
    <xf numFmtId="197" fontId="141" fillId="0" borderId="76" xfId="0" applyNumberFormat="1" applyFont="1" applyBorder="1" applyAlignment="1">
      <alignment horizontal="center" vertical="center"/>
    </xf>
    <xf numFmtId="197" fontId="141" fillId="0" borderId="77" xfId="0" applyNumberFormat="1" applyFont="1" applyBorder="1" applyAlignment="1">
      <alignment horizontal="center" vertical="center"/>
    </xf>
    <xf numFmtId="0" fontId="141" fillId="0" borderId="76" xfId="0" applyFont="1" applyBorder="1"/>
    <xf numFmtId="0" fontId="141" fillId="0" borderId="6" xfId="0" applyFont="1" applyBorder="1"/>
    <xf numFmtId="0" fontId="141" fillId="0" borderId="77" xfId="0" applyFont="1" applyBorder="1"/>
    <xf numFmtId="0" fontId="102" fillId="35" borderId="6" xfId="807" applyFont="1" applyFill="1" applyBorder="1" applyAlignment="1">
      <alignment horizontal="center" vertical="center" wrapText="1"/>
    </xf>
    <xf numFmtId="197" fontId="140" fillId="0" borderId="76" xfId="817" applyNumberFormat="1" applyFont="1" applyFill="1" applyBorder="1" applyAlignment="1">
      <alignment horizontal="center" vertical="center"/>
    </xf>
    <xf numFmtId="197" fontId="140" fillId="0" borderId="6" xfId="817" applyNumberFormat="1" applyFont="1" applyFill="1" applyBorder="1" applyAlignment="1">
      <alignment horizontal="center" vertical="center"/>
    </xf>
    <xf numFmtId="197" fontId="140" fillId="0" borderId="10" xfId="817" applyNumberFormat="1" applyFont="1" applyFill="1" applyBorder="1" applyAlignment="1">
      <alignment horizontal="center" vertical="center"/>
    </xf>
    <xf numFmtId="197" fontId="140" fillId="0" borderId="6" xfId="0" applyNumberFormat="1" applyFont="1" applyBorder="1" applyAlignment="1">
      <alignment horizontal="center" vertical="center"/>
    </xf>
    <xf numFmtId="197" fontId="140" fillId="0" borderId="10" xfId="0" applyNumberFormat="1" applyFont="1" applyBorder="1" applyAlignment="1">
      <alignment horizontal="center" vertical="center"/>
    </xf>
    <xf numFmtId="197" fontId="140" fillId="0" borderId="76" xfId="0" applyNumberFormat="1" applyFont="1" applyBorder="1" applyAlignment="1">
      <alignment horizontal="center" vertical="center"/>
    </xf>
    <xf numFmtId="197" fontId="140" fillId="0" borderId="77" xfId="0" applyNumberFormat="1" applyFont="1" applyBorder="1" applyAlignment="1">
      <alignment horizontal="center" vertical="center"/>
    </xf>
    <xf numFmtId="0" fontId="140" fillId="0" borderId="76" xfId="0" applyFont="1" applyBorder="1"/>
    <xf numFmtId="0" fontId="140" fillId="0" borderId="6" xfId="0" applyFont="1" applyBorder="1"/>
    <xf numFmtId="0" fontId="140" fillId="0" borderId="77" xfId="0" applyFont="1" applyBorder="1"/>
    <xf numFmtId="0" fontId="45" fillId="47" borderId="0" xfId="0" applyFont="1" applyFill="1"/>
    <xf numFmtId="0" fontId="53" fillId="29" borderId="6" xfId="807" applyFont="1" applyFill="1" applyBorder="1" applyAlignment="1">
      <alignment horizontal="right" vertical="center" wrapText="1"/>
    </xf>
    <xf numFmtId="0" fontId="50" fillId="29" borderId="6" xfId="807" applyFont="1" applyFill="1" applyBorder="1" applyAlignment="1">
      <alignment horizontal="center" vertical="center"/>
    </xf>
    <xf numFmtId="4" fontId="50" fillId="29" borderId="6" xfId="807" applyNumberFormat="1" applyFont="1" applyFill="1" applyBorder="1" applyAlignment="1">
      <alignment horizontal="center" vertical="center"/>
    </xf>
    <xf numFmtId="191" fontId="50" fillId="0" borderId="6" xfId="818" applyNumberFormat="1" applyFont="1" applyFill="1" applyBorder="1" applyAlignment="1">
      <alignment horizontal="right" vertical="center" wrapText="1"/>
    </xf>
    <xf numFmtId="190" fontId="53" fillId="0" borderId="6" xfId="818" applyNumberFormat="1" applyFont="1" applyFill="1" applyBorder="1" applyAlignment="1">
      <alignment horizontal="right" vertical="center" wrapText="1"/>
    </xf>
    <xf numFmtId="197" fontId="141" fillId="0" borderId="76" xfId="817" applyNumberFormat="1" applyFont="1" applyFill="1" applyBorder="1" applyAlignment="1">
      <alignment horizontal="right" vertical="center"/>
    </xf>
    <xf numFmtId="197" fontId="141" fillId="0" borderId="6" xfId="817" applyNumberFormat="1" applyFont="1" applyFill="1" applyBorder="1" applyAlignment="1">
      <alignment horizontal="center" vertical="center"/>
    </xf>
    <xf numFmtId="197" fontId="141" fillId="0" borderId="10" xfId="817" applyNumberFormat="1" applyFont="1" applyFill="1" applyBorder="1" applyAlignment="1">
      <alignment horizontal="center" vertical="center"/>
    </xf>
    <xf numFmtId="197" fontId="141" fillId="0" borderId="76" xfId="817" applyNumberFormat="1" applyFont="1" applyFill="1" applyBorder="1" applyAlignment="1">
      <alignment horizontal="center" vertical="center"/>
    </xf>
    <xf numFmtId="0" fontId="79" fillId="46" borderId="6" xfId="807" applyFont="1" applyFill="1" applyBorder="1" applyAlignment="1">
      <alignment horizontal="justify" vertical="center" wrapText="1"/>
    </xf>
    <xf numFmtId="0" fontId="79" fillId="46" borderId="6" xfId="807" applyFont="1" applyFill="1" applyBorder="1" applyAlignment="1">
      <alignment horizontal="center" vertical="center" wrapText="1"/>
    </xf>
    <xf numFmtId="49" fontId="142" fillId="29" borderId="6" xfId="807" applyNumberFormat="1" applyFont="1" applyFill="1" applyBorder="1" applyAlignment="1">
      <alignment horizontal="justify" vertical="center" wrapText="1"/>
    </xf>
    <xf numFmtId="0" fontId="142" fillId="29" borderId="6" xfId="807" applyFont="1" applyFill="1" applyBorder="1" applyAlignment="1">
      <alignment horizontal="center" vertical="center"/>
    </xf>
    <xf numFmtId="0" fontId="79" fillId="29" borderId="6" xfId="807" applyFont="1" applyFill="1" applyBorder="1" applyAlignment="1">
      <alignment horizontal="right" vertical="center" wrapText="1"/>
    </xf>
    <xf numFmtId="197" fontId="141" fillId="0" borderId="77" xfId="817" applyNumberFormat="1" applyFont="1" applyFill="1" applyBorder="1" applyAlignment="1">
      <alignment horizontal="center" vertical="center"/>
    </xf>
    <xf numFmtId="197" fontId="141" fillId="0" borderId="12" xfId="0" applyNumberFormat="1" applyFont="1" applyBorder="1" applyAlignment="1">
      <alignment horizontal="center" vertical="center"/>
    </xf>
    <xf numFmtId="0" fontId="142" fillId="29" borderId="6" xfId="807" applyFont="1" applyFill="1" applyBorder="1" applyAlignment="1">
      <alignment horizontal="center" vertical="center" wrapText="1"/>
    </xf>
    <xf numFmtId="197" fontId="141" fillId="0" borderId="12" xfId="817" applyNumberFormat="1" applyFont="1" applyFill="1" applyBorder="1" applyAlignment="1">
      <alignment horizontal="center" vertical="center"/>
    </xf>
    <xf numFmtId="197" fontId="141" fillId="0" borderId="78" xfId="817" applyNumberFormat="1" applyFont="1" applyFill="1" applyBorder="1" applyAlignment="1">
      <alignment horizontal="center" vertical="center"/>
    </xf>
    <xf numFmtId="197" fontId="141" fillId="0" borderId="11" xfId="817" applyNumberFormat="1" applyFont="1" applyFill="1" applyBorder="1" applyAlignment="1">
      <alignment horizontal="center" vertical="center"/>
    </xf>
    <xf numFmtId="4" fontId="142" fillId="29" borderId="6" xfId="818" applyNumberFormat="1" applyFont="1" applyFill="1" applyBorder="1" applyAlignment="1">
      <alignment horizontal="center" vertical="center"/>
    </xf>
    <xf numFmtId="190" fontId="142" fillId="29" borderId="6" xfId="818" applyNumberFormat="1" applyFont="1" applyFill="1" applyBorder="1" applyAlignment="1">
      <alignment horizontal="right" vertical="center"/>
    </xf>
    <xf numFmtId="0" fontId="141" fillId="29" borderId="6" xfId="0" applyFont="1" applyFill="1" applyBorder="1" applyAlignment="1">
      <alignment horizontal="center" vertical="center" wrapText="1"/>
    </xf>
    <xf numFmtId="0" fontId="141" fillId="29" borderId="6" xfId="0" applyFont="1" applyFill="1" applyBorder="1" applyAlignment="1">
      <alignment horizontal="left" vertical="center" wrapText="1"/>
    </xf>
    <xf numFmtId="2" fontId="79" fillId="0" borderId="6" xfId="439" applyNumberFormat="1" applyFont="1" applyBorder="1" applyAlignment="1">
      <alignment horizontal="center" vertical="center"/>
    </xf>
    <xf numFmtId="197" fontId="79" fillId="0" borderId="6" xfId="439" applyNumberFormat="1" applyFont="1" applyBorder="1" applyAlignment="1">
      <alignment horizontal="center" vertical="center"/>
    </xf>
    <xf numFmtId="197" fontId="79" fillId="0" borderId="77" xfId="439" applyNumberFormat="1" applyFont="1" applyBorder="1" applyAlignment="1">
      <alignment horizontal="center" vertical="center"/>
    </xf>
    <xf numFmtId="0" fontId="141" fillId="46" borderId="6" xfId="0" applyFont="1" applyFill="1" applyBorder="1" applyAlignment="1">
      <alignment horizontal="center" vertical="center" wrapText="1"/>
    </xf>
    <xf numFmtId="2" fontId="79" fillId="46" borderId="6" xfId="439" applyNumberFormat="1" applyFont="1" applyFill="1" applyBorder="1" applyAlignment="1">
      <alignment horizontal="center" vertical="center"/>
    </xf>
    <xf numFmtId="197" fontId="79" fillId="46" borderId="6" xfId="439" applyNumberFormat="1" applyFont="1" applyFill="1" applyBorder="1" applyAlignment="1">
      <alignment horizontal="center" vertical="center"/>
    </xf>
    <xf numFmtId="197" fontId="79" fillId="46" borderId="77" xfId="439" applyNumberFormat="1" applyFont="1" applyFill="1" applyBorder="1" applyAlignment="1">
      <alignment horizontal="center" vertical="center"/>
    </xf>
    <xf numFmtId="197" fontId="141" fillId="46" borderId="78" xfId="817" applyNumberFormat="1" applyFont="1" applyFill="1" applyBorder="1" applyAlignment="1">
      <alignment horizontal="center" vertical="center"/>
    </xf>
    <xf numFmtId="197" fontId="141" fillId="46" borderId="10" xfId="817" applyNumberFormat="1" applyFont="1" applyFill="1" applyBorder="1" applyAlignment="1">
      <alignment horizontal="center" vertical="center"/>
    </xf>
    <xf numFmtId="197" fontId="141" fillId="46" borderId="77" xfId="817" applyNumberFormat="1" applyFont="1" applyFill="1" applyBorder="1" applyAlignment="1">
      <alignment horizontal="center" vertical="center"/>
    </xf>
    <xf numFmtId="197" fontId="141" fillId="46" borderId="76" xfId="817" applyNumberFormat="1" applyFont="1" applyFill="1" applyBorder="1" applyAlignment="1">
      <alignment horizontal="center" vertical="center"/>
    </xf>
    <xf numFmtId="197" fontId="141" fillId="46" borderId="11" xfId="817" applyNumberFormat="1" applyFont="1" applyFill="1" applyBorder="1" applyAlignment="1">
      <alignment horizontal="center" vertical="center"/>
    </xf>
    <xf numFmtId="197" fontId="141" fillId="46" borderId="6" xfId="817" applyNumberFormat="1" applyFont="1" applyFill="1" applyBorder="1" applyAlignment="1">
      <alignment horizontal="center" vertical="center"/>
    </xf>
    <xf numFmtId="197" fontId="141" fillId="46" borderId="12" xfId="817" applyNumberFormat="1" applyFont="1" applyFill="1" applyBorder="1" applyAlignment="1">
      <alignment horizontal="center" vertical="center"/>
    </xf>
    <xf numFmtId="0" fontId="142" fillId="0" borderId="6" xfId="0" applyFont="1" applyBorder="1"/>
    <xf numFmtId="0" fontId="142" fillId="0" borderId="6" xfId="0" applyFont="1" applyBorder="1" applyAlignment="1">
      <alignment horizontal="center" vertical="center"/>
    </xf>
    <xf numFmtId="2" fontId="142" fillId="0" borderId="6" xfId="0" applyNumberFormat="1" applyFont="1" applyBorder="1" applyAlignment="1">
      <alignment horizontal="center" vertical="center"/>
    </xf>
    <xf numFmtId="197" fontId="141" fillId="0" borderId="79" xfId="817" applyNumberFormat="1" applyFont="1" applyFill="1" applyBorder="1" applyAlignment="1">
      <alignment horizontal="center" vertical="center"/>
    </xf>
    <xf numFmtId="197" fontId="79" fillId="0" borderId="10" xfId="439" applyNumberFormat="1" applyFont="1" applyBorder="1" applyAlignment="1">
      <alignment horizontal="center" vertical="center"/>
    </xf>
    <xf numFmtId="0" fontId="140" fillId="0" borderId="6" xfId="0" applyFont="1" applyBorder="1" applyAlignment="1">
      <alignment horizontal="center" vertical="center" wrapText="1"/>
    </xf>
    <xf numFmtId="0" fontId="141" fillId="0" borderId="6" xfId="0" applyFont="1" applyBorder="1" applyAlignment="1">
      <alignment horizontal="center" vertical="center" wrapText="1"/>
    </xf>
    <xf numFmtId="180" fontId="79" fillId="0" borderId="6" xfId="807" applyNumberFormat="1" applyFont="1" applyBorder="1" applyAlignment="1">
      <alignment horizontal="center" vertical="center" wrapText="1"/>
    </xf>
    <xf numFmtId="0" fontId="140" fillId="46" borderId="6" xfId="0" applyFont="1" applyFill="1" applyBorder="1" applyAlignment="1">
      <alignment horizontal="center" vertical="center" wrapText="1"/>
    </xf>
    <xf numFmtId="191" fontId="79" fillId="46" borderId="77" xfId="0" applyNumberFormat="1" applyFont="1" applyFill="1" applyBorder="1" applyAlignment="1">
      <alignment horizontal="center" vertical="center"/>
    </xf>
    <xf numFmtId="10" fontId="141" fillId="0" borderId="76" xfId="817" applyNumberFormat="1" applyFont="1" applyFill="1" applyBorder="1" applyAlignment="1">
      <alignment horizontal="center" vertical="center"/>
    </xf>
    <xf numFmtId="10" fontId="141" fillId="0" borderId="11" xfId="817" applyNumberFormat="1" applyFont="1" applyFill="1" applyBorder="1" applyAlignment="1">
      <alignment horizontal="center" vertical="center"/>
    </xf>
    <xf numFmtId="10" fontId="141" fillId="0" borderId="10" xfId="817" applyNumberFormat="1" applyFont="1" applyFill="1" applyBorder="1" applyAlignment="1">
      <alignment horizontal="center" vertical="center"/>
    </xf>
    <xf numFmtId="10" fontId="141" fillId="0" borderId="77" xfId="817" applyNumberFormat="1" applyFont="1" applyFill="1" applyBorder="1" applyAlignment="1">
      <alignment horizontal="center" vertical="center"/>
    </xf>
    <xf numFmtId="10" fontId="141" fillId="0" borderId="6" xfId="817" applyNumberFormat="1" applyFont="1" applyFill="1" applyBorder="1" applyAlignment="1">
      <alignment horizontal="center" vertical="center"/>
    </xf>
    <xf numFmtId="10" fontId="141" fillId="0" borderId="12" xfId="817" applyNumberFormat="1" applyFont="1" applyFill="1" applyBorder="1" applyAlignment="1">
      <alignment horizontal="center" vertical="center"/>
    </xf>
    <xf numFmtId="2" fontId="51" fillId="0" borderId="6" xfId="439" applyNumberFormat="1" applyFont="1" applyBorder="1" applyAlignment="1">
      <alignment horizontal="center" vertical="center"/>
    </xf>
    <xf numFmtId="197" fontId="51" fillId="0" borderId="6" xfId="439" applyNumberFormat="1" applyFont="1" applyBorder="1" applyAlignment="1">
      <alignment horizontal="center" vertical="center"/>
    </xf>
    <xf numFmtId="10" fontId="141" fillId="0" borderId="78" xfId="817" applyNumberFormat="1" applyFont="1" applyFill="1" applyBorder="1" applyAlignment="1">
      <alignment horizontal="center" vertical="center"/>
    </xf>
    <xf numFmtId="191" fontId="142" fillId="0" borderId="77" xfId="0" applyNumberFormat="1" applyFont="1" applyBorder="1" applyAlignment="1">
      <alignment horizontal="right" vertical="center"/>
    </xf>
    <xf numFmtId="191" fontId="142" fillId="0" borderId="10" xfId="0" applyNumberFormat="1" applyFont="1" applyBorder="1" applyAlignment="1">
      <alignment horizontal="right" vertical="center"/>
    </xf>
    <xf numFmtId="2" fontId="11" fillId="0" borderId="0" xfId="0" applyNumberFormat="1" applyFont="1" applyAlignment="1">
      <alignment horizontal="center" vertical="center"/>
    </xf>
    <xf numFmtId="0" fontId="11" fillId="0" borderId="0" xfId="0" applyFont="1" applyAlignment="1">
      <alignment horizontal="center" vertical="center"/>
    </xf>
    <xf numFmtId="0" fontId="81" fillId="0" borderId="0" xfId="0" applyFont="1"/>
    <xf numFmtId="0" fontId="6" fillId="0" borderId="0" xfId="0" applyFont="1"/>
    <xf numFmtId="0" fontId="145" fillId="0" borderId="11" xfId="0" applyFont="1" applyBorder="1" applyAlignment="1">
      <alignment horizontal="center"/>
    </xf>
    <xf numFmtId="0" fontId="145" fillId="0" borderId="92" xfId="0" applyFont="1" applyBorder="1" applyAlignment="1">
      <alignment horizontal="center"/>
    </xf>
    <xf numFmtId="0" fontId="115" fillId="0" borderId="6" xfId="0" applyFont="1" applyBorder="1" applyAlignment="1">
      <alignment horizontal="center"/>
    </xf>
    <xf numFmtId="0" fontId="145" fillId="0" borderId="78" xfId="0" applyFont="1" applyBorder="1" applyAlignment="1">
      <alignment horizontal="left" vertical="center" indent="1"/>
    </xf>
    <xf numFmtId="0" fontId="145" fillId="0" borderId="11" xfId="0" applyFont="1" applyBorder="1" applyAlignment="1">
      <alignment horizontal="left" vertical="center" indent="1"/>
    </xf>
    <xf numFmtId="0" fontId="145" fillId="0" borderId="79" xfId="0" applyFont="1" applyBorder="1" applyAlignment="1">
      <alignment horizontal="left" vertical="center" indent="1"/>
    </xf>
    <xf numFmtId="0" fontId="115" fillId="0" borderId="76" xfId="0" applyFont="1" applyBorder="1" applyAlignment="1">
      <alignment vertical="center" wrapText="1"/>
    </xf>
    <xf numFmtId="2" fontId="115" fillId="0" borderId="6" xfId="0" applyNumberFormat="1" applyFont="1" applyBorder="1" applyAlignment="1">
      <alignment horizontal="center" vertical="center"/>
    </xf>
    <xf numFmtId="2" fontId="115" fillId="0" borderId="10" xfId="0" applyNumberFormat="1" applyFont="1" applyBorder="1" applyAlignment="1">
      <alignment horizontal="center" vertical="center"/>
    </xf>
    <xf numFmtId="0" fontId="115" fillId="0" borderId="76" xfId="0" applyFont="1" applyBorder="1" applyAlignment="1">
      <alignment horizontal="justify" vertical="center" wrapText="1"/>
    </xf>
    <xf numFmtId="0" fontId="115" fillId="0" borderId="78" xfId="0" applyFont="1" applyBorder="1" applyAlignment="1">
      <alignment horizontal="justify" vertical="center" wrapText="1"/>
    </xf>
    <xf numFmtId="0" fontId="115" fillId="0" borderId="76" xfId="0" applyFont="1" applyBorder="1" applyAlignment="1">
      <alignment horizontal="justify" wrapText="1"/>
    </xf>
    <xf numFmtId="2" fontId="115" fillId="0" borderId="6" xfId="0" applyNumberFormat="1" applyFont="1" applyBorder="1" applyAlignment="1">
      <alignment horizontal="center"/>
    </xf>
    <xf numFmtId="0" fontId="145" fillId="0" borderId="54" xfId="0" applyFont="1" applyBorder="1" applyAlignment="1">
      <alignment horizontal="center" vertical="center"/>
    </xf>
    <xf numFmtId="0" fontId="145" fillId="0" borderId="84" xfId="0" applyFont="1" applyBorder="1" applyAlignment="1">
      <alignment horizontal="center" vertical="center" wrapText="1"/>
    </xf>
    <xf numFmtId="0" fontId="145" fillId="0" borderId="80" xfId="0" applyFont="1" applyBorder="1" applyAlignment="1">
      <alignment horizontal="center" vertical="center"/>
    </xf>
    <xf numFmtId="2" fontId="115" fillId="0" borderId="11" xfId="0" applyNumberFormat="1" applyFont="1" applyBorder="1" applyAlignment="1">
      <alignment horizontal="center" vertical="center"/>
    </xf>
    <xf numFmtId="203" fontId="115" fillId="0" borderId="77" xfId="0" applyNumberFormat="1" applyFont="1" applyBorder="1" applyAlignment="1">
      <alignment vertical="center"/>
    </xf>
    <xf numFmtId="175" fontId="115" fillId="0" borderId="11" xfId="379" applyFont="1" applyBorder="1" applyAlignment="1">
      <alignment horizontal="center" vertical="center"/>
    </xf>
    <xf numFmtId="3" fontId="115" fillId="0" borderId="11" xfId="0" applyNumberFormat="1" applyFont="1" applyBorder="1" applyAlignment="1">
      <alignment horizontal="center" vertical="center"/>
    </xf>
    <xf numFmtId="203" fontId="115" fillId="0" borderId="12" xfId="0" applyNumberFormat="1" applyFont="1" applyBorder="1" applyAlignment="1">
      <alignment vertical="center"/>
    </xf>
    <xf numFmtId="0" fontId="145" fillId="0" borderId="36" xfId="0" applyFont="1" applyBorder="1" applyAlignment="1">
      <alignment horizontal="center"/>
    </xf>
    <xf numFmtId="203" fontId="145" fillId="0" borderId="58" xfId="0" applyNumberFormat="1" applyFont="1" applyBorder="1"/>
    <xf numFmtId="0" fontId="145" fillId="0" borderId="8" xfId="0" applyFont="1" applyBorder="1" applyAlignment="1">
      <alignment horizontal="center" vertical="center"/>
    </xf>
    <xf numFmtId="203" fontId="115" fillId="0" borderId="12" xfId="0" applyNumberFormat="1" applyFont="1" applyBorder="1" applyAlignment="1">
      <alignment horizontal="center"/>
    </xf>
    <xf numFmtId="178" fontId="115" fillId="0" borderId="6" xfId="0" applyNumberFormat="1" applyFont="1" applyBorder="1" applyAlignment="1">
      <alignment horizontal="center"/>
    </xf>
    <xf numFmtId="203" fontId="6" fillId="0" borderId="12" xfId="0" applyNumberFormat="1" applyFont="1" applyBorder="1" applyAlignment="1">
      <alignment horizontal="center" vertical="center"/>
    </xf>
    <xf numFmtId="178" fontId="6" fillId="0" borderId="6" xfId="0" applyNumberFormat="1" applyFont="1" applyBorder="1" applyAlignment="1">
      <alignment horizontal="center" vertical="center"/>
    </xf>
    <xf numFmtId="178" fontId="115" fillId="0" borderId="6" xfId="654" applyNumberFormat="1" applyFont="1" applyBorder="1" applyAlignment="1">
      <alignment horizontal="center"/>
    </xf>
    <xf numFmtId="0" fontId="145" fillId="0" borderId="81" xfId="0" applyFont="1" applyBorder="1" applyAlignment="1">
      <alignment horizontal="center" vertical="center"/>
    </xf>
    <xf numFmtId="183" fontId="115" fillId="0" borderId="82" xfId="0" applyNumberFormat="1" applyFont="1" applyBorder="1"/>
    <xf numFmtId="183" fontId="115" fillId="0" borderId="83" xfId="0" applyNumberFormat="1" applyFont="1" applyBorder="1"/>
    <xf numFmtId="183" fontId="145" fillId="36" borderId="7" xfId="0" applyNumberFormat="1" applyFont="1" applyFill="1" applyBorder="1" applyAlignment="1">
      <alignment vertical="center"/>
    </xf>
    <xf numFmtId="183" fontId="6" fillId="0" borderId="0" xfId="0" applyNumberFormat="1" applyFont="1"/>
    <xf numFmtId="180" fontId="115" fillId="0" borderId="82" xfId="0" applyNumberFormat="1" applyFont="1" applyBorder="1"/>
    <xf numFmtId="180" fontId="115" fillId="0" borderId="83" xfId="0" applyNumberFormat="1" applyFont="1" applyBorder="1"/>
    <xf numFmtId="180" fontId="145" fillId="36" borderId="7" xfId="0" applyNumberFormat="1" applyFont="1" applyFill="1" applyBorder="1" applyAlignment="1">
      <alignment vertical="center"/>
    </xf>
    <xf numFmtId="184" fontId="81" fillId="0" borderId="0" xfId="0" applyNumberFormat="1" applyFont="1"/>
    <xf numFmtId="0" fontId="6" fillId="0" borderId="84" xfId="0" applyFont="1" applyBorder="1"/>
    <xf numFmtId="0" fontId="137" fillId="0" borderId="0" xfId="0" applyFont="1"/>
    <xf numFmtId="0" fontId="43" fillId="26" borderId="6" xfId="0" applyFont="1" applyFill="1" applyBorder="1" applyAlignment="1">
      <alignment horizontal="center" vertical="center" wrapText="1"/>
    </xf>
    <xf numFmtId="165" fontId="12" fillId="44" borderId="0" xfId="302" applyFont="1" applyFill="1" applyBorder="1" applyAlignment="1">
      <alignment horizontal="left" vertical="center"/>
    </xf>
    <xf numFmtId="165" fontId="12" fillId="0" borderId="0" xfId="302" applyFont="1" applyFill="1" applyBorder="1" applyAlignment="1">
      <alignment horizontal="left" vertical="center"/>
    </xf>
    <xf numFmtId="0" fontId="11" fillId="38" borderId="6" xfId="0" applyFont="1" applyFill="1" applyBorder="1" applyAlignment="1">
      <alignment horizontal="justify" vertical="center" wrapText="1"/>
    </xf>
    <xf numFmtId="3" fontId="11" fillId="0" borderId="6" xfId="147" applyNumberFormat="1" applyFont="1" applyFill="1" applyBorder="1" applyAlignment="1" applyProtection="1">
      <alignment horizontal="center" vertical="center"/>
    </xf>
    <xf numFmtId="0" fontId="53" fillId="50" borderId="12" xfId="414" applyFont="1" applyFill="1" applyBorder="1" applyAlignment="1">
      <alignment horizontal="left" vertical="center" wrapText="1"/>
    </xf>
    <xf numFmtId="0" fontId="53" fillId="50" borderId="6" xfId="414" applyFont="1" applyFill="1" applyBorder="1" applyAlignment="1">
      <alignment horizontal="center" vertical="center" wrapText="1"/>
    </xf>
    <xf numFmtId="4" fontId="53" fillId="50" borderId="6" xfId="414" applyNumberFormat="1" applyFont="1" applyFill="1" applyBorder="1" applyAlignment="1">
      <alignment horizontal="center" vertical="center" wrapText="1"/>
    </xf>
    <xf numFmtId="0" fontId="51" fillId="50" borderId="10" xfId="414" applyFont="1" applyFill="1" applyBorder="1" applyAlignment="1">
      <alignment horizontal="left" vertical="center"/>
    </xf>
    <xf numFmtId="184" fontId="12" fillId="0" borderId="0" xfId="303" applyNumberFormat="1" applyFont="1" applyAlignment="1">
      <alignment vertical="center"/>
    </xf>
    <xf numFmtId="184" fontId="12" fillId="0" borderId="0" xfId="414" applyNumberFormat="1" applyAlignment="1">
      <alignment vertical="center"/>
    </xf>
    <xf numFmtId="49" fontId="50" fillId="29" borderId="6" xfId="414" applyNumberFormat="1" applyFont="1" applyFill="1" applyBorder="1" applyAlignment="1">
      <alignment horizontal="left" vertical="center" wrapText="1"/>
    </xf>
    <xf numFmtId="2" fontId="12" fillId="0" borderId="0" xfId="302" applyNumberFormat="1" applyFont="1" applyAlignment="1">
      <alignment horizontal="center" vertical="center"/>
    </xf>
    <xf numFmtId="177" fontId="50" fillId="0" borderId="11" xfId="654" applyNumberFormat="1" applyFont="1" applyBorder="1" applyAlignment="1">
      <alignment vertical="center" wrapText="1"/>
    </xf>
    <xf numFmtId="184" fontId="53" fillId="0" borderId="6" xfId="301" applyNumberFormat="1" applyFont="1" applyFill="1" applyBorder="1" applyAlignment="1">
      <alignment horizontal="right" vertical="center"/>
    </xf>
    <xf numFmtId="177" fontId="50" fillId="0" borderId="11" xfId="654" applyNumberFormat="1" applyFont="1" applyFill="1" applyBorder="1" applyAlignment="1">
      <alignment vertical="center" wrapText="1"/>
    </xf>
    <xf numFmtId="4" fontId="50" fillId="0" borderId="11" xfId="654" applyNumberFormat="1" applyFont="1" applyFill="1" applyBorder="1" applyAlignment="1">
      <alignment vertical="center" wrapText="1"/>
    </xf>
    <xf numFmtId="4" fontId="51" fillId="46" borderId="11" xfId="414" applyNumberFormat="1" applyFont="1" applyFill="1" applyBorder="1" applyAlignment="1">
      <alignment vertical="center" wrapText="1"/>
    </xf>
    <xf numFmtId="177" fontId="53" fillId="0" borderId="11" xfId="654" applyNumberFormat="1" applyFont="1" applyBorder="1" applyAlignment="1">
      <alignment vertical="center" wrapText="1"/>
    </xf>
    <xf numFmtId="0" fontId="53" fillId="30" borderId="0" xfId="414" applyFont="1" applyFill="1" applyAlignment="1">
      <alignment vertical="center"/>
    </xf>
    <xf numFmtId="184" fontId="50" fillId="29" borderId="0" xfId="414" applyNumberFormat="1" applyFont="1" applyFill="1" applyAlignment="1">
      <alignment horizontal="center" vertical="center"/>
    </xf>
    <xf numFmtId="191" fontId="50" fillId="29" borderId="0" xfId="414" applyNumberFormat="1" applyFont="1" applyFill="1" applyAlignment="1">
      <alignment vertical="center"/>
    </xf>
    <xf numFmtId="184" fontId="50" fillId="29" borderId="0" xfId="414" applyNumberFormat="1" applyFont="1" applyFill="1" applyAlignment="1">
      <alignment vertical="center"/>
    </xf>
    <xf numFmtId="170" fontId="50" fillId="29" borderId="0" xfId="303" applyFont="1" applyFill="1" applyAlignment="1">
      <alignment horizontal="center" vertical="center"/>
    </xf>
    <xf numFmtId="170" fontId="50" fillId="29" borderId="0" xfId="303" applyFont="1" applyFill="1" applyAlignment="1">
      <alignment vertical="center"/>
    </xf>
    <xf numFmtId="184" fontId="50" fillId="29" borderId="0" xfId="303" applyNumberFormat="1" applyFont="1" applyFill="1" applyAlignment="1">
      <alignment horizontal="center" vertical="center"/>
    </xf>
    <xf numFmtId="184" fontId="50" fillId="29" borderId="0" xfId="303" applyNumberFormat="1" applyFont="1" applyFill="1" applyAlignment="1">
      <alignment vertical="center"/>
    </xf>
    <xf numFmtId="184" fontId="50" fillId="0" borderId="0" xfId="303" applyNumberFormat="1" applyFont="1" applyAlignment="1">
      <alignment horizontal="center" vertical="center"/>
    </xf>
    <xf numFmtId="184" fontId="50" fillId="0" borderId="0" xfId="303" applyNumberFormat="1" applyFont="1" applyAlignment="1">
      <alignment vertical="center"/>
    </xf>
    <xf numFmtId="165" fontId="11" fillId="0" borderId="0" xfId="302" applyFont="1" applyFill="1" applyBorder="1" applyAlignment="1">
      <alignment horizontal="left" vertical="center"/>
    </xf>
    <xf numFmtId="2" fontId="11" fillId="0" borderId="20" xfId="302" applyNumberFormat="1" applyFont="1" applyBorder="1" applyAlignment="1">
      <alignment horizontal="center" vertical="center"/>
    </xf>
    <xf numFmtId="0" fontId="50" fillId="0" borderId="6" xfId="414" applyFont="1" applyBorder="1" applyAlignment="1">
      <alignment horizontal="justify" vertical="center" wrapText="1"/>
    </xf>
    <xf numFmtId="2" fontId="11" fillId="0" borderId="0" xfId="807" applyNumberFormat="1" applyAlignment="1">
      <alignment vertical="center"/>
    </xf>
    <xf numFmtId="43" fontId="11" fillId="0" borderId="0" xfId="820" applyFont="1" applyAlignment="1">
      <alignment vertical="center"/>
    </xf>
    <xf numFmtId="43" fontId="11" fillId="0" borderId="0" xfId="807" applyNumberFormat="1" applyAlignment="1">
      <alignment vertical="center"/>
    </xf>
    <xf numFmtId="0" fontId="146" fillId="0" borderId="0" xfId="807" applyFont="1" applyAlignment="1">
      <alignment vertical="center"/>
    </xf>
    <xf numFmtId="0" fontId="146" fillId="0" borderId="0" xfId="414" applyFont="1" applyAlignment="1">
      <alignment vertical="center"/>
    </xf>
    <xf numFmtId="0" fontId="147" fillId="0" borderId="0" xfId="807" applyFont="1" applyAlignment="1">
      <alignment vertical="center"/>
    </xf>
    <xf numFmtId="0" fontId="148" fillId="0" borderId="0" xfId="807" applyFont="1" applyAlignment="1">
      <alignment vertical="center"/>
    </xf>
    <xf numFmtId="165" fontId="12" fillId="0" borderId="20" xfId="302" applyFont="1" applyFill="1" applyBorder="1" applyAlignment="1">
      <alignment horizontal="center" vertical="center"/>
    </xf>
    <xf numFmtId="0" fontId="146" fillId="0" borderId="0" xfId="0" applyFont="1"/>
    <xf numFmtId="0" fontId="149" fillId="0" borderId="0" xfId="0" applyFont="1"/>
    <xf numFmtId="0" fontId="109" fillId="0" borderId="0" xfId="414" applyFont="1" applyAlignment="1">
      <alignment horizontal="left" vertical="center"/>
    </xf>
    <xf numFmtId="0" fontId="110" fillId="0" borderId="0" xfId="414" applyFont="1" applyAlignment="1">
      <alignment horizontal="left" vertical="center"/>
    </xf>
    <xf numFmtId="0" fontId="46" fillId="0" borderId="0" xfId="0" applyFont="1"/>
    <xf numFmtId="0" fontId="50" fillId="0" borderId="6" xfId="414" applyFont="1" applyBorder="1" applyAlignment="1">
      <alignment horizontal="center" vertical="center"/>
    </xf>
    <xf numFmtId="4" fontId="50" fillId="0" borderId="6" xfId="414" applyNumberFormat="1" applyFont="1" applyBorder="1" applyAlignment="1">
      <alignment horizontal="center" vertical="center"/>
    </xf>
    <xf numFmtId="4" fontId="150" fillId="29" borderId="0" xfId="414" applyNumberFormat="1" applyFont="1" applyFill="1" applyAlignment="1">
      <alignment vertical="center"/>
    </xf>
    <xf numFmtId="184" fontId="11" fillId="0" borderId="0" xfId="654" applyNumberFormat="1" applyAlignment="1">
      <alignment vertical="center"/>
    </xf>
    <xf numFmtId="184" fontId="11" fillId="0" borderId="0" xfId="303" applyNumberFormat="1" applyAlignment="1">
      <alignment vertical="center"/>
    </xf>
    <xf numFmtId="184" fontId="11" fillId="0" borderId="0" xfId="807" applyNumberFormat="1" applyAlignment="1">
      <alignment vertical="center"/>
    </xf>
    <xf numFmtId="43" fontId="45" fillId="0" borderId="0" xfId="807" applyNumberFormat="1" applyFont="1" applyAlignment="1">
      <alignment vertical="center"/>
    </xf>
    <xf numFmtId="201" fontId="12" fillId="0" borderId="0" xfId="414" applyNumberFormat="1" applyAlignment="1">
      <alignment vertical="center"/>
    </xf>
    <xf numFmtId="2" fontId="12" fillId="0" borderId="0" xfId="414" applyNumberFormat="1" applyAlignment="1">
      <alignment vertical="center"/>
    </xf>
    <xf numFmtId="210" fontId="12" fillId="0" borderId="0" xfId="414" applyNumberFormat="1" applyAlignment="1">
      <alignment vertical="center"/>
    </xf>
    <xf numFmtId="184" fontId="11" fillId="0" borderId="0" xfId="414" applyNumberFormat="1" applyFont="1" applyAlignment="1">
      <alignment vertical="center"/>
    </xf>
    <xf numFmtId="0" fontId="117" fillId="46" borderId="13" xfId="814" applyFont="1" applyFill="1" applyBorder="1" applyAlignment="1">
      <alignment horizontal="center" vertical="center"/>
    </xf>
    <xf numFmtId="202" fontId="113" fillId="0" borderId="0" xfId="815" applyFont="1" applyAlignment="1">
      <alignment horizontal="center" vertical="center"/>
    </xf>
    <xf numFmtId="184" fontId="11" fillId="0" borderId="6" xfId="303" applyNumberFormat="1" applyFont="1" applyFill="1" applyBorder="1" applyAlignment="1" applyProtection="1">
      <alignment horizontal="center" vertical="center"/>
    </xf>
    <xf numFmtId="184" fontId="53" fillId="30" borderId="0" xfId="414" applyNumberFormat="1" applyFont="1" applyFill="1" applyAlignment="1">
      <alignment horizontal="center" vertical="center"/>
    </xf>
    <xf numFmtId="9" fontId="113" fillId="0" borderId="6" xfId="654" applyFont="1" applyBorder="1" applyAlignment="1">
      <alignment vertical="center"/>
    </xf>
    <xf numFmtId="0" fontId="117" fillId="46" borderId="0" xfId="814" applyFont="1" applyFill="1" applyAlignment="1">
      <alignment horizontal="center" vertical="center"/>
    </xf>
    <xf numFmtId="9" fontId="113" fillId="0" borderId="0" xfId="654" applyFont="1" applyBorder="1" applyAlignment="1">
      <alignment vertical="center"/>
    </xf>
    <xf numFmtId="1" fontId="113" fillId="0" borderId="12" xfId="814" applyNumberFormat="1" applyFont="1" applyBorder="1" applyAlignment="1">
      <alignment vertical="center"/>
    </xf>
    <xf numFmtId="9" fontId="113" fillId="0" borderId="6" xfId="654" applyFont="1" applyBorder="1" applyAlignment="1">
      <alignment horizontal="center" vertical="center"/>
    </xf>
    <xf numFmtId="184" fontId="50" fillId="0" borderId="0" xfId="303" applyNumberFormat="1" applyFont="1" applyFill="1" applyAlignment="1">
      <alignment horizontal="center" vertical="center"/>
    </xf>
    <xf numFmtId="184" fontId="50" fillId="0" borderId="0" xfId="414" applyNumberFormat="1" applyFont="1" applyAlignment="1">
      <alignment vertical="center"/>
    </xf>
    <xf numFmtId="0" fontId="105" fillId="46" borderId="12" xfId="414" applyFont="1" applyFill="1" applyBorder="1" applyAlignment="1">
      <alignment vertical="center" wrapText="1"/>
    </xf>
    <xf numFmtId="191" fontId="103" fillId="0" borderId="6" xfId="414" applyNumberFormat="1" applyFont="1" applyBorder="1" applyAlignment="1">
      <alignment horizontal="center" vertical="center"/>
    </xf>
    <xf numFmtId="191" fontId="103" fillId="0" borderId="6" xfId="414" applyNumberFormat="1" applyFont="1" applyBorder="1" applyAlignment="1">
      <alignment horizontal="center" vertical="center" wrapText="1"/>
    </xf>
    <xf numFmtId="4" fontId="103" fillId="0" borderId="6" xfId="414" applyNumberFormat="1" applyFont="1" applyBorder="1" applyAlignment="1">
      <alignment horizontal="center" vertical="center"/>
    </xf>
    <xf numFmtId="0" fontId="103" fillId="0" borderId="6" xfId="414" applyFont="1" applyBorder="1" applyAlignment="1">
      <alignment horizontal="center" vertical="center"/>
    </xf>
    <xf numFmtId="49" fontId="103" fillId="0" borderId="6" xfId="414" applyNumberFormat="1" applyFont="1" applyBorder="1" applyAlignment="1">
      <alignment horizontal="justify" vertical="center" wrapText="1"/>
    </xf>
    <xf numFmtId="4" fontId="50" fillId="0" borderId="6" xfId="414" applyNumberFormat="1" applyFont="1" applyBorder="1" applyAlignment="1">
      <alignment horizontal="center" vertical="center" wrapText="1"/>
    </xf>
    <xf numFmtId="190" fontId="103" fillId="0" borderId="0" xfId="414" applyNumberFormat="1" applyFont="1" applyAlignment="1">
      <alignment horizontal="right" vertical="center"/>
    </xf>
    <xf numFmtId="177" fontId="102" fillId="0" borderId="12" xfId="414" applyNumberFormat="1" applyFont="1" applyBorder="1" applyAlignment="1">
      <alignment vertical="center" wrapText="1"/>
    </xf>
    <xf numFmtId="191" fontId="103" fillId="46" borderId="6" xfId="414" applyNumberFormat="1" applyFont="1" applyFill="1" applyBorder="1" applyAlignment="1">
      <alignment horizontal="center" vertical="center" wrapText="1"/>
    </xf>
    <xf numFmtId="191" fontId="103" fillId="42" borderId="6" xfId="414" applyNumberFormat="1" applyFont="1" applyFill="1" applyBorder="1" applyAlignment="1">
      <alignment horizontal="center" vertical="center" wrapText="1"/>
    </xf>
    <xf numFmtId="191" fontId="103" fillId="46" borderId="6" xfId="414" applyNumberFormat="1" applyFont="1" applyFill="1" applyBorder="1" applyAlignment="1">
      <alignment horizontal="right" vertical="center" wrapText="1"/>
    </xf>
    <xf numFmtId="191" fontId="103" fillId="0" borderId="6" xfId="301" applyNumberFormat="1" applyFont="1" applyFill="1" applyBorder="1" applyAlignment="1">
      <alignment horizontal="right" vertical="center" wrapText="1"/>
    </xf>
    <xf numFmtId="191" fontId="103" fillId="35" borderId="6" xfId="301" applyNumberFormat="1" applyFont="1" applyFill="1" applyBorder="1" applyAlignment="1">
      <alignment horizontal="right" vertical="center" wrapText="1"/>
    </xf>
    <xf numFmtId="0" fontId="102" fillId="50" borderId="6" xfId="414" applyFont="1" applyFill="1" applyBorder="1" applyAlignment="1">
      <alignment horizontal="center" vertical="center" wrapText="1"/>
    </xf>
    <xf numFmtId="0" fontId="103" fillId="0" borderId="0" xfId="414" applyFont="1" applyAlignment="1">
      <alignment vertical="center"/>
    </xf>
    <xf numFmtId="177" fontId="102" fillId="0" borderId="12" xfId="656" applyNumberFormat="1" applyFont="1" applyFill="1" applyBorder="1" applyAlignment="1">
      <alignment vertical="center" wrapText="1"/>
    </xf>
    <xf numFmtId="190" fontId="103" fillId="0" borderId="0" xfId="301" applyNumberFormat="1" applyFont="1" applyFill="1" applyBorder="1" applyAlignment="1">
      <alignment horizontal="right" vertical="center"/>
    </xf>
    <xf numFmtId="191" fontId="103" fillId="0" borderId="6" xfId="414" applyNumberFormat="1" applyFont="1" applyBorder="1" applyAlignment="1">
      <alignment horizontal="right" vertical="center" wrapText="1"/>
    </xf>
    <xf numFmtId="4" fontId="62" fillId="0" borderId="6" xfId="1564" applyNumberFormat="1" applyFont="1" applyBorder="1" applyAlignment="1">
      <alignment horizontal="center"/>
    </xf>
    <xf numFmtId="4" fontId="62" fillId="31" borderId="6" xfId="1564" applyNumberFormat="1" applyFont="1" applyFill="1" applyBorder="1" applyAlignment="1">
      <alignment horizontal="center"/>
    </xf>
    <xf numFmtId="10" fontId="50" fillId="0" borderId="11" xfId="654" applyNumberFormat="1" applyFont="1" applyFill="1" applyBorder="1" applyAlignment="1">
      <alignment vertical="center" wrapText="1"/>
    </xf>
    <xf numFmtId="170" fontId="12" fillId="0" borderId="0" xfId="303" applyFont="1"/>
    <xf numFmtId="170" fontId="98" fillId="0" borderId="0" xfId="303" applyFont="1" applyAlignment="1">
      <alignment horizontal="right" vertical="center"/>
    </xf>
    <xf numFmtId="170" fontId="98" fillId="29" borderId="0" xfId="303" applyFont="1" applyFill="1" applyAlignment="1">
      <alignment horizontal="right" vertical="center"/>
    </xf>
    <xf numFmtId="170" fontId="98" fillId="29" borderId="0" xfId="303" applyFont="1" applyFill="1" applyAlignment="1">
      <alignment horizontal="right" vertical="center" wrapText="1"/>
    </xf>
    <xf numFmtId="170" fontId="98" fillId="0" borderId="0" xfId="303" applyFont="1" applyBorder="1" applyAlignment="1">
      <alignment horizontal="right" vertical="center"/>
    </xf>
    <xf numFmtId="170" fontId="99" fillId="0" borderId="0" xfId="303" applyFont="1" applyBorder="1" applyAlignment="1">
      <alignment horizontal="right" vertical="center"/>
    </xf>
    <xf numFmtId="184" fontId="12" fillId="0" borderId="0" xfId="413" quotePrefix="1" applyNumberFormat="1" applyFont="1" applyFill="1" applyBorder="1" applyAlignment="1">
      <alignment vertical="center"/>
    </xf>
    <xf numFmtId="2" fontId="11" fillId="0" borderId="20" xfId="302" applyNumberFormat="1" applyFont="1" applyFill="1" applyBorder="1" applyAlignment="1">
      <alignment horizontal="center" vertical="center"/>
    </xf>
    <xf numFmtId="0" fontId="121" fillId="0" borderId="8" xfId="814" applyFont="1" applyBorder="1" applyAlignment="1">
      <alignment vertical="center"/>
    </xf>
    <xf numFmtId="1" fontId="121" fillId="0" borderId="10" xfId="814" applyNumberFormat="1" applyFont="1" applyBorder="1" applyAlignment="1">
      <alignment vertical="center"/>
    </xf>
    <xf numFmtId="0" fontId="121" fillId="0" borderId="11" xfId="814" applyFont="1" applyBorder="1" applyAlignment="1">
      <alignment vertical="center"/>
    </xf>
    <xf numFmtId="0" fontId="50" fillId="0" borderId="0" xfId="0" applyFont="1"/>
    <xf numFmtId="0" fontId="152" fillId="0" borderId="18" xfId="0" applyFont="1" applyBorder="1" applyAlignment="1">
      <alignment horizontal="center"/>
    </xf>
    <xf numFmtId="0" fontId="153" fillId="0" borderId="76" xfId="0" applyFont="1" applyBorder="1"/>
    <xf numFmtId="0" fontId="154" fillId="0" borderId="12" xfId="0" applyFont="1" applyBorder="1"/>
    <xf numFmtId="0" fontId="154" fillId="0" borderId="77" xfId="0" applyFont="1" applyBorder="1" applyAlignment="1">
      <alignment horizontal="right"/>
    </xf>
    <xf numFmtId="0" fontId="152" fillId="0" borderId="50" xfId="0" applyFont="1" applyBorder="1"/>
    <xf numFmtId="0" fontId="152" fillId="0" borderId="13" xfId="0" applyFont="1" applyBorder="1"/>
    <xf numFmtId="0" fontId="153" fillId="0" borderId="13" xfId="0" applyFont="1" applyBorder="1"/>
    <xf numFmtId="10" fontId="153" fillId="0" borderId="13" xfId="0" applyNumberFormat="1" applyFont="1" applyBorder="1"/>
    <xf numFmtId="10" fontId="153" fillId="0" borderId="18" xfId="0" applyNumberFormat="1" applyFont="1" applyBorder="1"/>
    <xf numFmtId="0" fontId="153" fillId="0" borderId="10" xfId="0" applyFont="1" applyBorder="1" applyAlignment="1">
      <alignment horizontal="left"/>
    </xf>
    <xf numFmtId="0" fontId="50" fillId="0" borderId="11" xfId="0" applyFont="1" applyBorder="1" applyAlignment="1">
      <alignment wrapText="1"/>
    </xf>
    <xf numFmtId="0" fontId="50" fillId="0" borderId="12" xfId="0" applyFont="1" applyBorder="1" applyAlignment="1">
      <alignment wrapText="1"/>
    </xf>
    <xf numFmtId="10" fontId="153" fillId="0" borderId="77" xfId="0" applyNumberFormat="1" applyFont="1" applyBorder="1"/>
    <xf numFmtId="10" fontId="153" fillId="0" borderId="11" xfId="0" applyNumberFormat="1" applyFont="1" applyBorder="1"/>
    <xf numFmtId="0" fontId="153" fillId="0" borderId="11" xfId="0" applyFont="1" applyBorder="1" applyAlignment="1">
      <alignment horizontal="left"/>
    </xf>
    <xf numFmtId="0" fontId="152" fillId="0" borderId="11" xfId="0" applyFont="1" applyBorder="1"/>
    <xf numFmtId="10" fontId="153" fillId="0" borderId="12" xfId="0" applyNumberFormat="1" applyFont="1" applyBorder="1"/>
    <xf numFmtId="10" fontId="153" fillId="0" borderId="77" xfId="0" applyNumberFormat="1" applyFont="1" applyBorder="1" applyAlignment="1">
      <alignment horizontal="right" vertical="center"/>
    </xf>
    <xf numFmtId="0" fontId="152" fillId="0" borderId="10" xfId="0" applyFont="1" applyBorder="1"/>
    <xf numFmtId="10" fontId="154" fillId="0" borderId="77" xfId="0" applyNumberFormat="1" applyFont="1" applyBorder="1"/>
    <xf numFmtId="0" fontId="153" fillId="0" borderId="78" xfId="0" applyFont="1" applyBorder="1"/>
    <xf numFmtId="0" fontId="153" fillId="0" borderId="11" xfId="0" applyFont="1" applyBorder="1"/>
    <xf numFmtId="10" fontId="153" fillId="0" borderId="79" xfId="0" applyNumberFormat="1" applyFont="1" applyBorder="1"/>
    <xf numFmtId="10" fontId="153" fillId="0" borderId="77" xfId="654" applyNumberFormat="1" applyFont="1" applyBorder="1"/>
    <xf numFmtId="0" fontId="155" fillId="0" borderId="11" xfId="0" applyFont="1" applyBorder="1"/>
    <xf numFmtId="0" fontId="154" fillId="0" borderId="11" xfId="0" applyFont="1" applyBorder="1" applyAlignment="1">
      <alignment vertical="center"/>
    </xf>
    <xf numFmtId="10" fontId="154" fillId="0" borderId="77" xfId="0" applyNumberFormat="1" applyFont="1" applyBorder="1" applyAlignment="1">
      <alignment vertical="center"/>
    </xf>
    <xf numFmtId="0" fontId="154" fillId="0" borderId="76" xfId="0" applyFont="1" applyBorder="1" applyAlignment="1">
      <alignment horizontal="center" vertical="center"/>
    </xf>
    <xf numFmtId="9" fontId="154" fillId="0" borderId="77" xfId="0" applyNumberFormat="1" applyFont="1" applyBorder="1" applyAlignment="1">
      <alignment horizontal="center"/>
    </xf>
    <xf numFmtId="2" fontId="105" fillId="0" borderId="58" xfId="0" applyNumberFormat="1" applyFont="1" applyBorder="1" applyAlignment="1">
      <alignment horizontal="center" wrapText="1"/>
    </xf>
    <xf numFmtId="0" fontId="157" fillId="0" borderId="13" xfId="0" applyFont="1" applyBorder="1"/>
    <xf numFmtId="0" fontId="50" fillId="0" borderId="13" xfId="0" applyFont="1" applyBorder="1"/>
    <xf numFmtId="0" fontId="105" fillId="0" borderId="0" xfId="0" applyFont="1"/>
    <xf numFmtId="0" fontId="154" fillId="0" borderId="76" xfId="0" applyFont="1" applyBorder="1" applyAlignment="1">
      <alignment horizontal="center"/>
    </xf>
    <xf numFmtId="0" fontId="153" fillId="0" borderId="76" xfId="0" applyFont="1" applyBorder="1" applyAlignment="1">
      <alignment horizontal="center"/>
    </xf>
    <xf numFmtId="0" fontId="153" fillId="0" borderId="78" xfId="0" applyFont="1" applyBorder="1" applyAlignment="1">
      <alignment horizontal="center"/>
    </xf>
    <xf numFmtId="0" fontId="154" fillId="0" borderId="78" xfId="0" applyFont="1" applyBorder="1" applyAlignment="1">
      <alignment horizontal="center"/>
    </xf>
    <xf numFmtId="170" fontId="12" fillId="0" borderId="0" xfId="303" applyFont="1" applyAlignment="1">
      <alignment horizontal="center" vertical="center"/>
    </xf>
    <xf numFmtId="0" fontId="75" fillId="30" borderId="6" xfId="641" applyFont="1" applyFill="1" applyBorder="1" applyAlignment="1">
      <alignment vertical="center" wrapText="1"/>
    </xf>
    <xf numFmtId="170" fontId="6" fillId="0" borderId="0" xfId="303" applyFont="1" applyAlignment="1">
      <alignment horizontal="center" vertical="center"/>
    </xf>
    <xf numFmtId="170" fontId="6" fillId="0" borderId="0" xfId="303" applyFont="1"/>
    <xf numFmtId="170" fontId="81" fillId="0" borderId="0" xfId="303" applyFont="1"/>
    <xf numFmtId="43" fontId="6" fillId="0" borderId="0" xfId="303" applyNumberFormat="1" applyFont="1"/>
    <xf numFmtId="0" fontId="157" fillId="0" borderId="24" xfId="0" applyFont="1" applyBorder="1" applyAlignment="1">
      <alignment horizontal="center" wrapText="1"/>
    </xf>
    <xf numFmtId="0" fontId="3" fillId="0" borderId="37" xfId="0" applyFont="1" applyBorder="1" applyAlignment="1">
      <alignment horizontal="center" wrapText="1"/>
    </xf>
    <xf numFmtId="0" fontId="3" fillId="0" borderId="25" xfId="0" applyFont="1" applyBorder="1" applyAlignment="1">
      <alignment wrapText="1"/>
    </xf>
    <xf numFmtId="0" fontId="3" fillId="0" borderId="90" xfId="0" applyFont="1" applyBorder="1" applyAlignment="1">
      <alignment wrapText="1"/>
    </xf>
    <xf numFmtId="0" fontId="3" fillId="0" borderId="91" xfId="0" applyFont="1" applyBorder="1" applyAlignment="1">
      <alignment wrapText="1"/>
    </xf>
    <xf numFmtId="0" fontId="75" fillId="30" borderId="76" xfId="641" applyFont="1" applyFill="1" applyBorder="1" applyAlignment="1">
      <alignment horizontal="center" vertical="center" wrapText="1"/>
    </xf>
    <xf numFmtId="0" fontId="54" fillId="30" borderId="12" xfId="641" applyFont="1" applyFill="1" applyBorder="1" applyAlignment="1">
      <alignment vertical="center" wrapText="1"/>
    </xf>
    <xf numFmtId="0" fontId="75" fillId="30" borderId="8" xfId="641" applyFont="1" applyFill="1" applyBorder="1" applyAlignment="1">
      <alignment vertical="center" wrapText="1"/>
    </xf>
    <xf numFmtId="0" fontId="75" fillId="61" borderId="8" xfId="641" applyFont="1" applyFill="1" applyBorder="1" applyAlignment="1">
      <alignment vertical="center" wrapText="1"/>
    </xf>
    <xf numFmtId="198" fontId="54" fillId="61" borderId="80" xfId="322" applyNumberFormat="1" applyFont="1" applyFill="1" applyBorder="1" applyAlignment="1">
      <alignment vertical="center" wrapText="1"/>
    </xf>
    <xf numFmtId="0" fontId="75" fillId="0" borderId="76" xfId="641" applyFont="1" applyBorder="1" applyAlignment="1">
      <alignment horizontal="center" vertical="center" wrapText="1"/>
    </xf>
    <xf numFmtId="0" fontId="75" fillId="0" borderId="12" xfId="641" applyFont="1" applyBorder="1" applyAlignment="1">
      <alignment vertical="center" wrapText="1"/>
    </xf>
    <xf numFmtId="0" fontId="75" fillId="0" borderId="6" xfId="641" applyFont="1" applyBorder="1" applyAlignment="1">
      <alignment vertical="center" wrapText="1"/>
    </xf>
    <xf numFmtId="198" fontId="75" fillId="0" borderId="77" xfId="641" applyNumberFormat="1" applyFont="1" applyBorder="1" applyAlignment="1">
      <alignment vertical="center" wrapText="1"/>
    </xf>
    <xf numFmtId="1" fontId="54" fillId="30" borderId="76" xfId="641" applyNumberFormat="1" applyFont="1" applyFill="1" applyBorder="1" applyAlignment="1">
      <alignment horizontal="center" vertical="center" wrapText="1"/>
    </xf>
    <xf numFmtId="0" fontId="54" fillId="30" borderId="6" xfId="641" applyFont="1" applyFill="1" applyBorder="1" applyAlignment="1">
      <alignment vertical="center" wrapText="1"/>
    </xf>
    <xf numFmtId="198" fontId="75" fillId="30" borderId="77" xfId="641" applyNumberFormat="1" applyFont="1" applyFill="1" applyBorder="1" applyAlignment="1">
      <alignment vertical="center" wrapText="1"/>
    </xf>
    <xf numFmtId="0" fontId="54" fillId="30" borderId="76" xfId="641" applyFont="1" applyFill="1" applyBorder="1" applyAlignment="1">
      <alignment horizontal="center" vertical="center" wrapText="1"/>
    </xf>
    <xf numFmtId="0" fontId="54" fillId="30" borderId="12" xfId="641" applyFont="1" applyFill="1" applyBorder="1" applyAlignment="1">
      <alignment horizontal="left" vertical="center" wrapText="1"/>
    </xf>
    <xf numFmtId="0" fontId="54" fillId="30" borderId="6" xfId="641" applyFont="1" applyFill="1" applyBorder="1" applyAlignment="1">
      <alignment horizontal="center" vertical="center" wrapText="1"/>
    </xf>
    <xf numFmtId="0" fontId="54" fillId="61" borderId="6" xfId="641" applyFont="1" applyFill="1" applyBorder="1" applyAlignment="1">
      <alignment horizontal="center" vertical="center" wrapText="1"/>
    </xf>
    <xf numFmtId="198" fontId="54" fillId="30" borderId="77" xfId="641" applyNumberFormat="1" applyFont="1" applyFill="1" applyBorder="1" applyAlignment="1">
      <alignment horizontal="center" vertical="center" wrapText="1"/>
    </xf>
    <xf numFmtId="10" fontId="50" fillId="0" borderId="0" xfId="0" applyNumberFormat="1" applyFont="1"/>
    <xf numFmtId="178" fontId="75" fillId="0" borderId="76" xfId="641" applyNumberFormat="1" applyFont="1" applyBorder="1" applyAlignment="1">
      <alignment horizontal="center" vertical="center" wrapText="1"/>
    </xf>
    <xf numFmtId="178" fontId="75" fillId="0" borderId="12" xfId="641" applyNumberFormat="1" applyFont="1" applyBorder="1" applyAlignment="1">
      <alignment horizontal="left" vertical="center" wrapText="1"/>
    </xf>
    <xf numFmtId="0" fontId="75" fillId="0" borderId="6" xfId="641" applyFont="1" applyBorder="1" applyAlignment="1">
      <alignment horizontal="center" vertical="center" wrapText="1"/>
    </xf>
    <xf numFmtId="4" fontId="75" fillId="0" borderId="6" xfId="233" applyNumberFormat="1" applyFont="1" applyBorder="1" applyAlignment="1">
      <alignment horizontal="center" vertical="center" wrapText="1"/>
    </xf>
    <xf numFmtId="9" fontId="75" fillId="0" borderId="6" xfId="654" applyFont="1" applyBorder="1" applyAlignment="1">
      <alignment horizontal="center" vertical="center" wrapText="1"/>
    </xf>
    <xf numFmtId="202" fontId="75" fillId="0" borderId="6" xfId="323" applyFont="1" applyBorder="1" applyAlignment="1">
      <alignment horizontal="center" vertical="center" wrapText="1"/>
    </xf>
    <xf numFmtId="198" fontId="75" fillId="0" borderId="77" xfId="323" applyNumberFormat="1" applyFont="1" applyBorder="1" applyAlignment="1">
      <alignment horizontal="center" vertical="center" wrapText="1"/>
    </xf>
    <xf numFmtId="166" fontId="50" fillId="0" borderId="0" xfId="0" applyNumberFormat="1" applyFont="1"/>
    <xf numFmtId="0" fontId="75" fillId="0" borderId="12" xfId="642" applyFont="1" applyBorder="1" applyAlignment="1">
      <alignment horizontal="left" vertical="center" wrapText="1"/>
    </xf>
    <xf numFmtId="178" fontId="75" fillId="30" borderId="76" xfId="641" applyNumberFormat="1" applyFont="1" applyFill="1" applyBorder="1" applyAlignment="1">
      <alignment horizontal="center" vertical="center" wrapText="1"/>
    </xf>
    <xf numFmtId="0" fontId="75" fillId="30" borderId="6" xfId="641" applyFont="1" applyFill="1" applyBorder="1" applyAlignment="1">
      <alignment horizontal="center" vertical="center" wrapText="1"/>
    </xf>
    <xf numFmtId="4" fontId="75" fillId="30" borderId="6" xfId="641" applyNumberFormat="1" applyFont="1" applyFill="1" applyBorder="1" applyAlignment="1">
      <alignment horizontal="center" vertical="center" wrapText="1"/>
    </xf>
    <xf numFmtId="202" fontId="54" fillId="61" borderId="6" xfId="323" applyFont="1" applyFill="1" applyBorder="1" applyAlignment="1">
      <alignment horizontal="center" vertical="center" wrapText="1"/>
    </xf>
    <xf numFmtId="198" fontId="54" fillId="30" borderId="77" xfId="323" applyNumberFormat="1" applyFont="1" applyFill="1" applyBorder="1" applyAlignment="1">
      <alignment horizontal="center" vertical="center" wrapText="1"/>
    </xf>
    <xf numFmtId="9" fontId="50" fillId="0" borderId="6" xfId="654" applyFont="1" applyBorder="1"/>
    <xf numFmtId="184" fontId="50" fillId="0" borderId="6" xfId="0" applyNumberFormat="1" applyFont="1" applyBorder="1"/>
    <xf numFmtId="178" fontId="75" fillId="0" borderId="12" xfId="641" applyNumberFormat="1" applyFont="1" applyBorder="1" applyAlignment="1">
      <alignment vertical="center" wrapText="1"/>
    </xf>
    <xf numFmtId="4" fontId="75" fillId="0" borderId="6" xfId="641" applyNumberFormat="1" applyFont="1" applyBorder="1" applyAlignment="1">
      <alignment vertical="center" wrapText="1"/>
    </xf>
    <xf numFmtId="4" fontId="75" fillId="30" borderId="6" xfId="641" applyNumberFormat="1" applyFont="1" applyFill="1" applyBorder="1" applyAlignment="1">
      <alignment vertical="center" wrapText="1"/>
    </xf>
    <xf numFmtId="198" fontId="75" fillId="30" borderId="77" xfId="641" applyNumberFormat="1" applyFont="1" applyFill="1" applyBorder="1" applyAlignment="1">
      <alignment horizontal="center" vertical="center" wrapText="1"/>
    </xf>
    <xf numFmtId="184" fontId="50" fillId="0" borderId="0" xfId="0" applyNumberFormat="1" applyFont="1"/>
    <xf numFmtId="0" fontId="75" fillId="0" borderId="12" xfId="642" applyFont="1" applyBorder="1" applyAlignment="1">
      <alignment vertical="center" wrapText="1"/>
    </xf>
    <xf numFmtId="4" fontId="54" fillId="61" borderId="6" xfId="641" applyNumberFormat="1" applyFont="1" applyFill="1" applyBorder="1" applyAlignment="1">
      <alignment horizontal="center" vertical="center" wrapText="1"/>
    </xf>
    <xf numFmtId="3" fontId="75" fillId="61" borderId="6" xfId="641" applyNumberFormat="1" applyFont="1" applyFill="1" applyBorder="1" applyAlignment="1">
      <alignment vertical="center" wrapText="1"/>
    </xf>
    <xf numFmtId="3" fontId="75" fillId="0" borderId="6" xfId="641" applyNumberFormat="1" applyFont="1" applyBorder="1" applyAlignment="1">
      <alignment vertical="center" wrapText="1"/>
    </xf>
    <xf numFmtId="3" fontId="75" fillId="30" borderId="6" xfId="641" applyNumberFormat="1" applyFont="1" applyFill="1" applyBorder="1" applyAlignment="1">
      <alignment vertical="center" wrapText="1"/>
    </xf>
    <xf numFmtId="0" fontId="75" fillId="0" borderId="12" xfId="641" applyFont="1" applyBorder="1" applyAlignment="1">
      <alignment horizontal="left" vertical="center" wrapText="1"/>
    </xf>
    <xf numFmtId="177" fontId="75" fillId="0" borderId="6" xfId="654" applyNumberFormat="1" applyFont="1" applyBorder="1" applyAlignment="1">
      <alignment horizontal="center" vertical="center" wrapText="1"/>
    </xf>
    <xf numFmtId="10" fontId="75" fillId="0" borderId="6" xfId="654" applyNumberFormat="1" applyFont="1" applyBorder="1" applyAlignment="1">
      <alignment horizontal="center" vertical="center" wrapText="1"/>
    </xf>
    <xf numFmtId="0" fontId="75" fillId="0" borderId="76" xfId="323" applyNumberFormat="1" applyFont="1" applyBorder="1" applyAlignment="1">
      <alignment horizontal="center" vertical="center" wrapText="1"/>
    </xf>
    <xf numFmtId="0" fontId="50" fillId="0" borderId="6" xfId="0" applyFont="1" applyBorder="1"/>
    <xf numFmtId="202" fontId="75" fillId="0" borderId="77" xfId="323" applyFont="1" applyBorder="1" applyAlignment="1">
      <alignment horizontal="center" vertical="center" wrapText="1"/>
    </xf>
    <xf numFmtId="202" fontId="75" fillId="0" borderId="12" xfId="323" applyFont="1" applyBorder="1" applyAlignment="1">
      <alignment horizontal="left" vertical="center" wrapText="1"/>
    </xf>
    <xf numFmtId="192" fontId="75" fillId="30" borderId="6" xfId="641" applyNumberFormat="1" applyFont="1" applyFill="1" applyBorder="1" applyAlignment="1">
      <alignment vertical="center" wrapText="1"/>
    </xf>
    <xf numFmtId="192" fontId="75" fillId="0" borderId="6" xfId="641" applyNumberFormat="1" applyFont="1" applyBorder="1" applyAlignment="1">
      <alignment vertical="center" wrapText="1"/>
    </xf>
    <xf numFmtId="0" fontId="54" fillId="30" borderId="12" xfId="641" applyFont="1" applyFill="1" applyBorder="1" applyAlignment="1">
      <alignment horizontal="right" vertical="center" wrapText="1"/>
    </xf>
    <xf numFmtId="10" fontId="54" fillId="30" borderId="6" xfId="654" applyNumberFormat="1" applyFont="1" applyFill="1" applyBorder="1" applyAlignment="1">
      <alignment horizontal="center" vertical="center" wrapText="1"/>
    </xf>
    <xf numFmtId="198" fontId="54" fillId="30" borderId="77" xfId="641" applyNumberFormat="1" applyFont="1" applyFill="1" applyBorder="1" applyAlignment="1">
      <alignment vertical="center" wrapText="1"/>
    </xf>
    <xf numFmtId="9" fontId="75" fillId="0" borderId="6" xfId="654" applyFont="1" applyBorder="1" applyAlignment="1">
      <alignment vertical="center" wrapText="1"/>
    </xf>
    <xf numFmtId="0" fontId="54" fillId="30" borderId="12" xfId="641" applyFont="1" applyFill="1" applyBorder="1" applyAlignment="1">
      <alignment horizontal="center" vertical="center" wrapText="1"/>
    </xf>
    <xf numFmtId="202" fontId="54" fillId="30" borderId="77" xfId="641" applyNumberFormat="1" applyFont="1" applyFill="1" applyBorder="1" applyAlignment="1">
      <alignment vertical="center" wrapText="1"/>
    </xf>
    <xf numFmtId="0" fontId="160" fillId="0" borderId="57" xfId="641" applyFont="1" applyBorder="1" applyAlignment="1">
      <alignment horizontal="center" vertical="center" wrapText="1"/>
    </xf>
    <xf numFmtId="0" fontId="160" fillId="0" borderId="36" xfId="641" applyFont="1" applyBorder="1" applyAlignment="1">
      <alignment vertical="center" wrapText="1"/>
    </xf>
    <xf numFmtId="0" fontId="160" fillId="0" borderId="35" xfId="641" applyFont="1" applyBorder="1" applyAlignment="1">
      <alignment vertical="center" wrapText="1"/>
    </xf>
    <xf numFmtId="3" fontId="160" fillId="0" borderId="35" xfId="641" applyNumberFormat="1" applyFont="1" applyBorder="1" applyAlignment="1">
      <alignment vertical="center" wrapText="1"/>
    </xf>
    <xf numFmtId="198" fontId="160" fillId="0" borderId="58" xfId="641" applyNumberFormat="1" applyFont="1" applyBorder="1" applyAlignment="1">
      <alignment vertical="center" wrapText="1"/>
    </xf>
    <xf numFmtId="0" fontId="157" fillId="0" borderId="25" xfId="0" applyFont="1" applyBorder="1" applyAlignment="1">
      <alignment wrapText="1"/>
    </xf>
    <xf numFmtId="198" fontId="157" fillId="0" borderId="16" xfId="0" applyNumberFormat="1" applyFont="1" applyBorder="1" applyAlignment="1">
      <alignment wrapText="1"/>
    </xf>
    <xf numFmtId="0" fontId="157" fillId="0" borderId="9" xfId="0" applyFont="1" applyBorder="1"/>
    <xf numFmtId="0" fontId="157" fillId="0" borderId="0" xfId="0" applyFont="1" applyAlignment="1">
      <alignment wrapText="1"/>
    </xf>
    <xf numFmtId="198" fontId="157" fillId="0" borderId="59" xfId="0" applyNumberFormat="1" applyFont="1" applyBorder="1" applyAlignment="1">
      <alignment wrapText="1"/>
    </xf>
    <xf numFmtId="0" fontId="157" fillId="0" borderId="40" xfId="0" applyFont="1" applyBorder="1"/>
    <xf numFmtId="0" fontId="157" fillId="0" borderId="13" xfId="0" applyFont="1" applyBorder="1" applyAlignment="1">
      <alignment wrapText="1"/>
    </xf>
    <xf numFmtId="0" fontId="106" fillId="0" borderId="9" xfId="414" applyFont="1" applyBorder="1" applyAlignment="1">
      <alignment horizontal="left" vertical="center"/>
    </xf>
    <xf numFmtId="0" fontId="3" fillId="0" borderId="9" xfId="414" applyFont="1" applyBorder="1" applyAlignment="1">
      <alignment horizontal="left" vertical="center"/>
    </xf>
    <xf numFmtId="0" fontId="3" fillId="0" borderId="14" xfId="414" applyFont="1" applyBorder="1" applyAlignment="1">
      <alignment horizontal="left" vertical="center"/>
    </xf>
    <xf numFmtId="0" fontId="50" fillId="0" borderId="15" xfId="0" applyFont="1" applyBorder="1"/>
    <xf numFmtId="0" fontId="50" fillId="0" borderId="17" xfId="0" applyFont="1" applyBorder="1"/>
    <xf numFmtId="9" fontId="50" fillId="0" borderId="0" xfId="654" applyFont="1"/>
    <xf numFmtId="197" fontId="50" fillId="0" borderId="0" xfId="0" applyNumberFormat="1" applyFont="1"/>
    <xf numFmtId="0" fontId="3" fillId="0" borderId="0" xfId="1199" applyFont="1" applyAlignment="1">
      <alignment vertical="center"/>
    </xf>
    <xf numFmtId="0" fontId="53" fillId="0" borderId="109" xfId="1199" applyFont="1" applyBorder="1" applyAlignment="1">
      <alignment vertical="top" wrapText="1"/>
    </xf>
    <xf numFmtId="0" fontId="53" fillId="0" borderId="9" xfId="1199" applyFont="1" applyBorder="1" applyAlignment="1">
      <alignment vertical="top" wrapText="1"/>
    </xf>
    <xf numFmtId="0" fontId="53" fillId="0" borderId="0" xfId="1199" applyFont="1" applyAlignment="1">
      <alignment horizontal="center" vertical="center" wrapText="1"/>
    </xf>
    <xf numFmtId="0" fontId="50" fillId="0" borderId="59" xfId="1199" applyFont="1" applyBorder="1" applyAlignment="1">
      <alignment horizontal="center" vertical="center" wrapText="1"/>
    </xf>
    <xf numFmtId="0" fontId="103" fillId="0" borderId="9" xfId="1199" applyFont="1" applyBorder="1" applyAlignment="1">
      <alignment horizontal="centerContinuous" vertical="center"/>
    </xf>
    <xf numFmtId="0" fontId="103" fillId="0" borderId="0" xfId="1199" applyFont="1" applyAlignment="1">
      <alignment horizontal="centerContinuous" vertical="center"/>
    </xf>
    <xf numFmtId="0" fontId="103" fillId="0" borderId="59" xfId="1199" applyFont="1" applyBorder="1" applyAlignment="1">
      <alignment horizontal="centerContinuous" vertical="center"/>
    </xf>
    <xf numFmtId="0" fontId="53" fillId="0" borderId="9" xfId="1199" applyFont="1" applyBorder="1" applyAlignment="1">
      <alignment vertical="center"/>
    </xf>
    <xf numFmtId="0" fontId="103" fillId="0" borderId="114" xfId="1199" applyFont="1" applyBorder="1" applyAlignment="1">
      <alignment horizontal="center" vertical="center"/>
    </xf>
    <xf numFmtId="0" fontId="103" fillId="0" borderId="115" xfId="1199" applyFont="1" applyBorder="1" applyAlignment="1">
      <alignment horizontal="right" vertical="center"/>
    </xf>
    <xf numFmtId="2" fontId="50" fillId="29" borderId="116" xfId="1415" applyNumberFormat="1" applyFont="1" applyFill="1" applyBorder="1" applyAlignment="1">
      <alignment horizontal="center" vertical="center"/>
    </xf>
    <xf numFmtId="2" fontId="103" fillId="0" borderId="0" xfId="1199" applyNumberFormat="1" applyFont="1" applyAlignment="1">
      <alignment horizontal="center" vertical="center"/>
    </xf>
    <xf numFmtId="0" fontId="103" fillId="0" borderId="0" xfId="1199" applyFont="1" applyAlignment="1">
      <alignment vertical="center"/>
    </xf>
    <xf numFmtId="0" fontId="103" fillId="0" borderId="115" xfId="1199" applyFont="1" applyBorder="1" applyAlignment="1">
      <alignment vertical="center"/>
    </xf>
    <xf numFmtId="0" fontId="50" fillId="0" borderId="117" xfId="1199" applyFont="1" applyBorder="1" applyAlignment="1">
      <alignment vertical="center"/>
    </xf>
    <xf numFmtId="0" fontId="53" fillId="0" borderId="124" xfId="1199" applyFont="1" applyBorder="1" applyAlignment="1">
      <alignment vertical="center"/>
    </xf>
    <xf numFmtId="0" fontId="50" fillId="0" borderId="125" xfId="1199" applyFont="1" applyBorder="1" applyAlignment="1">
      <alignment vertical="center"/>
    </xf>
    <xf numFmtId="0" fontId="50" fillId="0" borderId="125" xfId="1199" applyFont="1" applyBorder="1" applyAlignment="1">
      <alignment horizontal="center" vertical="center"/>
    </xf>
    <xf numFmtId="0" fontId="50" fillId="0" borderId="126" xfId="1199" applyFont="1" applyBorder="1" applyAlignment="1">
      <alignment vertical="center"/>
    </xf>
    <xf numFmtId="0" fontId="50" fillId="0" borderId="0" xfId="1199" applyFont="1" applyAlignment="1">
      <alignment vertical="center"/>
    </xf>
    <xf numFmtId="4" fontId="50" fillId="0" borderId="0" xfId="1199" applyNumberFormat="1" applyFont="1" applyAlignment="1">
      <alignment vertical="center"/>
    </xf>
    <xf numFmtId="2" fontId="50" fillId="0" borderId="0" xfId="1199" applyNumberFormat="1" applyFont="1" applyAlignment="1">
      <alignment vertical="center"/>
    </xf>
    <xf numFmtId="193" fontId="50" fillId="0" borderId="0" xfId="1199" applyNumberFormat="1" applyFont="1" applyAlignment="1">
      <alignment vertical="center"/>
    </xf>
    <xf numFmtId="3" fontId="50" fillId="0" borderId="0" xfId="1199" applyNumberFormat="1" applyFont="1" applyAlignment="1">
      <alignment vertical="center"/>
    </xf>
    <xf numFmtId="4" fontId="50" fillId="0" borderId="59" xfId="1199" applyNumberFormat="1" applyFont="1" applyBorder="1" applyAlignment="1">
      <alignment vertical="center"/>
    </xf>
    <xf numFmtId="0" fontId="50" fillId="29" borderId="76" xfId="1199" applyFont="1" applyFill="1" applyBorder="1" applyAlignment="1">
      <alignment horizontal="justify" vertical="center" wrapText="1"/>
    </xf>
    <xf numFmtId="0" fontId="50" fillId="0" borderId="6" xfId="1199" applyFont="1" applyBorder="1" applyAlignment="1">
      <alignment horizontal="center" vertical="center"/>
    </xf>
    <xf numFmtId="211" fontId="50" fillId="0" borderId="6" xfId="1199" applyNumberFormat="1" applyFont="1" applyBorder="1" applyAlignment="1">
      <alignment vertical="center"/>
    </xf>
    <xf numFmtId="2" fontId="50" fillId="0" borderId="6" xfId="1199" applyNumberFormat="1" applyFont="1" applyBorder="1" applyAlignment="1">
      <alignment vertical="center"/>
    </xf>
    <xf numFmtId="2" fontId="50" fillId="0" borderId="6" xfId="1199" applyNumberFormat="1" applyFont="1" applyBorder="1" applyAlignment="1">
      <alignment horizontal="center" vertical="center"/>
    </xf>
    <xf numFmtId="10" fontId="50" fillId="0" borderId="6" xfId="1199" applyNumberFormat="1" applyFont="1" applyBorder="1" applyAlignment="1">
      <alignment horizontal="center" vertical="center"/>
    </xf>
    <xf numFmtId="4" fontId="50" fillId="0" borderId="6" xfId="1199" applyNumberFormat="1" applyFont="1" applyBorder="1" applyAlignment="1">
      <alignment vertical="center"/>
    </xf>
    <xf numFmtId="4" fontId="50" fillId="0" borderId="77" xfId="1199" applyNumberFormat="1" applyFont="1" applyBorder="1" applyAlignment="1">
      <alignment vertical="center"/>
    </xf>
    <xf numFmtId="191" fontId="3" fillId="0" borderId="0" xfId="1199" applyNumberFormat="1" applyFont="1" applyAlignment="1">
      <alignment vertical="center"/>
    </xf>
    <xf numFmtId="0" fontId="50" fillId="29" borderId="76" xfId="1199" applyFont="1" applyFill="1" applyBorder="1" applyAlignment="1">
      <alignment vertical="center"/>
    </xf>
    <xf numFmtId="3" fontId="50" fillId="0" borderId="6" xfId="1199" applyNumberFormat="1" applyFont="1" applyBorder="1" applyAlignment="1">
      <alignment vertical="center"/>
    </xf>
    <xf numFmtId="0" fontId="53" fillId="29" borderId="9" xfId="1199" applyFont="1" applyFill="1" applyBorder="1" applyAlignment="1">
      <alignment vertical="center"/>
    </xf>
    <xf numFmtId="211" fontId="50" fillId="0" borderId="0" xfId="1199" applyNumberFormat="1" applyFont="1" applyAlignment="1">
      <alignment vertical="center"/>
    </xf>
    <xf numFmtId="2" fontId="50" fillId="0" borderId="0" xfId="1199" applyNumberFormat="1" applyFont="1" applyAlignment="1">
      <alignment horizontal="center" vertical="center"/>
    </xf>
    <xf numFmtId="0" fontId="50" fillId="29" borderId="76" xfId="1199" applyFont="1" applyFill="1" applyBorder="1" applyAlignment="1">
      <alignment vertical="center" wrapText="1"/>
    </xf>
    <xf numFmtId="4" fontId="3" fillId="0" borderId="0" xfId="1199" applyNumberFormat="1" applyFont="1" applyAlignment="1">
      <alignment vertical="center"/>
    </xf>
    <xf numFmtId="0" fontId="50" fillId="0" borderId="9" xfId="1199" applyFont="1" applyBorder="1" applyAlignment="1">
      <alignment vertical="center"/>
    </xf>
    <xf numFmtId="4" fontId="53" fillId="0" borderId="127" xfId="1199" applyNumberFormat="1" applyFont="1" applyBorder="1" applyAlignment="1">
      <alignment vertical="center"/>
    </xf>
    <xf numFmtId="0" fontId="50" fillId="0" borderId="59" xfId="1199" applyFont="1" applyBorder="1" applyAlignment="1">
      <alignment vertical="center"/>
    </xf>
    <xf numFmtId="0" fontId="103" fillId="0" borderId="59" xfId="1199" applyFont="1" applyBorder="1" applyAlignment="1">
      <alignment vertical="center"/>
    </xf>
    <xf numFmtId="0" fontId="50" fillId="0" borderId="132" xfId="1199" applyFont="1" applyBorder="1" applyAlignment="1">
      <alignment vertical="center"/>
    </xf>
    <xf numFmtId="0" fontId="50" fillId="0" borderId="53" xfId="1199" applyFont="1" applyBorder="1" applyAlignment="1">
      <alignment vertical="center"/>
    </xf>
    <xf numFmtId="0" fontId="50" fillId="0" borderId="129" xfId="1199" applyFont="1" applyBorder="1" applyAlignment="1">
      <alignment vertical="center"/>
    </xf>
    <xf numFmtId="0" fontId="103" fillId="62" borderId="133" xfId="1199" applyFont="1" applyFill="1" applyBorder="1" applyAlignment="1">
      <alignment horizontal="justify" vertical="center" wrapText="1"/>
    </xf>
    <xf numFmtId="2" fontId="50" fillId="0" borderId="52" xfId="1199" applyNumberFormat="1" applyFont="1" applyBorder="1" applyAlignment="1">
      <alignment horizontal="center" vertical="center"/>
    </xf>
    <xf numFmtId="4" fontId="50" fillId="0" borderId="52" xfId="1199" applyNumberFormat="1" applyFont="1" applyBorder="1" applyAlignment="1">
      <alignment horizontal="center" vertical="center"/>
    </xf>
    <xf numFmtId="3" fontId="53" fillId="0" borderId="0" xfId="1199" applyNumberFormat="1" applyFont="1" applyAlignment="1">
      <alignment vertical="center"/>
    </xf>
    <xf numFmtId="212" fontId="53" fillId="0" borderId="127" xfId="1199" applyNumberFormat="1" applyFont="1" applyBorder="1" applyAlignment="1">
      <alignment vertical="center"/>
    </xf>
    <xf numFmtId="211" fontId="3" fillId="0" borderId="0" xfId="1199" applyNumberFormat="1" applyFont="1" applyAlignment="1">
      <alignment vertical="center"/>
    </xf>
    <xf numFmtId="0" fontId="53" fillId="0" borderId="135" xfId="1199" applyFont="1" applyBorder="1" applyAlignment="1">
      <alignment vertical="center"/>
    </xf>
    <xf numFmtId="0" fontId="103" fillId="0" borderId="111" xfId="1199" applyFont="1" applyBorder="1" applyAlignment="1">
      <alignment vertical="center"/>
    </xf>
    <xf numFmtId="0" fontId="103" fillId="0" borderId="9" xfId="1199" applyFont="1" applyBorder="1" applyAlignment="1">
      <alignment vertical="center"/>
    </xf>
    <xf numFmtId="4" fontId="103" fillId="0" borderId="59" xfId="1199" applyNumberFormat="1" applyFont="1" applyBorder="1" applyAlignment="1">
      <alignment vertical="center"/>
    </xf>
    <xf numFmtId="0" fontId="53" fillId="0" borderId="9" xfId="1199" applyFont="1" applyBorder="1" applyAlignment="1">
      <alignment horizontal="left" vertical="center"/>
    </xf>
    <xf numFmtId="0" fontId="53" fillId="0" borderId="0" xfId="1199" applyFont="1" applyAlignment="1">
      <alignment horizontal="left" vertical="center"/>
    </xf>
    <xf numFmtId="212" fontId="53" fillId="0" borderId="137" xfId="1199" applyNumberFormat="1" applyFont="1" applyBorder="1" applyAlignment="1">
      <alignment vertical="center"/>
    </xf>
    <xf numFmtId="213" fontId="3" fillId="0" borderId="0" xfId="1199" applyNumberFormat="1" applyFont="1" applyAlignment="1">
      <alignment vertical="center"/>
    </xf>
    <xf numFmtId="0" fontId="152" fillId="0" borderId="0" xfId="1199" applyFont="1" applyAlignment="1">
      <alignment vertical="center"/>
    </xf>
    <xf numFmtId="4" fontId="98" fillId="0" borderId="59" xfId="1199" applyNumberFormat="1" applyFont="1" applyBorder="1" applyAlignment="1">
      <alignment horizontal="center" vertical="center"/>
    </xf>
    <xf numFmtId="0" fontId="161" fillId="0" borderId="0" xfId="1199" applyFont="1" applyAlignment="1">
      <alignment vertical="center" wrapText="1"/>
    </xf>
    <xf numFmtId="0" fontId="53" fillId="0" borderId="0" xfId="806" applyFont="1" applyAlignment="1">
      <alignment horizontal="left" vertical="center"/>
    </xf>
    <xf numFmtId="0" fontId="50" fillId="0" borderId="0" xfId="806" applyFont="1" applyAlignment="1">
      <alignment vertical="center"/>
    </xf>
    <xf numFmtId="214" fontId="50" fillId="0" borderId="59" xfId="806" applyNumberFormat="1" applyFont="1" applyBorder="1" applyAlignment="1">
      <alignment vertical="center"/>
    </xf>
    <xf numFmtId="0" fontId="162" fillId="0" borderId="0" xfId="806" applyFont="1" applyAlignment="1">
      <alignment vertical="center"/>
    </xf>
    <xf numFmtId="4" fontId="162" fillId="0" borderId="0" xfId="806" applyNumberFormat="1" applyFont="1" applyAlignment="1">
      <alignment vertical="center"/>
    </xf>
    <xf numFmtId="0" fontId="3" fillId="0" borderId="0" xfId="1199" applyFont="1" applyAlignment="1">
      <alignment horizontal="left" vertical="center" indent="15"/>
    </xf>
    <xf numFmtId="0" fontId="163" fillId="0" borderId="0" xfId="1199" applyFont="1" applyAlignment="1">
      <alignment vertical="center" wrapText="1"/>
    </xf>
    <xf numFmtId="0" fontId="50" fillId="0" borderId="0" xfId="806" applyFont="1" applyAlignment="1">
      <alignment horizontal="left" vertical="center"/>
    </xf>
    <xf numFmtId="0" fontId="3" fillId="0" borderId="14" xfId="1199" applyFont="1" applyBorder="1" applyAlignment="1">
      <alignment vertical="center"/>
    </xf>
    <xf numFmtId="0" fontId="3" fillId="0" borderId="15" xfId="1199" applyFont="1" applyBorder="1" applyAlignment="1">
      <alignment vertical="center"/>
    </xf>
    <xf numFmtId="0" fontId="3" fillId="0" borderId="17" xfId="1199" applyFont="1" applyBorder="1" applyAlignment="1">
      <alignment vertical="center"/>
    </xf>
    <xf numFmtId="191" fontId="103" fillId="0" borderId="0" xfId="1199" applyNumberFormat="1" applyFont="1" applyAlignment="1">
      <alignment vertical="center"/>
    </xf>
    <xf numFmtId="10" fontId="103" fillId="0" borderId="0" xfId="1199" applyNumberFormat="1" applyFont="1" applyAlignment="1">
      <alignment vertical="center"/>
    </xf>
    <xf numFmtId="191" fontId="98" fillId="0" borderId="0" xfId="1199" applyNumberFormat="1" applyFont="1" applyAlignment="1">
      <alignment vertical="center"/>
    </xf>
    <xf numFmtId="4" fontId="50" fillId="0" borderId="110" xfId="1199" applyNumberFormat="1" applyFont="1" applyBorder="1" applyAlignment="1">
      <alignment horizontal="center" vertical="center"/>
    </xf>
    <xf numFmtId="170" fontId="103" fillId="0" borderId="59" xfId="303" applyFont="1" applyBorder="1" applyAlignment="1">
      <alignment vertical="center"/>
    </xf>
    <xf numFmtId="178" fontId="50" fillId="0" borderId="52" xfId="1199" applyNumberFormat="1" applyFont="1" applyBorder="1" applyAlignment="1">
      <alignment horizontal="center" vertical="center"/>
    </xf>
    <xf numFmtId="215" fontId="50" fillId="0" borderId="52" xfId="1199" applyNumberFormat="1" applyFont="1" applyBorder="1" applyAlignment="1">
      <alignment vertical="center"/>
    </xf>
    <xf numFmtId="0" fontId="103" fillId="0" borderId="9" xfId="1199" applyFont="1" applyBorder="1" applyAlignment="1">
      <alignment horizontal="left" vertical="center"/>
    </xf>
    <xf numFmtId="0" fontId="102" fillId="0" borderId="9" xfId="1199" applyFont="1" applyBorder="1" applyAlignment="1">
      <alignment horizontal="left" vertical="center"/>
    </xf>
    <xf numFmtId="0" fontId="53" fillId="0" borderId="0" xfId="0" applyFont="1"/>
    <xf numFmtId="0" fontId="53" fillId="0" borderId="6" xfId="0" applyFont="1" applyBorder="1" applyAlignment="1">
      <alignment horizontal="center" vertical="center"/>
    </xf>
    <xf numFmtId="0" fontId="53" fillId="0" borderId="0" xfId="0" applyFont="1" applyAlignment="1">
      <alignment horizontal="center" vertical="center"/>
    </xf>
    <xf numFmtId="0" fontId="50" fillId="0" borderId="6" xfId="0" applyFont="1" applyBorder="1" applyAlignment="1">
      <alignment horizontal="center" vertical="center"/>
    </xf>
    <xf numFmtId="10" fontId="50" fillId="0" borderId="6" xfId="654" applyNumberFormat="1" applyFont="1" applyBorder="1"/>
    <xf numFmtId="0" fontId="53" fillId="0" borderId="6" xfId="0" applyFont="1" applyBorder="1"/>
    <xf numFmtId="10" fontId="53" fillId="0" borderId="6" xfId="654" applyNumberFormat="1" applyFont="1" applyBorder="1"/>
    <xf numFmtId="9" fontId="53" fillId="0" borderId="6" xfId="654" applyFont="1" applyBorder="1"/>
    <xf numFmtId="184" fontId="53" fillId="0" borderId="6" xfId="0" applyNumberFormat="1" applyFont="1" applyBorder="1"/>
    <xf numFmtId="0" fontId="53" fillId="0" borderId="49" xfId="0" applyFont="1" applyBorder="1" applyAlignment="1">
      <alignment horizontal="center"/>
    </xf>
    <xf numFmtId="0" fontId="53" fillId="0" borderId="92" xfId="0" applyFont="1" applyBorder="1" applyAlignment="1">
      <alignment horizontal="center"/>
    </xf>
    <xf numFmtId="0" fontId="53" fillId="0" borderId="51" xfId="0" applyFont="1" applyBorder="1"/>
    <xf numFmtId="0" fontId="53" fillId="0" borderId="50" xfId="0" applyFont="1" applyBorder="1"/>
    <xf numFmtId="0" fontId="53" fillId="0" borderId="13" xfId="0" applyFont="1" applyBorder="1"/>
    <xf numFmtId="0" fontId="53" fillId="0" borderId="54" xfId="0" applyFont="1" applyBorder="1"/>
    <xf numFmtId="0" fontId="53" fillId="0" borderId="10" xfId="0" applyFont="1" applyBorder="1" applyAlignment="1">
      <alignment horizontal="left"/>
    </xf>
    <xf numFmtId="0" fontId="53" fillId="0" borderId="11" xfId="0" applyFont="1" applyBorder="1"/>
    <xf numFmtId="216" fontId="53" fillId="0" borderId="6" xfId="303" applyNumberFormat="1" applyFont="1" applyBorder="1" applyAlignment="1">
      <alignment horizontal="center"/>
    </xf>
    <xf numFmtId="0" fontId="53" fillId="0" borderId="6" xfId="0" applyFont="1" applyBorder="1" applyAlignment="1">
      <alignment horizontal="left" vertical="center"/>
    </xf>
    <xf numFmtId="0" fontId="50" fillId="0" borderId="6" xfId="645" applyFont="1" applyBorder="1"/>
    <xf numFmtId="200" fontId="106" fillId="45" borderId="6" xfId="647" applyFont="1" applyFill="1" applyBorder="1" applyAlignment="1">
      <alignment horizontal="center" vertical="center"/>
    </xf>
    <xf numFmtId="200" fontId="106" fillId="45" borderId="6" xfId="647" applyFont="1" applyFill="1" applyBorder="1" applyAlignment="1">
      <alignment horizontal="center" vertical="center" wrapText="1"/>
    </xf>
    <xf numFmtId="200" fontId="106" fillId="30" borderId="6" xfId="647" applyFont="1" applyFill="1" applyBorder="1" applyAlignment="1">
      <alignment vertical="center"/>
    </xf>
    <xf numFmtId="208" fontId="54" fillId="30" borderId="6" xfId="391" applyNumberFormat="1" applyFont="1" applyFill="1" applyBorder="1" applyAlignment="1">
      <alignment horizontal="right" vertical="center"/>
    </xf>
    <xf numFmtId="0" fontId="50" fillId="0" borderId="0" xfId="414" applyFont="1"/>
    <xf numFmtId="0" fontId="102" fillId="0" borderId="6" xfId="645" applyFont="1" applyBorder="1" applyAlignment="1">
      <alignment horizontal="left" vertical="center" wrapText="1"/>
    </xf>
    <xf numFmtId="0" fontId="2" fillId="0" borderId="6" xfId="645" applyFont="1" applyBorder="1" applyAlignment="1">
      <alignment horizontal="center" vertical="center" wrapText="1"/>
    </xf>
    <xf numFmtId="0" fontId="105" fillId="30" borderId="6" xfId="645" applyFont="1" applyFill="1" applyBorder="1" applyAlignment="1">
      <alignment horizontal="center" vertical="center" wrapText="1"/>
    </xf>
    <xf numFmtId="169" fontId="105" fillId="30" borderId="6" xfId="221" applyFont="1" applyFill="1" applyBorder="1" applyAlignment="1">
      <alignment horizontal="center" vertical="center" wrapText="1"/>
    </xf>
    <xf numFmtId="0" fontId="106" fillId="0" borderId="6" xfId="645" applyFont="1" applyBorder="1" applyAlignment="1">
      <alignment vertical="center" wrapText="1"/>
    </xf>
    <xf numFmtId="0" fontId="2" fillId="0" borderId="6" xfId="645" applyFont="1" applyBorder="1" applyAlignment="1">
      <alignment horizontal="justify" vertical="center" wrapText="1"/>
    </xf>
    <xf numFmtId="178" fontId="2" fillId="0" borderId="6" xfId="645" applyNumberFormat="1" applyFont="1" applyBorder="1" applyAlignment="1">
      <alignment horizontal="center" vertical="center" wrapText="1"/>
    </xf>
    <xf numFmtId="202" fontId="2" fillId="0" borderId="6" xfId="221" applyNumberFormat="1" applyFont="1" applyBorder="1" applyAlignment="1">
      <alignment horizontal="right" vertical="center" wrapText="1"/>
    </xf>
    <xf numFmtId="202" fontId="2" fillId="29" borderId="6" xfId="368" applyFont="1" applyFill="1" applyBorder="1" applyAlignment="1">
      <alignment vertical="center" wrapText="1"/>
    </xf>
    <xf numFmtId="0" fontId="2" fillId="0" borderId="6" xfId="645" applyFont="1" applyBorder="1" applyAlignment="1">
      <alignment horizontal="left" vertical="center" wrapText="1"/>
    </xf>
    <xf numFmtId="0" fontId="106" fillId="0" borderId="6" xfId="645" applyFont="1" applyBorder="1" applyAlignment="1">
      <alignment horizontal="left" vertical="center" wrapText="1"/>
    </xf>
    <xf numFmtId="0" fontId="2" fillId="0" borderId="6" xfId="645" applyFont="1" applyBorder="1" applyAlignment="1">
      <alignment horizontal="justify" vertical="top" wrapText="1"/>
    </xf>
    <xf numFmtId="207" fontId="2" fillId="0" borderId="6" xfId="645" applyNumberFormat="1" applyFont="1" applyBorder="1" applyAlignment="1">
      <alignment horizontal="center" vertical="center" wrapText="1"/>
    </xf>
    <xf numFmtId="0" fontId="75" fillId="0" borderId="6" xfId="645" applyFont="1" applyBorder="1" applyAlignment="1">
      <alignment horizontal="justify" vertical="top" wrapText="1"/>
    </xf>
    <xf numFmtId="2" fontId="2" fillId="0" borderId="6" xfId="645" applyNumberFormat="1" applyFont="1" applyBorder="1" applyAlignment="1">
      <alignment horizontal="center" vertical="center" wrapText="1"/>
    </xf>
    <xf numFmtId="191" fontId="106" fillId="36" borderId="6" xfId="368" applyNumberFormat="1" applyFont="1" applyFill="1" applyBorder="1" applyAlignment="1">
      <alignment horizontal="right" vertical="center" wrapText="1"/>
    </xf>
    <xf numFmtId="202" fontId="105" fillId="0" borderId="6" xfId="221" applyNumberFormat="1" applyFont="1" applyBorder="1" applyAlignment="1">
      <alignment horizontal="center" vertical="center" wrapText="1"/>
    </xf>
    <xf numFmtId="2" fontId="2" fillId="29" borderId="6" xfId="256" applyNumberFormat="1" applyFont="1" applyFill="1" applyBorder="1" applyAlignment="1" applyProtection="1">
      <alignment horizontal="center"/>
      <protection hidden="1"/>
    </xf>
    <xf numFmtId="9" fontId="2" fillId="0" borderId="6" xfId="647" applyNumberFormat="1" applyFont="1" applyBorder="1" applyAlignment="1">
      <alignment horizontal="center"/>
    </xf>
    <xf numFmtId="208" fontId="2" fillId="0" borderId="6" xfId="391" applyNumberFormat="1" applyFont="1" applyBorder="1" applyAlignment="1">
      <alignment horizontal="right" vertical="center"/>
    </xf>
    <xf numFmtId="202" fontId="164" fillId="30" borderId="6" xfId="221" applyNumberFormat="1" applyFont="1" applyFill="1" applyBorder="1" applyAlignment="1">
      <alignment horizontal="center" vertical="center" wrapText="1"/>
    </xf>
    <xf numFmtId="197" fontId="50" fillId="0" borderId="0" xfId="303" applyNumberFormat="1" applyFont="1" applyAlignment="1">
      <alignment horizontal="center" vertical="center"/>
    </xf>
    <xf numFmtId="0" fontId="165" fillId="0" borderId="0" xfId="0" applyFont="1"/>
    <xf numFmtId="0" fontId="53" fillId="0" borderId="0" xfId="429" applyFont="1" applyAlignment="1">
      <alignment horizontal="left" vertical="center"/>
    </xf>
    <xf numFmtId="0" fontId="50" fillId="0" borderId="0" xfId="426" applyFont="1"/>
    <xf numFmtId="190" fontId="75" fillId="0" borderId="0" xfId="426" applyNumberFormat="1" applyFont="1"/>
    <xf numFmtId="0" fontId="105" fillId="0" borderId="0" xfId="414" applyFont="1" applyAlignment="1">
      <alignment horizontal="left" vertical="center"/>
    </xf>
    <xf numFmtId="0" fontId="165" fillId="0" borderId="0" xfId="414" applyFont="1" applyAlignment="1">
      <alignment horizontal="left" vertical="center"/>
    </xf>
    <xf numFmtId="191" fontId="105" fillId="30" borderId="6" xfId="657" applyNumberFormat="1" applyFont="1" applyFill="1" applyBorder="1" applyAlignment="1">
      <alignment horizontal="right" vertical="center" wrapText="1"/>
    </xf>
    <xf numFmtId="0" fontId="53" fillId="0" borderId="0" xfId="414" applyFont="1"/>
    <xf numFmtId="0" fontId="2" fillId="0" borderId="0" xfId="638" applyFont="1"/>
    <xf numFmtId="0" fontId="2" fillId="0" borderId="0" xfId="638" applyFont="1" applyAlignment="1">
      <alignment horizontal="center" vertical="top" wrapText="1"/>
    </xf>
    <xf numFmtId="184" fontId="2" fillId="0" borderId="0" xfId="303" applyNumberFormat="1" applyFont="1"/>
    <xf numFmtId="0" fontId="106" fillId="32" borderId="101" xfId="638" applyFont="1" applyFill="1" applyBorder="1" applyAlignment="1">
      <alignment horizontal="center" vertical="center" wrapText="1"/>
    </xf>
    <xf numFmtId="184" fontId="106" fillId="32" borderId="101" xfId="303" applyNumberFormat="1" applyFont="1" applyFill="1" applyBorder="1" applyAlignment="1">
      <alignment horizontal="center" vertical="center" wrapText="1"/>
    </xf>
    <xf numFmtId="0" fontId="106" fillId="32" borderId="102" xfId="638" applyFont="1" applyFill="1" applyBorder="1" applyAlignment="1">
      <alignment horizontal="center" vertical="center" wrapText="1"/>
    </xf>
    <xf numFmtId="1" fontId="2" fillId="33" borderId="101" xfId="638" applyNumberFormat="1" applyFont="1" applyFill="1" applyBorder="1" applyAlignment="1">
      <alignment horizontal="center" vertical="center" wrapText="1"/>
    </xf>
    <xf numFmtId="195" fontId="2" fillId="32" borderId="101" xfId="638" applyNumberFormat="1" applyFont="1" applyFill="1" applyBorder="1" applyAlignment="1">
      <alignment horizontal="center" vertical="center" wrapText="1"/>
    </xf>
    <xf numFmtId="10" fontId="2" fillId="32" borderId="101" xfId="638" applyNumberFormat="1" applyFont="1" applyFill="1" applyBorder="1" applyAlignment="1">
      <alignment horizontal="center" vertical="center" wrapText="1"/>
    </xf>
    <xf numFmtId="184" fontId="2" fillId="32" borderId="101" xfId="303" applyNumberFormat="1" applyFont="1" applyFill="1" applyBorder="1" applyAlignment="1">
      <alignment horizontal="center" vertical="center" wrapText="1"/>
    </xf>
    <xf numFmtId="0" fontId="2" fillId="32" borderId="102" xfId="638" applyFont="1" applyFill="1" applyBorder="1" applyAlignment="1">
      <alignment horizontal="left" vertical="center" wrapText="1"/>
    </xf>
    <xf numFmtId="195" fontId="2" fillId="34" borderId="101" xfId="638" applyNumberFormat="1" applyFont="1" applyFill="1" applyBorder="1" applyAlignment="1">
      <alignment horizontal="center" vertical="center" wrapText="1"/>
    </xf>
    <xf numFmtId="10" fontId="2" fillId="34" borderId="101" xfId="638" applyNumberFormat="1" applyFont="1" applyFill="1" applyBorder="1" applyAlignment="1">
      <alignment horizontal="center" vertical="center" wrapText="1"/>
    </xf>
    <xf numFmtId="184" fontId="2" fillId="34" borderId="101" xfId="303" applyNumberFormat="1" applyFont="1" applyFill="1" applyBorder="1" applyAlignment="1">
      <alignment horizontal="center" vertical="center" wrapText="1"/>
    </xf>
    <xf numFmtId="0" fontId="2" fillId="34" borderId="102" xfId="638" applyFont="1" applyFill="1" applyBorder="1" applyAlignment="1">
      <alignment horizontal="left" vertical="center" wrapText="1"/>
    </xf>
    <xf numFmtId="10" fontId="2" fillId="0" borderId="0" xfId="654" applyNumberFormat="1" applyFont="1"/>
    <xf numFmtId="194" fontId="2" fillId="0" borderId="0" xfId="654" applyNumberFormat="1" applyFont="1"/>
    <xf numFmtId="199" fontId="2" fillId="0" borderId="0" xfId="638" applyNumberFormat="1" applyFont="1"/>
    <xf numFmtId="1" fontId="106" fillId="33" borderId="21" xfId="638" applyNumberFormat="1" applyFont="1" applyFill="1" applyBorder="1" applyAlignment="1">
      <alignment horizontal="center" vertical="center" wrapText="1"/>
    </xf>
    <xf numFmtId="195" fontId="106" fillId="32" borderId="104" xfId="638" applyNumberFormat="1" applyFont="1" applyFill="1" applyBorder="1" applyAlignment="1">
      <alignment horizontal="center" vertical="center" wrapText="1"/>
    </xf>
    <xf numFmtId="10" fontId="106" fillId="32" borderId="104" xfId="638" applyNumberFormat="1" applyFont="1" applyFill="1" applyBorder="1" applyAlignment="1">
      <alignment horizontal="center" vertical="center" wrapText="1"/>
    </xf>
    <xf numFmtId="184" fontId="106" fillId="32" borderId="104" xfId="303" applyNumberFormat="1" applyFont="1" applyFill="1" applyBorder="1" applyAlignment="1">
      <alignment horizontal="center" vertical="center" wrapText="1"/>
    </xf>
    <xf numFmtId="0" fontId="106" fillId="32" borderId="105" xfId="638" applyFont="1" applyFill="1" applyBorder="1" applyAlignment="1">
      <alignment horizontal="left" vertical="center" wrapText="1"/>
    </xf>
    <xf numFmtId="0" fontId="2" fillId="0" borderId="0" xfId="638" applyFont="1" applyAlignment="1">
      <alignment horizontal="left" vertical="top" wrapText="1"/>
    </xf>
    <xf numFmtId="190" fontId="79" fillId="29" borderId="10" xfId="818" applyNumberFormat="1" applyFont="1" applyFill="1" applyBorder="1" applyAlignment="1">
      <alignment horizontal="right" vertical="center"/>
    </xf>
    <xf numFmtId="4" fontId="173" fillId="46" borderId="6" xfId="807" applyNumberFormat="1" applyFont="1" applyFill="1" applyBorder="1" applyAlignment="1">
      <alignment horizontal="right" vertical="center" wrapText="1"/>
    </xf>
    <xf numFmtId="4" fontId="173" fillId="0" borderId="6" xfId="818" applyNumberFormat="1" applyFont="1" applyFill="1" applyBorder="1" applyAlignment="1">
      <alignment horizontal="right" vertical="center" wrapText="1"/>
    </xf>
    <xf numFmtId="4" fontId="173" fillId="0" borderId="6" xfId="807" applyNumberFormat="1" applyFont="1" applyBorder="1" applyAlignment="1">
      <alignment horizontal="right" vertical="center" wrapText="1"/>
    </xf>
    <xf numFmtId="4" fontId="78" fillId="0" borderId="6" xfId="818" applyNumberFormat="1" applyFont="1" applyFill="1" applyBorder="1" applyAlignment="1">
      <alignment horizontal="right" vertical="center" wrapText="1"/>
    </xf>
    <xf numFmtId="4" fontId="78" fillId="46" borderId="6" xfId="807" applyNumberFormat="1" applyFont="1" applyFill="1" applyBorder="1" applyAlignment="1">
      <alignment horizontal="right" vertical="center" wrapText="1"/>
    </xf>
    <xf numFmtId="4" fontId="173" fillId="29" borderId="6" xfId="807" applyNumberFormat="1" applyFont="1" applyFill="1" applyBorder="1" applyAlignment="1">
      <alignment horizontal="right" vertical="center"/>
    </xf>
    <xf numFmtId="0" fontId="79" fillId="0" borderId="6" xfId="807" applyFont="1" applyBorder="1" applyAlignment="1">
      <alignment horizontal="justify" vertical="justify" wrapText="1"/>
    </xf>
    <xf numFmtId="0" fontId="79" fillId="0" borderId="6" xfId="807" applyFont="1" applyBorder="1" applyAlignment="1">
      <alignment horizontal="center" vertical="center" wrapText="1"/>
    </xf>
    <xf numFmtId="4" fontId="78" fillId="0" borderId="6" xfId="807" applyNumberFormat="1" applyFont="1" applyBorder="1" applyAlignment="1">
      <alignment horizontal="right" vertical="center" wrapText="1"/>
    </xf>
    <xf numFmtId="0" fontId="142" fillId="0" borderId="6" xfId="807" applyFont="1" applyBorder="1" applyAlignment="1">
      <alignment horizontal="center" vertical="center"/>
    </xf>
    <xf numFmtId="4" fontId="173" fillId="0" borderId="6" xfId="807" applyNumberFormat="1" applyFont="1" applyBorder="1" applyAlignment="1">
      <alignment horizontal="right" vertical="center"/>
    </xf>
    <xf numFmtId="0" fontId="142" fillId="0" borderId="6" xfId="807" applyFont="1" applyBorder="1" applyAlignment="1">
      <alignment horizontal="center" vertical="center" wrapText="1"/>
    </xf>
    <xf numFmtId="4" fontId="173" fillId="0" borderId="6" xfId="818" applyNumberFormat="1" applyFont="1" applyFill="1" applyBorder="1" applyAlignment="1">
      <alignment horizontal="right" vertical="center"/>
    </xf>
    <xf numFmtId="4" fontId="78" fillId="0" borderId="6" xfId="818" applyNumberFormat="1" applyFont="1" applyFill="1" applyBorder="1" applyAlignment="1">
      <alignment horizontal="right" vertical="center"/>
    </xf>
    <xf numFmtId="4" fontId="78" fillId="0" borderId="10" xfId="818" applyNumberFormat="1" applyFont="1" applyFill="1" applyBorder="1" applyAlignment="1">
      <alignment horizontal="right" vertical="center"/>
    </xf>
    <xf numFmtId="0" fontId="79" fillId="29" borderId="6" xfId="807" applyFont="1" applyFill="1" applyBorder="1" applyAlignment="1">
      <alignment horizontal="center" vertical="center"/>
    </xf>
    <xf numFmtId="4" fontId="78" fillId="29" borderId="6" xfId="807" applyNumberFormat="1" applyFont="1" applyFill="1" applyBorder="1" applyAlignment="1">
      <alignment horizontal="right" vertical="center"/>
    </xf>
    <xf numFmtId="0" fontId="79" fillId="0" borderId="6" xfId="807" applyFont="1" applyBorder="1" applyAlignment="1">
      <alignment horizontal="center" vertical="center"/>
    </xf>
    <xf numFmtId="4" fontId="78" fillId="0" borderId="6" xfId="807" applyNumberFormat="1" applyFont="1" applyBorder="1" applyAlignment="1">
      <alignment horizontal="right" vertical="center"/>
    </xf>
    <xf numFmtId="4" fontId="173" fillId="0" borderId="10" xfId="818" applyNumberFormat="1" applyFont="1" applyFill="1" applyBorder="1" applyAlignment="1">
      <alignment horizontal="right" vertical="center"/>
    </xf>
    <xf numFmtId="0" fontId="79" fillId="46" borderId="6" xfId="807" applyFont="1" applyFill="1" applyBorder="1" applyAlignment="1">
      <alignment horizontal="center" vertical="center"/>
    </xf>
    <xf numFmtId="4" fontId="78" fillId="46" borderId="6" xfId="807" applyNumberFormat="1" applyFont="1" applyFill="1" applyBorder="1" applyAlignment="1">
      <alignment horizontal="right" vertical="center"/>
    </xf>
    <xf numFmtId="4" fontId="78" fillId="46" borderId="6" xfId="818" applyNumberFormat="1" applyFont="1" applyFill="1" applyBorder="1" applyAlignment="1">
      <alignment horizontal="right" vertical="center" wrapText="1"/>
    </xf>
    <xf numFmtId="49" fontId="142" fillId="0" borderId="6" xfId="807" applyNumberFormat="1" applyFont="1" applyBorder="1" applyAlignment="1">
      <alignment horizontal="justify" vertical="center" wrapText="1"/>
    </xf>
    <xf numFmtId="0" fontId="142" fillId="0" borderId="6" xfId="807" applyFont="1" applyBorder="1" applyAlignment="1">
      <alignment horizontal="justify" vertical="center" wrapText="1"/>
    </xf>
    <xf numFmtId="49" fontId="79" fillId="29" borderId="6" xfId="807" applyNumberFormat="1" applyFont="1" applyFill="1" applyBorder="1" applyAlignment="1">
      <alignment horizontal="justify" vertical="center" wrapText="1"/>
    </xf>
    <xf numFmtId="49" fontId="79" fillId="46" borderId="6" xfId="807" applyNumberFormat="1" applyFont="1" applyFill="1" applyBorder="1" applyAlignment="1">
      <alignment horizontal="justify" vertical="center" wrapText="1"/>
    </xf>
    <xf numFmtId="49" fontId="79" fillId="0" borderId="6" xfId="807" applyNumberFormat="1" applyFont="1" applyBorder="1" applyAlignment="1">
      <alignment horizontal="justify" vertical="center" wrapText="1"/>
    </xf>
    <xf numFmtId="0" fontId="79" fillId="0" borderId="6" xfId="807" applyFont="1" applyBorder="1" applyAlignment="1">
      <alignment horizontal="justify" vertical="center" wrapText="1"/>
    </xf>
    <xf numFmtId="197" fontId="140" fillId="0" borderId="77" xfId="817" applyNumberFormat="1" applyFont="1" applyFill="1" applyBorder="1" applyAlignment="1">
      <alignment horizontal="center" vertical="center"/>
    </xf>
    <xf numFmtId="197" fontId="140" fillId="0" borderId="12" xfId="817" applyNumberFormat="1" applyFont="1" applyFill="1" applyBorder="1" applyAlignment="1">
      <alignment horizontal="center" vertical="center"/>
    </xf>
    <xf numFmtId="4" fontId="78" fillId="46" borderId="6" xfId="818" applyNumberFormat="1" applyFont="1" applyFill="1" applyBorder="1" applyAlignment="1">
      <alignment horizontal="right" vertical="center"/>
    </xf>
    <xf numFmtId="4" fontId="78" fillId="46" borderId="10" xfId="818" applyNumberFormat="1" applyFont="1" applyFill="1" applyBorder="1" applyAlignment="1">
      <alignment horizontal="right" vertical="center"/>
    </xf>
    <xf numFmtId="177" fontId="141" fillId="0" borderId="6" xfId="654" applyNumberFormat="1" applyFont="1" applyFill="1" applyBorder="1" applyAlignment="1">
      <alignment horizontal="center" vertical="center"/>
    </xf>
    <xf numFmtId="10" fontId="141" fillId="0" borderId="79" xfId="817" applyNumberFormat="1" applyFont="1" applyFill="1" applyBorder="1" applyAlignment="1">
      <alignment horizontal="center" vertical="center"/>
    </xf>
    <xf numFmtId="184" fontId="53" fillId="37" borderId="6" xfId="301" applyNumberFormat="1" applyFont="1" applyFill="1" applyBorder="1" applyAlignment="1">
      <alignment horizontal="right" vertical="center"/>
    </xf>
    <xf numFmtId="184" fontId="54" fillId="31" borderId="6" xfId="414" applyNumberFormat="1" applyFont="1" applyFill="1" applyBorder="1" applyAlignment="1">
      <alignment vertical="center" wrapText="1"/>
    </xf>
    <xf numFmtId="0" fontId="106" fillId="37" borderId="10" xfId="414" applyFont="1" applyFill="1" applyBorder="1" applyAlignment="1">
      <alignment vertical="center"/>
    </xf>
    <xf numFmtId="0" fontId="54" fillId="37" borderId="11" xfId="414" applyFont="1" applyFill="1" applyBorder="1" applyAlignment="1">
      <alignment vertical="center" wrapText="1"/>
    </xf>
    <xf numFmtId="0" fontId="54" fillId="37" borderId="11" xfId="414" applyFont="1" applyFill="1" applyBorder="1" applyAlignment="1">
      <alignment horizontal="center" vertical="center" wrapText="1"/>
    </xf>
    <xf numFmtId="4" fontId="54" fillId="37" borderId="11" xfId="414" applyNumberFormat="1" applyFont="1" applyFill="1" applyBorder="1" applyAlignment="1">
      <alignment vertical="center" wrapText="1"/>
    </xf>
    <xf numFmtId="0" fontId="106" fillId="37" borderId="12" xfId="414" applyFont="1" applyFill="1" applyBorder="1" applyAlignment="1">
      <alignment vertical="center" wrapText="1"/>
    </xf>
    <xf numFmtId="168" fontId="75" fillId="29" borderId="0" xfId="312" applyFont="1" applyFill="1" applyBorder="1" applyAlignment="1">
      <alignment horizontal="right" vertical="center"/>
    </xf>
    <xf numFmtId="170" fontId="174" fillId="29" borderId="0" xfId="303" applyFont="1" applyFill="1" applyAlignment="1">
      <alignment horizontal="right" vertical="center"/>
    </xf>
    <xf numFmtId="0" fontId="75" fillId="29" borderId="0" xfId="414" applyFont="1" applyFill="1" applyAlignment="1">
      <alignment horizontal="center" vertical="center"/>
    </xf>
    <xf numFmtId="0" fontId="75" fillId="29" borderId="0" xfId="414" applyFont="1" applyFill="1" applyAlignment="1">
      <alignment vertical="center"/>
    </xf>
    <xf numFmtId="0" fontId="106" fillId="31" borderId="10" xfId="414" applyFont="1" applyFill="1" applyBorder="1" applyAlignment="1">
      <alignment vertical="center"/>
    </xf>
    <xf numFmtId="0" fontId="54" fillId="31" borderId="11" xfId="414" applyFont="1" applyFill="1" applyBorder="1" applyAlignment="1">
      <alignment vertical="center" wrapText="1"/>
    </xf>
    <xf numFmtId="0" fontId="54" fillId="31" borderId="11" xfId="414" applyFont="1" applyFill="1" applyBorder="1" applyAlignment="1">
      <alignment horizontal="center" vertical="center" wrapText="1"/>
    </xf>
    <xf numFmtId="177" fontId="106" fillId="31" borderId="12" xfId="656" applyNumberFormat="1" applyFont="1" applyFill="1" applyBorder="1" applyAlignment="1">
      <alignment vertical="center" wrapText="1"/>
    </xf>
    <xf numFmtId="177" fontId="75" fillId="31" borderId="11" xfId="654" applyNumberFormat="1" applyFont="1" applyFill="1" applyBorder="1" applyAlignment="1">
      <alignment vertical="center" wrapText="1"/>
    </xf>
    <xf numFmtId="177" fontId="98" fillId="29" borderId="0" xfId="654" applyNumberFormat="1" applyFont="1" applyFill="1" applyAlignment="1">
      <alignment horizontal="right" vertical="center"/>
    </xf>
    <xf numFmtId="0" fontId="106" fillId="46" borderId="10" xfId="414" applyFont="1" applyFill="1" applyBorder="1" applyAlignment="1">
      <alignment vertical="center"/>
    </xf>
    <xf numFmtId="0" fontId="54" fillId="46" borderId="11" xfId="414" applyFont="1" applyFill="1" applyBorder="1" applyAlignment="1">
      <alignment vertical="center" wrapText="1"/>
    </xf>
    <xf numFmtId="0" fontId="54" fillId="46" borderId="11" xfId="414" applyFont="1" applyFill="1" applyBorder="1" applyAlignment="1">
      <alignment horizontal="center" vertical="center" wrapText="1"/>
    </xf>
    <xf numFmtId="177" fontId="75" fillId="46" borderId="11" xfId="654" applyNumberFormat="1" applyFont="1" applyFill="1" applyBorder="1" applyAlignment="1">
      <alignment vertical="center" wrapText="1"/>
    </xf>
    <xf numFmtId="177" fontId="106" fillId="46" borderId="12" xfId="656" applyNumberFormat="1" applyFont="1" applyFill="1" applyBorder="1" applyAlignment="1">
      <alignment vertical="center" wrapText="1"/>
    </xf>
    <xf numFmtId="184" fontId="54" fillId="46" borderId="6" xfId="414" applyNumberFormat="1" applyFont="1" applyFill="1" applyBorder="1" applyAlignment="1">
      <alignment vertical="center" wrapText="1"/>
    </xf>
    <xf numFmtId="4" fontId="75" fillId="46" borderId="11" xfId="654" applyNumberFormat="1" applyFont="1" applyFill="1" applyBorder="1" applyAlignment="1">
      <alignment vertical="center" wrapText="1"/>
    </xf>
    <xf numFmtId="184" fontId="165" fillId="0" borderId="76" xfId="303" applyNumberFormat="1" applyFont="1" applyBorder="1" applyAlignment="1">
      <alignment horizontal="center" vertical="center"/>
    </xf>
    <xf numFmtId="184" fontId="165" fillId="0" borderId="6" xfId="303" applyNumberFormat="1" applyFont="1" applyBorder="1" applyAlignment="1">
      <alignment horizontal="center" vertical="center"/>
    </xf>
    <xf numFmtId="184" fontId="165" fillId="0" borderId="77" xfId="303" applyNumberFormat="1" applyFont="1" applyBorder="1" applyAlignment="1">
      <alignment horizontal="center" vertical="center"/>
    </xf>
    <xf numFmtId="184" fontId="165" fillId="0" borderId="76" xfId="303" applyNumberFormat="1" applyFont="1" applyBorder="1" applyAlignment="1">
      <alignment vertical="center"/>
    </xf>
    <xf numFmtId="184" fontId="165" fillId="0" borderId="6" xfId="303" applyNumberFormat="1" applyFont="1" applyBorder="1" applyAlignment="1">
      <alignment vertical="center"/>
    </xf>
    <xf numFmtId="184" fontId="165" fillId="0" borderId="77" xfId="303" applyNumberFormat="1" applyFont="1" applyBorder="1" applyAlignment="1">
      <alignment vertical="center"/>
    </xf>
    <xf numFmtId="184" fontId="141" fillId="0" borderId="76" xfId="0" applyNumberFormat="1" applyFont="1" applyBorder="1" applyAlignment="1">
      <alignment horizontal="center" vertical="center"/>
    </xf>
    <xf numFmtId="184" fontId="141" fillId="0" borderId="6" xfId="0" applyNumberFormat="1" applyFont="1" applyBorder="1" applyAlignment="1">
      <alignment horizontal="center" vertical="center"/>
    </xf>
    <xf numFmtId="184" fontId="141" fillId="0" borderId="77" xfId="0" applyNumberFormat="1" applyFont="1" applyBorder="1" applyAlignment="1">
      <alignment horizontal="center" vertical="center"/>
    </xf>
    <xf numFmtId="184" fontId="141" fillId="0" borderId="76" xfId="0" applyNumberFormat="1" applyFont="1" applyBorder="1"/>
    <xf numFmtId="184" fontId="141" fillId="0" borderId="6" xfId="0" applyNumberFormat="1" applyFont="1" applyBorder="1"/>
    <xf numFmtId="184" fontId="141" fillId="0" borderId="77" xfId="0" applyNumberFormat="1" applyFont="1" applyBorder="1"/>
    <xf numFmtId="184" fontId="165" fillId="0" borderId="76" xfId="0" applyNumberFormat="1" applyFont="1" applyBorder="1" applyAlignment="1">
      <alignment horizontal="center" vertical="center"/>
    </xf>
    <xf numFmtId="184" fontId="165" fillId="0" borderId="6" xfId="0" applyNumberFormat="1" applyFont="1" applyBorder="1" applyAlignment="1">
      <alignment horizontal="center" vertical="center"/>
    </xf>
    <xf numFmtId="184" fontId="165" fillId="0" borderId="77" xfId="0" applyNumberFormat="1" applyFont="1" applyBorder="1" applyAlignment="1">
      <alignment horizontal="center" vertical="center"/>
    </xf>
    <xf numFmtId="184" fontId="165" fillId="0" borderId="76" xfId="0" applyNumberFormat="1" applyFont="1" applyBorder="1" applyAlignment="1">
      <alignment vertical="center"/>
    </xf>
    <xf numFmtId="184" fontId="165" fillId="0" borderId="6" xfId="0" applyNumberFormat="1" applyFont="1" applyBorder="1" applyAlignment="1">
      <alignment vertical="center"/>
    </xf>
    <xf numFmtId="184" fontId="165" fillId="0" borderId="77" xfId="0" applyNumberFormat="1" applyFont="1" applyBorder="1" applyAlignment="1">
      <alignment vertical="center"/>
    </xf>
    <xf numFmtId="184" fontId="165" fillId="0" borderId="6" xfId="0" applyNumberFormat="1" applyFont="1" applyBorder="1"/>
    <xf numFmtId="184" fontId="165" fillId="0" borderId="77" xfId="0" applyNumberFormat="1" applyFont="1" applyBorder="1"/>
    <xf numFmtId="184" fontId="165" fillId="0" borderId="10" xfId="0" applyNumberFormat="1" applyFont="1" applyBorder="1" applyAlignment="1">
      <alignment horizontal="center" vertical="center"/>
    </xf>
    <xf numFmtId="184" fontId="165" fillId="0" borderId="79" xfId="0" applyNumberFormat="1" applyFont="1" applyBorder="1" applyAlignment="1">
      <alignment horizontal="center" vertical="center"/>
    </xf>
    <xf numFmtId="184" fontId="165" fillId="0" borderId="11" xfId="0" applyNumberFormat="1" applyFont="1" applyBorder="1" applyAlignment="1">
      <alignment horizontal="center" vertical="center"/>
    </xf>
    <xf numFmtId="184" fontId="165" fillId="0" borderId="78" xfId="0" applyNumberFormat="1" applyFont="1" applyBorder="1" applyAlignment="1">
      <alignment horizontal="center" vertical="center"/>
    </xf>
    <xf numFmtId="184" fontId="165" fillId="0" borderId="12" xfId="0" applyNumberFormat="1" applyFont="1" applyBorder="1" applyAlignment="1">
      <alignment horizontal="center" vertical="center"/>
    </xf>
    <xf numFmtId="184" fontId="166" fillId="0" borderId="6" xfId="0" applyNumberFormat="1" applyFont="1" applyBorder="1" applyAlignment="1">
      <alignment horizontal="center" vertical="center"/>
    </xf>
    <xf numFmtId="184" fontId="165" fillId="0" borderId="76" xfId="0" applyNumberFormat="1" applyFont="1" applyBorder="1"/>
    <xf numFmtId="2" fontId="11" fillId="0" borderId="20" xfId="414" applyNumberFormat="1" applyFont="1" applyBorder="1" applyAlignment="1">
      <alignment horizontal="center" vertical="center"/>
    </xf>
    <xf numFmtId="165" fontId="11" fillId="0" borderId="0" xfId="808" applyFont="1" applyFill="1" applyBorder="1" applyAlignment="1">
      <alignment horizontal="left" vertical="center"/>
    </xf>
    <xf numFmtId="165" fontId="11" fillId="0" borderId="0" xfId="808" applyFont="1" applyFill="1" applyBorder="1" applyAlignment="1">
      <alignment vertical="center"/>
    </xf>
    <xf numFmtId="165" fontId="11" fillId="0" borderId="0" xfId="808" applyFill="1" applyBorder="1" applyAlignment="1">
      <alignment vertical="center"/>
    </xf>
    <xf numFmtId="165" fontId="11" fillId="0" borderId="20" xfId="808" applyFont="1" applyFill="1" applyBorder="1" applyAlignment="1">
      <alignment horizontal="center" vertical="center"/>
    </xf>
    <xf numFmtId="186" fontId="11" fillId="0" borderId="33" xfId="809" quotePrefix="1" applyNumberFormat="1" applyFont="1" applyFill="1" applyBorder="1" applyAlignment="1">
      <alignment vertical="center"/>
    </xf>
    <xf numFmtId="0" fontId="68" fillId="0" borderId="30" xfId="808" applyNumberFormat="1" applyFont="1" applyFill="1" applyBorder="1" applyAlignment="1">
      <alignment horizontal="center" vertical="center"/>
    </xf>
    <xf numFmtId="197" fontId="11" fillId="0" borderId="20" xfId="808" applyNumberFormat="1" applyFill="1" applyBorder="1" applyAlignment="1">
      <alignment horizontal="center" vertical="center"/>
    </xf>
    <xf numFmtId="197" fontId="11" fillId="0" borderId="0" xfId="808" applyNumberFormat="1" applyFill="1" applyBorder="1" applyAlignment="1">
      <alignment horizontal="right" vertical="center"/>
    </xf>
    <xf numFmtId="187" fontId="11" fillId="0" borderId="33" xfId="808" applyNumberFormat="1" applyFill="1" applyBorder="1" applyAlignment="1">
      <alignment horizontal="right" vertical="center"/>
    </xf>
    <xf numFmtId="0" fontId="140" fillId="0" borderId="6" xfId="0" applyFont="1" applyBorder="1" applyAlignment="1">
      <alignment horizontal="left" vertical="center" wrapText="1"/>
    </xf>
    <xf numFmtId="0" fontId="79" fillId="0" borderId="6" xfId="0" applyFont="1" applyBorder="1"/>
    <xf numFmtId="0" fontId="140" fillId="30" borderId="26" xfId="0" applyFont="1" applyFill="1" applyBorder="1" applyAlignment="1">
      <alignment horizontal="center" vertical="center"/>
    </xf>
    <xf numFmtId="0" fontId="79" fillId="0" borderId="40" xfId="0" applyFont="1" applyBorder="1" applyAlignment="1">
      <alignment horizontal="left" vertical="center"/>
    </xf>
    <xf numFmtId="0" fontId="102" fillId="35" borderId="76" xfId="807" applyFont="1" applyFill="1" applyBorder="1" applyAlignment="1">
      <alignment horizontal="center" vertical="center" wrapText="1"/>
    </xf>
    <xf numFmtId="0" fontId="103" fillId="29" borderId="76" xfId="807" applyFont="1" applyFill="1" applyBorder="1" applyAlignment="1">
      <alignment horizontal="center" vertical="center" wrapText="1"/>
    </xf>
    <xf numFmtId="0" fontId="140" fillId="46" borderId="76" xfId="807" applyFont="1" applyFill="1" applyBorder="1" applyAlignment="1">
      <alignment horizontal="center" vertical="center" wrapText="1"/>
    </xf>
    <xf numFmtId="0" fontId="141" fillId="29" borderId="76" xfId="807" applyFont="1" applyFill="1" applyBorder="1" applyAlignment="1">
      <alignment horizontal="center" vertical="center" wrapText="1"/>
    </xf>
    <xf numFmtId="0" fontId="140" fillId="29" borderId="76" xfId="807" applyFont="1" applyFill="1" applyBorder="1" applyAlignment="1">
      <alignment horizontal="center" vertical="center" wrapText="1"/>
    </xf>
    <xf numFmtId="0" fontId="140" fillId="0" borderId="76" xfId="807" applyFont="1" applyBorder="1" applyAlignment="1">
      <alignment horizontal="center" vertical="center" wrapText="1"/>
    </xf>
    <xf numFmtId="0" fontId="141" fillId="0" borderId="76" xfId="807" applyFont="1" applyBorder="1" applyAlignment="1">
      <alignment horizontal="center" vertical="center" wrapText="1"/>
    </xf>
    <xf numFmtId="2" fontId="140" fillId="46" borderId="76" xfId="807" applyNumberFormat="1" applyFont="1" applyFill="1" applyBorder="1" applyAlignment="1">
      <alignment horizontal="center" vertical="center" wrapText="1"/>
    </xf>
    <xf numFmtId="2" fontId="141" fillId="0" borderId="76" xfId="807" applyNumberFormat="1" applyFont="1" applyBorder="1" applyAlignment="1">
      <alignment horizontal="center" vertical="center" wrapText="1"/>
    </xf>
    <xf numFmtId="0" fontId="140" fillId="0" borderId="76" xfId="807" applyFont="1" applyBorder="1" applyAlignment="1">
      <alignment horizontal="center" vertical="center"/>
    </xf>
    <xf numFmtId="0" fontId="140" fillId="46" borderId="76" xfId="807" applyFont="1" applyFill="1" applyBorder="1" applyAlignment="1">
      <alignment horizontal="center" vertical="center"/>
    </xf>
    <xf numFmtId="0" fontId="141" fillId="0" borderId="76" xfId="807" applyFont="1" applyBorder="1" applyAlignment="1">
      <alignment horizontal="center" vertical="center"/>
    </xf>
    <xf numFmtId="0" fontId="141" fillId="29" borderId="76" xfId="807" applyFont="1" applyFill="1" applyBorder="1" applyAlignment="1">
      <alignment horizontal="center" vertical="center"/>
    </xf>
    <xf numFmtId="0" fontId="141" fillId="29" borderId="76" xfId="0" applyFont="1" applyFill="1" applyBorder="1" applyAlignment="1">
      <alignment horizontal="center" vertical="center" wrapText="1"/>
    </xf>
    <xf numFmtId="197" fontId="141" fillId="46" borderId="79" xfId="817" applyNumberFormat="1" applyFont="1" applyFill="1" applyBorder="1" applyAlignment="1">
      <alignment horizontal="center" vertical="center"/>
    </xf>
    <xf numFmtId="0" fontId="141" fillId="46" borderId="76" xfId="0" applyFont="1" applyFill="1" applyBorder="1" applyAlignment="1">
      <alignment horizontal="center" vertical="center" wrapText="1"/>
    </xf>
    <xf numFmtId="0" fontId="141" fillId="0" borderId="76" xfId="0" applyFont="1" applyBorder="1" applyAlignment="1">
      <alignment horizontal="center" vertical="center" wrapText="1"/>
    </xf>
    <xf numFmtId="0" fontId="143" fillId="29" borderId="76" xfId="0" applyFont="1" applyFill="1" applyBorder="1" applyAlignment="1">
      <alignment horizontal="center" vertical="center" wrapText="1"/>
    </xf>
    <xf numFmtId="0" fontId="0" fillId="0" borderId="9" xfId="0" applyBorder="1"/>
    <xf numFmtId="0" fontId="0" fillId="0" borderId="14" xfId="0" applyBorder="1"/>
    <xf numFmtId="0" fontId="141" fillId="29" borderId="35" xfId="0" applyFont="1" applyFill="1" applyBorder="1" applyAlignment="1">
      <alignment horizontal="left" vertical="center" wrapText="1"/>
    </xf>
    <xf numFmtId="0" fontId="141" fillId="29" borderId="35" xfId="0" applyFont="1" applyFill="1" applyBorder="1" applyAlignment="1">
      <alignment horizontal="center" vertical="center" wrapText="1"/>
    </xf>
    <xf numFmtId="2" fontId="51" fillId="0" borderId="35" xfId="439" applyNumberFormat="1" applyFont="1" applyBorder="1" applyAlignment="1">
      <alignment horizontal="center" vertical="center"/>
    </xf>
    <xf numFmtId="197" fontId="51" fillId="0" borderId="35" xfId="439" applyNumberFormat="1" applyFont="1" applyBorder="1" applyAlignment="1">
      <alignment horizontal="center" vertical="center"/>
    </xf>
    <xf numFmtId="191" fontId="142" fillId="0" borderId="58" xfId="0" applyNumberFormat="1" applyFont="1" applyBorder="1" applyAlignment="1">
      <alignment horizontal="right" vertical="center"/>
    </xf>
    <xf numFmtId="0" fontId="0" fillId="0" borderId="15" xfId="0" applyBorder="1" applyAlignment="1">
      <alignment horizontal="center" vertical="center"/>
    </xf>
    <xf numFmtId="44" fontId="50" fillId="0" borderId="0" xfId="0" applyNumberFormat="1" applyFont="1"/>
    <xf numFmtId="180" fontId="81" fillId="0" borderId="0" xfId="0" applyNumberFormat="1" applyFont="1" applyAlignment="1">
      <alignment horizontal="center" vertical="center"/>
    </xf>
    <xf numFmtId="9" fontId="50" fillId="0" borderId="11" xfId="654" applyFont="1" applyFill="1" applyBorder="1" applyAlignment="1">
      <alignment vertical="center" wrapText="1"/>
    </xf>
    <xf numFmtId="10" fontId="113" fillId="0" borderId="6" xfId="654" applyNumberFormat="1" applyFont="1" applyBorder="1" applyAlignment="1">
      <alignment vertical="center"/>
    </xf>
    <xf numFmtId="10" fontId="113" fillId="0" borderId="6" xfId="814" applyNumberFormat="1" applyFont="1" applyBorder="1" applyAlignment="1">
      <alignment vertical="center"/>
    </xf>
    <xf numFmtId="170" fontId="41" fillId="0" borderId="0" xfId="303" applyFont="1"/>
    <xf numFmtId="170" fontId="50" fillId="0" borderId="0" xfId="303" applyFont="1"/>
    <xf numFmtId="170" fontId="53" fillId="30" borderId="0" xfId="303" applyFont="1" applyFill="1" applyBorder="1" applyAlignment="1">
      <alignment horizontal="right" vertical="center"/>
    </xf>
    <xf numFmtId="2" fontId="11" fillId="0" borderId="41" xfId="808" applyNumberFormat="1" applyFont="1" applyFill="1" applyBorder="1" applyAlignment="1">
      <alignment horizontal="center" vertical="center"/>
    </xf>
    <xf numFmtId="0" fontId="175" fillId="29" borderId="0" xfId="1569" applyFont="1" applyFill="1"/>
    <xf numFmtId="0" fontId="176" fillId="29" borderId="0" xfId="0" applyFont="1" applyFill="1" applyAlignment="1">
      <alignment vertical="center" wrapText="1"/>
    </xf>
    <xf numFmtId="0" fontId="177" fillId="29" borderId="0" xfId="439" applyFont="1" applyFill="1" applyAlignment="1">
      <alignment vertical="top"/>
    </xf>
    <xf numFmtId="0" fontId="177" fillId="29" borderId="0" xfId="439" applyFont="1" applyFill="1"/>
    <xf numFmtId="0" fontId="41" fillId="29" borderId="0" xfId="1569" applyFont="1" applyFill="1" applyAlignment="1">
      <alignment vertical="center" wrapText="1"/>
    </xf>
    <xf numFmtId="2" fontId="115" fillId="0" borderId="79" xfId="0" applyNumberFormat="1" applyFont="1" applyBorder="1" applyAlignment="1">
      <alignment horizontal="center" vertical="center"/>
    </xf>
    <xf numFmtId="43" fontId="50" fillId="29" borderId="0" xfId="312" applyNumberFormat="1" applyFont="1" applyFill="1" applyBorder="1" applyAlignment="1">
      <alignment horizontal="right" vertical="center"/>
    </xf>
    <xf numFmtId="43" fontId="50" fillId="0" borderId="0" xfId="312" applyNumberFormat="1" applyFont="1" applyFill="1" applyBorder="1" applyAlignment="1">
      <alignment horizontal="right" vertical="center" wrapText="1"/>
    </xf>
    <xf numFmtId="43" fontId="50" fillId="0" borderId="0" xfId="654" applyNumberFormat="1" applyFont="1" applyFill="1" applyBorder="1" applyAlignment="1">
      <alignment horizontal="right" vertical="center"/>
    </xf>
    <xf numFmtId="43" fontId="150" fillId="29" borderId="0" xfId="312" applyNumberFormat="1" applyFont="1" applyFill="1" applyBorder="1" applyAlignment="1">
      <alignment horizontal="right" vertical="center"/>
    </xf>
    <xf numFmtId="43" fontId="50" fillId="0" borderId="0" xfId="312" applyNumberFormat="1" applyFont="1" applyFill="1" applyBorder="1" applyAlignment="1">
      <alignment horizontal="right" vertical="center"/>
    </xf>
    <xf numFmtId="43" fontId="75" fillId="29" borderId="0" xfId="312" applyNumberFormat="1" applyFont="1" applyFill="1" applyBorder="1" applyAlignment="1">
      <alignment horizontal="right" vertical="center"/>
    </xf>
    <xf numFmtId="43" fontId="50" fillId="29" borderId="0" xfId="654" applyNumberFormat="1" applyFont="1" applyFill="1" applyBorder="1" applyAlignment="1">
      <alignment horizontal="right" vertical="center"/>
    </xf>
    <xf numFmtId="191" fontId="50" fillId="29" borderId="0" xfId="312" applyNumberFormat="1" applyFont="1" applyFill="1" applyBorder="1" applyAlignment="1">
      <alignment horizontal="right" vertical="center"/>
    </xf>
    <xf numFmtId="184" fontId="54" fillId="0" borderId="6" xfId="414" applyNumberFormat="1" applyFont="1" applyBorder="1" applyAlignment="1">
      <alignment vertical="center" wrapText="1"/>
    </xf>
    <xf numFmtId="0" fontId="106" fillId="29" borderId="10" xfId="414" applyFont="1" applyFill="1" applyBorder="1" applyAlignment="1">
      <alignment vertical="center"/>
    </xf>
    <xf numFmtId="202" fontId="42" fillId="0" borderId="59" xfId="0" applyNumberFormat="1" applyFont="1" applyBorder="1"/>
    <xf numFmtId="218" fontId="0" fillId="0" borderId="0" xfId="0" applyNumberFormat="1"/>
    <xf numFmtId="0" fontId="182" fillId="63" borderId="6" xfId="0" applyFont="1" applyFill="1" applyBorder="1" applyAlignment="1">
      <alignment horizontal="left" vertical="center" wrapText="1"/>
    </xf>
    <xf numFmtId="202" fontId="183" fillId="0" borderId="6" xfId="0" applyNumberFormat="1" applyFont="1" applyBorder="1" applyAlignment="1">
      <alignment horizontal="right" wrapText="1"/>
    </xf>
    <xf numFmtId="9" fontId="183" fillId="0" borderId="6" xfId="0" applyNumberFormat="1" applyFont="1" applyBorder="1" applyAlignment="1">
      <alignment horizontal="center" vertical="center" wrapText="1"/>
    </xf>
    <xf numFmtId="0" fontId="0" fillId="0" borderId="59" xfId="0" applyBorder="1"/>
    <xf numFmtId="9" fontId="185" fillId="0" borderId="6" xfId="303" applyNumberFormat="1" applyFont="1" applyBorder="1" applyAlignment="1">
      <alignment horizontal="center" vertical="center"/>
    </xf>
    <xf numFmtId="170" fontId="186" fillId="0" borderId="59" xfId="303" applyFont="1" applyBorder="1" applyAlignment="1"/>
    <xf numFmtId="44" fontId="0" fillId="0" borderId="59" xfId="0" applyNumberFormat="1" applyBorder="1"/>
    <xf numFmtId="0" fontId="180" fillId="0" borderId="6" xfId="0" applyFont="1" applyBorder="1" applyAlignment="1">
      <alignment vertical="justify"/>
    </xf>
    <xf numFmtId="207" fontId="178" fillId="29" borderId="0" xfId="1570" applyNumberFormat="1" applyFont="1" applyFill="1" applyBorder="1" applyAlignment="1">
      <alignment horizontal="center" vertical="center"/>
    </xf>
    <xf numFmtId="0" fontId="179" fillId="63" borderId="0" xfId="0" applyFont="1" applyFill="1" applyAlignment="1">
      <alignment horizontal="left" vertical="center" wrapText="1"/>
    </xf>
    <xf numFmtId="202" fontId="183" fillId="0" borderId="0" xfId="0" applyNumberFormat="1" applyFont="1" applyAlignment="1">
      <alignment horizontal="right" wrapText="1"/>
    </xf>
    <xf numFmtId="0" fontId="182" fillId="63" borderId="0" xfId="0" applyFont="1" applyFill="1" applyAlignment="1">
      <alignment horizontal="left" vertical="center" wrapText="1"/>
    </xf>
    <xf numFmtId="9" fontId="183" fillId="0" borderId="0" xfId="0" applyNumberFormat="1" applyFont="1" applyAlignment="1">
      <alignment horizontal="center" vertical="center" wrapText="1"/>
    </xf>
    <xf numFmtId="10" fontId="184" fillId="0" borderId="0" xfId="0" applyNumberFormat="1" applyFont="1" applyAlignment="1">
      <alignment horizontal="center" vertical="center"/>
    </xf>
    <xf numFmtId="10" fontId="184" fillId="0" borderId="0" xfId="0" applyNumberFormat="1" applyFont="1" applyAlignment="1">
      <alignment horizontal="center"/>
    </xf>
    <xf numFmtId="9" fontId="184" fillId="0" borderId="0" xfId="0" applyNumberFormat="1" applyFont="1" applyAlignment="1">
      <alignment horizontal="center" vertical="center"/>
    </xf>
    <xf numFmtId="9" fontId="185" fillId="0" borderId="0" xfId="303" applyNumberFormat="1" applyFont="1" applyBorder="1" applyAlignment="1">
      <alignment horizontal="center" vertical="center"/>
    </xf>
    <xf numFmtId="10" fontId="185" fillId="0" borderId="0" xfId="0" applyNumberFormat="1" applyFont="1" applyAlignment="1">
      <alignment horizontal="center"/>
    </xf>
    <xf numFmtId="0" fontId="186" fillId="0" borderId="0" xfId="0" applyFont="1"/>
    <xf numFmtId="44" fontId="0" fillId="0" borderId="0" xfId="0" applyNumberFormat="1"/>
    <xf numFmtId="10" fontId="186" fillId="0" borderId="6" xfId="0" applyNumberFormat="1" applyFont="1" applyBorder="1" applyAlignment="1">
      <alignment horizontal="center"/>
    </xf>
    <xf numFmtId="10" fontId="188" fillId="0" borderId="6" xfId="0" applyNumberFormat="1" applyFont="1" applyBorder="1" applyAlignment="1">
      <alignment horizontal="center" vertical="center"/>
    </xf>
    <xf numFmtId="10" fontId="188" fillId="0" borderId="6" xfId="0" applyNumberFormat="1" applyFont="1" applyBorder="1" applyAlignment="1">
      <alignment horizontal="center"/>
    </xf>
    <xf numFmtId="0" fontId="181" fillId="29" borderId="6" xfId="0" applyFont="1" applyFill="1" applyBorder="1" applyAlignment="1">
      <alignment horizontal="justify" vertical="justify"/>
    </xf>
    <xf numFmtId="0" fontId="181" fillId="29" borderId="6" xfId="0" applyFont="1" applyFill="1" applyBorder="1" applyAlignment="1">
      <alignment horizontal="justify" vertical="justify" wrapText="1"/>
    </xf>
    <xf numFmtId="0" fontId="181" fillId="0" borderId="6" xfId="0" applyFont="1" applyBorder="1" applyAlignment="1">
      <alignment horizontal="justify" vertical="justify"/>
    </xf>
    <xf numFmtId="0" fontId="181" fillId="0" borderId="6" xfId="0" applyFont="1" applyBorder="1" applyAlignment="1">
      <alignment horizontal="justify" vertical="justify" wrapText="1"/>
    </xf>
    <xf numFmtId="0" fontId="187" fillId="0" borderId="6" xfId="0" applyFont="1" applyBorder="1" applyAlignment="1">
      <alignment horizontal="justify" vertical="justify"/>
    </xf>
    <xf numFmtId="207" fontId="45" fillId="29" borderId="6" xfId="1570" applyNumberFormat="1" applyFont="1" applyFill="1" applyBorder="1" applyAlignment="1">
      <alignment horizontal="center" vertical="center"/>
    </xf>
    <xf numFmtId="9" fontId="185" fillId="0" borderId="6" xfId="0" applyNumberFormat="1" applyFont="1" applyBorder="1" applyAlignment="1">
      <alignment horizontal="center" vertical="center"/>
    </xf>
    <xf numFmtId="3" fontId="178" fillId="29" borderId="0" xfId="439" applyNumberFormat="1" applyFont="1" applyFill="1" applyAlignment="1">
      <alignment horizontal="center" vertical="center" wrapText="1"/>
    </xf>
    <xf numFmtId="0" fontId="157" fillId="0" borderId="24" xfId="0" applyFont="1" applyBorder="1" applyAlignment="1">
      <alignment horizontal="center" wrapText="1"/>
    </xf>
    <xf numFmtId="0" fontId="157" fillId="0" borderId="16" xfId="0" applyFont="1" applyBorder="1" applyAlignment="1">
      <alignment horizontal="center" wrapText="1"/>
    </xf>
    <xf numFmtId="0" fontId="157" fillId="0" borderId="9" xfId="0" applyFont="1" applyBorder="1" applyAlignment="1">
      <alignment horizontal="center" wrapText="1"/>
    </xf>
    <xf numFmtId="0" fontId="157" fillId="0" borderId="59" xfId="0" applyFont="1" applyBorder="1" applyAlignment="1">
      <alignment horizontal="center" wrapText="1"/>
    </xf>
    <xf numFmtId="0" fontId="157" fillId="0" borderId="14" xfId="0" applyFont="1" applyBorder="1" applyAlignment="1">
      <alignment horizontal="center" wrapText="1"/>
    </xf>
    <xf numFmtId="0" fontId="157" fillId="0" borderId="17" xfId="0" applyFont="1" applyBorder="1" applyAlignment="1">
      <alignment horizontal="center" wrapText="1"/>
    </xf>
    <xf numFmtId="4" fontId="105" fillId="0" borderId="24" xfId="0" applyNumberFormat="1" applyFont="1" applyBorder="1" applyAlignment="1">
      <alignment horizontal="center" vertical="center" wrapText="1"/>
    </xf>
    <xf numFmtId="0" fontId="105" fillId="0" borderId="25" xfId="0" applyFont="1" applyBorder="1" applyAlignment="1">
      <alignment horizontal="center" vertical="center" wrapText="1"/>
    </xf>
    <xf numFmtId="0" fontId="105" fillId="0" borderId="16" xfId="0" applyFont="1" applyBorder="1" applyAlignment="1">
      <alignment horizontal="center" vertical="center" wrapText="1"/>
    </xf>
    <xf numFmtId="0" fontId="105" fillId="0" borderId="9" xfId="0" applyFont="1" applyBorder="1" applyAlignment="1">
      <alignment horizontal="center" vertical="center" wrapText="1"/>
    </xf>
    <xf numFmtId="0" fontId="105" fillId="0" borderId="0" xfId="0" applyFont="1" applyAlignment="1">
      <alignment horizontal="center" vertical="center" wrapText="1"/>
    </xf>
    <xf numFmtId="0" fontId="105" fillId="0" borderId="59" xfId="0" applyFont="1" applyBorder="1" applyAlignment="1">
      <alignment horizontal="center" vertical="center" wrapText="1"/>
    </xf>
    <xf numFmtId="0" fontId="105" fillId="0" borderId="14" xfId="0" applyFont="1" applyBorder="1" applyAlignment="1">
      <alignment horizontal="center" vertical="center" wrapText="1"/>
    </xf>
    <xf numFmtId="0" fontId="105" fillId="0" borderId="15" xfId="0" applyFont="1" applyBorder="1" applyAlignment="1">
      <alignment horizontal="center" vertical="center" wrapText="1"/>
    </xf>
    <xf numFmtId="0" fontId="105" fillId="0" borderId="17" xfId="0" applyFont="1" applyBorder="1" applyAlignment="1">
      <alignment horizontal="center" vertical="center" wrapText="1"/>
    </xf>
    <xf numFmtId="14" fontId="158" fillId="0" borderId="24" xfId="0" applyNumberFormat="1" applyFont="1" applyBorder="1" applyAlignment="1">
      <alignment horizontal="center" vertical="center" wrapText="1"/>
    </xf>
    <xf numFmtId="14" fontId="158" fillId="0" borderId="25" xfId="0" applyNumberFormat="1" applyFont="1" applyBorder="1" applyAlignment="1">
      <alignment horizontal="center" vertical="center" wrapText="1"/>
    </xf>
    <xf numFmtId="14" fontId="158" fillId="0" borderId="16" xfId="0" applyNumberFormat="1" applyFont="1" applyBorder="1" applyAlignment="1">
      <alignment horizontal="center" vertical="center" wrapText="1"/>
    </xf>
    <xf numFmtId="14" fontId="158" fillId="0" borderId="9" xfId="0" applyNumberFormat="1" applyFont="1" applyBorder="1" applyAlignment="1">
      <alignment horizontal="center" vertical="center" wrapText="1"/>
    </xf>
    <xf numFmtId="14" fontId="158" fillId="0" borderId="0" xfId="0" applyNumberFormat="1" applyFont="1" applyAlignment="1">
      <alignment horizontal="center" vertical="center" wrapText="1"/>
    </xf>
    <xf numFmtId="14" fontId="158" fillId="0" borderId="59" xfId="0" applyNumberFormat="1" applyFont="1" applyBorder="1" applyAlignment="1">
      <alignment horizontal="center" vertical="center" wrapText="1"/>
    </xf>
    <xf numFmtId="14" fontId="158" fillId="0" borderId="14" xfId="0" applyNumberFormat="1" applyFont="1" applyBorder="1" applyAlignment="1">
      <alignment horizontal="center" vertical="center" wrapText="1"/>
    </xf>
    <xf numFmtId="14" fontId="158" fillId="0" borderId="15" xfId="0" applyNumberFormat="1" applyFont="1" applyBorder="1" applyAlignment="1">
      <alignment horizontal="center" vertical="center" wrapText="1"/>
    </xf>
    <xf numFmtId="14" fontId="158" fillId="0" borderId="17" xfId="0" applyNumberFormat="1" applyFont="1" applyBorder="1" applyAlignment="1">
      <alignment horizontal="center" vertical="center" wrapText="1"/>
    </xf>
    <xf numFmtId="0" fontId="106" fillId="0" borderId="90" xfId="0" applyFont="1" applyBorder="1" applyAlignment="1">
      <alignment horizontal="center" wrapText="1"/>
    </xf>
    <xf numFmtId="0" fontId="106" fillId="0" borderId="84" xfId="0" applyFont="1" applyBorder="1" applyAlignment="1">
      <alignment horizontal="center" wrapText="1"/>
    </xf>
    <xf numFmtId="0" fontId="106" fillId="0" borderId="95" xfId="0" applyFont="1" applyBorder="1" applyAlignment="1">
      <alignment horizontal="center" wrapText="1"/>
    </xf>
    <xf numFmtId="0" fontId="12" fillId="0" borderId="0" xfId="424" applyAlignment="1">
      <alignment horizontal="left" vertical="center" wrapText="1"/>
    </xf>
    <xf numFmtId="0" fontId="39" fillId="0" borderId="0" xfId="637" applyFont="1" applyAlignment="1">
      <alignment horizontal="center" vertical="center"/>
    </xf>
    <xf numFmtId="0" fontId="12" fillId="0" borderId="0" xfId="424" applyAlignment="1">
      <alignment horizontal="left" vertical="center"/>
    </xf>
    <xf numFmtId="0" fontId="43" fillId="26" borderId="6" xfId="0" applyFont="1" applyFill="1" applyBorder="1" applyAlignment="1">
      <alignment horizontal="center" vertical="center"/>
    </xf>
    <xf numFmtId="49" fontId="57" fillId="26" borderId="10" xfId="0" applyNumberFormat="1" applyFont="1" applyFill="1" applyBorder="1" applyAlignment="1">
      <alignment horizontal="center" vertical="center"/>
    </xf>
    <xf numFmtId="49" fontId="57" fillId="26" borderId="11" xfId="0" applyNumberFormat="1" applyFont="1" applyFill="1" applyBorder="1" applyAlignment="1">
      <alignment horizontal="center" vertical="center"/>
    </xf>
    <xf numFmtId="49" fontId="57" fillId="26" borderId="12" xfId="0" applyNumberFormat="1" applyFont="1" applyFill="1" applyBorder="1" applyAlignment="1">
      <alignment horizontal="center" vertical="center"/>
    </xf>
    <xf numFmtId="0" fontId="45" fillId="28" borderId="6" xfId="0" applyFont="1" applyFill="1" applyBorder="1" applyAlignment="1">
      <alignment horizontal="center"/>
    </xf>
    <xf numFmtId="0" fontId="43" fillId="23" borderId="49" xfId="0" applyFont="1" applyFill="1" applyBorder="1" applyAlignment="1">
      <alignment horizontal="center" vertical="center"/>
    </xf>
    <xf numFmtId="0" fontId="43" fillId="23" borderId="92" xfId="0" applyFont="1" applyFill="1" applyBorder="1" applyAlignment="1">
      <alignment horizontal="center" vertical="center"/>
    </xf>
    <xf numFmtId="0" fontId="43" fillId="23" borderId="51" xfId="0" applyFont="1" applyFill="1" applyBorder="1" applyAlignment="1">
      <alignment horizontal="center" vertical="center"/>
    </xf>
    <xf numFmtId="0" fontId="43" fillId="23" borderId="50" xfId="0" applyFont="1" applyFill="1" applyBorder="1" applyAlignment="1">
      <alignment horizontal="center" vertical="center"/>
    </xf>
    <xf numFmtId="0" fontId="43" fillId="23" borderId="13" xfId="0" applyFont="1" applyFill="1" applyBorder="1" applyAlignment="1">
      <alignment horizontal="center" vertical="center"/>
    </xf>
    <xf numFmtId="0" fontId="43" fillId="23" borderId="54" xfId="0" applyFont="1" applyFill="1" applyBorder="1" applyAlignment="1">
      <alignment horizontal="center" vertical="center"/>
    </xf>
    <xf numFmtId="49" fontId="65" fillId="26" borderId="6" xfId="0" applyNumberFormat="1" applyFont="1" applyFill="1" applyBorder="1" applyAlignment="1">
      <alignment horizontal="center" vertical="center"/>
    </xf>
    <xf numFmtId="0" fontId="43" fillId="26" borderId="6" xfId="0" applyFont="1" applyFill="1" applyBorder="1" applyAlignment="1">
      <alignment horizontal="center" vertical="center" wrapText="1"/>
    </xf>
    <xf numFmtId="2" fontId="43" fillId="26" borderId="6" xfId="0" applyNumberFormat="1" applyFont="1" applyFill="1" applyBorder="1" applyAlignment="1">
      <alignment horizontal="center" vertical="center"/>
    </xf>
    <xf numFmtId="0" fontId="45" fillId="0" borderId="6" xfId="0" applyFont="1" applyBorder="1" applyAlignment="1">
      <alignment horizontal="center" vertical="center"/>
    </xf>
    <xf numFmtId="0" fontId="12" fillId="0" borderId="6" xfId="0" applyFont="1" applyBorder="1" applyAlignment="1">
      <alignment horizontal="center" vertical="center"/>
    </xf>
    <xf numFmtId="0" fontId="0" fillId="0" borderId="6" xfId="0" applyBorder="1" applyAlignment="1">
      <alignment horizontal="center" vertical="center"/>
    </xf>
    <xf numFmtId="0" fontId="12" fillId="0" borderId="41" xfId="0" applyFont="1" applyBorder="1" applyAlignment="1">
      <alignment horizontal="center" vertical="center"/>
    </xf>
    <xf numFmtId="0" fontId="0" fillId="0" borderId="41" xfId="0" applyBorder="1" applyAlignment="1">
      <alignment horizontal="center" vertical="center"/>
    </xf>
    <xf numFmtId="0" fontId="0" fillId="0" borderId="48" xfId="0" applyBorder="1" applyAlignment="1">
      <alignment horizontal="center" vertical="center"/>
    </xf>
    <xf numFmtId="0" fontId="12" fillId="0" borderId="94" xfId="0" applyFont="1" applyBorder="1" applyAlignment="1">
      <alignment horizontal="center" vertical="center"/>
    </xf>
    <xf numFmtId="0" fontId="12" fillId="0" borderId="19" xfId="0" applyFont="1" applyBorder="1" applyAlignment="1">
      <alignment horizontal="center" vertical="center"/>
    </xf>
    <xf numFmtId="0" fontId="12" fillId="0" borderId="20" xfId="0" applyFont="1" applyBorder="1" applyAlignment="1">
      <alignment horizontal="center" vertical="center"/>
    </xf>
    <xf numFmtId="0" fontId="12" fillId="0" borderId="8" xfId="0" applyFont="1" applyBorder="1" applyAlignment="1">
      <alignment horizontal="center" vertical="center"/>
    </xf>
    <xf numFmtId="0" fontId="117" fillId="46" borderId="49" xfId="814" applyFont="1" applyFill="1" applyBorder="1" applyAlignment="1">
      <alignment horizontal="center" vertical="center"/>
    </xf>
    <xf numFmtId="0" fontId="117" fillId="46" borderId="92" xfId="814" applyFont="1" applyFill="1" applyBorder="1" applyAlignment="1">
      <alignment horizontal="center" vertical="center"/>
    </xf>
    <xf numFmtId="0" fontId="117" fillId="46" borderId="51" xfId="814" applyFont="1" applyFill="1" applyBorder="1" applyAlignment="1">
      <alignment horizontal="center" vertical="center"/>
    </xf>
    <xf numFmtId="0" fontId="117" fillId="46" borderId="50" xfId="814" applyFont="1" applyFill="1" applyBorder="1" applyAlignment="1">
      <alignment horizontal="center" vertical="center"/>
    </xf>
    <xf numFmtId="0" fontId="117" fillId="46" borderId="13" xfId="814" applyFont="1" applyFill="1" applyBorder="1" applyAlignment="1">
      <alignment horizontal="center" vertical="center"/>
    </xf>
    <xf numFmtId="0" fontId="117" fillId="46" borderId="54" xfId="814" applyFont="1" applyFill="1" applyBorder="1" applyAlignment="1">
      <alignment horizontal="center" vertical="center"/>
    </xf>
    <xf numFmtId="202" fontId="113" fillId="0" borderId="0" xfId="815" applyFont="1" applyAlignment="1">
      <alignment horizontal="center" vertical="center"/>
    </xf>
    <xf numFmtId="0" fontId="112" fillId="46" borderId="6" xfId="814" applyFont="1" applyFill="1" applyBorder="1" applyAlignment="1">
      <alignment horizontal="center" vertical="center"/>
    </xf>
    <xf numFmtId="0" fontId="112" fillId="46" borderId="6" xfId="814" applyFont="1" applyFill="1" applyBorder="1" applyAlignment="1">
      <alignment horizontal="center" vertical="center" wrapText="1"/>
    </xf>
    <xf numFmtId="0" fontId="112" fillId="46" borderId="19" xfId="814" applyFont="1" applyFill="1" applyBorder="1" applyAlignment="1">
      <alignment horizontal="center" vertical="center" wrapText="1"/>
    </xf>
    <xf numFmtId="0" fontId="112" fillId="46" borderId="8" xfId="814" applyFont="1" applyFill="1" applyBorder="1" applyAlignment="1">
      <alignment horizontal="center" vertical="center" wrapText="1"/>
    </xf>
    <xf numFmtId="0" fontId="113" fillId="0" borderId="0" xfId="814" applyFont="1" applyAlignment="1">
      <alignment horizontal="center" vertical="center"/>
    </xf>
    <xf numFmtId="201" fontId="112" fillId="46" borderId="6" xfId="814" applyNumberFormat="1" applyFont="1" applyFill="1" applyBorder="1" applyAlignment="1">
      <alignment horizontal="center" vertical="center"/>
    </xf>
    <xf numFmtId="0" fontId="117" fillId="47" borderId="10" xfId="814" applyFont="1" applyFill="1" applyBorder="1" applyAlignment="1">
      <alignment horizontal="center" vertical="center"/>
    </xf>
    <xf numFmtId="0" fontId="117" fillId="47" borderId="11" xfId="814" applyFont="1" applyFill="1" applyBorder="1" applyAlignment="1">
      <alignment horizontal="center" vertical="center"/>
    </xf>
    <xf numFmtId="0" fontId="117" fillId="47" borderId="12" xfId="814" applyFont="1" applyFill="1" applyBorder="1" applyAlignment="1">
      <alignment horizontal="center" vertical="center"/>
    </xf>
    <xf numFmtId="0" fontId="117" fillId="50" borderId="6" xfId="814" applyFont="1" applyFill="1" applyBorder="1" applyAlignment="1">
      <alignment horizontal="center" vertical="center"/>
    </xf>
    <xf numFmtId="0" fontId="117" fillId="43" borderId="6" xfId="814" applyFont="1" applyFill="1" applyBorder="1" applyAlignment="1">
      <alignment horizontal="center" vertical="center"/>
    </xf>
    <xf numFmtId="0" fontId="112" fillId="46" borderId="10" xfId="814" applyFont="1" applyFill="1" applyBorder="1" applyAlignment="1">
      <alignment horizontal="center" vertical="center" wrapText="1"/>
    </xf>
    <xf numFmtId="0" fontId="112" fillId="46" borderId="12" xfId="814" applyFont="1" applyFill="1" applyBorder="1" applyAlignment="1">
      <alignment horizontal="center" vertical="center" wrapText="1"/>
    </xf>
    <xf numFmtId="0" fontId="95" fillId="0" borderId="10" xfId="814" applyFont="1" applyBorder="1" applyAlignment="1">
      <alignment horizontal="center" vertical="center"/>
    </xf>
    <xf numFmtId="0" fontId="95" fillId="0" borderId="12" xfId="814" applyFont="1" applyBorder="1" applyAlignment="1">
      <alignment horizontal="center" vertical="center"/>
    </xf>
    <xf numFmtId="0" fontId="53" fillId="0" borderId="6" xfId="0" applyFont="1" applyBorder="1" applyAlignment="1">
      <alignment horizontal="center"/>
    </xf>
    <xf numFmtId="0" fontId="50" fillId="0" borderId="6" xfId="0" applyFont="1" applyBorder="1" applyAlignment="1">
      <alignment horizontal="center"/>
    </xf>
    <xf numFmtId="4" fontId="53" fillId="0" borderId="49" xfId="0" applyNumberFormat="1" applyFont="1" applyBorder="1" applyAlignment="1">
      <alignment horizontal="center" vertical="center" wrapText="1"/>
    </xf>
    <xf numFmtId="4" fontId="53" fillId="0" borderId="51" xfId="0" applyNumberFormat="1" applyFont="1" applyBorder="1" applyAlignment="1">
      <alignment horizontal="center" vertical="center" wrapText="1"/>
    </xf>
    <xf numFmtId="4" fontId="53" fillId="0" borderId="31" xfId="0" applyNumberFormat="1" applyFont="1" applyBorder="1" applyAlignment="1">
      <alignment horizontal="center" vertical="center" wrapText="1"/>
    </xf>
    <xf numFmtId="4" fontId="53" fillId="0" borderId="41" xfId="0" applyNumberFormat="1" applyFont="1" applyBorder="1" applyAlignment="1">
      <alignment horizontal="center" vertical="center" wrapText="1"/>
    </xf>
    <xf numFmtId="4" fontId="53" fillId="0" borderId="50" xfId="0" applyNumberFormat="1" applyFont="1" applyBorder="1" applyAlignment="1">
      <alignment horizontal="center" vertical="center" wrapText="1"/>
    </xf>
    <xf numFmtId="4" fontId="53" fillId="0" borderId="54" xfId="0" applyNumberFormat="1" applyFont="1" applyBorder="1" applyAlignment="1">
      <alignment horizontal="center" vertical="center" wrapText="1"/>
    </xf>
    <xf numFmtId="0" fontId="53" fillId="0" borderId="19" xfId="0" applyFont="1" applyBorder="1" applyAlignment="1">
      <alignment horizontal="center" wrapText="1"/>
    </xf>
    <xf numFmtId="0" fontId="53" fillId="0" borderId="8" xfId="0" applyFont="1" applyBorder="1" applyAlignment="1">
      <alignment horizontal="center" wrapText="1"/>
    </xf>
    <xf numFmtId="0" fontId="53" fillId="0" borderId="19" xfId="0" applyFont="1" applyBorder="1" applyAlignment="1">
      <alignment horizontal="center" vertical="center" wrapText="1"/>
    </xf>
    <xf numFmtId="0" fontId="53" fillId="0" borderId="8" xfId="0" applyFont="1" applyBorder="1" applyAlignment="1">
      <alignment horizontal="center" vertical="center" wrapText="1"/>
    </xf>
    <xf numFmtId="0" fontId="158" fillId="30" borderId="6" xfId="645" applyFont="1" applyFill="1" applyBorder="1" applyAlignment="1">
      <alignment horizontal="center" vertical="center"/>
    </xf>
    <xf numFmtId="0" fontId="106" fillId="0" borderId="6" xfId="645" applyFont="1" applyBorder="1" applyAlignment="1">
      <alignment horizontal="right" vertical="center" wrapText="1"/>
    </xf>
    <xf numFmtId="202" fontId="105" fillId="0" borderId="6" xfId="221" applyNumberFormat="1" applyFont="1" applyBorder="1" applyAlignment="1">
      <alignment horizontal="right" vertical="center" wrapText="1"/>
    </xf>
    <xf numFmtId="0" fontId="78" fillId="30" borderId="6" xfId="645" applyFont="1" applyFill="1" applyBorder="1" applyAlignment="1">
      <alignment horizontal="center" vertical="center" wrapText="1"/>
    </xf>
    <xf numFmtId="15" fontId="2" fillId="0" borderId="6" xfId="645" applyNumberFormat="1" applyFont="1" applyBorder="1" applyAlignment="1">
      <alignment horizontal="left" vertical="center"/>
    </xf>
    <xf numFmtId="4" fontId="2" fillId="0" borderId="6" xfId="645" applyNumberFormat="1" applyFont="1" applyBorder="1" applyAlignment="1">
      <alignment horizontal="center" vertical="center" wrapText="1"/>
    </xf>
    <xf numFmtId="0" fontId="2" fillId="0" borderId="6" xfId="645" applyFont="1" applyBorder="1" applyAlignment="1">
      <alignment horizontal="center" vertical="center" wrapText="1"/>
    </xf>
    <xf numFmtId="178" fontId="2" fillId="0" borderId="6" xfId="645" applyNumberFormat="1" applyFont="1" applyBorder="1" applyAlignment="1">
      <alignment horizontal="left" vertical="center"/>
    </xf>
    <xf numFmtId="0" fontId="78" fillId="0" borderId="6" xfId="645" applyFont="1" applyBorder="1" applyAlignment="1">
      <alignment horizontal="center" vertical="center" wrapText="1"/>
    </xf>
    <xf numFmtId="200" fontId="105" fillId="0" borderId="85" xfId="647" applyFont="1" applyBorder="1" applyAlignment="1" applyProtection="1">
      <alignment horizontal="center" vertical="center" wrapText="1"/>
      <protection locked="0"/>
    </xf>
    <xf numFmtId="200" fontId="105" fillId="0" borderId="86" xfId="647" applyFont="1" applyBorder="1" applyAlignment="1" applyProtection="1">
      <alignment horizontal="center" vertical="center" wrapText="1"/>
      <protection locked="0"/>
    </xf>
    <xf numFmtId="200" fontId="105" fillId="0" borderId="90" xfId="647" applyFont="1" applyBorder="1" applyAlignment="1" applyProtection="1">
      <alignment horizontal="center" vertical="center" wrapText="1"/>
      <protection locked="0"/>
    </xf>
    <xf numFmtId="200" fontId="105" fillId="0" borderId="89" xfId="647" applyFont="1" applyBorder="1" applyAlignment="1" applyProtection="1">
      <alignment horizontal="center" vertical="center" wrapText="1"/>
      <protection locked="0"/>
    </xf>
    <xf numFmtId="200" fontId="105" fillId="0" borderId="19" xfId="647" applyFont="1" applyBorder="1" applyAlignment="1" applyProtection="1">
      <alignment horizontal="center" vertical="center" wrapText="1"/>
      <protection locked="0"/>
    </xf>
    <xf numFmtId="200" fontId="105" fillId="0" borderId="49" xfId="647" applyFont="1" applyBorder="1" applyAlignment="1" applyProtection="1">
      <alignment horizontal="center" vertical="center" wrapText="1"/>
      <protection locked="0"/>
    </xf>
    <xf numFmtId="200" fontId="54" fillId="0" borderId="24" xfId="647" applyFont="1" applyBorder="1" applyAlignment="1" applyProtection="1">
      <alignment horizontal="center" vertical="center" wrapText="1"/>
      <protection locked="0"/>
    </xf>
    <xf numFmtId="200" fontId="54" fillId="0" borderId="25" xfId="647" applyFont="1" applyBorder="1" applyAlignment="1" applyProtection="1">
      <alignment horizontal="center" vertical="center" wrapText="1"/>
      <protection locked="0"/>
    </xf>
    <xf numFmtId="200" fontId="54" fillId="0" borderId="16" xfId="647" applyFont="1" applyBorder="1" applyAlignment="1" applyProtection="1">
      <alignment horizontal="center" vertical="center" wrapText="1"/>
      <protection locked="0"/>
    </xf>
    <xf numFmtId="200" fontId="54" fillId="0" borderId="14" xfId="647" applyFont="1" applyBorder="1" applyAlignment="1" applyProtection="1">
      <alignment horizontal="center" vertical="center" wrapText="1"/>
      <protection locked="0"/>
    </xf>
    <xf numFmtId="200" fontId="54" fillId="0" borderId="15" xfId="647" applyFont="1" applyBorder="1" applyAlignment="1" applyProtection="1">
      <alignment horizontal="center" vertical="center" wrapText="1"/>
      <protection locked="0"/>
    </xf>
    <xf numFmtId="200" fontId="54" fillId="0" borderId="17" xfId="647" applyFont="1" applyBorder="1" applyAlignment="1" applyProtection="1">
      <alignment horizontal="center" vertical="center" wrapText="1"/>
      <protection locked="0"/>
    </xf>
    <xf numFmtId="204" fontId="54" fillId="0" borderId="7" xfId="647" applyNumberFormat="1" applyFont="1" applyBorder="1" applyAlignment="1" applyProtection="1">
      <alignment horizontal="center" vertical="center"/>
      <protection hidden="1"/>
    </xf>
    <xf numFmtId="0" fontId="11" fillId="0" borderId="13" xfId="0" applyFont="1" applyBorder="1" applyAlignment="1">
      <alignment horizontal="left"/>
    </xf>
    <xf numFmtId="0" fontId="0" fillId="0" borderId="13" xfId="0" applyBorder="1" applyAlignment="1">
      <alignment horizontal="left"/>
    </xf>
    <xf numFmtId="0" fontId="155" fillId="0" borderId="10" xfId="0" applyFont="1" applyBorder="1" applyAlignment="1">
      <alignment horizontal="left" vertical="center" wrapText="1"/>
    </xf>
    <xf numFmtId="0" fontId="155" fillId="0" borderId="11" xfId="0" applyFont="1" applyBorder="1" applyAlignment="1">
      <alignment horizontal="left" vertical="center" wrapText="1"/>
    </xf>
    <xf numFmtId="0" fontId="153" fillId="0" borderId="10" xfId="0" applyFont="1" applyBorder="1" applyAlignment="1">
      <alignment horizontal="left"/>
    </xf>
    <xf numFmtId="0" fontId="50" fillId="0" borderId="11" xfId="0" applyFont="1" applyBorder="1" applyAlignment="1">
      <alignment wrapText="1"/>
    </xf>
    <xf numFmtId="0" fontId="50" fillId="0" borderId="12" xfId="0" applyFont="1" applyBorder="1" applyAlignment="1">
      <alignment wrapText="1"/>
    </xf>
    <xf numFmtId="0" fontId="154" fillId="0" borderId="76" xfId="0" applyFont="1" applyBorder="1" applyAlignment="1">
      <alignment horizontal="center" vertical="center"/>
    </xf>
    <xf numFmtId="0" fontId="154" fillId="0" borderId="6" xfId="0" applyFont="1" applyBorder="1" applyAlignment="1">
      <alignment horizontal="center" vertical="center"/>
    </xf>
    <xf numFmtId="0" fontId="154" fillId="0" borderId="57" xfId="0" applyFont="1" applyBorder="1" applyAlignment="1">
      <alignment horizontal="center" vertical="center"/>
    </xf>
    <xf numFmtId="0" fontId="154" fillId="0" borderId="35" xfId="0" applyFont="1" applyBorder="1" applyAlignment="1">
      <alignment horizontal="center" vertical="center"/>
    </xf>
    <xf numFmtId="0" fontId="151" fillId="0" borderId="24" xfId="0" applyFont="1" applyBorder="1" applyAlignment="1">
      <alignment horizontal="center" vertical="center"/>
    </xf>
    <xf numFmtId="0" fontId="151" fillId="0" borderId="25" xfId="0" applyFont="1" applyBorder="1" applyAlignment="1">
      <alignment horizontal="center" vertical="center"/>
    </xf>
    <xf numFmtId="0" fontId="151" fillId="0" borderId="16" xfId="0" applyFont="1" applyBorder="1" applyAlignment="1">
      <alignment horizontal="center" vertical="center"/>
    </xf>
    <xf numFmtId="0" fontId="151" fillId="0" borderId="14" xfId="0" applyFont="1" applyBorder="1" applyAlignment="1">
      <alignment horizontal="center" vertical="center"/>
    </xf>
    <xf numFmtId="0" fontId="151" fillId="0" borderId="15" xfId="0" applyFont="1" applyBorder="1" applyAlignment="1">
      <alignment horizontal="center" vertical="center"/>
    </xf>
    <xf numFmtId="0" fontId="151" fillId="0" borderId="17" xfId="0" applyFont="1" applyBorder="1" applyAlignment="1">
      <alignment horizontal="center" vertical="center"/>
    </xf>
    <xf numFmtId="0" fontId="154" fillId="0" borderId="10" xfId="0" applyFont="1" applyBorder="1" applyAlignment="1">
      <alignment horizontal="center"/>
    </xf>
    <xf numFmtId="0" fontId="154" fillId="0" borderId="11" xfId="0" applyFont="1" applyBorder="1" applyAlignment="1">
      <alignment horizontal="center"/>
    </xf>
    <xf numFmtId="0" fontId="154" fillId="0" borderId="11" xfId="0" applyFont="1" applyBorder="1" applyAlignment="1">
      <alignment horizontal="right"/>
    </xf>
    <xf numFmtId="0" fontId="155" fillId="0" borderId="10" xfId="0" applyFont="1" applyBorder="1" applyAlignment="1">
      <alignment horizontal="left"/>
    </xf>
    <xf numFmtId="0" fontId="50" fillId="0" borderId="79" xfId="0" applyFont="1" applyBorder="1" applyAlignment="1">
      <alignment wrapText="1"/>
    </xf>
    <xf numFmtId="0" fontId="153" fillId="0" borderId="10" xfId="0" applyFont="1" applyBorder="1" applyAlignment="1">
      <alignment horizontal="left" wrapText="1"/>
    </xf>
    <xf numFmtId="0" fontId="152" fillId="0" borderId="40" xfId="0" applyFont="1" applyBorder="1" applyAlignment="1">
      <alignment horizontal="center"/>
    </xf>
    <xf numFmtId="0" fontId="50" fillId="0" borderId="13" xfId="0" applyFont="1" applyBorder="1" applyAlignment="1">
      <alignment wrapText="1"/>
    </xf>
    <xf numFmtId="0" fontId="155" fillId="0" borderId="49" xfId="0" applyFont="1" applyBorder="1" applyAlignment="1">
      <alignment horizontal="left"/>
    </xf>
    <xf numFmtId="0" fontId="156" fillId="0" borderId="92" xfId="0" applyFont="1" applyBorder="1" applyAlignment="1">
      <alignment wrapText="1"/>
    </xf>
    <xf numFmtId="0" fontId="156" fillId="0" borderId="97" xfId="0" applyFont="1" applyBorder="1" applyAlignment="1">
      <alignment wrapText="1"/>
    </xf>
    <xf numFmtId="0" fontId="145" fillId="0" borderId="78" xfId="0" applyFont="1" applyBorder="1" applyAlignment="1">
      <alignment horizontal="left" indent="3"/>
    </xf>
    <xf numFmtId="0" fontId="145" fillId="0" borderId="11" xfId="0" applyFont="1" applyBorder="1" applyAlignment="1">
      <alignment horizontal="left" indent="3"/>
    </xf>
    <xf numFmtId="0" fontId="145" fillId="0" borderId="21" xfId="0" applyFont="1" applyBorder="1" applyAlignment="1">
      <alignment horizontal="center" vertical="center"/>
    </xf>
    <xf numFmtId="0" fontId="145" fillId="0" borderId="27" xfId="0" applyFont="1" applyBorder="1" applyAlignment="1">
      <alignment horizontal="center" vertical="center"/>
    </xf>
    <xf numFmtId="2" fontId="144" fillId="36" borderId="21" xfId="0" applyNumberFormat="1" applyFont="1" applyFill="1" applyBorder="1" applyAlignment="1">
      <alignment horizontal="center"/>
    </xf>
    <xf numFmtId="2" fontId="144" fillId="36" borderId="27" xfId="0" applyNumberFormat="1" applyFont="1" applyFill="1" applyBorder="1" applyAlignment="1">
      <alignment horizontal="center"/>
    </xf>
    <xf numFmtId="2" fontId="144" fillId="36" borderId="93" xfId="0" applyNumberFormat="1" applyFont="1" applyFill="1" applyBorder="1" applyAlignment="1">
      <alignment horizontal="center"/>
    </xf>
    <xf numFmtId="0" fontId="145" fillId="0" borderId="40" xfId="0" applyFont="1" applyBorder="1" applyAlignment="1">
      <alignment horizontal="center" vertical="center"/>
    </xf>
    <xf numFmtId="0" fontId="145" fillId="0" borderId="13" xfId="0" applyFont="1" applyBorder="1" applyAlignment="1">
      <alignment horizontal="center" vertical="center"/>
    </xf>
    <xf numFmtId="0" fontId="145" fillId="0" borderId="98" xfId="0" applyFont="1" applyBorder="1" applyAlignment="1">
      <alignment horizontal="left" indent="3"/>
    </xf>
    <xf numFmtId="0" fontId="145" fillId="0" borderId="92" xfId="0" applyFont="1" applyBorder="1" applyAlignment="1">
      <alignment horizontal="left" indent="3"/>
    </xf>
    <xf numFmtId="0" fontId="145" fillId="36" borderId="21" xfId="0" applyFont="1" applyFill="1" applyBorder="1" applyAlignment="1">
      <alignment horizontal="center" vertical="center"/>
    </xf>
    <xf numFmtId="0" fontId="145" fillId="36" borderId="27" xfId="0" applyFont="1" applyFill="1" applyBorder="1" applyAlignment="1">
      <alignment horizontal="center" vertical="center"/>
    </xf>
    <xf numFmtId="2" fontId="115" fillId="0" borderId="6" xfId="0" applyNumberFormat="1" applyFont="1" applyBorder="1" applyAlignment="1">
      <alignment horizontal="center"/>
    </xf>
    <xf numFmtId="2" fontId="115" fillId="0" borderId="77" xfId="0" applyNumberFormat="1" applyFont="1" applyBorder="1" applyAlignment="1">
      <alignment horizontal="center"/>
    </xf>
    <xf numFmtId="0" fontId="115" fillId="0" borderId="10" xfId="0" applyFont="1" applyBorder="1" applyAlignment="1">
      <alignment vertical="top"/>
    </xf>
    <xf numFmtId="0" fontId="115" fillId="0" borderId="12" xfId="0" applyFont="1" applyBorder="1" applyAlignment="1">
      <alignment vertical="top"/>
    </xf>
    <xf numFmtId="175" fontId="115" fillId="0" borderId="10" xfId="379" applyFont="1" applyBorder="1" applyAlignment="1">
      <alignment horizontal="center" vertical="center"/>
    </xf>
    <xf numFmtId="175" fontId="115" fillId="0" borderId="12" xfId="379" applyFont="1" applyBorder="1" applyAlignment="1">
      <alignment horizontal="center" vertical="center"/>
    </xf>
    <xf numFmtId="2" fontId="115" fillId="0" borderId="10" xfId="0" applyNumberFormat="1" applyFont="1" applyBorder="1" applyAlignment="1">
      <alignment horizontal="center" vertical="center"/>
    </xf>
    <xf numFmtId="2" fontId="115" fillId="0" borderId="11" xfId="0" applyNumberFormat="1" applyFont="1" applyBorder="1" applyAlignment="1">
      <alignment horizontal="center" vertical="center"/>
    </xf>
    <xf numFmtId="2" fontId="115" fillId="0" borderId="12" xfId="0" applyNumberFormat="1" applyFont="1" applyBorder="1" applyAlignment="1">
      <alignment horizontal="center" vertical="center"/>
    </xf>
    <xf numFmtId="0" fontId="115" fillId="0" borderId="76" xfId="0" applyFont="1" applyBorder="1" applyAlignment="1">
      <alignment horizontal="left" vertical="center"/>
    </xf>
    <xf numFmtId="0" fontId="115" fillId="0" borderId="6" xfId="0" applyFont="1" applyBorder="1" applyAlignment="1">
      <alignment horizontal="left" vertical="center"/>
    </xf>
    <xf numFmtId="0" fontId="115" fillId="0" borderId="10" xfId="0" applyFont="1" applyBorder="1" applyAlignment="1">
      <alignment horizontal="center"/>
    </xf>
    <xf numFmtId="0" fontId="115" fillId="0" borderId="12" xfId="0" applyFont="1" applyBorder="1" applyAlignment="1">
      <alignment horizontal="center"/>
    </xf>
    <xf numFmtId="203" fontId="115" fillId="0" borderId="10" xfId="0" applyNumberFormat="1" applyFont="1" applyBorder="1" applyAlignment="1">
      <alignment horizontal="center"/>
    </xf>
    <xf numFmtId="203" fontId="115" fillId="0" borderId="11" xfId="0" applyNumberFormat="1" applyFont="1" applyBorder="1" applyAlignment="1">
      <alignment horizontal="center"/>
    </xf>
    <xf numFmtId="203" fontId="115" fillId="0" borderId="12" xfId="0" applyNumberFormat="1" applyFont="1" applyBorder="1" applyAlignment="1">
      <alignment horizontal="center"/>
    </xf>
    <xf numFmtId="203" fontId="115" fillId="0" borderId="6" xfId="0" applyNumberFormat="1" applyFont="1" applyBorder="1" applyAlignment="1">
      <alignment vertical="center"/>
    </xf>
    <xf numFmtId="203" fontId="115" fillId="0" borderId="77" xfId="0" applyNumberFormat="1" applyFont="1" applyBorder="1" applyAlignment="1">
      <alignment vertical="center"/>
    </xf>
    <xf numFmtId="0" fontId="145" fillId="0" borderId="99" xfId="0" applyFont="1" applyBorder="1" applyAlignment="1">
      <alignment horizontal="center"/>
    </xf>
    <xf numFmtId="0" fontId="145" fillId="0" borderId="96" xfId="0" applyFont="1" applyBorder="1" applyAlignment="1">
      <alignment horizontal="center"/>
    </xf>
    <xf numFmtId="0" fontId="145" fillId="0" borderId="36" xfId="0" applyFont="1" applyBorder="1" applyAlignment="1">
      <alignment horizontal="center"/>
    </xf>
    <xf numFmtId="3" fontId="145" fillId="0" borderId="35" xfId="0" applyNumberFormat="1" applyFont="1" applyBorder="1" applyAlignment="1">
      <alignment vertical="center"/>
    </xf>
    <xf numFmtId="3" fontId="145" fillId="0" borderId="58" xfId="0" applyNumberFormat="1" applyFont="1" applyBorder="1" applyAlignment="1">
      <alignment vertical="center"/>
    </xf>
    <xf numFmtId="0" fontId="115" fillId="0" borderId="31" xfId="0" applyFont="1" applyBorder="1" applyAlignment="1">
      <alignment horizontal="center"/>
    </xf>
    <xf numFmtId="0" fontId="115" fillId="0" borderId="0" xfId="0" applyFont="1" applyAlignment="1">
      <alignment horizontal="center"/>
    </xf>
    <xf numFmtId="0" fontId="115" fillId="0" borderId="41" xfId="0" applyFont="1" applyBorder="1" applyAlignment="1">
      <alignment horizontal="center"/>
    </xf>
    <xf numFmtId="0" fontId="145" fillId="0" borderId="87" xfId="0" applyFont="1" applyBorder="1" applyAlignment="1">
      <alignment horizontal="center" vertical="center"/>
    </xf>
    <xf numFmtId="0" fontId="145" fillId="0" borderId="8" xfId="0" applyFont="1" applyBorder="1" applyAlignment="1">
      <alignment horizontal="center" vertical="center"/>
    </xf>
    <xf numFmtId="0" fontId="145" fillId="0" borderId="90" xfId="0" applyFont="1" applyBorder="1" applyAlignment="1">
      <alignment horizontal="center" vertical="center"/>
    </xf>
    <xf numFmtId="0" fontId="145" fillId="0" borderId="91" xfId="0" applyFont="1" applyBorder="1" applyAlignment="1">
      <alignment horizontal="center" vertical="center"/>
    </xf>
    <xf numFmtId="0" fontId="145" fillId="0" borderId="84" xfId="0" applyFont="1" applyBorder="1" applyAlignment="1">
      <alignment horizontal="center" vertical="center"/>
    </xf>
    <xf numFmtId="0" fontId="145" fillId="0" borderId="80" xfId="0" applyFont="1" applyBorder="1" applyAlignment="1">
      <alignment horizontal="center" vertical="center"/>
    </xf>
    <xf numFmtId="2" fontId="115" fillId="0" borderId="79" xfId="0" applyNumberFormat="1" applyFont="1" applyBorder="1" applyAlignment="1">
      <alignment horizontal="center" vertical="center"/>
    </xf>
    <xf numFmtId="0" fontId="6" fillId="0" borderId="31" xfId="0" applyFont="1" applyBorder="1" applyAlignment="1">
      <alignment horizontal="center"/>
    </xf>
    <xf numFmtId="0" fontId="6" fillId="0" borderId="0" xfId="0" applyFont="1" applyAlignment="1">
      <alignment horizontal="center"/>
    </xf>
    <xf numFmtId="0" fontId="6" fillId="0" borderId="41" xfId="0" applyFont="1" applyBorder="1" applyAlignment="1">
      <alignment horizontal="center"/>
    </xf>
    <xf numFmtId="0" fontId="145" fillId="0" borderId="78" xfId="0" applyFont="1" applyBorder="1" applyAlignment="1">
      <alignment horizontal="left"/>
    </xf>
    <xf numFmtId="0" fontId="145" fillId="0" borderId="11" xfId="0" applyFont="1" applyBorder="1" applyAlignment="1">
      <alignment horizontal="left"/>
    </xf>
    <xf numFmtId="0" fontId="145" fillId="0" borderId="79" xfId="0" applyFont="1" applyBorder="1" applyAlignment="1">
      <alignment horizontal="left"/>
    </xf>
    <xf numFmtId="0" fontId="85" fillId="0" borderId="0" xfId="0" applyFont="1" applyAlignment="1">
      <alignment horizontal="center"/>
    </xf>
    <xf numFmtId="0" fontId="85" fillId="36" borderId="21" xfId="0" applyFont="1" applyFill="1" applyBorder="1" applyAlignment="1">
      <alignment horizontal="center"/>
    </xf>
    <xf numFmtId="0" fontId="85" fillId="36" borderId="27" xfId="0" applyFont="1" applyFill="1" applyBorder="1" applyAlignment="1">
      <alignment horizontal="center"/>
    </xf>
    <xf numFmtId="0" fontId="85" fillId="36" borderId="93" xfId="0" applyFont="1" applyFill="1" applyBorder="1" applyAlignment="1">
      <alignment horizontal="center"/>
    </xf>
    <xf numFmtId="0" fontId="144" fillId="36" borderId="24" xfId="0" applyFont="1" applyFill="1" applyBorder="1" applyAlignment="1">
      <alignment horizontal="center"/>
    </xf>
    <xf numFmtId="0" fontId="144" fillId="36" borderId="25" xfId="0" applyFont="1" applyFill="1" applyBorder="1" applyAlignment="1">
      <alignment horizontal="center"/>
    </xf>
    <xf numFmtId="0" fontId="144" fillId="36" borderId="16" xfId="0" applyFont="1" applyFill="1" applyBorder="1" applyAlignment="1">
      <alignment horizontal="center"/>
    </xf>
    <xf numFmtId="0" fontId="145" fillId="0" borderId="37" xfId="0" applyFont="1" applyBorder="1" applyAlignment="1">
      <alignment horizontal="center" vertical="center"/>
    </xf>
    <xf numFmtId="0" fontId="145" fillId="0" borderId="30" xfId="0" applyFont="1" applyBorder="1" applyAlignment="1">
      <alignment horizontal="center" vertical="center"/>
    </xf>
    <xf numFmtId="0" fontId="145" fillId="0" borderId="90" xfId="0" applyFont="1" applyBorder="1" applyAlignment="1">
      <alignment horizontal="center"/>
    </xf>
    <xf numFmtId="0" fontId="145" fillId="0" borderId="84" xfId="0" applyFont="1" applyBorder="1" applyAlignment="1">
      <alignment horizontal="center"/>
    </xf>
    <xf numFmtId="0" fontId="145" fillId="0" borderId="95" xfId="0" applyFont="1" applyBorder="1" applyAlignment="1">
      <alignment horizontal="center"/>
    </xf>
    <xf numFmtId="0" fontId="145" fillId="0" borderId="10" xfId="0" applyFont="1" applyBorder="1" applyAlignment="1">
      <alignment horizontal="center"/>
    </xf>
    <xf numFmtId="0" fontId="145" fillId="0" borderId="11" xfId="0" applyFont="1" applyBorder="1" applyAlignment="1">
      <alignment horizontal="center"/>
    </xf>
    <xf numFmtId="0" fontId="145" fillId="0" borderId="49" xfId="0" applyFont="1" applyBorder="1" applyAlignment="1">
      <alignment horizontal="center" vertical="center"/>
    </xf>
    <xf numFmtId="0" fontId="145" fillId="0" borderId="97" xfId="0" applyFont="1" applyBorder="1" applyAlignment="1">
      <alignment horizontal="center" vertical="center"/>
    </xf>
    <xf numFmtId="0" fontId="145" fillId="0" borderId="50" xfId="0" applyFont="1" applyBorder="1" applyAlignment="1">
      <alignment horizontal="center" vertical="center"/>
    </xf>
    <xf numFmtId="0" fontId="145" fillId="0" borderId="18" xfId="0" applyFont="1" applyBorder="1" applyAlignment="1">
      <alignment horizontal="center" vertical="center"/>
    </xf>
    <xf numFmtId="0" fontId="145" fillId="0" borderId="54" xfId="0" applyFont="1" applyBorder="1" applyAlignment="1">
      <alignment horizontal="center" vertical="center"/>
    </xf>
    <xf numFmtId="0" fontId="145" fillId="0" borderId="90" xfId="0" applyFont="1" applyBorder="1" applyAlignment="1">
      <alignment horizontal="center" vertical="center" wrapText="1"/>
    </xf>
    <xf numFmtId="0" fontId="145" fillId="0" borderId="84" xfId="0" applyFont="1" applyBorder="1" applyAlignment="1">
      <alignment horizontal="center" vertical="center" wrapText="1"/>
    </xf>
    <xf numFmtId="0" fontId="145" fillId="0" borderId="91" xfId="0" applyFont="1" applyBorder="1" applyAlignment="1">
      <alignment horizontal="center" vertical="center" wrapText="1"/>
    </xf>
    <xf numFmtId="0" fontId="115" fillId="0" borderId="78" xfId="0" applyFont="1" applyBorder="1" applyAlignment="1">
      <alignment horizontal="justify" vertical="top"/>
    </xf>
    <xf numFmtId="0" fontId="115" fillId="0" borderId="12" xfId="0" applyFont="1" applyBorder="1" applyAlignment="1">
      <alignment horizontal="justify" vertical="top"/>
    </xf>
    <xf numFmtId="0" fontId="115" fillId="0" borderId="76" xfId="0" applyFont="1" applyBorder="1" applyAlignment="1">
      <alignment horizontal="left"/>
    </xf>
    <xf numFmtId="0" fontId="115" fillId="0" borderId="6" xfId="0" applyFont="1" applyBorder="1" applyAlignment="1">
      <alignment horizontal="left"/>
    </xf>
    <xf numFmtId="203" fontId="6" fillId="0" borderId="10" xfId="0" applyNumberFormat="1" applyFont="1" applyBorder="1" applyAlignment="1">
      <alignment horizontal="center" vertical="center"/>
    </xf>
    <xf numFmtId="203" fontId="6" fillId="0" borderId="11" xfId="0" applyNumberFormat="1" applyFont="1" applyBorder="1" applyAlignment="1">
      <alignment horizontal="center" vertical="center"/>
    </xf>
    <xf numFmtId="203" fontId="6" fillId="0" borderId="12" xfId="0" applyNumberFormat="1" applyFont="1" applyBorder="1" applyAlignment="1">
      <alignment horizontal="center" vertical="center"/>
    </xf>
    <xf numFmtId="0" fontId="115" fillId="0" borderId="98" xfId="0" applyFont="1" applyBorder="1" applyAlignment="1">
      <alignment horizontal="justify" vertical="top"/>
    </xf>
    <xf numFmtId="0" fontId="115" fillId="0" borderId="51" xfId="0" applyFont="1" applyBorder="1" applyAlignment="1">
      <alignment horizontal="justify" vertical="top"/>
    </xf>
    <xf numFmtId="0" fontId="145" fillId="0" borderId="10" xfId="0" applyFont="1" applyBorder="1" applyAlignment="1">
      <alignment horizontal="left" vertical="top"/>
    </xf>
    <xf numFmtId="0" fontId="145" fillId="0" borderId="11" xfId="0" applyFont="1" applyBorder="1" applyAlignment="1">
      <alignment horizontal="left" vertical="top"/>
    </xf>
    <xf numFmtId="0" fontId="154" fillId="22" borderId="106" xfId="1199" applyFont="1" applyFill="1" applyBorder="1" applyAlignment="1">
      <alignment horizontal="center" vertical="center" wrapText="1"/>
    </xf>
    <xf numFmtId="0" fontId="154" fillId="22" borderId="107" xfId="1199" applyFont="1" applyFill="1" applyBorder="1" applyAlignment="1">
      <alignment horizontal="center" vertical="center" wrapText="1"/>
    </xf>
    <xf numFmtId="0" fontId="154" fillId="22" borderId="108" xfId="1199" applyFont="1" applyFill="1" applyBorder="1" applyAlignment="1">
      <alignment horizontal="center" vertical="center" wrapText="1"/>
    </xf>
    <xf numFmtId="4" fontId="51" fillId="0" borderId="110" xfId="1199" applyNumberFormat="1" applyFont="1" applyBorder="1" applyAlignment="1">
      <alignment horizontal="center" vertical="center" wrapText="1"/>
    </xf>
    <xf numFmtId="0" fontId="51" fillId="0" borderId="111" xfId="1199" applyFont="1" applyBorder="1" applyAlignment="1">
      <alignment horizontal="center" vertical="center" wrapText="1"/>
    </xf>
    <xf numFmtId="0" fontId="51" fillId="0" borderId="112" xfId="1199" applyFont="1" applyBorder="1" applyAlignment="1">
      <alignment horizontal="center" vertical="center" wrapText="1"/>
    </xf>
    <xf numFmtId="0" fontId="53" fillId="0" borderId="110" xfId="1199" applyFont="1" applyBorder="1" applyAlignment="1">
      <alignment horizontal="center" vertical="center" wrapText="1"/>
    </xf>
    <xf numFmtId="0" fontId="53" fillId="0" borderId="111" xfId="1199" applyFont="1" applyBorder="1" applyAlignment="1">
      <alignment horizontal="center" vertical="center" wrapText="1"/>
    </xf>
    <xf numFmtId="0" fontId="53" fillId="0" borderId="113" xfId="1199" applyFont="1" applyBorder="1" applyAlignment="1">
      <alignment horizontal="center" vertical="center" wrapText="1"/>
    </xf>
    <xf numFmtId="0" fontId="53" fillId="0" borderId="21" xfId="1199" applyFont="1" applyBorder="1" applyAlignment="1">
      <alignment horizontal="center" vertical="top" wrapText="1"/>
    </xf>
    <xf numFmtId="0" fontId="53" fillId="0" borderId="27" xfId="1199" applyFont="1" applyBorder="1" applyAlignment="1">
      <alignment horizontal="center" vertical="top" wrapText="1"/>
    </xf>
    <xf numFmtId="0" fontId="53" fillId="0" borderId="93" xfId="1199" applyFont="1" applyBorder="1" applyAlignment="1">
      <alignment horizontal="center" vertical="top" wrapText="1"/>
    </xf>
    <xf numFmtId="0" fontId="53" fillId="0" borderId="118" xfId="1199" applyFont="1" applyBorder="1" applyAlignment="1">
      <alignment horizontal="center" vertical="center" wrapText="1"/>
    </xf>
    <xf numFmtId="0" fontId="53" fillId="0" borderId="121" xfId="1199" applyFont="1" applyBorder="1" applyAlignment="1">
      <alignment horizontal="center" vertical="center" wrapText="1"/>
    </xf>
    <xf numFmtId="0" fontId="53" fillId="0" borderId="119" xfId="1199" applyFont="1" applyBorder="1" applyAlignment="1">
      <alignment horizontal="center" vertical="center" wrapText="1"/>
    </xf>
    <xf numFmtId="0" fontId="53" fillId="0" borderId="122" xfId="1199" applyFont="1" applyBorder="1" applyAlignment="1">
      <alignment horizontal="center" vertical="center" wrapText="1"/>
    </xf>
    <xf numFmtId="215" fontId="50" fillId="0" borderId="52" xfId="1199" applyNumberFormat="1" applyFont="1" applyBorder="1" applyAlignment="1">
      <alignment horizontal="right" vertical="center"/>
    </xf>
    <xf numFmtId="215" fontId="50" fillId="0" borderId="134" xfId="1199" applyNumberFormat="1" applyFont="1" applyBorder="1" applyAlignment="1">
      <alignment horizontal="right" vertical="center"/>
    </xf>
    <xf numFmtId="4" fontId="3" fillId="0" borderId="0" xfId="1199" applyNumberFormat="1" applyFont="1" applyAlignment="1">
      <alignment horizontal="center" vertical="center"/>
    </xf>
    <xf numFmtId="0" fontId="53" fillId="0" borderId="135" xfId="1199" applyFont="1" applyBorder="1" applyAlignment="1">
      <alignment horizontal="left" vertical="center"/>
    </xf>
    <xf numFmtId="0" fontId="53" fillId="0" borderId="111" xfId="1199" applyFont="1" applyBorder="1" applyAlignment="1">
      <alignment horizontal="left" vertical="center"/>
    </xf>
    <xf numFmtId="0" fontId="53" fillId="0" borderId="136" xfId="1199" applyFont="1" applyBorder="1" applyAlignment="1">
      <alignment horizontal="left" vertical="center"/>
    </xf>
    <xf numFmtId="0" fontId="103" fillId="0" borderId="9" xfId="1199" applyFont="1" applyBorder="1" applyAlignment="1">
      <alignment horizontal="center" vertical="center"/>
    </xf>
    <xf numFmtId="0" fontId="103" fillId="0" borderId="0" xfId="1199" applyFont="1" applyAlignment="1">
      <alignment horizontal="center" vertical="center"/>
    </xf>
    <xf numFmtId="0" fontId="53" fillId="0" borderId="120" xfId="1199" applyFont="1" applyBorder="1" applyAlignment="1">
      <alignment horizontal="center" vertical="center" wrapText="1"/>
    </xf>
    <xf numFmtId="0" fontId="53" fillId="0" borderId="123" xfId="1199" applyFont="1" applyBorder="1" applyAlignment="1">
      <alignment horizontal="center" vertical="center" wrapText="1"/>
    </xf>
    <xf numFmtId="0" fontId="53" fillId="0" borderId="128" xfId="1199" applyFont="1" applyBorder="1" applyAlignment="1">
      <alignment horizontal="center" vertical="center" wrapText="1"/>
    </xf>
    <xf numFmtId="0" fontId="103" fillId="0" borderId="129" xfId="1199" applyFont="1" applyBorder="1" applyAlignment="1">
      <alignment horizontal="center" vertical="center" wrapText="1"/>
    </xf>
    <xf numFmtId="0" fontId="53" fillId="0" borderId="130" xfId="1199" applyFont="1" applyBorder="1" applyAlignment="1">
      <alignment horizontal="center" vertical="center" wrapText="1"/>
    </xf>
    <xf numFmtId="0" fontId="103" fillId="0" borderId="131" xfId="1199" applyFont="1" applyBorder="1" applyAlignment="1">
      <alignment horizontal="center" vertical="center" wrapText="1"/>
    </xf>
    <xf numFmtId="0" fontId="2" fillId="0" borderId="0" xfId="638" applyFont="1" applyAlignment="1">
      <alignment horizontal="center" vertical="top" wrapText="1"/>
    </xf>
    <xf numFmtId="0" fontId="169" fillId="0" borderId="10" xfId="638" applyFont="1" applyBorder="1" applyAlignment="1">
      <alignment horizontal="center" vertical="center" wrapText="1"/>
    </xf>
    <xf numFmtId="0" fontId="169" fillId="0" borderId="11" xfId="638" applyFont="1" applyBorder="1" applyAlignment="1">
      <alignment horizontal="center" vertical="center" wrapText="1"/>
    </xf>
    <xf numFmtId="0" fontId="169" fillId="0" borderId="12" xfId="638" applyFont="1" applyBorder="1" applyAlignment="1">
      <alignment horizontal="center" vertical="center" wrapText="1"/>
    </xf>
    <xf numFmtId="0" fontId="167" fillId="0" borderId="0" xfId="638" applyFont="1" applyAlignment="1">
      <alignment horizontal="left" vertical="top" wrapText="1"/>
    </xf>
    <xf numFmtId="0" fontId="168" fillId="0" borderId="103" xfId="638" applyFont="1" applyBorder="1" applyAlignment="1">
      <alignment horizontal="left" vertical="top" wrapText="1"/>
    </xf>
    <xf numFmtId="0" fontId="50" fillId="0" borderId="0" xfId="0" applyFont="1" applyAlignment="1">
      <alignment horizontal="center" vertical="center" wrapText="1"/>
    </xf>
    <xf numFmtId="0" fontId="61" fillId="30" borderId="6" xfId="0" applyFont="1" applyFill="1" applyBorder="1" applyAlignment="1">
      <alignment horizontal="center"/>
    </xf>
    <xf numFmtId="181" fontId="61" fillId="30" borderId="6" xfId="0" applyNumberFormat="1" applyFont="1" applyFill="1" applyBorder="1" applyAlignment="1">
      <alignment horizontal="center"/>
    </xf>
    <xf numFmtId="0" fontId="61" fillId="30" borderId="6" xfId="0" applyFont="1" applyFill="1" applyBorder="1" applyAlignment="1">
      <alignment horizontal="left"/>
    </xf>
    <xf numFmtId="10" fontId="61" fillId="36" borderId="10" xfId="654" applyNumberFormat="1" applyFont="1" applyFill="1" applyBorder="1" applyAlignment="1">
      <alignment horizontal="center"/>
    </xf>
    <xf numFmtId="10" fontId="61" fillId="36" borderId="12" xfId="654" applyNumberFormat="1" applyFont="1" applyFill="1" applyBorder="1" applyAlignment="1">
      <alignment horizontal="center"/>
    </xf>
    <xf numFmtId="182" fontId="61" fillId="30" borderId="6" xfId="0" applyNumberFormat="1" applyFont="1" applyFill="1" applyBorder="1" applyAlignment="1">
      <alignment horizontal="center"/>
    </xf>
    <xf numFmtId="0" fontId="61" fillId="0" borderId="6" xfId="0" applyFont="1" applyBorder="1" applyAlignment="1">
      <alignment horizontal="right"/>
    </xf>
    <xf numFmtId="167" fontId="60" fillId="0" borderId="10" xfId="146" applyFont="1" applyBorder="1" applyAlignment="1">
      <alignment horizontal="right"/>
    </xf>
    <xf numFmtId="167" fontId="60" fillId="0" borderId="12" xfId="146" applyFont="1" applyBorder="1" applyAlignment="1">
      <alignment horizontal="right"/>
    </xf>
    <xf numFmtId="0" fontId="62" fillId="0" borderId="6" xfId="0" applyFont="1" applyBorder="1" applyAlignment="1">
      <alignment horizontal="left" vertical="center" wrapText="1"/>
    </xf>
    <xf numFmtId="0" fontId="29" fillId="0" borderId="6" xfId="0" applyFont="1" applyBorder="1" applyAlignment="1">
      <alignment horizontal="left" vertical="center" wrapText="1"/>
    </xf>
    <xf numFmtId="0" fontId="61" fillId="36" borderId="10" xfId="0" applyFont="1" applyFill="1" applyBorder="1" applyAlignment="1">
      <alignment horizontal="left"/>
    </xf>
    <xf numFmtId="0" fontId="61" fillId="36" borderId="12" xfId="0" applyFont="1" applyFill="1" applyBorder="1" applyAlignment="1">
      <alignment horizontal="left"/>
    </xf>
    <xf numFmtId="0" fontId="60" fillId="0" borderId="10" xfId="0" applyFont="1" applyBorder="1" applyAlignment="1">
      <alignment horizontal="left"/>
    </xf>
    <xf numFmtId="0" fontId="60" fillId="0" borderId="12" xfId="0" applyFont="1" applyBorder="1" applyAlignment="1">
      <alignment horizontal="left"/>
    </xf>
    <xf numFmtId="0" fontId="35" fillId="0" borderId="6" xfId="0" applyFont="1" applyBorder="1" applyAlignment="1">
      <alignment horizontal="center" vertical="center"/>
    </xf>
    <xf numFmtId="0" fontId="35" fillId="37" borderId="6" xfId="0" applyFont="1" applyFill="1" applyBorder="1" applyAlignment="1">
      <alignment horizontal="center" vertical="center"/>
    </xf>
    <xf numFmtId="176" fontId="35" fillId="30" borderId="6" xfId="0" applyNumberFormat="1" applyFont="1" applyFill="1" applyBorder="1" applyAlignment="1">
      <alignment horizontal="center" vertical="center"/>
    </xf>
    <xf numFmtId="0" fontId="35" fillId="30" borderId="6" xfId="0" applyFont="1" applyFill="1" applyBorder="1" applyAlignment="1">
      <alignment horizontal="center" vertical="center"/>
    </xf>
    <xf numFmtId="0" fontId="34" fillId="0" borderId="19" xfId="0" applyFont="1" applyBorder="1" applyAlignment="1">
      <alignment horizontal="center" vertical="center"/>
    </xf>
    <xf numFmtId="0" fontId="34" fillId="0" borderId="20" xfId="0" applyFont="1" applyBorder="1" applyAlignment="1">
      <alignment horizontal="center" vertical="center"/>
    </xf>
    <xf numFmtId="0" fontId="34" fillId="0" borderId="8" xfId="0" applyFont="1" applyBorder="1" applyAlignment="1">
      <alignment horizontal="center" vertical="center"/>
    </xf>
    <xf numFmtId="0" fontId="34" fillId="0" borderId="19" xfId="0" applyFont="1" applyBorder="1" applyAlignment="1">
      <alignment vertical="center"/>
    </xf>
    <xf numFmtId="0" fontId="34" fillId="0" borderId="20" xfId="0" applyFont="1" applyBorder="1" applyAlignment="1">
      <alignment vertical="center"/>
    </xf>
    <xf numFmtId="0" fontId="34" fillId="0" borderId="8" xfId="0" applyFont="1" applyBorder="1" applyAlignment="1">
      <alignment vertical="center"/>
    </xf>
    <xf numFmtId="179" fontId="35" fillId="0" borderId="19" xfId="0" applyNumberFormat="1" applyFont="1" applyBorder="1" applyAlignment="1">
      <alignment horizontal="center" vertical="center"/>
    </xf>
    <xf numFmtId="179" fontId="35" fillId="0" borderId="20" xfId="0" applyNumberFormat="1" applyFont="1" applyBorder="1" applyAlignment="1">
      <alignment horizontal="center" vertical="center"/>
    </xf>
    <xf numFmtId="179" fontId="35" fillId="0" borderId="8" xfId="0" applyNumberFormat="1" applyFont="1" applyBorder="1" applyAlignment="1">
      <alignment horizontal="center" vertical="center"/>
    </xf>
    <xf numFmtId="179" fontId="35" fillId="0" borderId="6" xfId="0" applyNumberFormat="1" applyFont="1" applyBorder="1" applyAlignment="1">
      <alignment horizontal="center" vertical="center"/>
    </xf>
    <xf numFmtId="176" fontId="35" fillId="0" borderId="6" xfId="0" applyNumberFormat="1" applyFont="1" applyBorder="1" applyAlignment="1">
      <alignment horizontal="center" vertical="center"/>
    </xf>
    <xf numFmtId="0" fontId="34" fillId="30" borderId="6" xfId="0" applyFont="1" applyFill="1" applyBorder="1" applyAlignment="1">
      <alignment horizontal="center" vertical="center"/>
    </xf>
    <xf numFmtId="0" fontId="34" fillId="30" borderId="6" xfId="0" applyFont="1" applyFill="1" applyBorder="1" applyAlignment="1">
      <alignment horizontal="left" vertical="center"/>
    </xf>
    <xf numFmtId="179" fontId="35" fillId="30" borderId="19" xfId="0" applyNumberFormat="1" applyFont="1" applyFill="1" applyBorder="1" applyAlignment="1">
      <alignment horizontal="center" vertical="center"/>
    </xf>
    <xf numFmtId="179" fontId="35" fillId="30" borderId="8" xfId="0" applyNumberFormat="1" applyFont="1" applyFill="1" applyBorder="1" applyAlignment="1">
      <alignment horizontal="center" vertical="center"/>
    </xf>
    <xf numFmtId="179" fontId="35" fillId="30" borderId="6" xfId="0" applyNumberFormat="1" applyFont="1" applyFill="1" applyBorder="1" applyAlignment="1">
      <alignment horizontal="center" vertical="center"/>
    </xf>
    <xf numFmtId="0" fontId="34" fillId="37" borderId="19" xfId="0" applyFont="1" applyFill="1" applyBorder="1" applyAlignment="1">
      <alignment horizontal="center" vertical="center"/>
    </xf>
    <xf numFmtId="0" fontId="34" fillId="37" borderId="20" xfId="0" applyFont="1" applyFill="1" applyBorder="1" applyAlignment="1">
      <alignment horizontal="center" vertical="center"/>
    </xf>
    <xf numFmtId="0" fontId="34" fillId="37" borderId="8" xfId="0" applyFont="1" applyFill="1" applyBorder="1" applyAlignment="1">
      <alignment horizontal="center" vertical="center"/>
    </xf>
    <xf numFmtId="0" fontId="34" fillId="37" borderId="19" xfId="0" applyFont="1" applyFill="1" applyBorder="1" applyAlignment="1">
      <alignment horizontal="left" vertical="center"/>
    </xf>
    <xf numFmtId="0" fontId="34" fillId="37" borderId="20" xfId="0" applyFont="1" applyFill="1" applyBorder="1" applyAlignment="1">
      <alignment horizontal="left" vertical="center"/>
    </xf>
    <xf numFmtId="0" fontId="34" fillId="37" borderId="8" xfId="0" applyFont="1" applyFill="1" applyBorder="1" applyAlignment="1">
      <alignment horizontal="left" vertical="center"/>
    </xf>
    <xf numFmtId="179" fontId="35" fillId="37" borderId="19" xfId="0" applyNumberFormat="1" applyFont="1" applyFill="1" applyBorder="1" applyAlignment="1">
      <alignment horizontal="center" vertical="center"/>
    </xf>
    <xf numFmtId="179" fontId="35" fillId="37" borderId="20" xfId="0" applyNumberFormat="1" applyFont="1" applyFill="1" applyBorder="1" applyAlignment="1">
      <alignment horizontal="center" vertical="center"/>
    </xf>
    <xf numFmtId="179" fontId="35" fillId="37" borderId="8" xfId="0" applyNumberFormat="1" applyFont="1" applyFill="1" applyBorder="1" applyAlignment="1">
      <alignment horizontal="center" vertical="center"/>
    </xf>
    <xf numFmtId="179" fontId="35" fillId="37" borderId="6" xfId="0" applyNumberFormat="1" applyFont="1" applyFill="1" applyBorder="1" applyAlignment="1">
      <alignment horizontal="center" vertical="center"/>
    </xf>
    <xf numFmtId="0" fontId="34" fillId="37" borderId="6" xfId="0" applyFont="1" applyFill="1" applyBorder="1" applyAlignment="1">
      <alignment horizontal="left" vertical="center"/>
    </xf>
    <xf numFmtId="0" fontId="34" fillId="0" borderId="6" xfId="0" applyFont="1" applyBorder="1" applyAlignment="1">
      <alignment horizontal="left" vertical="center"/>
    </xf>
    <xf numFmtId="0" fontId="34" fillId="37" borderId="19" xfId="0" applyFont="1" applyFill="1" applyBorder="1" applyAlignment="1">
      <alignment vertical="center"/>
    </xf>
    <xf numFmtId="0" fontId="34" fillId="37" borderId="20" xfId="0" applyFont="1" applyFill="1" applyBorder="1" applyAlignment="1">
      <alignment vertical="center"/>
    </xf>
    <xf numFmtId="0" fontId="34" fillId="37" borderId="8" xfId="0" applyFont="1" applyFill="1" applyBorder="1" applyAlignment="1">
      <alignment vertical="center"/>
    </xf>
    <xf numFmtId="0" fontId="30" fillId="49" borderId="6" xfId="0" applyFont="1" applyFill="1" applyBorder="1" applyAlignment="1">
      <alignment horizontal="center"/>
    </xf>
    <xf numFmtId="176" fontId="35" fillId="37" borderId="6" xfId="0" applyNumberFormat="1" applyFont="1" applyFill="1" applyBorder="1" applyAlignment="1">
      <alignment horizontal="center" vertical="center"/>
    </xf>
    <xf numFmtId="0" fontId="34" fillId="37" borderId="6" xfId="0" applyFont="1" applyFill="1" applyBorder="1" applyAlignment="1">
      <alignment horizontal="center" vertical="center"/>
    </xf>
    <xf numFmtId="0" fontId="34" fillId="0" borderId="6" xfId="0" applyFont="1" applyBorder="1" applyAlignment="1">
      <alignment horizontal="center" vertical="center"/>
    </xf>
    <xf numFmtId="176" fontId="35" fillId="37" borderId="19" xfId="0" applyNumberFormat="1" applyFont="1" applyFill="1" applyBorder="1" applyAlignment="1">
      <alignment horizontal="center" vertical="center"/>
    </xf>
    <xf numFmtId="176" fontId="35" fillId="37" borderId="20" xfId="0" applyNumberFormat="1" applyFont="1" applyFill="1" applyBorder="1" applyAlignment="1">
      <alignment horizontal="center" vertical="center"/>
    </xf>
    <xf numFmtId="176" fontId="35" fillId="37" borderId="8" xfId="0" applyNumberFormat="1" applyFont="1" applyFill="1" applyBorder="1" applyAlignment="1">
      <alignment horizontal="center" vertical="center"/>
    </xf>
    <xf numFmtId="0" fontId="35" fillId="37" borderId="19" xfId="0" applyFont="1" applyFill="1" applyBorder="1" applyAlignment="1">
      <alignment horizontal="center" vertical="center"/>
    </xf>
    <xf numFmtId="0" fontId="35" fillId="37" borderId="20" xfId="0" applyFont="1" applyFill="1" applyBorder="1" applyAlignment="1">
      <alignment horizontal="center" vertical="center"/>
    </xf>
    <xf numFmtId="0" fontId="35" fillId="37" borderId="8" xfId="0" applyFont="1" applyFill="1" applyBorder="1" applyAlignment="1">
      <alignment horizontal="center" vertical="center"/>
    </xf>
    <xf numFmtId="10" fontId="141" fillId="0" borderId="99" xfId="817" applyNumberFormat="1" applyFont="1" applyFill="1" applyBorder="1" applyAlignment="1">
      <alignment horizontal="center" vertical="center"/>
    </xf>
    <xf numFmtId="10" fontId="141" fillId="0" borderId="96" xfId="817" applyNumberFormat="1" applyFont="1" applyFill="1" applyBorder="1" applyAlignment="1">
      <alignment horizontal="center" vertical="center"/>
    </xf>
    <xf numFmtId="10" fontId="141" fillId="0" borderId="139" xfId="817" applyNumberFormat="1" applyFont="1" applyFill="1" applyBorder="1" applyAlignment="1">
      <alignment horizontal="center" vertical="center"/>
    </xf>
    <xf numFmtId="10" fontId="141" fillId="0" borderId="78" xfId="817" applyNumberFormat="1" applyFont="1" applyFill="1" applyBorder="1" applyAlignment="1">
      <alignment horizontal="center" vertical="center"/>
    </xf>
    <xf numFmtId="10" fontId="141" fillId="0" borderId="11" xfId="817" applyNumberFormat="1" applyFont="1" applyFill="1" applyBorder="1" applyAlignment="1">
      <alignment horizontal="center" vertical="center"/>
    </xf>
    <xf numFmtId="10" fontId="141" fillId="0" borderId="79" xfId="817" applyNumberFormat="1" applyFont="1" applyFill="1" applyBorder="1" applyAlignment="1">
      <alignment horizontal="center" vertical="center"/>
    </xf>
    <xf numFmtId="197" fontId="141" fillId="0" borderId="78" xfId="817" applyNumberFormat="1" applyFont="1" applyFill="1" applyBorder="1" applyAlignment="1">
      <alignment horizontal="center" vertical="center" wrapText="1"/>
    </xf>
    <xf numFmtId="197" fontId="141" fillId="0" borderId="11" xfId="817" applyNumberFormat="1" applyFont="1" applyFill="1" applyBorder="1" applyAlignment="1">
      <alignment horizontal="center" vertical="center" wrapText="1"/>
    </xf>
    <xf numFmtId="197" fontId="141" fillId="0" borderId="79" xfId="817" applyNumberFormat="1" applyFont="1" applyFill="1" applyBorder="1" applyAlignment="1">
      <alignment horizontal="center" vertical="center" wrapText="1"/>
    </xf>
    <xf numFmtId="197" fontId="141" fillId="0" borderId="12" xfId="817" applyNumberFormat="1" applyFont="1" applyFill="1" applyBorder="1" applyAlignment="1">
      <alignment horizontal="center" vertical="center" wrapText="1"/>
    </xf>
    <xf numFmtId="197" fontId="141" fillId="0" borderId="6" xfId="817" applyNumberFormat="1" applyFont="1" applyFill="1" applyBorder="1" applyAlignment="1">
      <alignment horizontal="center" vertical="center" wrapText="1"/>
    </xf>
    <xf numFmtId="197" fontId="141" fillId="0" borderId="10" xfId="817" applyNumberFormat="1" applyFont="1" applyFill="1" applyBorder="1" applyAlignment="1">
      <alignment horizontal="center" vertical="center" wrapText="1"/>
    </xf>
    <xf numFmtId="197" fontId="141" fillId="0" borderId="76" xfId="817" applyNumberFormat="1" applyFont="1" applyFill="1" applyBorder="1" applyAlignment="1">
      <alignment horizontal="center" vertical="center" wrapText="1"/>
    </xf>
    <xf numFmtId="197" fontId="141" fillId="0" borderId="77" xfId="817" applyNumberFormat="1" applyFont="1" applyFill="1" applyBorder="1" applyAlignment="1">
      <alignment horizontal="center" vertical="center" wrapText="1"/>
    </xf>
    <xf numFmtId="10" fontId="141" fillId="0" borderId="6" xfId="817" applyNumberFormat="1" applyFont="1" applyFill="1" applyBorder="1" applyAlignment="1">
      <alignment horizontal="center" vertical="center"/>
    </xf>
    <xf numFmtId="10" fontId="141" fillId="0" borderId="10" xfId="817" applyNumberFormat="1" applyFont="1" applyFill="1" applyBorder="1" applyAlignment="1">
      <alignment horizontal="center" vertical="center"/>
    </xf>
    <xf numFmtId="0" fontId="79" fillId="37" borderId="42" xfId="0" applyFont="1" applyFill="1" applyBorder="1" applyAlignment="1">
      <alignment horizontal="center" vertical="center"/>
    </xf>
    <xf numFmtId="0" fontId="79" fillId="37" borderId="7" xfId="0" applyFont="1" applyFill="1" applyBorder="1" applyAlignment="1">
      <alignment horizontal="center" vertical="center"/>
    </xf>
    <xf numFmtId="165" fontId="79" fillId="0" borderId="26" xfId="808" applyFont="1" applyBorder="1" applyAlignment="1">
      <alignment horizontal="center"/>
    </xf>
    <xf numFmtId="165" fontId="79" fillId="0" borderId="22" xfId="808" applyFont="1" applyBorder="1" applyAlignment="1">
      <alignment horizontal="center"/>
    </xf>
    <xf numFmtId="165" fontId="79" fillId="0" borderId="22" xfId="808" applyFont="1" applyBorder="1" applyAlignment="1">
      <alignment horizontal="center" vertical="center"/>
    </xf>
    <xf numFmtId="165" fontId="79" fillId="0" borderId="43" xfId="808" applyFont="1" applyBorder="1" applyAlignment="1">
      <alignment horizontal="center" vertical="center"/>
    </xf>
    <xf numFmtId="49" fontId="79" fillId="0" borderId="85" xfId="808" applyNumberFormat="1" applyFont="1" applyBorder="1" applyAlignment="1">
      <alignment horizontal="center" vertical="center" wrapText="1"/>
    </xf>
    <xf numFmtId="49" fontId="79" fillId="0" borderId="86" xfId="808" applyNumberFormat="1" applyFont="1" applyBorder="1" applyAlignment="1">
      <alignment horizontal="center" vertical="center" wrapText="1"/>
    </xf>
    <xf numFmtId="4" fontId="49" fillId="0" borderId="86" xfId="808" applyNumberFormat="1" applyFont="1" applyBorder="1" applyAlignment="1">
      <alignment horizontal="center" vertical="center"/>
    </xf>
    <xf numFmtId="0" fontId="49" fillId="0" borderId="86" xfId="808" applyNumberFormat="1" applyFont="1" applyBorder="1" applyAlignment="1">
      <alignment horizontal="center" vertical="center"/>
    </xf>
    <xf numFmtId="0" fontId="49" fillId="0" borderId="138" xfId="808" applyNumberFormat="1" applyFont="1" applyBorder="1" applyAlignment="1">
      <alignment horizontal="center" vertical="center"/>
    </xf>
    <xf numFmtId="0" fontId="49" fillId="0" borderId="35" xfId="808" applyNumberFormat="1" applyFont="1" applyBorder="1" applyAlignment="1">
      <alignment horizontal="center" vertical="center"/>
    </xf>
    <xf numFmtId="0" fontId="49" fillId="0" borderId="58" xfId="808" applyNumberFormat="1" applyFont="1" applyBorder="1" applyAlignment="1">
      <alignment horizontal="center" vertical="center"/>
    </xf>
    <xf numFmtId="4" fontId="79" fillId="0" borderId="57" xfId="808" applyNumberFormat="1" applyFont="1" applyBorder="1" applyAlignment="1">
      <alignment horizontal="center" vertical="center" wrapText="1"/>
    </xf>
    <xf numFmtId="0" fontId="79" fillId="0" borderId="35" xfId="808" applyNumberFormat="1" applyFont="1" applyBorder="1" applyAlignment="1">
      <alignment horizontal="center" vertical="center" wrapText="1"/>
    </xf>
    <xf numFmtId="0" fontId="140" fillId="46" borderId="78" xfId="0" applyFont="1" applyFill="1" applyBorder="1" applyAlignment="1">
      <alignment horizontal="center" vertical="center" wrapText="1"/>
    </xf>
    <xf numFmtId="0" fontId="140" fillId="46" borderId="12" xfId="0" applyFont="1" applyFill="1" applyBorder="1" applyAlignment="1">
      <alignment horizontal="center" vertical="center" wrapText="1"/>
    </xf>
    <xf numFmtId="0" fontId="140" fillId="50" borderId="42" xfId="0" applyFont="1" applyFill="1" applyBorder="1" applyAlignment="1">
      <alignment horizontal="center" vertical="center"/>
    </xf>
    <xf numFmtId="0" fontId="140" fillId="50" borderId="7" xfId="0" applyFont="1" applyFill="1" applyBorder="1" applyAlignment="1">
      <alignment horizontal="center" vertical="center"/>
    </xf>
    <xf numFmtId="0" fontId="79" fillId="0" borderId="9" xfId="0" applyFont="1" applyBorder="1" applyAlignment="1">
      <alignment horizontal="center" vertical="center" wrapText="1"/>
    </xf>
    <xf numFmtId="0" fontId="79" fillId="0" borderId="0" xfId="0" applyFont="1" applyAlignment="1">
      <alignment horizontal="center" vertical="center" wrapText="1"/>
    </xf>
    <xf numFmtId="0" fontId="79" fillId="0" borderId="59" xfId="0" applyFont="1" applyBorder="1" applyAlignment="1">
      <alignment horizontal="center" vertical="center" wrapText="1"/>
    </xf>
    <xf numFmtId="0" fontId="79" fillId="31" borderId="42" xfId="0" applyFont="1" applyFill="1" applyBorder="1" applyAlignment="1">
      <alignment horizontal="center" vertical="center"/>
    </xf>
    <xf numFmtId="0" fontId="79" fillId="31" borderId="7" xfId="0" applyFont="1" applyFill="1" applyBorder="1" applyAlignment="1">
      <alignment horizontal="center" vertical="center"/>
    </xf>
    <xf numFmtId="4" fontId="54" fillId="31" borderId="50" xfId="414" applyNumberFormat="1" applyFont="1" applyFill="1" applyBorder="1" applyAlignment="1">
      <alignment horizontal="center" vertical="center" wrapText="1"/>
    </xf>
    <xf numFmtId="4" fontId="54" fillId="31" borderId="13" xfId="414" applyNumberFormat="1" applyFont="1" applyFill="1" applyBorder="1" applyAlignment="1">
      <alignment horizontal="center" vertical="center" wrapText="1"/>
    </xf>
    <xf numFmtId="4" fontId="54" fillId="31" borderId="54" xfId="414" applyNumberFormat="1" applyFont="1" applyFill="1" applyBorder="1" applyAlignment="1">
      <alignment horizontal="center" vertical="center" wrapText="1"/>
    </xf>
    <xf numFmtId="4" fontId="52" fillId="52" borderId="10" xfId="414" applyNumberFormat="1" applyFont="1" applyFill="1" applyBorder="1" applyAlignment="1">
      <alignment horizontal="center" vertical="center" wrapText="1"/>
    </xf>
    <xf numFmtId="4" fontId="52" fillId="52" borderId="11" xfId="414" applyNumberFormat="1" applyFont="1" applyFill="1" applyBorder="1" applyAlignment="1">
      <alignment horizontal="center" vertical="center" wrapText="1"/>
    </xf>
    <xf numFmtId="4" fontId="52" fillId="52" borderId="12" xfId="414" applyNumberFormat="1" applyFont="1" applyFill="1" applyBorder="1" applyAlignment="1">
      <alignment horizontal="center" vertical="center" wrapText="1"/>
    </xf>
    <xf numFmtId="0" fontId="175" fillId="29" borderId="78" xfId="1569" applyFont="1" applyFill="1" applyBorder="1" applyAlignment="1">
      <alignment horizontal="center"/>
    </xf>
    <xf numFmtId="0" fontId="175" fillId="29" borderId="11" xfId="1569" applyFont="1" applyFill="1" applyBorder="1" applyAlignment="1">
      <alignment horizontal="center"/>
    </xf>
    <xf numFmtId="0" fontId="175" fillId="29" borderId="79" xfId="1569" applyFont="1" applyFill="1" applyBorder="1" applyAlignment="1">
      <alignment horizontal="center"/>
    </xf>
    <xf numFmtId="0" fontId="176" fillId="29" borderId="78" xfId="0" applyFont="1" applyFill="1" applyBorder="1" applyAlignment="1">
      <alignment horizontal="center" vertical="center" wrapText="1"/>
    </xf>
    <xf numFmtId="0" fontId="176" fillId="29" borderId="11" xfId="0" applyFont="1" applyFill="1" applyBorder="1" applyAlignment="1">
      <alignment horizontal="center" vertical="center" wrapText="1"/>
    </xf>
    <xf numFmtId="0" fontId="176" fillId="29" borderId="79" xfId="0" applyFont="1" applyFill="1" applyBorder="1" applyAlignment="1">
      <alignment horizontal="center" vertical="center" wrapText="1"/>
    </xf>
    <xf numFmtId="0" fontId="41" fillId="29" borderId="99" xfId="1569" applyFont="1" applyFill="1" applyBorder="1" applyAlignment="1">
      <alignment horizontal="center" vertical="center" wrapText="1"/>
    </xf>
    <xf numFmtId="0" fontId="41" fillId="29" borderId="96" xfId="1569" applyFont="1" applyFill="1" applyBorder="1" applyAlignment="1">
      <alignment horizontal="center" vertical="center" wrapText="1"/>
    </xf>
    <xf numFmtId="0" fontId="41" fillId="29" borderId="139" xfId="1569" applyFont="1" applyFill="1" applyBorder="1" applyAlignment="1">
      <alignment horizontal="center" vertical="center" wrapText="1"/>
    </xf>
    <xf numFmtId="0" fontId="177" fillId="29" borderId="78" xfId="439" applyFont="1" applyFill="1" applyBorder="1" applyAlignment="1">
      <alignment horizontal="center" vertical="top"/>
    </xf>
    <xf numFmtId="0" fontId="177" fillId="29" borderId="11" xfId="439" applyFont="1" applyFill="1" applyBorder="1" applyAlignment="1">
      <alignment horizontal="center" vertical="top"/>
    </xf>
    <xf numFmtId="0" fontId="177" fillId="29" borderId="79" xfId="439" applyFont="1" applyFill="1" applyBorder="1" applyAlignment="1">
      <alignment horizontal="center" vertical="top"/>
    </xf>
    <xf numFmtId="0" fontId="177" fillId="29" borderId="78" xfId="439" applyFont="1" applyFill="1" applyBorder="1" applyAlignment="1">
      <alignment horizontal="center"/>
    </xf>
    <xf numFmtId="0" fontId="177" fillId="29" borderId="11" xfId="439" applyFont="1" applyFill="1" applyBorder="1" applyAlignment="1">
      <alignment horizontal="center"/>
    </xf>
    <xf numFmtId="0" fontId="177" fillId="29" borderId="79" xfId="439" applyFont="1" applyFill="1" applyBorder="1" applyAlignment="1">
      <alignment horizontal="center"/>
    </xf>
    <xf numFmtId="0" fontId="177" fillId="29" borderId="78" xfId="439" applyFont="1" applyFill="1" applyBorder="1" applyAlignment="1">
      <alignment horizontal="center" wrapText="1"/>
    </xf>
    <xf numFmtId="0" fontId="177" fillId="29" borderId="11" xfId="439" applyFont="1" applyFill="1" applyBorder="1" applyAlignment="1">
      <alignment horizontal="center" wrapText="1"/>
    </xf>
    <xf numFmtId="0" fontId="177" fillId="29" borderId="79" xfId="439" applyFont="1" applyFill="1" applyBorder="1" applyAlignment="1">
      <alignment horizontal="center" wrapText="1"/>
    </xf>
    <xf numFmtId="0" fontId="41" fillId="29" borderId="78" xfId="1569" applyFont="1" applyFill="1" applyBorder="1" applyAlignment="1">
      <alignment horizontal="center" vertical="center" wrapText="1"/>
    </xf>
    <xf numFmtId="0" fontId="41" fillId="29" borderId="11" xfId="1569" applyFont="1" applyFill="1" applyBorder="1" applyAlignment="1">
      <alignment horizontal="center" vertical="center" wrapText="1"/>
    </xf>
    <xf numFmtId="0" fontId="41" fillId="29" borderId="79" xfId="1569" applyFont="1" applyFill="1" applyBorder="1" applyAlignment="1">
      <alignment horizontal="center" vertical="center" wrapText="1"/>
    </xf>
    <xf numFmtId="0" fontId="187" fillId="0" borderId="10" xfId="0" applyFont="1" applyBorder="1" applyAlignment="1">
      <alignment horizontal="left" vertical="justify"/>
    </xf>
    <xf numFmtId="0" fontId="187" fillId="0" borderId="12" xfId="0" applyFont="1" applyBorder="1" applyAlignment="1">
      <alignment horizontal="left" vertical="justify"/>
    </xf>
    <xf numFmtId="3" fontId="45" fillId="29" borderId="6" xfId="439" applyNumberFormat="1" applyFont="1" applyFill="1" applyBorder="1" applyAlignment="1">
      <alignment horizontal="center" vertical="center" wrapText="1"/>
    </xf>
    <xf numFmtId="0" fontId="45" fillId="29" borderId="6" xfId="439" applyFont="1" applyFill="1" applyBorder="1" applyAlignment="1">
      <alignment horizontal="center" wrapText="1"/>
    </xf>
    <xf numFmtId="3" fontId="45" fillId="29" borderId="6" xfId="439" applyNumberFormat="1" applyFont="1" applyFill="1" applyBorder="1" applyAlignment="1">
      <alignment horizontal="center" wrapText="1"/>
    </xf>
    <xf numFmtId="0" fontId="11" fillId="29" borderId="10" xfId="439" applyFont="1" applyFill="1" applyBorder="1" applyAlignment="1">
      <alignment horizontal="left" vertical="justify" wrapText="1"/>
    </xf>
    <xf numFmtId="0" fontId="11" fillId="29" borderId="12" xfId="439" applyFont="1" applyFill="1" applyBorder="1" applyAlignment="1">
      <alignment horizontal="left" vertical="justify" wrapText="1"/>
    </xf>
    <xf numFmtId="165" fontId="12" fillId="0" borderId="31" xfId="302" applyFont="1" applyBorder="1" applyAlignment="1">
      <alignment horizontal="left" vertical="center"/>
    </xf>
    <xf numFmtId="165" fontId="12" fillId="0" borderId="0" xfId="302" applyFont="1" applyBorder="1" applyAlignment="1">
      <alignment horizontal="left" vertical="center"/>
    </xf>
    <xf numFmtId="165" fontId="12" fillId="0" borderId="41" xfId="302" applyFont="1" applyBorder="1" applyAlignment="1">
      <alignment horizontal="left" vertical="center"/>
    </xf>
    <xf numFmtId="165" fontId="12" fillId="0" borderId="38" xfId="302" applyBorder="1" applyAlignment="1">
      <alignment horizontal="left" vertical="center"/>
    </xf>
    <xf numFmtId="165" fontId="12" fillId="0" borderId="15" xfId="302" applyBorder="1" applyAlignment="1">
      <alignment horizontal="left" vertical="center"/>
    </xf>
    <xf numFmtId="165" fontId="12" fillId="0" borderId="29" xfId="302" applyBorder="1" applyAlignment="1">
      <alignment horizontal="left" vertical="center"/>
    </xf>
    <xf numFmtId="0" fontId="45" fillId="0" borderId="0" xfId="0" applyFont="1" applyAlignment="1">
      <alignment horizontal="left" vertical="center" wrapText="1"/>
    </xf>
    <xf numFmtId="0" fontId="45" fillId="30" borderId="0" xfId="0" applyFont="1" applyFill="1" applyAlignment="1">
      <alignment horizontal="left" vertical="center" wrapText="1"/>
    </xf>
    <xf numFmtId="0" fontId="47" fillId="0" borderId="27" xfId="414" applyFont="1" applyBorder="1" applyAlignment="1">
      <alignment horizontal="center" vertical="center"/>
    </xf>
    <xf numFmtId="0" fontId="47" fillId="0" borderId="55" xfId="414" applyFont="1" applyBorder="1" applyAlignment="1">
      <alignment horizontal="center" vertical="center"/>
    </xf>
    <xf numFmtId="165" fontId="47" fillId="0" borderId="88" xfId="302" applyFont="1" applyBorder="1" applyAlignment="1">
      <alignment horizontal="center" vertical="center"/>
    </xf>
    <xf numFmtId="165" fontId="47" fillId="0" borderId="27" xfId="302" applyFont="1" applyBorder="1" applyAlignment="1">
      <alignment horizontal="center" vertical="center"/>
    </xf>
    <xf numFmtId="165" fontId="47" fillId="0" borderId="55" xfId="302" applyFont="1" applyBorder="1" applyAlignment="1">
      <alignment horizontal="center" vertical="center"/>
    </xf>
    <xf numFmtId="165" fontId="12" fillId="0" borderId="56" xfId="302" applyFont="1" applyBorder="1" applyAlignment="1">
      <alignment horizontal="left" vertical="center"/>
    </xf>
    <xf numFmtId="165" fontId="12" fillId="0" borderId="25" xfId="302" applyFont="1" applyBorder="1" applyAlignment="1">
      <alignment horizontal="left" vertical="center"/>
    </xf>
    <xf numFmtId="165" fontId="12" fillId="0" borderId="39" xfId="302" applyFont="1" applyBorder="1" applyAlignment="1">
      <alignment horizontal="left" vertical="center"/>
    </xf>
    <xf numFmtId="49" fontId="47" fillId="0" borderId="25" xfId="414" applyNumberFormat="1" applyFont="1" applyBorder="1" applyAlignment="1">
      <alignment horizontal="left" vertical="center" wrapText="1"/>
    </xf>
    <xf numFmtId="0" fontId="47" fillId="0" borderId="25" xfId="414" applyFont="1" applyBorder="1" applyAlignment="1">
      <alignment horizontal="left" vertical="center" wrapText="1"/>
    </xf>
    <xf numFmtId="49" fontId="47" fillId="0" borderId="0" xfId="414" applyNumberFormat="1" applyFont="1" applyAlignment="1">
      <alignment horizontal="left" vertical="center" wrapText="1"/>
    </xf>
    <xf numFmtId="0" fontId="47" fillId="0" borderId="0" xfId="414" applyFont="1" applyAlignment="1">
      <alignment horizontal="left" vertical="center" wrapText="1"/>
    </xf>
    <xf numFmtId="165" fontId="45" fillId="0" borderId="21" xfId="302" applyFont="1" applyBorder="1" applyAlignment="1">
      <alignment horizontal="center" vertical="center"/>
    </xf>
    <xf numFmtId="165" fontId="45" fillId="0" borderId="27" xfId="302" applyFont="1" applyBorder="1" applyAlignment="1">
      <alignment horizontal="center" vertical="center"/>
    </xf>
    <xf numFmtId="165" fontId="45" fillId="0" borderId="93" xfId="302" applyFont="1" applyBorder="1" applyAlignment="1">
      <alignment horizontal="center" vertical="center"/>
    </xf>
    <xf numFmtId="165" fontId="45" fillId="0" borderId="21" xfId="302" applyFont="1" applyBorder="1" applyAlignment="1">
      <alignment horizontal="center" vertical="center" wrapText="1"/>
    </xf>
    <xf numFmtId="165" fontId="45" fillId="0" borderId="27" xfId="302" applyFont="1" applyBorder="1" applyAlignment="1">
      <alignment horizontal="center" vertical="center" wrapText="1"/>
    </xf>
    <xf numFmtId="165" fontId="45" fillId="0" borderId="93" xfId="302" applyFont="1" applyBorder="1" applyAlignment="1">
      <alignment horizontal="center" vertical="center" wrapText="1"/>
    </xf>
    <xf numFmtId="165" fontId="47" fillId="0" borderId="40" xfId="302" applyFont="1" applyBorder="1" applyAlignment="1">
      <alignment horizontal="center" vertical="center"/>
    </xf>
    <xf numFmtId="165" fontId="47" fillId="0" borderId="13" xfId="302" applyFont="1" applyBorder="1" applyAlignment="1">
      <alignment horizontal="center" vertical="center"/>
    </xf>
    <xf numFmtId="165" fontId="47" fillId="0" borderId="54" xfId="302" applyFont="1" applyBorder="1" applyAlignment="1">
      <alignment horizontal="center" vertical="center"/>
    </xf>
    <xf numFmtId="165" fontId="22" fillId="0" borderId="38" xfId="302" applyFont="1" applyBorder="1" applyAlignment="1">
      <alignment horizontal="center" vertical="center"/>
    </xf>
    <xf numFmtId="165" fontId="22" fillId="0" borderId="15" xfId="302" applyFont="1" applyBorder="1" applyAlignment="1">
      <alignment horizontal="center" vertical="center"/>
    </xf>
    <xf numFmtId="165" fontId="22" fillId="0" borderId="17" xfId="302" applyFont="1" applyBorder="1" applyAlignment="1">
      <alignment horizontal="center" vertical="center"/>
    </xf>
    <xf numFmtId="165" fontId="22" fillId="25" borderId="24" xfId="302" applyFont="1" applyFill="1" applyBorder="1" applyAlignment="1">
      <alignment horizontal="center" vertical="center" wrapText="1"/>
    </xf>
    <xf numFmtId="165" fontId="22" fillId="25" borderId="16" xfId="302" applyFont="1" applyFill="1" applyBorder="1" applyAlignment="1">
      <alignment horizontal="center" vertical="center" wrapText="1"/>
    </xf>
    <xf numFmtId="165" fontId="22" fillId="25" borderId="9" xfId="302" applyFont="1" applyFill="1" applyBorder="1" applyAlignment="1">
      <alignment horizontal="center" vertical="center" wrapText="1"/>
    </xf>
    <xf numFmtId="165" fontId="22" fillId="25" borderId="59" xfId="302" applyFont="1" applyFill="1" applyBorder="1" applyAlignment="1">
      <alignment horizontal="center" vertical="center" wrapText="1"/>
    </xf>
    <xf numFmtId="165" fontId="22" fillId="25" borderId="14" xfId="302" applyFont="1" applyFill="1" applyBorder="1" applyAlignment="1">
      <alignment horizontal="center" vertical="center" wrapText="1"/>
    </xf>
    <xf numFmtId="165" fontId="22" fillId="25" borderId="17" xfId="302" applyFont="1" applyFill="1" applyBorder="1" applyAlignment="1">
      <alignment horizontal="center" vertical="center" wrapText="1"/>
    </xf>
    <xf numFmtId="0" fontId="12" fillId="0" borderId="0" xfId="0" applyFont="1" applyAlignment="1">
      <alignment horizontal="left" vertical="center" wrapText="1"/>
    </xf>
    <xf numFmtId="165" fontId="47" fillId="0" borderId="40" xfId="808" applyFont="1" applyBorder="1" applyAlignment="1">
      <alignment horizontal="center" vertical="center"/>
    </xf>
    <xf numFmtId="165" fontId="47" fillId="0" borderId="13" xfId="808" applyFont="1" applyBorder="1" applyAlignment="1">
      <alignment horizontal="center" vertical="center"/>
    </xf>
    <xf numFmtId="165" fontId="47" fillId="0" borderId="54" xfId="808" applyFont="1" applyBorder="1" applyAlignment="1">
      <alignment horizontal="center" vertical="center"/>
    </xf>
    <xf numFmtId="165" fontId="11" fillId="0" borderId="31" xfId="808" applyFont="1" applyBorder="1" applyAlignment="1">
      <alignment horizontal="left" vertical="center"/>
    </xf>
    <xf numFmtId="165" fontId="11" fillId="0" borderId="0" xfId="808" applyFont="1" applyBorder="1" applyAlignment="1">
      <alignment horizontal="left" vertical="center"/>
    </xf>
    <xf numFmtId="165" fontId="11" fillId="0" borderId="41" xfId="808" applyFont="1" applyBorder="1" applyAlignment="1">
      <alignment horizontal="left" vertical="center"/>
    </xf>
    <xf numFmtId="165" fontId="11" fillId="0" borderId="38" xfId="808" applyBorder="1" applyAlignment="1">
      <alignment horizontal="left" vertical="center"/>
    </xf>
    <xf numFmtId="165" fontId="11" fillId="0" borderId="15" xfId="808" applyBorder="1" applyAlignment="1">
      <alignment horizontal="left" vertical="center"/>
    </xf>
    <xf numFmtId="165" fontId="11" fillId="0" borderId="29" xfId="808" applyBorder="1" applyAlignment="1">
      <alignment horizontal="left" vertical="center"/>
    </xf>
    <xf numFmtId="49" fontId="47" fillId="0" borderId="25" xfId="807" applyNumberFormat="1" applyFont="1" applyBorder="1" applyAlignment="1">
      <alignment horizontal="left" vertical="center" wrapText="1"/>
    </xf>
    <xf numFmtId="0" fontId="47" fillId="0" borderId="25" xfId="807" applyFont="1" applyBorder="1" applyAlignment="1">
      <alignment horizontal="left" vertical="center" wrapText="1"/>
    </xf>
    <xf numFmtId="49" fontId="12" fillId="0" borderId="0" xfId="0" applyNumberFormat="1" applyFont="1" applyAlignment="1">
      <alignment horizontal="left" vertical="center" wrapText="1"/>
    </xf>
    <xf numFmtId="0" fontId="47" fillId="0" borderId="27" xfId="807" applyFont="1" applyBorder="1" applyAlignment="1">
      <alignment horizontal="center" vertical="center"/>
    </xf>
    <xf numFmtId="0" fontId="47" fillId="0" borderId="55" xfId="807" applyFont="1" applyBorder="1" applyAlignment="1">
      <alignment horizontal="center" vertical="center"/>
    </xf>
    <xf numFmtId="165" fontId="47" fillId="0" borderId="88" xfId="808" applyFont="1" applyBorder="1" applyAlignment="1">
      <alignment horizontal="center" vertical="center"/>
    </xf>
    <xf numFmtId="165" fontId="47" fillId="0" borderId="27" xfId="808" applyFont="1" applyBorder="1" applyAlignment="1">
      <alignment horizontal="center" vertical="center"/>
    </xf>
    <xf numFmtId="165" fontId="47" fillId="0" borderId="55" xfId="808" applyFont="1" applyBorder="1" applyAlignment="1">
      <alignment horizontal="center" vertical="center"/>
    </xf>
    <xf numFmtId="165" fontId="11" fillId="0" borderId="56" xfId="808" applyFont="1" applyBorder="1" applyAlignment="1">
      <alignment horizontal="left" vertical="center"/>
    </xf>
    <xf numFmtId="165" fontId="11" fillId="0" borderId="25" xfId="808" applyFont="1" applyBorder="1" applyAlignment="1">
      <alignment horizontal="left" vertical="center"/>
    </xf>
    <xf numFmtId="165" fontId="11" fillId="0" borderId="39" xfId="808" applyFont="1" applyBorder="1" applyAlignment="1">
      <alignment horizontal="left" vertical="center"/>
    </xf>
    <xf numFmtId="0" fontId="45" fillId="0" borderId="0" xfId="807" applyFont="1" applyAlignment="1">
      <alignment horizontal="left" vertical="center" wrapText="1"/>
    </xf>
    <xf numFmtId="49" fontId="11" fillId="0" borderId="0" xfId="807" applyNumberFormat="1" applyAlignment="1">
      <alignment horizontal="left" vertical="center" wrapText="1"/>
    </xf>
    <xf numFmtId="0" fontId="11" fillId="0" borderId="0" xfId="807" applyAlignment="1">
      <alignment horizontal="left" vertical="center" wrapText="1"/>
    </xf>
    <xf numFmtId="165" fontId="22" fillId="25" borderId="24" xfId="808" applyFont="1" applyFill="1" applyBorder="1" applyAlignment="1">
      <alignment horizontal="center" vertical="center" wrapText="1"/>
    </xf>
    <xf numFmtId="165" fontId="22" fillId="25" borderId="16" xfId="808" applyFont="1" applyFill="1" applyBorder="1" applyAlignment="1">
      <alignment horizontal="center" vertical="center" wrapText="1"/>
    </xf>
    <xf numFmtId="165" fontId="22" fillId="25" borderId="9" xfId="808" applyFont="1" applyFill="1" applyBorder="1" applyAlignment="1">
      <alignment horizontal="center" vertical="center" wrapText="1"/>
    </xf>
    <xf numFmtId="165" fontId="22" fillId="25" borderId="59" xfId="808" applyFont="1" applyFill="1" applyBorder="1" applyAlignment="1">
      <alignment horizontal="center" vertical="center" wrapText="1"/>
    </xf>
    <xf numFmtId="165" fontId="22" fillId="25" borderId="14" xfId="808" applyFont="1" applyFill="1" applyBorder="1" applyAlignment="1">
      <alignment horizontal="center" vertical="center" wrapText="1"/>
    </xf>
    <xf numFmtId="165" fontId="22" fillId="25" borderId="17" xfId="808" applyFont="1" applyFill="1" applyBorder="1" applyAlignment="1">
      <alignment horizontal="center" vertical="center" wrapText="1"/>
    </xf>
    <xf numFmtId="165" fontId="45" fillId="0" borderId="21" xfId="808" applyFont="1" applyBorder="1" applyAlignment="1">
      <alignment horizontal="center" vertical="center"/>
    </xf>
    <xf numFmtId="165" fontId="45" fillId="0" borderId="27" xfId="808" applyFont="1" applyBorder="1" applyAlignment="1">
      <alignment horizontal="center" vertical="center"/>
    </xf>
    <xf numFmtId="165" fontId="45" fillId="0" borderId="93" xfId="808" applyFont="1" applyBorder="1" applyAlignment="1">
      <alignment horizontal="center" vertical="center"/>
    </xf>
    <xf numFmtId="165" fontId="45" fillId="0" borderId="21" xfId="808" applyFont="1" applyBorder="1" applyAlignment="1">
      <alignment horizontal="center" vertical="center" wrapText="1"/>
    </xf>
    <xf numFmtId="165" fontId="45" fillId="0" borderId="27" xfId="808" applyFont="1" applyBorder="1" applyAlignment="1">
      <alignment horizontal="center" vertical="center" wrapText="1"/>
    </xf>
    <xf numFmtId="165" fontId="45" fillId="0" borderId="93" xfId="808" applyFont="1" applyBorder="1" applyAlignment="1">
      <alignment horizontal="center" vertical="center" wrapText="1"/>
    </xf>
    <xf numFmtId="165" fontId="22" fillId="0" borderId="38" xfId="808" applyFont="1" applyBorder="1" applyAlignment="1">
      <alignment horizontal="center" vertical="center"/>
    </xf>
    <xf numFmtId="165" fontId="22" fillId="0" borderId="15" xfId="808" applyFont="1" applyBorder="1" applyAlignment="1">
      <alignment horizontal="center" vertical="center"/>
    </xf>
    <xf numFmtId="165" fontId="22" fillId="0" borderId="17" xfId="808" applyFont="1" applyBorder="1" applyAlignment="1">
      <alignment horizontal="center" vertical="center"/>
    </xf>
    <xf numFmtId="49" fontId="12" fillId="0" borderId="0" xfId="0" applyNumberFormat="1" applyFont="1" applyAlignment="1">
      <alignment horizontal="justify" vertical="justify" wrapText="1"/>
    </xf>
    <xf numFmtId="0" fontId="12" fillId="0" borderId="0" xfId="0" applyFont="1" applyAlignment="1">
      <alignment horizontal="justify" vertical="justify" wrapText="1"/>
    </xf>
    <xf numFmtId="49" fontId="11" fillId="0" borderId="0" xfId="0" applyNumberFormat="1" applyFont="1" applyAlignment="1">
      <alignment horizontal="justify" vertical="justify" wrapText="1"/>
    </xf>
    <xf numFmtId="165" fontId="11" fillId="0" borderId="56" xfId="302" applyFont="1" applyBorder="1" applyAlignment="1">
      <alignment horizontal="left" vertical="top" wrapText="1"/>
    </xf>
    <xf numFmtId="165" fontId="11" fillId="0" borderId="25" xfId="302" applyFont="1" applyBorder="1" applyAlignment="1">
      <alignment horizontal="left" vertical="top" wrapText="1"/>
    </xf>
    <xf numFmtId="165" fontId="11" fillId="0" borderId="39" xfId="302" applyFont="1" applyBorder="1" applyAlignment="1">
      <alignment horizontal="left" vertical="top" wrapText="1"/>
    </xf>
    <xf numFmtId="165" fontId="11" fillId="0" borderId="31" xfId="302" applyFont="1" applyBorder="1" applyAlignment="1">
      <alignment horizontal="left" vertical="top" wrapText="1"/>
    </xf>
    <xf numFmtId="165" fontId="11" fillId="0" borderId="0" xfId="302" applyFont="1" applyBorder="1" applyAlignment="1">
      <alignment horizontal="left" vertical="top" wrapText="1"/>
    </xf>
    <xf numFmtId="165" fontId="11" fillId="0" borderId="41" xfId="302" applyFont="1" applyBorder="1" applyAlignment="1">
      <alignment horizontal="left" vertical="top" wrapText="1"/>
    </xf>
    <xf numFmtId="49" fontId="12" fillId="0" borderId="0" xfId="0" applyNumberFormat="1" applyFont="1" applyAlignment="1">
      <alignment horizontal="justify" vertical="top" wrapText="1"/>
    </xf>
    <xf numFmtId="0" fontId="12" fillId="0" borderId="0" xfId="0" applyFont="1" applyAlignment="1">
      <alignment horizontal="justify" vertical="top" wrapText="1"/>
    </xf>
    <xf numFmtId="49" fontId="11" fillId="0" borderId="0" xfId="807" applyNumberFormat="1" applyAlignment="1">
      <alignment horizontal="justify" vertical="center" wrapText="1"/>
    </xf>
    <xf numFmtId="0" fontId="11" fillId="0" borderId="0" xfId="807" applyAlignment="1">
      <alignment horizontal="justify" vertical="center" wrapText="1"/>
    </xf>
    <xf numFmtId="165" fontId="11" fillId="0" borderId="56" xfId="808" applyFont="1" applyFill="1" applyBorder="1" applyAlignment="1">
      <alignment horizontal="left" vertical="center"/>
    </xf>
    <xf numFmtId="165" fontId="11" fillId="0" borderId="25" xfId="808" applyFont="1" applyFill="1" applyBorder="1" applyAlignment="1">
      <alignment horizontal="left" vertical="center"/>
    </xf>
    <xf numFmtId="165" fontId="11" fillId="0" borderId="39" xfId="808" applyFont="1" applyFill="1" applyBorder="1" applyAlignment="1">
      <alignment horizontal="left" vertical="center"/>
    </xf>
    <xf numFmtId="0" fontId="11" fillId="0" borderId="0" xfId="0" applyFont="1" applyAlignment="1">
      <alignment horizontal="justify" vertical="justify" wrapText="1"/>
    </xf>
    <xf numFmtId="0" fontId="11" fillId="0" borderId="0" xfId="0" applyFont="1" applyAlignment="1">
      <alignment horizontal="left" vertical="center" wrapText="1"/>
    </xf>
    <xf numFmtId="165" fontId="11" fillId="0" borderId="56" xfId="302" applyFont="1" applyBorder="1" applyAlignment="1">
      <alignment horizontal="left" vertical="center" wrapText="1"/>
    </xf>
    <xf numFmtId="165" fontId="11" fillId="0" borderId="25" xfId="302" applyFont="1" applyBorder="1" applyAlignment="1">
      <alignment horizontal="left" vertical="center" wrapText="1"/>
    </xf>
    <xf numFmtId="165" fontId="11" fillId="0" borderId="39" xfId="302" applyFont="1" applyBorder="1" applyAlignment="1">
      <alignment horizontal="left" vertical="center" wrapText="1"/>
    </xf>
    <xf numFmtId="0" fontId="11" fillId="0" borderId="0" xfId="0" applyFont="1" applyAlignment="1">
      <alignment horizontal="justify" vertical="top" wrapText="1"/>
    </xf>
    <xf numFmtId="49" fontId="11" fillId="0" borderId="56" xfId="302" applyNumberFormat="1" applyFont="1" applyBorder="1" applyAlignment="1">
      <alignment horizontal="left" vertical="center" wrapText="1"/>
    </xf>
    <xf numFmtId="49" fontId="11" fillId="0" borderId="25" xfId="302" applyNumberFormat="1" applyFont="1" applyBorder="1" applyAlignment="1">
      <alignment horizontal="left" vertical="center" wrapText="1"/>
    </xf>
    <xf numFmtId="49" fontId="11" fillId="0" borderId="39" xfId="302" applyNumberFormat="1" applyFont="1" applyBorder="1" applyAlignment="1">
      <alignment horizontal="left" vertical="center" wrapText="1"/>
    </xf>
    <xf numFmtId="49" fontId="11" fillId="0" borderId="0" xfId="0" applyNumberFormat="1" applyFont="1" applyAlignment="1">
      <alignment horizontal="left" vertical="center" wrapText="1"/>
    </xf>
  </cellXfs>
  <cellStyles count="1571">
    <cellStyle name="%" xfId="1" xr:uid="{00000000-0005-0000-0000-000000000000}"/>
    <cellStyle name="% 2" xfId="2" xr:uid="{00000000-0005-0000-0000-000001000000}"/>
    <cellStyle name="% 2 2" xfId="822" xr:uid="{FA6962F0-FAE0-41B6-9141-AC6CADB25FD6}"/>
    <cellStyle name="% 3" xfId="3" xr:uid="{00000000-0005-0000-0000-000002000000}"/>
    <cellStyle name="% 3 2" xfId="823" xr:uid="{4B5DC42C-AF4C-4198-8189-A919950D01C2}"/>
    <cellStyle name="% 4" xfId="821" xr:uid="{D1C9176C-1316-4D3B-B689-A285B9FC67C6}"/>
    <cellStyle name="20% - Accent1" xfId="4" xr:uid="{00000000-0005-0000-0000-000003000000}"/>
    <cellStyle name="20% - Accent2" xfId="5" xr:uid="{00000000-0005-0000-0000-000004000000}"/>
    <cellStyle name="20% - Accent3" xfId="6" xr:uid="{00000000-0005-0000-0000-000005000000}"/>
    <cellStyle name="20% - Accent4" xfId="7" xr:uid="{00000000-0005-0000-0000-000006000000}"/>
    <cellStyle name="20% - Accent5" xfId="8" xr:uid="{00000000-0005-0000-0000-000007000000}"/>
    <cellStyle name="20% - Accent6" xfId="9" xr:uid="{00000000-0005-0000-0000-000008000000}"/>
    <cellStyle name="40% - Accent1" xfId="10" xr:uid="{00000000-0005-0000-0000-000009000000}"/>
    <cellStyle name="40% - Accent2" xfId="11" xr:uid="{00000000-0005-0000-0000-00000A000000}"/>
    <cellStyle name="40% - Accent3" xfId="12" xr:uid="{00000000-0005-0000-0000-00000B000000}"/>
    <cellStyle name="40% - Accent4" xfId="13" xr:uid="{00000000-0005-0000-0000-00000C000000}"/>
    <cellStyle name="40% - Accent5" xfId="14" xr:uid="{00000000-0005-0000-0000-00000D000000}"/>
    <cellStyle name="40% - Accent6" xfId="15" xr:uid="{00000000-0005-0000-0000-00000E000000}"/>
    <cellStyle name="60% - Accent1" xfId="16" xr:uid="{00000000-0005-0000-0000-00000F000000}"/>
    <cellStyle name="60% - Accent2" xfId="17" xr:uid="{00000000-0005-0000-0000-000010000000}"/>
    <cellStyle name="60% - Accent3" xfId="18" xr:uid="{00000000-0005-0000-0000-000011000000}"/>
    <cellStyle name="60% - Accent4" xfId="19" xr:uid="{00000000-0005-0000-0000-000012000000}"/>
    <cellStyle name="60% - Accent5" xfId="20" xr:uid="{00000000-0005-0000-0000-000013000000}"/>
    <cellStyle name="60% - Accent6" xfId="21" xr:uid="{00000000-0005-0000-0000-000014000000}"/>
    <cellStyle name="80" xfId="22" xr:uid="{00000000-0005-0000-0000-000015000000}"/>
    <cellStyle name="Accent1" xfId="23" xr:uid="{00000000-0005-0000-0000-000016000000}"/>
    <cellStyle name="Accent2" xfId="24" xr:uid="{00000000-0005-0000-0000-000017000000}"/>
    <cellStyle name="Accent3" xfId="25" xr:uid="{00000000-0005-0000-0000-000018000000}"/>
    <cellStyle name="Accent4" xfId="26" xr:uid="{00000000-0005-0000-0000-000019000000}"/>
    <cellStyle name="Accent5" xfId="27" xr:uid="{00000000-0005-0000-0000-00001A000000}"/>
    <cellStyle name="Accent6" xfId="28" xr:uid="{00000000-0005-0000-0000-00001B000000}"/>
    <cellStyle name="Bad" xfId="29" xr:uid="{00000000-0005-0000-0000-00001C000000}"/>
    <cellStyle name="Calculation" xfId="30" xr:uid="{00000000-0005-0000-0000-00001D000000}"/>
    <cellStyle name="Comma0" xfId="31" xr:uid="{00000000-0005-0000-0000-00001E000000}"/>
    <cellStyle name="Currency0" xfId="32" xr:uid="{00000000-0005-0000-0000-00001F000000}"/>
    <cellStyle name="Date" xfId="33" xr:uid="{00000000-0005-0000-0000-000020000000}"/>
    <cellStyle name="Encabezado 1" xfId="802" builtinId="16" hidden="1"/>
    <cellStyle name="Euro" xfId="34" xr:uid="{00000000-0005-0000-0000-000022000000}"/>
    <cellStyle name="Euro 10" xfId="35" xr:uid="{00000000-0005-0000-0000-000023000000}"/>
    <cellStyle name="Euro 10 2" xfId="825" xr:uid="{A50D195A-25EE-42DC-8F21-36281ED987BD}"/>
    <cellStyle name="Euro 100" xfId="36" xr:uid="{00000000-0005-0000-0000-000024000000}"/>
    <cellStyle name="Euro 100 2" xfId="826" xr:uid="{D5C58D50-4C4B-49D5-8D74-62A20E6E206F}"/>
    <cellStyle name="Euro 101" xfId="37" xr:uid="{00000000-0005-0000-0000-000025000000}"/>
    <cellStyle name="Euro 101 2" xfId="827" xr:uid="{628E9CDB-C210-417E-9433-BE9023A32685}"/>
    <cellStyle name="Euro 102" xfId="38" xr:uid="{00000000-0005-0000-0000-000026000000}"/>
    <cellStyle name="Euro 102 2" xfId="828" xr:uid="{C11FA6BE-D767-4F48-9A87-EE0595B30B5E}"/>
    <cellStyle name="Euro 103" xfId="39" xr:uid="{00000000-0005-0000-0000-000027000000}"/>
    <cellStyle name="Euro 103 2" xfId="829" xr:uid="{65CA10C8-6F68-4BE3-A725-9EAE7AD4BBAC}"/>
    <cellStyle name="Euro 104" xfId="40" xr:uid="{00000000-0005-0000-0000-000028000000}"/>
    <cellStyle name="Euro 104 2" xfId="830" xr:uid="{1346F310-67A5-4018-94A7-C7FA3EF02395}"/>
    <cellStyle name="Euro 105" xfId="41" xr:uid="{00000000-0005-0000-0000-000029000000}"/>
    <cellStyle name="Euro 105 2" xfId="831" xr:uid="{4D92E7C4-8AE3-42E2-8B1E-DB247E0535C6}"/>
    <cellStyle name="Euro 106" xfId="824" xr:uid="{8071CFCB-FC42-46CE-8061-ACB4DDABF4B3}"/>
    <cellStyle name="Euro 11" xfId="42" xr:uid="{00000000-0005-0000-0000-00002A000000}"/>
    <cellStyle name="Euro 11 2" xfId="832" xr:uid="{47655ADC-81F2-4A05-BBCF-8BB067F8FAC2}"/>
    <cellStyle name="Euro 12" xfId="43" xr:uid="{00000000-0005-0000-0000-00002B000000}"/>
    <cellStyle name="Euro 12 2" xfId="833" xr:uid="{57AFBC4C-D348-4BAA-B6AC-80ECB836D1C1}"/>
    <cellStyle name="Euro 13" xfId="44" xr:uid="{00000000-0005-0000-0000-00002C000000}"/>
    <cellStyle name="Euro 13 2" xfId="834" xr:uid="{488FC33B-1A6A-46B8-B0C4-4191C3D903C2}"/>
    <cellStyle name="Euro 14" xfId="45" xr:uid="{00000000-0005-0000-0000-00002D000000}"/>
    <cellStyle name="Euro 14 2" xfId="835" xr:uid="{13FEE9CF-6855-43CB-BF56-E28D048A69D6}"/>
    <cellStyle name="Euro 15" xfId="46" xr:uid="{00000000-0005-0000-0000-00002E000000}"/>
    <cellStyle name="Euro 15 2" xfId="836" xr:uid="{595AE362-664D-4B13-A4A1-4EBE943D81BA}"/>
    <cellStyle name="Euro 16" xfId="47" xr:uid="{00000000-0005-0000-0000-00002F000000}"/>
    <cellStyle name="Euro 16 2" xfId="837" xr:uid="{151F3423-7168-4676-A587-AF8202DC4D3F}"/>
    <cellStyle name="Euro 17" xfId="48" xr:uid="{00000000-0005-0000-0000-000030000000}"/>
    <cellStyle name="Euro 17 2" xfId="838" xr:uid="{318AF7F3-DCCB-4CB2-B0CE-74C08F51E815}"/>
    <cellStyle name="Euro 18" xfId="49" xr:uid="{00000000-0005-0000-0000-000031000000}"/>
    <cellStyle name="Euro 18 2" xfId="839" xr:uid="{28BB4323-A1C4-42C4-9267-74972294DDBC}"/>
    <cellStyle name="Euro 19" xfId="50" xr:uid="{00000000-0005-0000-0000-000032000000}"/>
    <cellStyle name="Euro 19 2" xfId="840" xr:uid="{22540596-F3B2-4E46-9267-E977F2FD1405}"/>
    <cellStyle name="Euro 2" xfId="51" xr:uid="{00000000-0005-0000-0000-000033000000}"/>
    <cellStyle name="Euro 2 2" xfId="841" xr:uid="{D04DDD72-2BA6-4CB2-B608-DCAB1F41D47C}"/>
    <cellStyle name="Euro 20" xfId="52" xr:uid="{00000000-0005-0000-0000-000034000000}"/>
    <cellStyle name="Euro 20 2" xfId="842" xr:uid="{AFA12D2F-6CE2-4C30-95E9-206A71928FD3}"/>
    <cellStyle name="Euro 21" xfId="53" xr:uid="{00000000-0005-0000-0000-000035000000}"/>
    <cellStyle name="Euro 21 2" xfId="843" xr:uid="{9F54BDF2-6218-47F2-AE2D-F1942A09BA0A}"/>
    <cellStyle name="Euro 22" xfId="54" xr:uid="{00000000-0005-0000-0000-000036000000}"/>
    <cellStyle name="Euro 22 2" xfId="844" xr:uid="{761028C4-608D-4E48-8C2D-D4B70DC513C9}"/>
    <cellStyle name="Euro 23" xfId="55" xr:uid="{00000000-0005-0000-0000-000037000000}"/>
    <cellStyle name="Euro 23 2" xfId="845" xr:uid="{0AE77A80-186E-4B50-BBD5-3C4B46330B82}"/>
    <cellStyle name="Euro 24" xfId="56" xr:uid="{00000000-0005-0000-0000-000038000000}"/>
    <cellStyle name="Euro 24 2" xfId="846" xr:uid="{B7F33F09-D6A2-4136-A9FB-EC15FF3803B9}"/>
    <cellStyle name="Euro 25" xfId="57" xr:uid="{00000000-0005-0000-0000-000039000000}"/>
    <cellStyle name="Euro 25 2" xfId="847" xr:uid="{470D5B14-4F44-4F07-BB65-C88FAA9804A5}"/>
    <cellStyle name="Euro 26" xfId="58" xr:uid="{00000000-0005-0000-0000-00003A000000}"/>
    <cellStyle name="Euro 26 2" xfId="848" xr:uid="{DFD63FAF-AD84-49A8-B88E-3596280769BF}"/>
    <cellStyle name="Euro 27" xfId="59" xr:uid="{00000000-0005-0000-0000-00003B000000}"/>
    <cellStyle name="Euro 27 2" xfId="849" xr:uid="{A3A7BCAF-4652-4ED4-B114-DFC4A39CBC6B}"/>
    <cellStyle name="Euro 28" xfId="60" xr:uid="{00000000-0005-0000-0000-00003C000000}"/>
    <cellStyle name="Euro 28 2" xfId="850" xr:uid="{1038708B-FC51-4889-97DD-0B58EC53456C}"/>
    <cellStyle name="Euro 29" xfId="61" xr:uid="{00000000-0005-0000-0000-00003D000000}"/>
    <cellStyle name="Euro 29 2" xfId="851" xr:uid="{B4C31C93-6331-4D4F-82F3-64FAE82695B3}"/>
    <cellStyle name="Euro 3" xfId="62" xr:uid="{00000000-0005-0000-0000-00003E000000}"/>
    <cellStyle name="Euro 3 2" xfId="852" xr:uid="{2A5FEA02-5AA7-4838-997E-43334E92E5BA}"/>
    <cellStyle name="Euro 30" xfId="63" xr:uid="{00000000-0005-0000-0000-00003F000000}"/>
    <cellStyle name="Euro 30 2" xfId="853" xr:uid="{961CEE42-9B0F-4959-B7F0-61AAC21039ED}"/>
    <cellStyle name="Euro 31" xfId="64" xr:uid="{00000000-0005-0000-0000-000040000000}"/>
    <cellStyle name="Euro 31 2" xfId="854" xr:uid="{612C26C0-233A-432A-8AC3-4B5AB12284F8}"/>
    <cellStyle name="Euro 32" xfId="65" xr:uid="{00000000-0005-0000-0000-000041000000}"/>
    <cellStyle name="Euro 32 2" xfId="855" xr:uid="{8935AF41-30E4-4E76-B382-FDF97F7502A2}"/>
    <cellStyle name="Euro 33" xfId="66" xr:uid="{00000000-0005-0000-0000-000042000000}"/>
    <cellStyle name="Euro 33 2" xfId="856" xr:uid="{6900554D-E253-491D-8375-922352BB3A32}"/>
    <cellStyle name="Euro 34" xfId="67" xr:uid="{00000000-0005-0000-0000-000043000000}"/>
    <cellStyle name="Euro 34 2" xfId="857" xr:uid="{DE07EE75-AE38-4F88-989B-CFCC09793EE7}"/>
    <cellStyle name="Euro 35" xfId="68" xr:uid="{00000000-0005-0000-0000-000044000000}"/>
    <cellStyle name="Euro 35 2" xfId="858" xr:uid="{3C11A421-2704-4695-9D45-CB62C6C37D36}"/>
    <cellStyle name="Euro 36" xfId="69" xr:uid="{00000000-0005-0000-0000-000045000000}"/>
    <cellStyle name="Euro 36 2" xfId="859" xr:uid="{AB9FC38E-32FD-4DEB-ACA7-C6D93CC7BA74}"/>
    <cellStyle name="Euro 37" xfId="70" xr:uid="{00000000-0005-0000-0000-000046000000}"/>
    <cellStyle name="Euro 37 2" xfId="860" xr:uid="{BF2D5C29-3C94-459A-97EC-A4DAE7495B75}"/>
    <cellStyle name="Euro 38" xfId="71" xr:uid="{00000000-0005-0000-0000-000047000000}"/>
    <cellStyle name="Euro 38 2" xfId="861" xr:uid="{E75CF858-5233-4052-8B79-9B3647C73E5A}"/>
    <cellStyle name="Euro 39" xfId="72" xr:uid="{00000000-0005-0000-0000-000048000000}"/>
    <cellStyle name="Euro 39 2" xfId="862" xr:uid="{2240D510-BA84-471B-825C-3F3BEF4EDA8E}"/>
    <cellStyle name="Euro 4" xfId="73" xr:uid="{00000000-0005-0000-0000-000049000000}"/>
    <cellStyle name="Euro 4 2" xfId="863" xr:uid="{C8520296-F652-474E-9A6E-E9C91A624445}"/>
    <cellStyle name="Euro 40" xfId="74" xr:uid="{00000000-0005-0000-0000-00004A000000}"/>
    <cellStyle name="Euro 40 2" xfId="864" xr:uid="{1E63F82C-CA5D-45E7-9DCF-C7E14F0F71A8}"/>
    <cellStyle name="Euro 41" xfId="75" xr:uid="{00000000-0005-0000-0000-00004B000000}"/>
    <cellStyle name="Euro 41 2" xfId="865" xr:uid="{6BA6068D-AEDA-4CA5-8690-0404730B7D5B}"/>
    <cellStyle name="Euro 42" xfId="76" xr:uid="{00000000-0005-0000-0000-00004C000000}"/>
    <cellStyle name="Euro 42 2" xfId="866" xr:uid="{FFE5767D-2529-4A58-A664-D80B1D2DF21B}"/>
    <cellStyle name="Euro 43" xfId="77" xr:uid="{00000000-0005-0000-0000-00004D000000}"/>
    <cellStyle name="Euro 43 2" xfId="867" xr:uid="{A86B01CB-7CBC-4FDB-B74B-C3312CD8441D}"/>
    <cellStyle name="Euro 44" xfId="78" xr:uid="{00000000-0005-0000-0000-00004E000000}"/>
    <cellStyle name="Euro 44 2" xfId="868" xr:uid="{26F8D519-A57A-4AB6-BC4F-B58C0D527AAD}"/>
    <cellStyle name="Euro 45" xfId="79" xr:uid="{00000000-0005-0000-0000-00004F000000}"/>
    <cellStyle name="Euro 45 2" xfId="869" xr:uid="{C6CDAE03-A6C0-41CF-ABBA-A7EB71F9775F}"/>
    <cellStyle name="Euro 46" xfId="80" xr:uid="{00000000-0005-0000-0000-000050000000}"/>
    <cellStyle name="Euro 46 2" xfId="870" xr:uid="{BB2746E6-C426-44BA-91AC-7AE3132F9C20}"/>
    <cellStyle name="Euro 47" xfId="81" xr:uid="{00000000-0005-0000-0000-000051000000}"/>
    <cellStyle name="Euro 47 2" xfId="871" xr:uid="{3FAB2A28-0C68-44BF-92DA-AAAEF7D91A92}"/>
    <cellStyle name="Euro 48" xfId="82" xr:uid="{00000000-0005-0000-0000-000052000000}"/>
    <cellStyle name="Euro 48 2" xfId="872" xr:uid="{0FB6E5F3-EE98-4E2C-95DD-A863D7E8FBDF}"/>
    <cellStyle name="Euro 49" xfId="83" xr:uid="{00000000-0005-0000-0000-000053000000}"/>
    <cellStyle name="Euro 49 2" xfId="873" xr:uid="{B2AF0062-FE5D-4BFB-9C8A-F7964F740012}"/>
    <cellStyle name="Euro 5" xfId="84" xr:uid="{00000000-0005-0000-0000-000054000000}"/>
    <cellStyle name="Euro 5 2" xfId="874" xr:uid="{1D81AE09-2DD3-4A3C-9410-930A48EB0630}"/>
    <cellStyle name="Euro 50" xfId="85" xr:uid="{00000000-0005-0000-0000-000055000000}"/>
    <cellStyle name="Euro 50 2" xfId="875" xr:uid="{C659E2D3-83A7-4028-920C-C187D451F38D}"/>
    <cellStyle name="Euro 51" xfId="86" xr:uid="{00000000-0005-0000-0000-000056000000}"/>
    <cellStyle name="Euro 51 2" xfId="876" xr:uid="{697B145A-A3A4-424C-B5BC-64F85FD1A61A}"/>
    <cellStyle name="Euro 52" xfId="87" xr:uid="{00000000-0005-0000-0000-000057000000}"/>
    <cellStyle name="Euro 52 2" xfId="877" xr:uid="{3E4EF2A8-6260-42F6-B41B-EFD0BB223CE2}"/>
    <cellStyle name="Euro 53" xfId="88" xr:uid="{00000000-0005-0000-0000-000058000000}"/>
    <cellStyle name="Euro 53 2" xfId="878" xr:uid="{357477D9-9041-4560-9B1B-C47810237A4F}"/>
    <cellStyle name="Euro 54" xfId="89" xr:uid="{00000000-0005-0000-0000-000059000000}"/>
    <cellStyle name="Euro 54 2" xfId="879" xr:uid="{B8944267-03D5-4B13-A69C-3242426E74EB}"/>
    <cellStyle name="Euro 55" xfId="90" xr:uid="{00000000-0005-0000-0000-00005A000000}"/>
    <cellStyle name="Euro 55 2" xfId="880" xr:uid="{23BE5ACA-0765-49B4-803F-06A48510CDB6}"/>
    <cellStyle name="Euro 56" xfId="91" xr:uid="{00000000-0005-0000-0000-00005B000000}"/>
    <cellStyle name="Euro 56 2" xfId="881" xr:uid="{6332B449-0B34-4102-BCEA-32A8D65B6A3D}"/>
    <cellStyle name="Euro 57" xfId="92" xr:uid="{00000000-0005-0000-0000-00005C000000}"/>
    <cellStyle name="Euro 57 2" xfId="882" xr:uid="{723BC8BD-DB39-4485-8D25-78873E224DFD}"/>
    <cellStyle name="Euro 58" xfId="93" xr:uid="{00000000-0005-0000-0000-00005D000000}"/>
    <cellStyle name="Euro 58 2" xfId="883" xr:uid="{1A731824-5094-48F0-85A4-B740D0D7FF72}"/>
    <cellStyle name="Euro 59" xfId="94" xr:uid="{00000000-0005-0000-0000-00005E000000}"/>
    <cellStyle name="Euro 59 2" xfId="884" xr:uid="{B8AC0C5E-CDC0-43B5-BBEC-96496EE8273E}"/>
    <cellStyle name="Euro 6" xfId="95" xr:uid="{00000000-0005-0000-0000-00005F000000}"/>
    <cellStyle name="Euro 6 2" xfId="885" xr:uid="{97791A6A-9A29-4454-A8D8-B9CC5DB4E820}"/>
    <cellStyle name="Euro 60" xfId="96" xr:uid="{00000000-0005-0000-0000-000060000000}"/>
    <cellStyle name="Euro 60 2" xfId="886" xr:uid="{F099A8A4-34C0-4264-B5FD-BD4CBF8A3D2F}"/>
    <cellStyle name="Euro 61" xfId="97" xr:uid="{00000000-0005-0000-0000-000061000000}"/>
    <cellStyle name="Euro 61 2" xfId="887" xr:uid="{86D524C7-3245-46F9-9951-31310C8B1589}"/>
    <cellStyle name="Euro 62" xfId="98" xr:uid="{00000000-0005-0000-0000-000062000000}"/>
    <cellStyle name="Euro 62 2" xfId="888" xr:uid="{1812F1C6-19B2-46C5-9269-ED1E0C056733}"/>
    <cellStyle name="Euro 63" xfId="99" xr:uid="{00000000-0005-0000-0000-000063000000}"/>
    <cellStyle name="Euro 63 2" xfId="889" xr:uid="{96AB9CE3-AB04-42C2-ADFE-4F24E36E69F1}"/>
    <cellStyle name="Euro 64" xfId="100" xr:uid="{00000000-0005-0000-0000-000064000000}"/>
    <cellStyle name="Euro 64 2" xfId="890" xr:uid="{69C566B4-C126-40BD-BE93-B1D6AA5FC787}"/>
    <cellStyle name="Euro 65" xfId="101" xr:uid="{00000000-0005-0000-0000-000065000000}"/>
    <cellStyle name="Euro 65 2" xfId="891" xr:uid="{52FED9FD-E383-4009-BFF3-10E75E77B32C}"/>
    <cellStyle name="Euro 66" xfId="102" xr:uid="{00000000-0005-0000-0000-000066000000}"/>
    <cellStyle name="Euro 66 2" xfId="892" xr:uid="{535443E3-10F0-4563-95B7-A21005429B50}"/>
    <cellStyle name="Euro 67" xfId="103" xr:uid="{00000000-0005-0000-0000-000067000000}"/>
    <cellStyle name="Euro 67 2" xfId="893" xr:uid="{40461F86-285F-4527-9346-4D1A1C78321E}"/>
    <cellStyle name="Euro 68" xfId="104" xr:uid="{00000000-0005-0000-0000-000068000000}"/>
    <cellStyle name="Euro 68 2" xfId="894" xr:uid="{F2DE69E1-4CF4-40E7-BD80-9A63CBD97FAD}"/>
    <cellStyle name="Euro 69" xfId="105" xr:uid="{00000000-0005-0000-0000-000069000000}"/>
    <cellStyle name="Euro 69 2" xfId="895" xr:uid="{4A1D6EDE-88F5-4D2D-8187-19FA3D7E9F70}"/>
    <cellStyle name="Euro 7" xfId="106" xr:uid="{00000000-0005-0000-0000-00006A000000}"/>
    <cellStyle name="Euro 7 2" xfId="896" xr:uid="{8B058E9C-38CA-4107-BA24-39C0BC615C1A}"/>
    <cellStyle name="Euro 70" xfId="107" xr:uid="{00000000-0005-0000-0000-00006B000000}"/>
    <cellStyle name="Euro 70 2" xfId="897" xr:uid="{ABADA0CA-6C07-42C8-A766-2765F778FB9B}"/>
    <cellStyle name="Euro 71" xfId="108" xr:uid="{00000000-0005-0000-0000-00006C000000}"/>
    <cellStyle name="Euro 71 2" xfId="898" xr:uid="{6106DB94-9163-46AE-9964-A5E4EFAD0579}"/>
    <cellStyle name="Euro 72" xfId="109" xr:uid="{00000000-0005-0000-0000-00006D000000}"/>
    <cellStyle name="Euro 72 2" xfId="899" xr:uid="{B795C775-9D45-4E73-B421-CD93B75AF63A}"/>
    <cellStyle name="Euro 73" xfId="110" xr:uid="{00000000-0005-0000-0000-00006E000000}"/>
    <cellStyle name="Euro 73 2" xfId="900" xr:uid="{4467BB06-A0FD-42D3-BE57-62A04DE40017}"/>
    <cellStyle name="Euro 74" xfId="111" xr:uid="{00000000-0005-0000-0000-00006F000000}"/>
    <cellStyle name="Euro 74 2" xfId="901" xr:uid="{2BC02817-AD5A-4335-A2E8-3A661E0AC4F4}"/>
    <cellStyle name="Euro 75" xfId="112" xr:uid="{00000000-0005-0000-0000-000070000000}"/>
    <cellStyle name="Euro 75 2" xfId="902" xr:uid="{38C18272-9E45-46A8-91D7-336D77F8B75F}"/>
    <cellStyle name="Euro 76" xfId="113" xr:uid="{00000000-0005-0000-0000-000071000000}"/>
    <cellStyle name="Euro 76 2" xfId="903" xr:uid="{072845FD-4548-412E-931A-10F8C705AC58}"/>
    <cellStyle name="Euro 77" xfId="114" xr:uid="{00000000-0005-0000-0000-000072000000}"/>
    <cellStyle name="Euro 77 2" xfId="904" xr:uid="{B852E496-4CDF-438F-8650-7B0888FCBA0D}"/>
    <cellStyle name="Euro 78" xfId="115" xr:uid="{00000000-0005-0000-0000-000073000000}"/>
    <cellStyle name="Euro 78 2" xfId="905" xr:uid="{3F78425F-392E-4C76-AF3A-23784EC3F18C}"/>
    <cellStyle name="Euro 79" xfId="116" xr:uid="{00000000-0005-0000-0000-000074000000}"/>
    <cellStyle name="Euro 79 2" xfId="906" xr:uid="{FA1E5F1A-5858-4E5F-AB83-F21643284D8F}"/>
    <cellStyle name="Euro 8" xfId="117" xr:uid="{00000000-0005-0000-0000-000075000000}"/>
    <cellStyle name="Euro 8 2" xfId="907" xr:uid="{B9211FAA-3218-4328-A346-0E51FB941F5D}"/>
    <cellStyle name="Euro 80" xfId="118" xr:uid="{00000000-0005-0000-0000-000076000000}"/>
    <cellStyle name="Euro 80 2" xfId="908" xr:uid="{CEBA35D7-174E-4844-9F37-319080211CF9}"/>
    <cellStyle name="Euro 81" xfId="119" xr:uid="{00000000-0005-0000-0000-000077000000}"/>
    <cellStyle name="Euro 81 2" xfId="909" xr:uid="{096236F9-C9BF-4F15-850A-97905FE9BE44}"/>
    <cellStyle name="Euro 82" xfId="120" xr:uid="{00000000-0005-0000-0000-000078000000}"/>
    <cellStyle name="Euro 82 2" xfId="910" xr:uid="{C08320EF-7005-4BDC-A771-3D105736145A}"/>
    <cellStyle name="Euro 83" xfId="121" xr:uid="{00000000-0005-0000-0000-000079000000}"/>
    <cellStyle name="Euro 83 2" xfId="911" xr:uid="{79556F32-87E3-4B93-A483-212C3183F7CC}"/>
    <cellStyle name="Euro 84" xfId="122" xr:uid="{00000000-0005-0000-0000-00007A000000}"/>
    <cellStyle name="Euro 84 2" xfId="912" xr:uid="{4D4AD4C9-F77B-4C6D-92A2-9900BAF79EA0}"/>
    <cellStyle name="Euro 85" xfId="123" xr:uid="{00000000-0005-0000-0000-00007B000000}"/>
    <cellStyle name="Euro 85 2" xfId="913" xr:uid="{24CEF38C-66BA-44FA-A6AE-AE8FFD2BFE3B}"/>
    <cellStyle name="Euro 86" xfId="124" xr:uid="{00000000-0005-0000-0000-00007C000000}"/>
    <cellStyle name="Euro 86 2" xfId="914" xr:uid="{65F32FAD-9ADB-4F71-888D-AC019C92AB76}"/>
    <cellStyle name="Euro 87" xfId="125" xr:uid="{00000000-0005-0000-0000-00007D000000}"/>
    <cellStyle name="Euro 87 2" xfId="915" xr:uid="{A6AA9C30-BD3D-4152-80A7-F07A6D1D10DB}"/>
    <cellStyle name="Euro 88" xfId="126" xr:uid="{00000000-0005-0000-0000-00007E000000}"/>
    <cellStyle name="Euro 88 2" xfId="916" xr:uid="{D3B90ABD-BA44-4D01-95D9-A24D5F784EF4}"/>
    <cellStyle name="Euro 89" xfId="127" xr:uid="{00000000-0005-0000-0000-00007F000000}"/>
    <cellStyle name="Euro 89 2" xfId="917" xr:uid="{33CD8C70-8865-45B3-A30A-F42F49F3CBED}"/>
    <cellStyle name="Euro 9" xfId="128" xr:uid="{00000000-0005-0000-0000-000080000000}"/>
    <cellStyle name="Euro 9 2" xfId="918" xr:uid="{981FE0B0-3898-47E5-83EB-F21F2505309D}"/>
    <cellStyle name="Euro 90" xfId="129" xr:uid="{00000000-0005-0000-0000-000081000000}"/>
    <cellStyle name="Euro 90 2" xfId="919" xr:uid="{817BF9D2-4544-4C60-A56A-FA053580F823}"/>
    <cellStyle name="Euro 91" xfId="130" xr:uid="{00000000-0005-0000-0000-000082000000}"/>
    <cellStyle name="Euro 91 2" xfId="920" xr:uid="{72FB4059-6A33-4D1A-A702-293D35699D73}"/>
    <cellStyle name="Euro 92" xfId="131" xr:uid="{00000000-0005-0000-0000-000083000000}"/>
    <cellStyle name="Euro 92 2" xfId="921" xr:uid="{3D19C206-917E-4782-B54F-44BB28777FF0}"/>
    <cellStyle name="Euro 93" xfId="132" xr:uid="{00000000-0005-0000-0000-000084000000}"/>
    <cellStyle name="Euro 93 2" xfId="922" xr:uid="{0A678892-47E1-4BAC-BBF8-D85F5EFFDB53}"/>
    <cellStyle name="Euro 94" xfId="133" xr:uid="{00000000-0005-0000-0000-000085000000}"/>
    <cellStyle name="Euro 94 2" xfId="923" xr:uid="{05FFDF08-D6EF-48AA-B7E8-0B613AF56659}"/>
    <cellStyle name="Euro 95" xfId="134" xr:uid="{00000000-0005-0000-0000-000086000000}"/>
    <cellStyle name="Euro 95 2" xfId="924" xr:uid="{78F44AB3-FED5-45F7-B9D0-3427FC920782}"/>
    <cellStyle name="Euro 96" xfId="135" xr:uid="{00000000-0005-0000-0000-000087000000}"/>
    <cellStyle name="Euro 96 2" xfId="925" xr:uid="{1CDB78F2-90D7-4200-9293-D48DFD66310B}"/>
    <cellStyle name="Euro 97" xfId="136" xr:uid="{00000000-0005-0000-0000-000088000000}"/>
    <cellStyle name="Euro 97 2" xfId="926" xr:uid="{1780CAFE-1E5E-48D7-8530-FC33B6D4554F}"/>
    <cellStyle name="Euro 98" xfId="137" xr:uid="{00000000-0005-0000-0000-000089000000}"/>
    <cellStyle name="Euro 98 2" xfId="927" xr:uid="{C9ED6FDD-C133-4211-8CCE-AFF7A23C2A6B}"/>
    <cellStyle name="Euro 99" xfId="138" xr:uid="{00000000-0005-0000-0000-00008A000000}"/>
    <cellStyle name="Euro 99 2" xfId="928" xr:uid="{EE8D1108-CE43-4103-85C4-0BBB4A14BDAB}"/>
    <cellStyle name="Euro_INSUMOS" xfId="139" xr:uid="{00000000-0005-0000-0000-00008B000000}"/>
    <cellStyle name="Explanatory Text" xfId="140" xr:uid="{00000000-0005-0000-0000-00008C000000}"/>
    <cellStyle name="Fixed" xfId="141" xr:uid="{00000000-0005-0000-0000-00008D000000}"/>
    <cellStyle name="Heading 1" xfId="142" xr:uid="{00000000-0005-0000-0000-00008E000000}"/>
    <cellStyle name="Heading 2" xfId="143" xr:uid="{00000000-0005-0000-0000-00008F000000}"/>
    <cellStyle name="Heading 3" xfId="144" xr:uid="{00000000-0005-0000-0000-000090000000}"/>
    <cellStyle name="Hipervínculo 2" xfId="145" xr:uid="{00000000-0005-0000-0000-000091000000}"/>
    <cellStyle name="Millares" xfId="146" builtinId="3"/>
    <cellStyle name="Millares [0]_Hoja1" xfId="147" xr:uid="{00000000-0005-0000-0000-000093000000}"/>
    <cellStyle name="Millares 10" xfId="148" xr:uid="{00000000-0005-0000-0000-000094000000}"/>
    <cellStyle name="Millares 10 2" xfId="930" xr:uid="{E66CCB43-135B-4176-A602-94110DD78F3E}"/>
    <cellStyle name="Millares 100" xfId="149" xr:uid="{00000000-0005-0000-0000-000095000000}"/>
    <cellStyle name="Millares 100 2" xfId="931" xr:uid="{E459BA07-07E0-43EB-91D9-F671C296F70A}"/>
    <cellStyle name="Millares 101" xfId="150" xr:uid="{00000000-0005-0000-0000-000096000000}"/>
    <cellStyle name="Millares 101 2" xfId="932" xr:uid="{03A7CDD7-2DA7-4257-B962-1DCFA79997AA}"/>
    <cellStyle name="Millares 102" xfId="151" xr:uid="{00000000-0005-0000-0000-000097000000}"/>
    <cellStyle name="Millares 102 2" xfId="933" xr:uid="{7A9A3B86-6E41-49BA-BB8A-E8025286A4E8}"/>
    <cellStyle name="Millares 103" xfId="152" xr:uid="{00000000-0005-0000-0000-000098000000}"/>
    <cellStyle name="Millares 103 2" xfId="934" xr:uid="{C7FCC61D-38AD-4D95-AD17-90F564D54644}"/>
    <cellStyle name="Millares 104" xfId="153" xr:uid="{00000000-0005-0000-0000-000099000000}"/>
    <cellStyle name="Millares 104 2" xfId="935" xr:uid="{BC4D683F-E2D1-41E4-851D-DB896FB71E57}"/>
    <cellStyle name="Millares 105" xfId="154" xr:uid="{00000000-0005-0000-0000-00009A000000}"/>
    <cellStyle name="Millares 105 2" xfId="936" xr:uid="{1FEE480B-4DE2-406C-A93F-D6200FA43666}"/>
    <cellStyle name="Millares 106" xfId="155" xr:uid="{00000000-0005-0000-0000-00009B000000}"/>
    <cellStyle name="Millares 106 2" xfId="937" xr:uid="{81E6C8BB-2AE2-408C-BCF2-A2710C27B0A9}"/>
    <cellStyle name="Millares 107" xfId="156" xr:uid="{00000000-0005-0000-0000-00009C000000}"/>
    <cellStyle name="Millares 107 2" xfId="938" xr:uid="{BE172C09-C038-4FE6-A2E0-D1EA31234060}"/>
    <cellStyle name="Millares 108" xfId="157" xr:uid="{00000000-0005-0000-0000-00009D000000}"/>
    <cellStyle name="Millares 108 2" xfId="939" xr:uid="{AA134FB7-61DF-49B3-98BA-EA81ECF66E99}"/>
    <cellStyle name="Millares 109" xfId="158" xr:uid="{00000000-0005-0000-0000-00009E000000}"/>
    <cellStyle name="Millares 109 2" xfId="940" xr:uid="{DF5A123F-C71D-43BB-90F5-8D7F5CAEC1A5}"/>
    <cellStyle name="Millares 11" xfId="159" xr:uid="{00000000-0005-0000-0000-00009F000000}"/>
    <cellStyle name="Millares 11 2" xfId="160" xr:uid="{00000000-0005-0000-0000-0000A0000000}"/>
    <cellStyle name="Millares 11 2 2" xfId="942" xr:uid="{9ED1EDAE-C66F-4840-B261-32709E932F16}"/>
    <cellStyle name="Millares 11 3" xfId="941" xr:uid="{862C8541-8160-4131-A130-AC4107A2C004}"/>
    <cellStyle name="Millares 110" xfId="161" xr:uid="{00000000-0005-0000-0000-0000A1000000}"/>
    <cellStyle name="Millares 110 2" xfId="943" xr:uid="{0AE1DB3E-870E-42FE-848A-C9C23A949EB0}"/>
    <cellStyle name="Millares 111" xfId="162" xr:uid="{00000000-0005-0000-0000-0000A2000000}"/>
    <cellStyle name="Millares 111 2" xfId="944" xr:uid="{B4092B96-4C58-403E-86BE-EE841ADCE555}"/>
    <cellStyle name="Millares 112" xfId="163" xr:uid="{00000000-0005-0000-0000-0000A3000000}"/>
    <cellStyle name="Millares 112 2" xfId="945" xr:uid="{7723D092-A396-468D-BA61-4A1E6765FC1B}"/>
    <cellStyle name="Millares 113" xfId="164" xr:uid="{00000000-0005-0000-0000-0000A4000000}"/>
    <cellStyle name="Millares 113 2" xfId="946" xr:uid="{BD3D24EB-2F39-4615-9568-0A6E38E2E42A}"/>
    <cellStyle name="Millares 114" xfId="165" xr:uid="{00000000-0005-0000-0000-0000A5000000}"/>
    <cellStyle name="Millares 114 2" xfId="947" xr:uid="{C99B6B6F-1242-4B35-985E-356DA09D317E}"/>
    <cellStyle name="Millares 115" xfId="166" xr:uid="{00000000-0005-0000-0000-0000A6000000}"/>
    <cellStyle name="Millares 115 2" xfId="948" xr:uid="{676D4524-8235-4E82-A4F2-053881365423}"/>
    <cellStyle name="Millares 116" xfId="167" xr:uid="{00000000-0005-0000-0000-0000A7000000}"/>
    <cellStyle name="Millares 116 2" xfId="949" xr:uid="{58E11FF4-C2FF-40D5-BE98-1AA1826AEAB9}"/>
    <cellStyle name="Millares 117" xfId="168" xr:uid="{00000000-0005-0000-0000-0000A8000000}"/>
    <cellStyle name="Millares 117 2" xfId="950" xr:uid="{6CF3DDE0-2C8A-4F9D-A052-F5B4291B2587}"/>
    <cellStyle name="Millares 118" xfId="169" xr:uid="{00000000-0005-0000-0000-0000A9000000}"/>
    <cellStyle name="Millares 118 2" xfId="951" xr:uid="{7D043FE4-3366-4FA5-94B3-8B40727DB7BA}"/>
    <cellStyle name="Millares 119" xfId="170" xr:uid="{00000000-0005-0000-0000-0000AA000000}"/>
    <cellStyle name="Millares 119 2" xfId="952" xr:uid="{2B223CE7-1399-4996-8126-F15B93C72B9B}"/>
    <cellStyle name="Millares 12" xfId="171" xr:uid="{00000000-0005-0000-0000-0000AB000000}"/>
    <cellStyle name="Millares 12 2" xfId="953" xr:uid="{9A9B6EAA-F8BA-45B6-BF69-6DAD933E4B36}"/>
    <cellStyle name="Millares 120" xfId="172" xr:uid="{00000000-0005-0000-0000-0000AC000000}"/>
    <cellStyle name="Millares 120 2" xfId="954" xr:uid="{296F6274-8F2A-486C-9565-C4D4A05233CA}"/>
    <cellStyle name="Millares 121" xfId="173" xr:uid="{00000000-0005-0000-0000-0000AD000000}"/>
    <cellStyle name="Millares 121 2" xfId="955" xr:uid="{4B58C53F-1264-4C9A-82E3-7B9D8E569E77}"/>
    <cellStyle name="Millares 122" xfId="174" xr:uid="{00000000-0005-0000-0000-0000AE000000}"/>
    <cellStyle name="Millares 122 2" xfId="956" xr:uid="{380B8824-5CF2-4EB5-B358-0BE84B2D3899}"/>
    <cellStyle name="Millares 123" xfId="175" xr:uid="{00000000-0005-0000-0000-0000AF000000}"/>
    <cellStyle name="Millares 123 2" xfId="957" xr:uid="{191DB721-0718-4597-82D1-B7231171B8F6}"/>
    <cellStyle name="Millares 124" xfId="176" xr:uid="{00000000-0005-0000-0000-0000B0000000}"/>
    <cellStyle name="Millares 124 2" xfId="958" xr:uid="{DA01D0EA-1666-4CA7-BD32-2232AC4B20BB}"/>
    <cellStyle name="Millares 125" xfId="177" xr:uid="{00000000-0005-0000-0000-0000B1000000}"/>
    <cellStyle name="Millares 125 2" xfId="959" xr:uid="{24FBC867-7ADC-4262-8335-115223EC9F89}"/>
    <cellStyle name="Millares 126" xfId="178" xr:uid="{00000000-0005-0000-0000-0000B2000000}"/>
    <cellStyle name="Millares 126 2" xfId="960" xr:uid="{9C08C7C5-DD9F-4677-A126-E00823F71B69}"/>
    <cellStyle name="Millares 127" xfId="179" xr:uid="{00000000-0005-0000-0000-0000B3000000}"/>
    <cellStyle name="Millares 127 2" xfId="961" xr:uid="{6F5787AC-CB37-4B51-83AA-C256663E9E1E}"/>
    <cellStyle name="Millares 128" xfId="180" xr:uid="{00000000-0005-0000-0000-0000B4000000}"/>
    <cellStyle name="Millares 128 2" xfId="962" xr:uid="{ED33697B-DDBF-41F9-A5E7-F295F8F902C2}"/>
    <cellStyle name="Millares 129" xfId="181" xr:uid="{00000000-0005-0000-0000-0000B5000000}"/>
    <cellStyle name="Millares 129 2" xfId="963" xr:uid="{3D1F38CA-B37A-470F-822A-25F94C074292}"/>
    <cellStyle name="Millares 13" xfId="182" xr:uid="{00000000-0005-0000-0000-0000B6000000}"/>
    <cellStyle name="Millares 13 2" xfId="964" xr:uid="{196579D4-FB32-4389-AD1E-FE2B9C26664A}"/>
    <cellStyle name="Millares 130" xfId="183" xr:uid="{00000000-0005-0000-0000-0000B7000000}"/>
    <cellStyle name="Millares 130 2" xfId="965" xr:uid="{BF46CAA4-5703-469D-BF95-D762C7D7AD81}"/>
    <cellStyle name="Millares 131" xfId="184" xr:uid="{00000000-0005-0000-0000-0000B8000000}"/>
    <cellStyle name="Millares 131 2" xfId="966" xr:uid="{2551BBD7-082D-4509-9D3B-B6568FC4BF12}"/>
    <cellStyle name="Millares 132" xfId="185" xr:uid="{00000000-0005-0000-0000-0000B9000000}"/>
    <cellStyle name="Millares 132 2" xfId="967" xr:uid="{25930DEA-3F46-40DC-BFC9-7C7AE63C7BD1}"/>
    <cellStyle name="Millares 133" xfId="186" xr:uid="{00000000-0005-0000-0000-0000BA000000}"/>
    <cellStyle name="Millares 133 2" xfId="968" xr:uid="{477F77FA-B4D6-412A-8ADC-42930F6DB081}"/>
    <cellStyle name="Millares 134" xfId="187" xr:uid="{00000000-0005-0000-0000-0000BB000000}"/>
    <cellStyle name="Millares 134 2" xfId="969" xr:uid="{F6901653-821A-46EB-8BA2-05473B138AA6}"/>
    <cellStyle name="Millares 135" xfId="188" xr:uid="{00000000-0005-0000-0000-0000BC000000}"/>
    <cellStyle name="Millares 135 2" xfId="970" xr:uid="{93588CDB-286E-4792-A9FE-A815730B2FDA}"/>
    <cellStyle name="Millares 136" xfId="189" xr:uid="{00000000-0005-0000-0000-0000BD000000}"/>
    <cellStyle name="Millares 136 2" xfId="971" xr:uid="{9FA8BD57-3DA2-4BF6-B876-133217D17084}"/>
    <cellStyle name="Millares 137" xfId="190" xr:uid="{00000000-0005-0000-0000-0000BE000000}"/>
    <cellStyle name="Millares 137 2" xfId="972" xr:uid="{708BEAEB-0EA3-42BE-973D-C7EF8D6B6DA3}"/>
    <cellStyle name="Millares 138" xfId="191" xr:uid="{00000000-0005-0000-0000-0000BF000000}"/>
    <cellStyle name="Millares 138 2" xfId="973" xr:uid="{37AB67C2-C4E7-4030-B262-556D97C6DFB5}"/>
    <cellStyle name="Millares 139" xfId="192" xr:uid="{00000000-0005-0000-0000-0000C0000000}"/>
    <cellStyle name="Millares 139 2" xfId="974" xr:uid="{27DD3FA0-340C-4EC8-B7A9-ACF66545915E}"/>
    <cellStyle name="Millares 14" xfId="193" xr:uid="{00000000-0005-0000-0000-0000C1000000}"/>
    <cellStyle name="Millares 14 2" xfId="975" xr:uid="{D15C4B02-2CD7-439E-8CCA-2E0736DE65B6}"/>
    <cellStyle name="Millares 140" xfId="194" xr:uid="{00000000-0005-0000-0000-0000C2000000}"/>
    <cellStyle name="Millares 140 2" xfId="976" xr:uid="{56B1D29C-9D67-4FAB-AF49-7CBF0618424A}"/>
    <cellStyle name="Millares 141" xfId="195" xr:uid="{00000000-0005-0000-0000-0000C3000000}"/>
    <cellStyle name="Millares 141 2" xfId="977" xr:uid="{C226070C-0BBE-4AE5-B18E-5A83795D0636}"/>
    <cellStyle name="Millares 142" xfId="196" xr:uid="{00000000-0005-0000-0000-0000C4000000}"/>
    <cellStyle name="Millares 142 2" xfId="978" xr:uid="{AFC1E8FC-083D-475B-A2D8-A7A316F537CC}"/>
    <cellStyle name="Millares 143" xfId="197" xr:uid="{00000000-0005-0000-0000-0000C5000000}"/>
    <cellStyle name="Millares 143 2" xfId="979" xr:uid="{1E0B1FC8-B5FC-4F34-BF52-9A5EE8CEE167}"/>
    <cellStyle name="Millares 144" xfId="198" xr:uid="{00000000-0005-0000-0000-0000C6000000}"/>
    <cellStyle name="Millares 144 2" xfId="980" xr:uid="{778A4C59-495B-41EB-8969-8931AECA914E}"/>
    <cellStyle name="Millares 145" xfId="199" xr:uid="{00000000-0005-0000-0000-0000C7000000}"/>
    <cellStyle name="Millares 145 2" xfId="981" xr:uid="{74ADDF28-C503-477D-8489-EA2DA1F499CB}"/>
    <cellStyle name="Millares 146" xfId="200" xr:uid="{00000000-0005-0000-0000-0000C8000000}"/>
    <cellStyle name="Millares 146 2" xfId="982" xr:uid="{14AD9585-1077-40CB-B874-DE85B60F133B}"/>
    <cellStyle name="Millares 147" xfId="201" xr:uid="{00000000-0005-0000-0000-0000C9000000}"/>
    <cellStyle name="Millares 147 2" xfId="983" xr:uid="{75CE2913-DB56-4E8B-A4DC-D04CDEC7DB8A}"/>
    <cellStyle name="Millares 148" xfId="202" xr:uid="{00000000-0005-0000-0000-0000CA000000}"/>
    <cellStyle name="Millares 148 2" xfId="810" xr:uid="{00000000-0005-0000-0000-0000CB000000}"/>
    <cellStyle name="Millares 149" xfId="819" xr:uid="{00000000-0005-0000-0000-0000CC000000}"/>
    <cellStyle name="Millares 149 2" xfId="1567" xr:uid="{27BED87F-B183-4F58-8F4C-76A08A6826C5}"/>
    <cellStyle name="Millares 15" xfId="203" xr:uid="{00000000-0005-0000-0000-0000CD000000}"/>
    <cellStyle name="Millares 15 2" xfId="984" xr:uid="{68994725-B2CA-4F4A-8C5F-4BEB89695521}"/>
    <cellStyle name="Millares 150" xfId="820" xr:uid="{00000000-0005-0000-0000-0000CE000000}"/>
    <cellStyle name="Millares 150 2" xfId="1568" xr:uid="{48229F8E-7157-4CB1-B552-10B8B528288E}"/>
    <cellStyle name="Millares 151" xfId="929" xr:uid="{D4661406-E5F1-4401-95E8-807877ACCA10}"/>
    <cellStyle name="Millares 16" xfId="204" xr:uid="{00000000-0005-0000-0000-0000CF000000}"/>
    <cellStyle name="Millares 16 2" xfId="985" xr:uid="{5D413C2A-4821-4EE5-83DE-578F503ED37C}"/>
    <cellStyle name="Millares 17" xfId="205" xr:uid="{00000000-0005-0000-0000-0000D0000000}"/>
    <cellStyle name="Millares 17 2" xfId="986" xr:uid="{BC169B51-96C1-4EBD-8CFC-5F0FB4FE581E}"/>
    <cellStyle name="Millares 18" xfId="206" xr:uid="{00000000-0005-0000-0000-0000D1000000}"/>
    <cellStyle name="Millares 18 2" xfId="987" xr:uid="{7760400D-2E9B-4105-8305-05C9720AF51D}"/>
    <cellStyle name="Millares 19" xfId="207" xr:uid="{00000000-0005-0000-0000-0000D2000000}"/>
    <cellStyle name="Millares 19 2" xfId="988" xr:uid="{754DD9F5-97AD-4015-B89D-2CBB62664E25}"/>
    <cellStyle name="Millares 2" xfId="208" xr:uid="{00000000-0005-0000-0000-0000D3000000}"/>
    <cellStyle name="Millares 2 2" xfId="209" xr:uid="{00000000-0005-0000-0000-0000D4000000}"/>
    <cellStyle name="Millares 2 2 2" xfId="990" xr:uid="{1909C064-3119-47E5-9163-217C26F6CB24}"/>
    <cellStyle name="Millares 2 3" xfId="989" xr:uid="{449FF23B-1941-430B-BBA6-DADCFFBB3C38}"/>
    <cellStyle name="Millares 20" xfId="210" xr:uid="{00000000-0005-0000-0000-0000D5000000}"/>
    <cellStyle name="Millares 20 2" xfId="991" xr:uid="{1D7EDB6E-736C-45C2-9F98-2455E9E8D602}"/>
    <cellStyle name="Millares 21" xfId="211" xr:uid="{00000000-0005-0000-0000-0000D6000000}"/>
    <cellStyle name="Millares 21 2" xfId="992" xr:uid="{0D06B673-C4CC-42FF-A2BE-87486D02089A}"/>
    <cellStyle name="Millares 22" xfId="212" xr:uid="{00000000-0005-0000-0000-0000D7000000}"/>
    <cellStyle name="Millares 22 2" xfId="993" xr:uid="{7509F5DD-2851-47F6-B8B0-ADDA7E5E4206}"/>
    <cellStyle name="Millares 23" xfId="213" xr:uid="{00000000-0005-0000-0000-0000D8000000}"/>
    <cellStyle name="Millares 23 2" xfId="994" xr:uid="{A38C48B8-A61E-4CCB-A922-B8879B5C8517}"/>
    <cellStyle name="Millares 24" xfId="214" xr:uid="{00000000-0005-0000-0000-0000D9000000}"/>
    <cellStyle name="Millares 24 2" xfId="995" xr:uid="{CA2350A4-2541-4CCE-907A-BC4860831720}"/>
    <cellStyle name="Millares 25" xfId="215" xr:uid="{00000000-0005-0000-0000-0000DA000000}"/>
    <cellStyle name="Millares 25 2" xfId="996" xr:uid="{FDDDD01F-451E-4925-A1A5-00EBD5EF80D3}"/>
    <cellStyle name="Millares 26" xfId="216" xr:uid="{00000000-0005-0000-0000-0000DB000000}"/>
    <cellStyle name="Millares 26 2" xfId="997" xr:uid="{5C99E4BC-7BE0-4E84-9D09-AAE9FBD4AD46}"/>
    <cellStyle name="Millares 27" xfId="217" xr:uid="{00000000-0005-0000-0000-0000DC000000}"/>
    <cellStyle name="Millares 27 2" xfId="998" xr:uid="{6BF222DC-4078-4A7A-890F-D82C69C8F1E1}"/>
    <cellStyle name="Millares 28" xfId="218" xr:uid="{00000000-0005-0000-0000-0000DD000000}"/>
    <cellStyle name="Millares 28 2" xfId="999" xr:uid="{A4E9F64C-3107-4B1B-82CF-7D2CBD462848}"/>
    <cellStyle name="Millares 29" xfId="219" xr:uid="{00000000-0005-0000-0000-0000DE000000}"/>
    <cellStyle name="Millares 29 2" xfId="1000" xr:uid="{CF7F94D0-E378-4659-A431-D15370A6396D}"/>
    <cellStyle name="Millares 3" xfId="220" xr:uid="{00000000-0005-0000-0000-0000DF000000}"/>
    <cellStyle name="Millares 3 2" xfId="1001" xr:uid="{A1A7C284-8279-41A5-A053-614A95C9BC95}"/>
    <cellStyle name="Millares 3 3 2" xfId="221" xr:uid="{00000000-0005-0000-0000-0000E0000000}"/>
    <cellStyle name="Millares 3 3 2 2" xfId="1002" xr:uid="{D15E52A0-44D4-4BCB-B1A3-56374C8A73BD}"/>
    <cellStyle name="Millares 30" xfId="222" xr:uid="{00000000-0005-0000-0000-0000E1000000}"/>
    <cellStyle name="Millares 30 2" xfId="1003" xr:uid="{5B700B16-4276-4E78-90C7-0C9C5E15FEF3}"/>
    <cellStyle name="Millares 31" xfId="223" xr:uid="{00000000-0005-0000-0000-0000E2000000}"/>
    <cellStyle name="Millares 31 2" xfId="1004" xr:uid="{E4F34C2B-25D2-4298-87C7-E27F1A3F530A}"/>
    <cellStyle name="Millares 32" xfId="224" xr:uid="{00000000-0005-0000-0000-0000E3000000}"/>
    <cellStyle name="Millares 32 2" xfId="1005" xr:uid="{3C33F4DC-D89E-475F-9883-070C4461152C}"/>
    <cellStyle name="Millares 33" xfId="225" xr:uid="{00000000-0005-0000-0000-0000E4000000}"/>
    <cellStyle name="Millares 33 2" xfId="1006" xr:uid="{5A8DCBF5-F728-4134-B3BB-D1ABA0B19C4D}"/>
    <cellStyle name="Millares 34" xfId="226" xr:uid="{00000000-0005-0000-0000-0000E5000000}"/>
    <cellStyle name="Millares 34 2" xfId="1007" xr:uid="{6DED2E84-307C-48B3-ABC1-6A823925F478}"/>
    <cellStyle name="Millares 35" xfId="227" xr:uid="{00000000-0005-0000-0000-0000E6000000}"/>
    <cellStyle name="Millares 35 2" xfId="1008" xr:uid="{E3CD4BEE-BD53-44EB-8539-51346F3FE8EB}"/>
    <cellStyle name="Millares 36" xfId="228" xr:uid="{00000000-0005-0000-0000-0000E7000000}"/>
    <cellStyle name="Millares 36 2" xfId="1009" xr:uid="{B26DDC26-BF30-46B3-8F0C-AC7B00DB34DD}"/>
    <cellStyle name="Millares 37" xfId="229" xr:uid="{00000000-0005-0000-0000-0000E8000000}"/>
    <cellStyle name="Millares 37 2" xfId="1010" xr:uid="{E6C84EB1-2396-4E9D-8639-A3FE7BD54B69}"/>
    <cellStyle name="Millares 38" xfId="230" xr:uid="{00000000-0005-0000-0000-0000E9000000}"/>
    <cellStyle name="Millares 38 2" xfId="1011" xr:uid="{7D54626A-131D-4492-B94B-F9BC2E70FEC4}"/>
    <cellStyle name="Millares 39" xfId="231" xr:uid="{00000000-0005-0000-0000-0000EA000000}"/>
    <cellStyle name="Millares 39 2" xfId="1012" xr:uid="{589D402E-7D38-49C1-8961-37BE05652C66}"/>
    <cellStyle name="Millares 4" xfId="232" xr:uid="{00000000-0005-0000-0000-0000EB000000}"/>
    <cellStyle name="Millares 4 2" xfId="233" xr:uid="{00000000-0005-0000-0000-0000EC000000}"/>
    <cellStyle name="Millares 4 2 2" xfId="1014" xr:uid="{46F3136C-2B1A-4339-BDC9-211BB2BB0A65}"/>
    <cellStyle name="Millares 4 3" xfId="1013" xr:uid="{5183EC24-78B5-4208-8002-D26C707BE8DA}"/>
    <cellStyle name="Millares 40" xfId="234" xr:uid="{00000000-0005-0000-0000-0000ED000000}"/>
    <cellStyle name="Millares 40 2" xfId="1015" xr:uid="{6CEAF852-DD55-4BCD-9582-71ABFB3D3E16}"/>
    <cellStyle name="Millares 41" xfId="235" xr:uid="{00000000-0005-0000-0000-0000EE000000}"/>
    <cellStyle name="Millares 41 2" xfId="1016" xr:uid="{DC929640-B2F2-482F-9A0D-1B7AF2B69B51}"/>
    <cellStyle name="Millares 42" xfId="236" xr:uid="{00000000-0005-0000-0000-0000EF000000}"/>
    <cellStyle name="Millares 42 2" xfId="1017" xr:uid="{75EBB13C-C0D9-4A97-959B-3FD6E0880F6A}"/>
    <cellStyle name="Millares 43" xfId="237" xr:uid="{00000000-0005-0000-0000-0000F0000000}"/>
    <cellStyle name="Millares 43 2" xfId="1018" xr:uid="{4CF9589A-81A0-48B8-98F8-1EFB36931F36}"/>
    <cellStyle name="Millares 44" xfId="238" xr:uid="{00000000-0005-0000-0000-0000F1000000}"/>
    <cellStyle name="Millares 44 2" xfId="1019" xr:uid="{D98B2E1E-5186-4396-990C-583C0AE38960}"/>
    <cellStyle name="Millares 45" xfId="239" xr:uid="{00000000-0005-0000-0000-0000F2000000}"/>
    <cellStyle name="Millares 45 2" xfId="1020" xr:uid="{54F0D0CC-1D48-42DE-ADB9-EE31AB7D1409}"/>
    <cellStyle name="Millares 46" xfId="240" xr:uid="{00000000-0005-0000-0000-0000F3000000}"/>
    <cellStyle name="Millares 46 2" xfId="1021" xr:uid="{D85CA70E-656B-4310-8643-3C48E638CFA7}"/>
    <cellStyle name="Millares 47" xfId="241" xr:uid="{00000000-0005-0000-0000-0000F4000000}"/>
    <cellStyle name="Millares 47 2" xfId="1022" xr:uid="{A357B258-8F11-4FE1-8607-8A51F7E5131C}"/>
    <cellStyle name="Millares 48" xfId="242" xr:uid="{00000000-0005-0000-0000-0000F5000000}"/>
    <cellStyle name="Millares 48 2" xfId="1023" xr:uid="{87E42772-FC04-4884-A7BE-383D873D6600}"/>
    <cellStyle name="Millares 49" xfId="243" xr:uid="{00000000-0005-0000-0000-0000F6000000}"/>
    <cellStyle name="Millares 49 2" xfId="1024" xr:uid="{B458DF5E-3DC0-448D-BD06-607295D4E03A}"/>
    <cellStyle name="Millares 5" xfId="244" xr:uid="{00000000-0005-0000-0000-0000F7000000}"/>
    <cellStyle name="Millares 5 2" xfId="1025" xr:uid="{948E045A-066B-4F32-8D28-0B4D9E7A30E7}"/>
    <cellStyle name="Millares 50" xfId="245" xr:uid="{00000000-0005-0000-0000-0000F8000000}"/>
    <cellStyle name="Millares 50 2" xfId="1026" xr:uid="{FD18A0AF-D288-4375-B236-5E8C86D86558}"/>
    <cellStyle name="Millares 51" xfId="246" xr:uid="{00000000-0005-0000-0000-0000F9000000}"/>
    <cellStyle name="Millares 51 2" xfId="1027" xr:uid="{DCA27D6B-9659-44E2-9B72-A517051DE773}"/>
    <cellStyle name="Millares 52" xfId="247" xr:uid="{00000000-0005-0000-0000-0000FA000000}"/>
    <cellStyle name="Millares 52 2" xfId="1028" xr:uid="{8582A57E-D5CC-478B-9042-4A8EE036158E}"/>
    <cellStyle name="Millares 53" xfId="248" xr:uid="{00000000-0005-0000-0000-0000FB000000}"/>
    <cellStyle name="Millares 53 2" xfId="1029" xr:uid="{4E010996-3E78-4361-A19E-64C91A4AA28B}"/>
    <cellStyle name="Millares 54" xfId="249" xr:uid="{00000000-0005-0000-0000-0000FC000000}"/>
    <cellStyle name="Millares 54 2" xfId="1030" xr:uid="{81A80A0E-8816-47C9-8E64-57E001DD5D12}"/>
    <cellStyle name="Millares 55" xfId="250" xr:uid="{00000000-0005-0000-0000-0000FD000000}"/>
    <cellStyle name="Millares 55 2" xfId="1031" xr:uid="{4283E58D-B1AC-44CB-97AE-88F878247415}"/>
    <cellStyle name="Millares 56" xfId="251" xr:uid="{00000000-0005-0000-0000-0000FE000000}"/>
    <cellStyle name="Millares 56 2" xfId="1032" xr:uid="{5243F46F-CFFC-4DD7-9258-FBCB627761FC}"/>
    <cellStyle name="Millares 57" xfId="252" xr:uid="{00000000-0005-0000-0000-0000FF000000}"/>
    <cellStyle name="Millares 57 2" xfId="1033" xr:uid="{23BDE1E0-9115-46FD-914E-44654DB29C14}"/>
    <cellStyle name="Millares 58" xfId="253" xr:uid="{00000000-0005-0000-0000-000000010000}"/>
    <cellStyle name="Millares 58 2" xfId="1034" xr:uid="{2280F28E-F176-4A94-BB9A-49D5602C7328}"/>
    <cellStyle name="Millares 59" xfId="254" xr:uid="{00000000-0005-0000-0000-000001010000}"/>
    <cellStyle name="Millares 59 2" xfId="1035" xr:uid="{75FFFC32-E724-4299-B9A8-AD896FCD9267}"/>
    <cellStyle name="Millares 6" xfId="255" xr:uid="{00000000-0005-0000-0000-000002010000}"/>
    <cellStyle name="Millares 6 2" xfId="1036" xr:uid="{4E1B8362-696E-4B41-A1B9-0BB3CE5CEC42}"/>
    <cellStyle name="Millares 6 3" xfId="256" xr:uid="{00000000-0005-0000-0000-000003010000}"/>
    <cellStyle name="Millares 6 3 2" xfId="1037" xr:uid="{1719B685-3A9E-494D-BB52-C05E45FE96AC}"/>
    <cellStyle name="Millares 60" xfId="257" xr:uid="{00000000-0005-0000-0000-000004010000}"/>
    <cellStyle name="Millares 60 2" xfId="1038" xr:uid="{18660E54-9FD7-4401-9F43-F9F8B36E13F2}"/>
    <cellStyle name="Millares 61" xfId="258" xr:uid="{00000000-0005-0000-0000-000005010000}"/>
    <cellStyle name="Millares 61 2" xfId="1039" xr:uid="{22423336-E559-4BF2-B9AE-6BBAC3ED8696}"/>
    <cellStyle name="Millares 62" xfId="259" xr:uid="{00000000-0005-0000-0000-000006010000}"/>
    <cellStyle name="Millares 62 2" xfId="1040" xr:uid="{74097E2A-6665-48E4-BDCF-509AC11B303E}"/>
    <cellStyle name="Millares 63" xfId="260" xr:uid="{00000000-0005-0000-0000-000007010000}"/>
    <cellStyle name="Millares 63 2" xfId="1041" xr:uid="{CEF2D7AC-B2DA-425C-BAE1-581EBCCE8E87}"/>
    <cellStyle name="Millares 64" xfId="261" xr:uid="{00000000-0005-0000-0000-000008010000}"/>
    <cellStyle name="Millares 64 2" xfId="1042" xr:uid="{4D91020B-AB45-449E-9A33-D380150AD302}"/>
    <cellStyle name="Millares 65" xfId="262" xr:uid="{00000000-0005-0000-0000-000009010000}"/>
    <cellStyle name="Millares 65 2" xfId="1043" xr:uid="{3F235D90-553E-4368-B5A8-3ACB103D33ED}"/>
    <cellStyle name="Millares 66" xfId="263" xr:uid="{00000000-0005-0000-0000-00000A010000}"/>
    <cellStyle name="Millares 66 2" xfId="1044" xr:uid="{2A4A94D4-9D38-4DEF-B722-9359B2F04F4C}"/>
    <cellStyle name="Millares 67" xfId="264" xr:uid="{00000000-0005-0000-0000-00000B010000}"/>
    <cellStyle name="Millares 67 2" xfId="1045" xr:uid="{FE3D3308-A101-4FDC-BEAE-3FEA0B511A29}"/>
    <cellStyle name="Millares 68" xfId="265" xr:uid="{00000000-0005-0000-0000-00000C010000}"/>
    <cellStyle name="Millares 68 2" xfId="1046" xr:uid="{5D29F184-4423-4872-B702-DF41FBE4D578}"/>
    <cellStyle name="Millares 69" xfId="266" xr:uid="{00000000-0005-0000-0000-00000D010000}"/>
    <cellStyle name="Millares 69 2" xfId="1047" xr:uid="{310F901D-2233-46F9-B236-7803B08213FE}"/>
    <cellStyle name="Millares 7" xfId="267" xr:uid="{00000000-0005-0000-0000-00000E010000}"/>
    <cellStyle name="Millares 7 2" xfId="1048" xr:uid="{6C28F01F-1F9A-467E-B239-D7332AD0A586}"/>
    <cellStyle name="Millares 70" xfId="268" xr:uid="{00000000-0005-0000-0000-00000F010000}"/>
    <cellStyle name="Millares 70 2" xfId="1049" xr:uid="{47CA53C9-888E-42C3-8509-EBA027815191}"/>
    <cellStyle name="Millares 71" xfId="269" xr:uid="{00000000-0005-0000-0000-000010010000}"/>
    <cellStyle name="Millares 71 2" xfId="1050" xr:uid="{103A5DF1-E02F-48C2-9CBA-F41D018B2A86}"/>
    <cellStyle name="Millares 72" xfId="270" xr:uid="{00000000-0005-0000-0000-000011010000}"/>
    <cellStyle name="Millares 72 2" xfId="1051" xr:uid="{77BE0BB5-DF0E-4599-B0D0-302961F5F967}"/>
    <cellStyle name="Millares 73" xfId="271" xr:uid="{00000000-0005-0000-0000-000012010000}"/>
    <cellStyle name="Millares 73 2" xfId="1052" xr:uid="{EA8CC5F5-2DFE-4703-AC3C-2F9E856A349A}"/>
    <cellStyle name="Millares 74" xfId="272" xr:uid="{00000000-0005-0000-0000-000013010000}"/>
    <cellStyle name="Millares 74 2" xfId="1053" xr:uid="{0955D3C6-CD2B-4474-8407-BA7746633EB7}"/>
    <cellStyle name="Millares 75" xfId="273" xr:uid="{00000000-0005-0000-0000-000014010000}"/>
    <cellStyle name="Millares 75 2" xfId="1054" xr:uid="{A3CC6A86-2345-461D-A746-7C3CAA8F5ED2}"/>
    <cellStyle name="Millares 76" xfId="274" xr:uid="{00000000-0005-0000-0000-000015010000}"/>
    <cellStyle name="Millares 76 2" xfId="1055" xr:uid="{A79670D3-E40F-400E-93D9-E45098A1387B}"/>
    <cellStyle name="Millares 77" xfId="275" xr:uid="{00000000-0005-0000-0000-000016010000}"/>
    <cellStyle name="Millares 77 2" xfId="1056" xr:uid="{68088AD2-0FAA-4930-8971-F0B0A742C176}"/>
    <cellStyle name="Millares 78" xfId="276" xr:uid="{00000000-0005-0000-0000-000017010000}"/>
    <cellStyle name="Millares 78 2" xfId="1057" xr:uid="{213F4FE6-C214-43EE-A171-269A08141DD0}"/>
    <cellStyle name="Millares 79" xfId="277" xr:uid="{00000000-0005-0000-0000-000018010000}"/>
    <cellStyle name="Millares 79 2" xfId="1058" xr:uid="{E5D8AB46-FAAC-434C-88F6-8184975AEF49}"/>
    <cellStyle name="Millares 8" xfId="278" xr:uid="{00000000-0005-0000-0000-000019010000}"/>
    <cellStyle name="Millares 8 2" xfId="279" xr:uid="{00000000-0005-0000-0000-00001A010000}"/>
    <cellStyle name="Millares 8 2 2" xfId="1060" xr:uid="{F6127B15-17FD-4330-9B4A-F2CA960B2F35}"/>
    <cellStyle name="Millares 8 3" xfId="1059" xr:uid="{A0A18363-EED6-485C-9D61-8026DE648367}"/>
    <cellStyle name="Millares 80" xfId="280" xr:uid="{00000000-0005-0000-0000-00001B010000}"/>
    <cellStyle name="Millares 80 2" xfId="1061" xr:uid="{7E46C25E-08FB-4E8C-B749-195B25963ACE}"/>
    <cellStyle name="Millares 81" xfId="281" xr:uid="{00000000-0005-0000-0000-00001C010000}"/>
    <cellStyle name="Millares 81 2" xfId="1062" xr:uid="{CBEC19FC-F730-45B0-B3D1-5B39557331E9}"/>
    <cellStyle name="Millares 82" xfId="282" xr:uid="{00000000-0005-0000-0000-00001D010000}"/>
    <cellStyle name="Millares 82 2" xfId="1063" xr:uid="{BD05D41E-3E4A-484E-899A-E9D6DFB36666}"/>
    <cellStyle name="Millares 83" xfId="283" xr:uid="{00000000-0005-0000-0000-00001E010000}"/>
    <cellStyle name="Millares 83 2" xfId="1064" xr:uid="{2C069B8F-EB99-4111-9F91-1DBF57FA5D92}"/>
    <cellStyle name="Millares 84" xfId="284" xr:uid="{00000000-0005-0000-0000-00001F010000}"/>
    <cellStyle name="Millares 84 2" xfId="1065" xr:uid="{56FF3E34-092A-4D62-90F4-734E475CB2D5}"/>
    <cellStyle name="Millares 85" xfId="285" xr:uid="{00000000-0005-0000-0000-000020010000}"/>
    <cellStyle name="Millares 85 2" xfId="1066" xr:uid="{EE1A3439-917F-4BD6-A240-D8C4D2D5DC57}"/>
    <cellStyle name="Millares 86" xfId="286" xr:uid="{00000000-0005-0000-0000-000021010000}"/>
    <cellStyle name="Millares 86 2" xfId="1067" xr:uid="{635FE32D-71A8-483C-AE92-C2CD78D8B048}"/>
    <cellStyle name="Millares 87" xfId="287" xr:uid="{00000000-0005-0000-0000-000022010000}"/>
    <cellStyle name="Millares 87 2" xfId="1068" xr:uid="{F06A3542-7F3A-4B7C-984F-2DDF19AA55D7}"/>
    <cellStyle name="Millares 88" xfId="288" xr:uid="{00000000-0005-0000-0000-000023010000}"/>
    <cellStyle name="Millares 88 2" xfId="1069" xr:uid="{BD3FC3A6-0DCC-47F7-829C-BB708CEAD538}"/>
    <cellStyle name="Millares 89" xfId="289" xr:uid="{00000000-0005-0000-0000-000024010000}"/>
    <cellStyle name="Millares 89 2" xfId="1070" xr:uid="{2676C622-78D7-4803-9C2A-241CAAD3ECD4}"/>
    <cellStyle name="Millares 9" xfId="290" xr:uid="{00000000-0005-0000-0000-000025010000}"/>
    <cellStyle name="Millares 9 2" xfId="1071" xr:uid="{7182195F-0AC6-4B63-AAA3-EF82B32829C9}"/>
    <cellStyle name="Millares 90" xfId="291" xr:uid="{00000000-0005-0000-0000-000026010000}"/>
    <cellStyle name="Millares 90 2" xfId="1072" xr:uid="{17222C2D-702D-4BE8-9FD4-6085329B7700}"/>
    <cellStyle name="Millares 91" xfId="292" xr:uid="{00000000-0005-0000-0000-000027010000}"/>
    <cellStyle name="Millares 91 2" xfId="1073" xr:uid="{6609DB12-287E-4DA2-A94E-1B65D78F6CEF}"/>
    <cellStyle name="Millares 92" xfId="293" xr:uid="{00000000-0005-0000-0000-000028010000}"/>
    <cellStyle name="Millares 92 2" xfId="1074" xr:uid="{A108FDF9-DBC1-47E6-B44A-8892A05E503C}"/>
    <cellStyle name="Millares 93" xfId="294" xr:uid="{00000000-0005-0000-0000-000029010000}"/>
    <cellStyle name="Millares 93 2" xfId="1075" xr:uid="{68EA3FD5-036F-460E-9D49-D6E322DF2CE9}"/>
    <cellStyle name="Millares 94" xfId="295" xr:uid="{00000000-0005-0000-0000-00002A010000}"/>
    <cellStyle name="Millares 94 2" xfId="1076" xr:uid="{2F5047C9-8687-4F1A-B3DE-3A9725902570}"/>
    <cellStyle name="Millares 95" xfId="296" xr:uid="{00000000-0005-0000-0000-00002B010000}"/>
    <cellStyle name="Millares 95 2" xfId="1077" xr:uid="{15EE3A88-5318-44E6-9C95-121410A5140E}"/>
    <cellStyle name="Millares 96" xfId="297" xr:uid="{00000000-0005-0000-0000-00002C010000}"/>
    <cellStyle name="Millares 96 2" xfId="1078" xr:uid="{CB4D2CD8-9241-4BCD-851F-EF7DB4A412BA}"/>
    <cellStyle name="Millares 97" xfId="298" xr:uid="{00000000-0005-0000-0000-00002D010000}"/>
    <cellStyle name="Millares 97 2" xfId="1079" xr:uid="{E26D3808-132D-4705-98A7-53BC01B4E8A1}"/>
    <cellStyle name="Millares 98" xfId="299" xr:uid="{00000000-0005-0000-0000-00002E010000}"/>
    <cellStyle name="Millares 98 2" xfId="1080" xr:uid="{37C0F316-D2DA-4D9C-BE8B-865AB1A15C01}"/>
    <cellStyle name="Millares 99" xfId="300" xr:uid="{00000000-0005-0000-0000-00002F010000}"/>
    <cellStyle name="Millares 99 2" xfId="1081" xr:uid="{093D24F8-1BE6-48ED-BFA1-646EA3757600}"/>
    <cellStyle name="Millares_Actas Puente" xfId="301" xr:uid="{00000000-0005-0000-0000-000030010000}"/>
    <cellStyle name="Millares_Actas Puente 2" xfId="818" xr:uid="{00000000-0005-0000-0000-000031010000}"/>
    <cellStyle name="Millares_FORMULARIO 4 - M-OFERENTE PPTA ECONOMICA" xfId="1570" xr:uid="{E7743441-0255-4E3A-8C1A-7F833FCEFA7C}"/>
    <cellStyle name="Millares_PRESUPUESTO - YAGUARA - A. P." xfId="302" xr:uid="{00000000-0005-0000-0000-000032010000}"/>
    <cellStyle name="Millares_PRESUPUESTO - YAGUARA - A. P. 2" xfId="808" xr:uid="{00000000-0005-0000-0000-000033010000}"/>
    <cellStyle name="Moneda" xfId="303" builtinId="4"/>
    <cellStyle name="Moneda [0] 3 3" xfId="304" xr:uid="{00000000-0005-0000-0000-000035010000}"/>
    <cellStyle name="Moneda [0] 3 3 2" xfId="1082" xr:uid="{0B412922-7999-41DF-AC29-5DED38352140}"/>
    <cellStyle name="Moneda 10" xfId="305" xr:uid="{00000000-0005-0000-0000-000036010000}"/>
    <cellStyle name="Moneda 10 2" xfId="1083" xr:uid="{5C212A80-4C08-4947-A59B-B4359FCFF69C}"/>
    <cellStyle name="Moneda 100" xfId="306" xr:uid="{00000000-0005-0000-0000-000037010000}"/>
    <cellStyle name="Moneda 100 2" xfId="1084" xr:uid="{5FE7EEFB-141B-4F4C-A588-D996982E1458}"/>
    <cellStyle name="Moneda 101" xfId="307" xr:uid="{00000000-0005-0000-0000-000038010000}"/>
    <cellStyle name="Moneda 101 2" xfId="1085" xr:uid="{592FD539-0409-4E31-95B0-55CEA2F7B149}"/>
    <cellStyle name="Moneda 102" xfId="308" xr:uid="{00000000-0005-0000-0000-000039010000}"/>
    <cellStyle name="Moneda 102 2" xfId="1086" xr:uid="{762F77BA-D19E-4EA8-9FEA-A5532117A4F0}"/>
    <cellStyle name="Moneda 103" xfId="309" xr:uid="{00000000-0005-0000-0000-00003A010000}"/>
    <cellStyle name="Moneda 103 2" xfId="1087" xr:uid="{CF76513C-4CA9-4B65-81B3-E5B8E3DA93C3}"/>
    <cellStyle name="Moneda 104" xfId="310" xr:uid="{00000000-0005-0000-0000-00003B010000}"/>
    <cellStyle name="Moneda 104 2" xfId="1088" xr:uid="{5F0328C6-7EB9-4D74-A2AF-048971F8A15B}"/>
    <cellStyle name="Moneda 105" xfId="311" xr:uid="{00000000-0005-0000-0000-00003C010000}"/>
    <cellStyle name="Moneda 105 2" xfId="1089" xr:uid="{D1169764-2E56-4E57-A205-96D48D37FAB4}"/>
    <cellStyle name="Moneda 106" xfId="312" xr:uid="{00000000-0005-0000-0000-00003D010000}"/>
    <cellStyle name="Moneda 106 2" xfId="1090" xr:uid="{F11E14BD-CCA2-4D5F-B8AA-6B9AAE8AFAEA}"/>
    <cellStyle name="Moneda 107" xfId="804" xr:uid="{00000000-0005-0000-0000-00003E010000}"/>
    <cellStyle name="Moneda 107 2" xfId="1559" xr:uid="{18517230-F0D3-44CB-B478-062359BBECD8}"/>
    <cellStyle name="Moneda 108" xfId="812" xr:uid="{00000000-0005-0000-0000-00003F010000}"/>
    <cellStyle name="Moneda 108 2" xfId="1562" xr:uid="{E83DD76C-0C4C-4412-B4A6-606FD973E104}"/>
    <cellStyle name="Moneda 109" xfId="815" xr:uid="{00000000-0005-0000-0000-000040010000}"/>
    <cellStyle name="Moneda 109 2" xfId="1565" xr:uid="{36B7EBC2-AAE8-425C-8167-F751663284E4}"/>
    <cellStyle name="Moneda 11" xfId="313" xr:uid="{00000000-0005-0000-0000-000041010000}"/>
    <cellStyle name="Moneda 11 2" xfId="1091" xr:uid="{4D9DC1C7-78C1-446C-B81B-D166B09FB405}"/>
    <cellStyle name="Moneda 12" xfId="314" xr:uid="{00000000-0005-0000-0000-000042010000}"/>
    <cellStyle name="Moneda 12 2" xfId="1092" xr:uid="{F0B76748-79F6-461E-A601-A1754DBB7F0B}"/>
    <cellStyle name="Moneda 13" xfId="315" xr:uid="{00000000-0005-0000-0000-000043010000}"/>
    <cellStyle name="Moneda 13 2" xfId="1093" xr:uid="{387BCA67-C58D-45B1-A8A2-EAE5299D5D0F}"/>
    <cellStyle name="Moneda 14" xfId="316" xr:uid="{00000000-0005-0000-0000-000044010000}"/>
    <cellStyle name="Moneda 14 2" xfId="1094" xr:uid="{4CB8169B-4BFB-4072-B741-0ED716A3BDF7}"/>
    <cellStyle name="Moneda 15" xfId="317" xr:uid="{00000000-0005-0000-0000-000045010000}"/>
    <cellStyle name="Moneda 15 2" xfId="1095" xr:uid="{AE486813-07AF-408C-9D20-70EF47EB4A10}"/>
    <cellStyle name="Moneda 16" xfId="318" xr:uid="{00000000-0005-0000-0000-000046010000}"/>
    <cellStyle name="Moneda 16 2" xfId="1096" xr:uid="{7CED64B1-5E16-4F88-A99C-8277DABDC31A}"/>
    <cellStyle name="Moneda 17" xfId="319" xr:uid="{00000000-0005-0000-0000-000047010000}"/>
    <cellStyle name="Moneda 17 2" xfId="1097" xr:uid="{52E251FF-3C58-463A-AECD-8D150F9DD2CF}"/>
    <cellStyle name="Moneda 18" xfId="320" xr:uid="{00000000-0005-0000-0000-000048010000}"/>
    <cellStyle name="Moneda 18 2" xfId="1098" xr:uid="{930269AB-3C02-448B-A280-D8347721ABDA}"/>
    <cellStyle name="Moneda 19" xfId="321" xr:uid="{00000000-0005-0000-0000-000049010000}"/>
    <cellStyle name="Moneda 19 2" xfId="1099" xr:uid="{78547823-29BD-4E85-8525-B36CAE71865A}"/>
    <cellStyle name="Moneda 2" xfId="322" xr:uid="{00000000-0005-0000-0000-00004A010000}"/>
    <cellStyle name="Moneda 2 10" xfId="323" xr:uid="{00000000-0005-0000-0000-00004B010000}"/>
    <cellStyle name="Moneda 2 2" xfId="817" xr:uid="{00000000-0005-0000-0000-00004C010000}"/>
    <cellStyle name="Moneda 20" xfId="324" xr:uid="{00000000-0005-0000-0000-00004D010000}"/>
    <cellStyle name="Moneda 20 2" xfId="1100" xr:uid="{EBC2A785-8FED-4D31-9706-3CA92A684542}"/>
    <cellStyle name="Moneda 21" xfId="325" xr:uid="{00000000-0005-0000-0000-00004E010000}"/>
    <cellStyle name="Moneda 21 2" xfId="1101" xr:uid="{CCABDB43-850A-453D-8C2D-F2AC7FEE38AE}"/>
    <cellStyle name="Moneda 22" xfId="326" xr:uid="{00000000-0005-0000-0000-00004F010000}"/>
    <cellStyle name="Moneda 22 2" xfId="1102" xr:uid="{1875D69E-7817-4F5C-BCD5-C103C35AFB13}"/>
    <cellStyle name="Moneda 23" xfId="327" xr:uid="{00000000-0005-0000-0000-000050010000}"/>
    <cellStyle name="Moneda 23 2" xfId="1103" xr:uid="{239CD7BC-4333-49CA-9D41-7997AFA62112}"/>
    <cellStyle name="Moneda 24" xfId="328" xr:uid="{00000000-0005-0000-0000-000051010000}"/>
    <cellStyle name="Moneda 24 2" xfId="1104" xr:uid="{9EAA7C39-37EE-455A-9B4B-76A4CE48664D}"/>
    <cellStyle name="Moneda 25" xfId="329" xr:uid="{00000000-0005-0000-0000-000052010000}"/>
    <cellStyle name="Moneda 25 2" xfId="1105" xr:uid="{A6B16401-317B-439D-8ACA-A99161009493}"/>
    <cellStyle name="Moneda 26" xfId="330" xr:uid="{00000000-0005-0000-0000-000053010000}"/>
    <cellStyle name="Moneda 26 2" xfId="1106" xr:uid="{33DE7053-A312-48DC-B979-764394D7DEF2}"/>
    <cellStyle name="Moneda 27" xfId="331" xr:uid="{00000000-0005-0000-0000-000054010000}"/>
    <cellStyle name="Moneda 27 2" xfId="1107" xr:uid="{AA43B24D-B432-474A-A04A-EB8D0B385219}"/>
    <cellStyle name="Moneda 28" xfId="332" xr:uid="{00000000-0005-0000-0000-000055010000}"/>
    <cellStyle name="Moneda 28 2" xfId="1108" xr:uid="{F19A09AA-D7AB-4D81-A70D-C24A531B20E0}"/>
    <cellStyle name="Moneda 29" xfId="333" xr:uid="{00000000-0005-0000-0000-000056010000}"/>
    <cellStyle name="Moneda 29 2" xfId="1109" xr:uid="{9A8359F9-C357-4D33-8B5E-8B59B9C1CDB3}"/>
    <cellStyle name="Moneda 3" xfId="334" xr:uid="{00000000-0005-0000-0000-000057010000}"/>
    <cellStyle name="Moneda 3 2" xfId="1110" xr:uid="{B502A891-CCCF-40E9-9135-C7DEDA7DC677}"/>
    <cellStyle name="Moneda 30" xfId="335" xr:uid="{00000000-0005-0000-0000-000058010000}"/>
    <cellStyle name="Moneda 30 2" xfId="1111" xr:uid="{46D08889-4DEB-4A17-B5F2-73A0B96DEF6E}"/>
    <cellStyle name="Moneda 31" xfId="336" xr:uid="{00000000-0005-0000-0000-000059010000}"/>
    <cellStyle name="Moneda 31 2" xfId="1112" xr:uid="{34828540-0AA2-4379-B324-BB2277DEE537}"/>
    <cellStyle name="Moneda 32" xfId="337" xr:uid="{00000000-0005-0000-0000-00005A010000}"/>
    <cellStyle name="Moneda 32 2" xfId="1113" xr:uid="{8614ED2D-F1AD-4B61-AB8B-435AEADB30F2}"/>
    <cellStyle name="Moneda 33" xfId="338" xr:uid="{00000000-0005-0000-0000-00005B010000}"/>
    <cellStyle name="Moneda 33 2" xfId="1114" xr:uid="{6CF0B106-2428-4B87-B197-AC697466FFE1}"/>
    <cellStyle name="Moneda 34" xfId="339" xr:uid="{00000000-0005-0000-0000-00005C010000}"/>
    <cellStyle name="Moneda 34 2" xfId="1115" xr:uid="{20C06269-C1CD-4C45-AF51-369ED0925790}"/>
    <cellStyle name="Moneda 35" xfId="340" xr:uid="{00000000-0005-0000-0000-00005D010000}"/>
    <cellStyle name="Moneda 35 2" xfId="1116" xr:uid="{A2C1F7B0-8A6B-4772-A123-713350203CFF}"/>
    <cellStyle name="Moneda 36" xfId="341" xr:uid="{00000000-0005-0000-0000-00005E010000}"/>
    <cellStyle name="Moneda 36 2" xfId="1117" xr:uid="{BCAC7D6A-E8F6-4002-9998-60AC2F058641}"/>
    <cellStyle name="Moneda 37" xfId="342" xr:uid="{00000000-0005-0000-0000-00005F010000}"/>
    <cellStyle name="Moneda 37 2" xfId="1118" xr:uid="{A9127BBA-4F1C-4746-9FAE-61AA22E19EFA}"/>
    <cellStyle name="Moneda 38" xfId="343" xr:uid="{00000000-0005-0000-0000-000060010000}"/>
    <cellStyle name="Moneda 38 2" xfId="1119" xr:uid="{0CC4EE6E-830F-4DBD-9944-9A0E268EB585}"/>
    <cellStyle name="Moneda 39" xfId="344" xr:uid="{00000000-0005-0000-0000-000061010000}"/>
    <cellStyle name="Moneda 39 2" xfId="1120" xr:uid="{84A0A52F-7B03-48E0-A678-79ACD427C1C2}"/>
    <cellStyle name="Moneda 4" xfId="345" xr:uid="{00000000-0005-0000-0000-000062010000}"/>
    <cellStyle name="Moneda 4 2" xfId="1121" xr:uid="{38A10B74-961C-448C-91C0-126D24951DF2}"/>
    <cellStyle name="Moneda 40" xfId="346" xr:uid="{00000000-0005-0000-0000-000063010000}"/>
    <cellStyle name="Moneda 40 2" xfId="1122" xr:uid="{BCA0236B-710A-4F33-913F-F90DB99B37B5}"/>
    <cellStyle name="Moneda 41" xfId="347" xr:uid="{00000000-0005-0000-0000-000064010000}"/>
    <cellStyle name="Moneda 41 2" xfId="1123" xr:uid="{FA28F008-6A6E-43B1-98A2-27D9FBDAFB6C}"/>
    <cellStyle name="Moneda 42" xfId="348" xr:uid="{00000000-0005-0000-0000-000065010000}"/>
    <cellStyle name="Moneda 42 2" xfId="1124" xr:uid="{2AFDB541-09BD-4C63-A931-A0850D188109}"/>
    <cellStyle name="Moneda 43" xfId="349" xr:uid="{00000000-0005-0000-0000-000066010000}"/>
    <cellStyle name="Moneda 43 2" xfId="1125" xr:uid="{4BA407FB-E637-474E-BF8F-53107195666D}"/>
    <cellStyle name="Moneda 44" xfId="350" xr:uid="{00000000-0005-0000-0000-000067010000}"/>
    <cellStyle name="Moneda 44 2" xfId="1126" xr:uid="{81A7D34A-D300-4B26-83BD-D2E70D4A5CCB}"/>
    <cellStyle name="Moneda 45" xfId="351" xr:uid="{00000000-0005-0000-0000-000068010000}"/>
    <cellStyle name="Moneda 45 2" xfId="1127" xr:uid="{CFBEF3B7-5AD4-4EB6-8CC5-C3FB07DC8E74}"/>
    <cellStyle name="Moneda 46" xfId="352" xr:uid="{00000000-0005-0000-0000-000069010000}"/>
    <cellStyle name="Moneda 46 2" xfId="1128" xr:uid="{6A713193-41FD-493B-AC4F-6C9AE158EAF1}"/>
    <cellStyle name="Moneda 47" xfId="353" xr:uid="{00000000-0005-0000-0000-00006A010000}"/>
    <cellStyle name="Moneda 47 2" xfId="1129" xr:uid="{0936E456-69BC-4478-AAF9-19A3BAF05DCB}"/>
    <cellStyle name="Moneda 48" xfId="354" xr:uid="{00000000-0005-0000-0000-00006B010000}"/>
    <cellStyle name="Moneda 48 2" xfId="1130" xr:uid="{406C50E1-DEE4-4998-87A0-384DA0569D90}"/>
    <cellStyle name="Moneda 49" xfId="355" xr:uid="{00000000-0005-0000-0000-00006C010000}"/>
    <cellStyle name="Moneda 49 2" xfId="1131" xr:uid="{DA594C65-ECA4-4D60-9B58-005C04D615D4}"/>
    <cellStyle name="Moneda 5" xfId="356" xr:uid="{00000000-0005-0000-0000-00006D010000}"/>
    <cellStyle name="Moneda 5 2" xfId="1132" xr:uid="{B3A714A6-CCEA-4987-8A68-D6E1A894B1C9}"/>
    <cellStyle name="Moneda 50" xfId="357" xr:uid="{00000000-0005-0000-0000-00006E010000}"/>
    <cellStyle name="Moneda 50 2" xfId="1133" xr:uid="{54C93C43-96C6-47B1-BC4D-D1984FFE6BF2}"/>
    <cellStyle name="Moneda 51" xfId="358" xr:uid="{00000000-0005-0000-0000-00006F010000}"/>
    <cellStyle name="Moneda 51 2" xfId="1134" xr:uid="{D4548895-3AA2-45B2-86DA-3EED8A9DEE11}"/>
    <cellStyle name="Moneda 52" xfId="359" xr:uid="{00000000-0005-0000-0000-000070010000}"/>
    <cellStyle name="Moneda 52 2" xfId="1135" xr:uid="{0B7D1D68-21BC-4EDD-8AEA-A3EA0E3D9CFB}"/>
    <cellStyle name="Moneda 53" xfId="360" xr:uid="{00000000-0005-0000-0000-000071010000}"/>
    <cellStyle name="Moneda 53 2" xfId="1136" xr:uid="{EFB48A6D-DC96-4DA7-8F4E-CFF4A169565A}"/>
    <cellStyle name="Moneda 54" xfId="361" xr:uid="{00000000-0005-0000-0000-000072010000}"/>
    <cellStyle name="Moneda 54 2" xfId="1137" xr:uid="{1E76ACE1-5491-4F7B-868C-2335E8AB3D8B}"/>
    <cellStyle name="Moneda 55" xfId="362" xr:uid="{00000000-0005-0000-0000-000073010000}"/>
    <cellStyle name="Moneda 55 2" xfId="1138" xr:uid="{0A540229-FCCC-4E42-91C6-9F4134425D0E}"/>
    <cellStyle name="Moneda 56" xfId="363" xr:uid="{00000000-0005-0000-0000-000074010000}"/>
    <cellStyle name="Moneda 56 2" xfId="1139" xr:uid="{36F1A6CC-BFF9-4E1D-8EFD-3FE5A7BD9F45}"/>
    <cellStyle name="Moneda 57" xfId="364" xr:uid="{00000000-0005-0000-0000-000075010000}"/>
    <cellStyle name="Moneda 57 2" xfId="1140" xr:uid="{7B9C3394-853F-47BC-91D1-4D0A5A327F45}"/>
    <cellStyle name="Moneda 58" xfId="365" xr:uid="{00000000-0005-0000-0000-000076010000}"/>
    <cellStyle name="Moneda 58 2" xfId="1141" xr:uid="{7D8B424C-178A-4620-95A9-6D176AC4312D}"/>
    <cellStyle name="Moneda 59" xfId="366" xr:uid="{00000000-0005-0000-0000-000077010000}"/>
    <cellStyle name="Moneda 59 2" xfId="1142" xr:uid="{95A6AD08-E07A-4A2F-AC21-C5798CAB8B37}"/>
    <cellStyle name="Moneda 6" xfId="367" xr:uid="{00000000-0005-0000-0000-000078010000}"/>
    <cellStyle name="Moneda 6 2" xfId="1143" xr:uid="{C5B04C19-706A-4B7E-8321-DE3D3026B20C}"/>
    <cellStyle name="Moneda 6 3" xfId="368" xr:uid="{00000000-0005-0000-0000-000079010000}"/>
    <cellStyle name="Moneda 6 3 2" xfId="1144" xr:uid="{800FCB20-9F07-40B6-B5CA-30FD37D85D51}"/>
    <cellStyle name="Moneda 60" xfId="369" xr:uid="{00000000-0005-0000-0000-00007A010000}"/>
    <cellStyle name="Moneda 60 2" xfId="1145" xr:uid="{3D21E66F-87EC-44D4-9699-59BB036758B8}"/>
    <cellStyle name="Moneda 61" xfId="370" xr:uid="{00000000-0005-0000-0000-00007B010000}"/>
    <cellStyle name="Moneda 61 2" xfId="1146" xr:uid="{BFC9E535-423D-47D9-87EB-4E1EF19226B8}"/>
    <cellStyle name="Moneda 62" xfId="371" xr:uid="{00000000-0005-0000-0000-00007C010000}"/>
    <cellStyle name="Moneda 62 2" xfId="1147" xr:uid="{1678A04B-FB46-4AA5-B15F-A57826F98B7D}"/>
    <cellStyle name="Moneda 63" xfId="372" xr:uid="{00000000-0005-0000-0000-00007D010000}"/>
    <cellStyle name="Moneda 63 2" xfId="1148" xr:uid="{4D10107C-4A8D-480D-99EB-34B0CF94651F}"/>
    <cellStyle name="Moneda 64" xfId="373" xr:uid="{00000000-0005-0000-0000-00007E010000}"/>
    <cellStyle name="Moneda 64 2" xfId="1149" xr:uid="{7DF4DE27-558E-4D8D-85B5-DFD12F9990BE}"/>
    <cellStyle name="Moneda 65" xfId="374" xr:uid="{00000000-0005-0000-0000-00007F010000}"/>
    <cellStyle name="Moneda 65 2" xfId="1150" xr:uid="{F67C73E6-659C-4CE2-B425-D690707D3767}"/>
    <cellStyle name="Moneda 66" xfId="375" xr:uid="{00000000-0005-0000-0000-000080010000}"/>
    <cellStyle name="Moneda 66 2" xfId="1151" xr:uid="{58435B2F-FD55-43BB-B241-4B00F4634756}"/>
    <cellStyle name="Moneda 67" xfId="376" xr:uid="{00000000-0005-0000-0000-000081010000}"/>
    <cellStyle name="Moneda 67 2" xfId="1152" xr:uid="{38360D54-5F2C-421E-9CFE-0AEC89D6AEB2}"/>
    <cellStyle name="Moneda 68" xfId="377" xr:uid="{00000000-0005-0000-0000-000082010000}"/>
    <cellStyle name="Moneda 68 2" xfId="1153" xr:uid="{FBCD04DB-6B60-4674-AF3D-E2386A67B47A}"/>
    <cellStyle name="Moneda 69" xfId="378" xr:uid="{00000000-0005-0000-0000-000083010000}"/>
    <cellStyle name="Moneda 69 2" xfId="1154" xr:uid="{D68BAA8D-8992-4C17-9885-CE69ED3B6FF4}"/>
    <cellStyle name="Moneda 7" xfId="379" xr:uid="{00000000-0005-0000-0000-000084010000}"/>
    <cellStyle name="Moneda 7 2" xfId="1155" xr:uid="{6AC5D710-6922-4C02-A258-CA194F5A827D}"/>
    <cellStyle name="Moneda 70" xfId="380" xr:uid="{00000000-0005-0000-0000-000085010000}"/>
    <cellStyle name="Moneda 70 2" xfId="1156" xr:uid="{72AF0CA7-BC8C-4610-BBCE-A8D1DFC7617A}"/>
    <cellStyle name="Moneda 71" xfId="381" xr:uid="{00000000-0005-0000-0000-000086010000}"/>
    <cellStyle name="Moneda 71 2" xfId="1157" xr:uid="{F66E8717-A1CD-4684-8BDE-9FBB357A94ED}"/>
    <cellStyle name="Moneda 72" xfId="382" xr:uid="{00000000-0005-0000-0000-000087010000}"/>
    <cellStyle name="Moneda 72 2" xfId="1158" xr:uid="{D9647414-4843-41A8-8D16-CD1DC2C806A9}"/>
    <cellStyle name="Moneda 73" xfId="383" xr:uid="{00000000-0005-0000-0000-000088010000}"/>
    <cellStyle name="Moneda 73 2" xfId="1159" xr:uid="{0C293CD2-F9C2-4CF1-A7AF-3C5102903794}"/>
    <cellStyle name="Moneda 74" xfId="384" xr:uid="{00000000-0005-0000-0000-000089010000}"/>
    <cellStyle name="Moneda 74 2" xfId="1160" xr:uid="{9D881C5C-1738-4DF8-BE53-93FE6F70C57E}"/>
    <cellStyle name="Moneda 75" xfId="385" xr:uid="{00000000-0005-0000-0000-00008A010000}"/>
    <cellStyle name="Moneda 75 2" xfId="1161" xr:uid="{063BA405-A875-407F-BD5E-356CAD526669}"/>
    <cellStyle name="Moneda 76" xfId="386" xr:uid="{00000000-0005-0000-0000-00008B010000}"/>
    <cellStyle name="Moneda 76 2" xfId="1162" xr:uid="{585EF487-0B3E-45DF-BC2E-454802D2C365}"/>
    <cellStyle name="Moneda 77" xfId="387" xr:uid="{00000000-0005-0000-0000-00008C010000}"/>
    <cellStyle name="Moneda 77 2" xfId="1163" xr:uid="{DE60BA4B-2899-43D6-8588-12D62617F21F}"/>
    <cellStyle name="Moneda 78" xfId="388" xr:uid="{00000000-0005-0000-0000-00008D010000}"/>
    <cellStyle name="Moneda 78 2" xfId="1164" xr:uid="{A45A9FDC-A575-4950-BCCD-21D5D4DA710A}"/>
    <cellStyle name="Moneda 79" xfId="389" xr:uid="{00000000-0005-0000-0000-00008E010000}"/>
    <cellStyle name="Moneda 79 2" xfId="1165" xr:uid="{6512141D-9AF6-444E-A3DF-F44D241FBA62}"/>
    <cellStyle name="Moneda 8" xfId="390" xr:uid="{00000000-0005-0000-0000-00008F010000}"/>
    <cellStyle name="Moneda 8 2" xfId="1166" xr:uid="{C5662767-3993-466D-A8D0-E65F36F368FC}"/>
    <cellStyle name="Moneda 8 3" xfId="391" xr:uid="{00000000-0005-0000-0000-000090010000}"/>
    <cellStyle name="Moneda 8 3 2" xfId="1167" xr:uid="{C3132E53-1A00-40AF-9309-848992CFB699}"/>
    <cellStyle name="Moneda 80" xfId="392" xr:uid="{00000000-0005-0000-0000-000091010000}"/>
    <cellStyle name="Moneda 80 2" xfId="1168" xr:uid="{20485A16-6D6A-4BE2-AA9D-11C9217F5961}"/>
    <cellStyle name="Moneda 81" xfId="393" xr:uid="{00000000-0005-0000-0000-000092010000}"/>
    <cellStyle name="Moneda 81 2" xfId="1169" xr:uid="{2E4821D1-B245-47D4-B09B-CB93A36371E3}"/>
    <cellStyle name="Moneda 82" xfId="394" xr:uid="{00000000-0005-0000-0000-000093010000}"/>
    <cellStyle name="Moneda 82 2" xfId="1170" xr:uid="{894FB5CE-9E23-4193-832B-63F3D4C36117}"/>
    <cellStyle name="Moneda 83" xfId="395" xr:uid="{00000000-0005-0000-0000-000094010000}"/>
    <cellStyle name="Moneda 83 2" xfId="1171" xr:uid="{A51F0AD6-0A5A-40B6-B343-AC8BEE533BD1}"/>
    <cellStyle name="Moneda 84" xfId="396" xr:uid="{00000000-0005-0000-0000-000095010000}"/>
    <cellStyle name="Moneda 84 2" xfId="1172" xr:uid="{4D022C45-BAAD-46E1-9CA8-8EE3B7908CEE}"/>
    <cellStyle name="Moneda 85" xfId="397" xr:uid="{00000000-0005-0000-0000-000096010000}"/>
    <cellStyle name="Moneda 85 2" xfId="1173" xr:uid="{5F417250-0279-46CC-9343-7632696E6D37}"/>
    <cellStyle name="Moneda 86" xfId="398" xr:uid="{00000000-0005-0000-0000-000097010000}"/>
    <cellStyle name="Moneda 86 2" xfId="1174" xr:uid="{9FCA3FD2-0953-4C68-9E4E-16569EE42DB0}"/>
    <cellStyle name="Moneda 87" xfId="399" xr:uid="{00000000-0005-0000-0000-000098010000}"/>
    <cellStyle name="Moneda 87 2" xfId="1175" xr:uid="{CD2F05A7-AFCE-4998-9A73-6260C28F3B8F}"/>
    <cellStyle name="Moneda 88" xfId="400" xr:uid="{00000000-0005-0000-0000-000099010000}"/>
    <cellStyle name="Moneda 88 2" xfId="1176" xr:uid="{1F7745BB-134D-4263-B8C5-BDCCE00A9049}"/>
    <cellStyle name="Moneda 89" xfId="401" xr:uid="{00000000-0005-0000-0000-00009A010000}"/>
    <cellStyle name="Moneda 89 2" xfId="1177" xr:uid="{19F88CDA-B42B-462C-92EA-8321A535F60D}"/>
    <cellStyle name="Moneda 9" xfId="402" xr:uid="{00000000-0005-0000-0000-00009B010000}"/>
    <cellStyle name="Moneda 9 2" xfId="1178" xr:uid="{D9A94887-01AF-4E94-A017-17007C2AA62A}"/>
    <cellStyle name="Moneda 90" xfId="403" xr:uid="{00000000-0005-0000-0000-00009C010000}"/>
    <cellStyle name="Moneda 90 2" xfId="1179" xr:uid="{508A4E1D-5C51-4045-AC28-382C75289A9A}"/>
    <cellStyle name="Moneda 91" xfId="404" xr:uid="{00000000-0005-0000-0000-00009D010000}"/>
    <cellStyle name="Moneda 91 2" xfId="1180" xr:uid="{634B0923-BBC2-4601-BD61-8D8042457069}"/>
    <cellStyle name="Moneda 92" xfId="405" xr:uid="{00000000-0005-0000-0000-00009E010000}"/>
    <cellStyle name="Moneda 92 2" xfId="1181" xr:uid="{4FFBCD1A-BAE6-4CD6-A3CF-AD32E402B8AB}"/>
    <cellStyle name="Moneda 93" xfId="406" xr:uid="{00000000-0005-0000-0000-00009F010000}"/>
    <cellStyle name="Moneda 93 2" xfId="1182" xr:uid="{58DFC53B-CF04-48BE-88EF-C186915C7AAD}"/>
    <cellStyle name="Moneda 94" xfId="407" xr:uid="{00000000-0005-0000-0000-0000A0010000}"/>
    <cellStyle name="Moneda 94 2" xfId="1183" xr:uid="{2F5533B5-D186-427D-A94B-718884926008}"/>
    <cellStyle name="Moneda 95" xfId="408" xr:uid="{00000000-0005-0000-0000-0000A1010000}"/>
    <cellStyle name="Moneda 95 2" xfId="1184" xr:uid="{B89DE402-B7D9-40CD-B10E-256B6F09B007}"/>
    <cellStyle name="Moneda 96" xfId="409" xr:uid="{00000000-0005-0000-0000-0000A2010000}"/>
    <cellStyle name="Moneda 96 2" xfId="1185" xr:uid="{095F5FCE-96EE-4A26-B32E-CC0C632483AB}"/>
    <cellStyle name="Moneda 97" xfId="410" xr:uid="{00000000-0005-0000-0000-0000A3010000}"/>
    <cellStyle name="Moneda 97 2" xfId="1186" xr:uid="{6A5366DC-8147-4C6C-A2E2-CEF85A451401}"/>
    <cellStyle name="Moneda 98" xfId="411" xr:uid="{00000000-0005-0000-0000-0000A4010000}"/>
    <cellStyle name="Moneda 98 2" xfId="1187" xr:uid="{3F6C2753-4328-4280-846B-1A8404A237AF}"/>
    <cellStyle name="Moneda 99" xfId="412" xr:uid="{00000000-0005-0000-0000-0000A5010000}"/>
    <cellStyle name="Moneda 99 2" xfId="1188" xr:uid="{FF828EDF-4327-4EFB-A30E-29E0EC555D78}"/>
    <cellStyle name="Moneda_PRESUPUESTO - YAGUARA - A. P." xfId="413" xr:uid="{00000000-0005-0000-0000-0000A6010000}"/>
    <cellStyle name="Moneda_PRESUPUESTO - YAGUARA - A. P. 2" xfId="809" xr:uid="{00000000-0005-0000-0000-0000A7010000}"/>
    <cellStyle name="Normal" xfId="0" builtinId="0"/>
    <cellStyle name="Normal 10" xfId="414" xr:uid="{00000000-0005-0000-0000-0000A9010000}"/>
    <cellStyle name="Normal 10 2" xfId="807" xr:uid="{00000000-0005-0000-0000-0000AA010000}"/>
    <cellStyle name="Normal 11" xfId="415" xr:uid="{00000000-0005-0000-0000-0000AB010000}"/>
    <cellStyle name="Normal 11 2" xfId="1189" xr:uid="{79FE5990-74A1-40FB-B64D-EE97A86F6E1A}"/>
    <cellStyle name="Normal 12" xfId="416" xr:uid="{00000000-0005-0000-0000-0000AC010000}"/>
    <cellStyle name="Normal 12 2" xfId="1190" xr:uid="{0C9BA3B9-203E-43CC-A6D6-3CA9B7AE5155}"/>
    <cellStyle name="Normal 13" xfId="417" xr:uid="{00000000-0005-0000-0000-0000AD010000}"/>
    <cellStyle name="Normal 13 2" xfId="1191" xr:uid="{672E35B9-CE2A-4096-8189-AC82A2F26C61}"/>
    <cellStyle name="Normal 14" xfId="418" xr:uid="{00000000-0005-0000-0000-0000AE010000}"/>
    <cellStyle name="Normal 14 2" xfId="1192" xr:uid="{F29BEC37-6100-471F-ADE3-B044B2A0D845}"/>
    <cellStyle name="Normal 15" xfId="419" xr:uid="{00000000-0005-0000-0000-0000AF010000}"/>
    <cellStyle name="Normal 15 2" xfId="1193" xr:uid="{751A5FB1-CA1B-4A20-B29E-A625EA7016F1}"/>
    <cellStyle name="Normal 16" xfId="420" xr:uid="{00000000-0005-0000-0000-0000B0010000}"/>
    <cellStyle name="Normal 16 2" xfId="1194" xr:uid="{B3CA8CC0-5EF7-47F7-B11D-F30856C06D65}"/>
    <cellStyle name="Normal 17" xfId="421" xr:uid="{00000000-0005-0000-0000-0000B1010000}"/>
    <cellStyle name="Normal 17 2" xfId="1195" xr:uid="{30869A04-C27A-464E-8782-57E87ABB2946}"/>
    <cellStyle name="Normal 18" xfId="422" xr:uid="{00000000-0005-0000-0000-0000B2010000}"/>
    <cellStyle name="Normal 18 2" xfId="1196" xr:uid="{8E36B06B-8121-4636-8D40-14F931FE1A23}"/>
    <cellStyle name="Normal 19" xfId="423" xr:uid="{00000000-0005-0000-0000-0000B3010000}"/>
    <cellStyle name="Normal 19 2" xfId="1197" xr:uid="{AA4CE8A6-D7A7-4782-8191-722280AD7B27}"/>
    <cellStyle name="Normal 2" xfId="424" xr:uid="{00000000-0005-0000-0000-0000B4010000}"/>
    <cellStyle name="Normal 2 2" xfId="806" xr:uid="{00000000-0005-0000-0000-0000B5010000}"/>
    <cellStyle name="Normal 20" xfId="425" xr:uid="{00000000-0005-0000-0000-0000B6010000}"/>
    <cellStyle name="Normal 20 2" xfId="1198" xr:uid="{6CF7203F-CAEF-4AEC-A92B-A1889F8B9E1C}"/>
    <cellStyle name="Normal 20 2 2" xfId="426" xr:uid="{00000000-0005-0000-0000-0000B7010000}"/>
    <cellStyle name="Normal 20 2 2 2" xfId="1199" xr:uid="{A1681E9A-B799-41E8-9FB0-32CCBFE1EDB6}"/>
    <cellStyle name="Normal 21" xfId="427" xr:uid="{00000000-0005-0000-0000-0000B8010000}"/>
    <cellStyle name="Normal 21 2" xfId="1200" xr:uid="{EAFD09B0-964C-429A-B302-562B52A24374}"/>
    <cellStyle name="Normal 22" xfId="428" xr:uid="{00000000-0005-0000-0000-0000B9010000}"/>
    <cellStyle name="Normal 22 2" xfId="429" xr:uid="{00000000-0005-0000-0000-0000BA010000}"/>
    <cellStyle name="Normal 22 2 2" xfId="1202" xr:uid="{8726175D-D58E-4F94-AD0F-95420BDC2AE3}"/>
    <cellStyle name="Normal 22 3" xfId="1201" xr:uid="{A3779025-35E5-4C24-A9B9-438DDFEB01F9}"/>
    <cellStyle name="Normal 23" xfId="430" xr:uid="{00000000-0005-0000-0000-0000BB010000}"/>
    <cellStyle name="Normal 23 2" xfId="1203" xr:uid="{E6306009-F21C-4351-B36F-C541B82CB499}"/>
    <cellStyle name="Normal 24" xfId="431" xr:uid="{00000000-0005-0000-0000-0000BC010000}"/>
    <cellStyle name="Normal 24 2" xfId="1204" xr:uid="{A7AEDCDE-CF24-47F3-9741-5A9052FF6346}"/>
    <cellStyle name="Normal 25" xfId="432" xr:uid="{00000000-0005-0000-0000-0000BD010000}"/>
    <cellStyle name="Normal 26" xfId="433" xr:uid="{00000000-0005-0000-0000-0000BE010000}"/>
    <cellStyle name="Normal 27" xfId="434" xr:uid="{00000000-0005-0000-0000-0000BF010000}"/>
    <cellStyle name="Normal 28" xfId="435" xr:uid="{00000000-0005-0000-0000-0000C0010000}"/>
    <cellStyle name="Normal 29" xfId="436" xr:uid="{00000000-0005-0000-0000-0000C1010000}"/>
    <cellStyle name="Normal 3" xfId="437" xr:uid="{00000000-0005-0000-0000-0000C2010000}"/>
    <cellStyle name="Normal 3 10 10" xfId="438" xr:uid="{00000000-0005-0000-0000-0000C3010000}"/>
    <cellStyle name="Normal 3 10 10 2" xfId="1206" xr:uid="{52DD01F8-F73B-4053-9589-94B1C4BD2EB6}"/>
    <cellStyle name="Normal 3 11" xfId="439" xr:uid="{00000000-0005-0000-0000-0000C4010000}"/>
    <cellStyle name="Normal 3 2" xfId="1205" xr:uid="{27A62307-9DB3-4A55-9EEA-55182CC1F7B6}"/>
    <cellStyle name="Normal 3 3" xfId="1569" xr:uid="{3751012A-4E96-45A4-A801-C57A1E65E787}"/>
    <cellStyle name="Normal 30" xfId="440" xr:uid="{00000000-0005-0000-0000-0000C5010000}"/>
    <cellStyle name="Normal 30 2" xfId="1207" xr:uid="{E54BC8A4-A567-4496-994D-BA5643D7C49B}"/>
    <cellStyle name="Normal 31" xfId="441" xr:uid="{00000000-0005-0000-0000-0000C6010000}"/>
    <cellStyle name="Normal 31 10" xfId="442" xr:uid="{00000000-0005-0000-0000-0000C7010000}"/>
    <cellStyle name="Normal 31 10 2" xfId="1209" xr:uid="{16B533E6-5B4B-4262-B2B7-FF71D9CACE90}"/>
    <cellStyle name="Normal 31 11" xfId="443" xr:uid="{00000000-0005-0000-0000-0000C8010000}"/>
    <cellStyle name="Normal 31 11 2" xfId="1210" xr:uid="{FBAC669E-DFEE-4F70-9F0A-A04364F0262C}"/>
    <cellStyle name="Normal 31 12" xfId="444" xr:uid="{00000000-0005-0000-0000-0000C9010000}"/>
    <cellStyle name="Normal 31 12 2" xfId="1211" xr:uid="{1031478D-2A95-4736-A622-A3FCE642E846}"/>
    <cellStyle name="Normal 31 13" xfId="445" xr:uid="{00000000-0005-0000-0000-0000CA010000}"/>
    <cellStyle name="Normal 31 13 2" xfId="1212" xr:uid="{DC89E82D-BF2C-401B-915F-456B0E103218}"/>
    <cellStyle name="Normal 31 14" xfId="446" xr:uid="{00000000-0005-0000-0000-0000CB010000}"/>
    <cellStyle name="Normal 31 14 2" xfId="1213" xr:uid="{0C5CE5AB-6E9D-48B9-A7AD-B52C7E7972DA}"/>
    <cellStyle name="Normal 31 15" xfId="447" xr:uid="{00000000-0005-0000-0000-0000CC010000}"/>
    <cellStyle name="Normal 31 15 2" xfId="1214" xr:uid="{1C57FDAF-9902-4548-BB68-CF44930ED31D}"/>
    <cellStyle name="Normal 31 16" xfId="448" xr:uid="{00000000-0005-0000-0000-0000CD010000}"/>
    <cellStyle name="Normal 31 16 2" xfId="1215" xr:uid="{7B3466B9-D3A0-49D1-B6EB-3BC1A74DD62B}"/>
    <cellStyle name="Normal 31 17" xfId="449" xr:uid="{00000000-0005-0000-0000-0000CE010000}"/>
    <cellStyle name="Normal 31 17 2" xfId="1216" xr:uid="{F971ABF7-EBEF-4F24-89D8-ED84D52B7CB1}"/>
    <cellStyle name="Normal 31 18" xfId="450" xr:uid="{00000000-0005-0000-0000-0000CF010000}"/>
    <cellStyle name="Normal 31 18 2" xfId="1217" xr:uid="{9A0B262A-6749-4012-B32A-1285D8A04DF2}"/>
    <cellStyle name="Normal 31 19" xfId="451" xr:uid="{00000000-0005-0000-0000-0000D0010000}"/>
    <cellStyle name="Normal 31 19 2" xfId="1218" xr:uid="{0CDB2270-C666-41C0-B9E3-884B81CCBA4C}"/>
    <cellStyle name="Normal 31 2" xfId="452" xr:uid="{00000000-0005-0000-0000-0000D1010000}"/>
    <cellStyle name="Normal 31 2 2" xfId="1219" xr:uid="{EC83C04C-01E9-4145-B428-AEFFFD016426}"/>
    <cellStyle name="Normal 31 20" xfId="453" xr:uid="{00000000-0005-0000-0000-0000D2010000}"/>
    <cellStyle name="Normal 31 20 2" xfId="1220" xr:uid="{EEB16C53-F532-48A1-A518-712CB1D8B073}"/>
    <cellStyle name="Normal 31 21" xfId="454" xr:uid="{00000000-0005-0000-0000-0000D3010000}"/>
    <cellStyle name="Normal 31 21 2" xfId="1221" xr:uid="{953C11E7-F363-4970-90F0-7EA53759C5F3}"/>
    <cellStyle name="Normal 31 22" xfId="455" xr:uid="{00000000-0005-0000-0000-0000D4010000}"/>
    <cellStyle name="Normal 31 22 2" xfId="1222" xr:uid="{F0A593F1-35E7-4E63-9365-3FD71A2B3236}"/>
    <cellStyle name="Normal 31 23" xfId="456" xr:uid="{00000000-0005-0000-0000-0000D5010000}"/>
    <cellStyle name="Normal 31 23 2" xfId="1223" xr:uid="{42A5C3EC-FC66-461F-9174-F01FCC26DEAF}"/>
    <cellStyle name="Normal 31 24" xfId="457" xr:uid="{00000000-0005-0000-0000-0000D6010000}"/>
    <cellStyle name="Normal 31 24 2" xfId="1224" xr:uid="{BB7BF8CB-0048-44CD-9AAA-83A47110636F}"/>
    <cellStyle name="Normal 31 25" xfId="458" xr:uid="{00000000-0005-0000-0000-0000D7010000}"/>
    <cellStyle name="Normal 31 25 2" xfId="1225" xr:uid="{DCB50279-D2E4-440E-A530-84FA089FD211}"/>
    <cellStyle name="Normal 31 26" xfId="459" xr:uid="{00000000-0005-0000-0000-0000D8010000}"/>
    <cellStyle name="Normal 31 26 2" xfId="1226" xr:uid="{9855810C-4D7B-4E35-AAA1-2865FEDF9569}"/>
    <cellStyle name="Normal 31 27" xfId="460" xr:uid="{00000000-0005-0000-0000-0000D9010000}"/>
    <cellStyle name="Normal 31 27 2" xfId="1227" xr:uid="{7042265D-FCF6-4482-9AA0-0B54BA3D974C}"/>
    <cellStyle name="Normal 31 28" xfId="461" xr:uid="{00000000-0005-0000-0000-0000DA010000}"/>
    <cellStyle name="Normal 31 28 2" xfId="1228" xr:uid="{272BA840-9C61-448A-A7AD-A568C7A1B592}"/>
    <cellStyle name="Normal 31 29" xfId="462" xr:uid="{00000000-0005-0000-0000-0000DB010000}"/>
    <cellStyle name="Normal 31 29 2" xfId="1229" xr:uid="{2B61DE44-C13C-436E-B2A2-0EE9D1507AEC}"/>
    <cellStyle name="Normal 31 3" xfId="463" xr:uid="{00000000-0005-0000-0000-0000DC010000}"/>
    <cellStyle name="Normal 31 3 2" xfId="1230" xr:uid="{10A9D366-67D4-41E9-B1BC-35007B8C6A50}"/>
    <cellStyle name="Normal 31 30" xfId="464" xr:uid="{00000000-0005-0000-0000-0000DD010000}"/>
    <cellStyle name="Normal 31 30 2" xfId="1231" xr:uid="{F24D49BF-D590-4404-9A18-C41E5B85C899}"/>
    <cellStyle name="Normal 31 31" xfId="465" xr:uid="{00000000-0005-0000-0000-0000DE010000}"/>
    <cellStyle name="Normal 31 31 2" xfId="1232" xr:uid="{FD4A6400-03DE-40CC-A63D-79DA2B620239}"/>
    <cellStyle name="Normal 31 32" xfId="466" xr:uid="{00000000-0005-0000-0000-0000DF010000}"/>
    <cellStyle name="Normal 31 32 2" xfId="1233" xr:uid="{E2D6DA11-30CA-42C5-B8BE-27622443C492}"/>
    <cellStyle name="Normal 31 33" xfId="467" xr:uid="{00000000-0005-0000-0000-0000E0010000}"/>
    <cellStyle name="Normal 31 33 2" xfId="1234" xr:uid="{1C7FDEAE-F4CC-45DB-9DD0-FE6A3D9742BC}"/>
    <cellStyle name="Normal 31 34" xfId="468" xr:uid="{00000000-0005-0000-0000-0000E1010000}"/>
    <cellStyle name="Normal 31 34 2" xfId="1235" xr:uid="{224309EB-9C34-4DB5-A70B-8E34D4FF75D1}"/>
    <cellStyle name="Normal 31 35" xfId="469" xr:uid="{00000000-0005-0000-0000-0000E2010000}"/>
    <cellStyle name="Normal 31 35 2" xfId="1236" xr:uid="{C9DE3192-9778-4BE2-BCBF-9E1B29F4240F}"/>
    <cellStyle name="Normal 31 36" xfId="470" xr:uid="{00000000-0005-0000-0000-0000E3010000}"/>
    <cellStyle name="Normal 31 36 2" xfId="1237" xr:uid="{ABFDA785-B3FA-4C0A-A4C7-AB9D77E6AF7C}"/>
    <cellStyle name="Normal 31 37" xfId="471" xr:uid="{00000000-0005-0000-0000-0000E4010000}"/>
    <cellStyle name="Normal 31 37 2" xfId="1238" xr:uid="{4F1F018D-8E1C-484D-AEEC-BBF37823AA2C}"/>
    <cellStyle name="Normal 31 38" xfId="472" xr:uid="{00000000-0005-0000-0000-0000E5010000}"/>
    <cellStyle name="Normal 31 38 2" xfId="1239" xr:uid="{13C31DC9-3BC9-47BB-8CD2-1ED19F305776}"/>
    <cellStyle name="Normal 31 39" xfId="473" xr:uid="{00000000-0005-0000-0000-0000E6010000}"/>
    <cellStyle name="Normal 31 39 2" xfId="1240" xr:uid="{872C3C85-FBB2-4D4C-B303-05A5F059E984}"/>
    <cellStyle name="Normal 31 4" xfId="474" xr:uid="{00000000-0005-0000-0000-0000E7010000}"/>
    <cellStyle name="Normal 31 4 2" xfId="1241" xr:uid="{4DD1782E-8FCA-4A36-AE81-8029DD91C202}"/>
    <cellStyle name="Normal 31 40" xfId="475" xr:uid="{00000000-0005-0000-0000-0000E8010000}"/>
    <cellStyle name="Normal 31 40 2" xfId="1242" xr:uid="{6B3D65D2-6607-4F7B-8C6B-F8B6879DABEE}"/>
    <cellStyle name="Normal 31 41" xfId="476" xr:uid="{00000000-0005-0000-0000-0000E9010000}"/>
    <cellStyle name="Normal 31 41 2" xfId="1243" xr:uid="{025B8E82-5D4B-4BA0-B2BF-76B8F3B0BE3E}"/>
    <cellStyle name="Normal 31 42" xfId="477" xr:uid="{00000000-0005-0000-0000-0000EA010000}"/>
    <cellStyle name="Normal 31 42 2" xfId="1244" xr:uid="{EF18F0D9-D7E1-42B6-9BE4-82EBF8A94DAF}"/>
    <cellStyle name="Normal 31 43" xfId="478" xr:uid="{00000000-0005-0000-0000-0000EB010000}"/>
    <cellStyle name="Normal 31 43 2" xfId="1245" xr:uid="{E47D5C74-DF28-46CE-9875-2B5B7170BC0F}"/>
    <cellStyle name="Normal 31 44" xfId="479" xr:uid="{00000000-0005-0000-0000-0000EC010000}"/>
    <cellStyle name="Normal 31 44 2" xfId="1246" xr:uid="{09E9A402-9E07-40C3-B944-916973DBC1AD}"/>
    <cellStyle name="Normal 31 45" xfId="480" xr:uid="{00000000-0005-0000-0000-0000ED010000}"/>
    <cellStyle name="Normal 31 45 2" xfId="1247" xr:uid="{E3D9EBA4-ED91-443C-8ADE-96A0898E5FC0}"/>
    <cellStyle name="Normal 31 46" xfId="481" xr:uid="{00000000-0005-0000-0000-0000EE010000}"/>
    <cellStyle name="Normal 31 46 2" xfId="1248" xr:uid="{C8EE7C54-3179-45B1-8839-1DC9D3A667E1}"/>
    <cellStyle name="Normal 31 47" xfId="482" xr:uid="{00000000-0005-0000-0000-0000EF010000}"/>
    <cellStyle name="Normal 31 47 2" xfId="1249" xr:uid="{71C06667-06D3-49FE-9986-1B6ED164EB3D}"/>
    <cellStyle name="Normal 31 48" xfId="483" xr:uid="{00000000-0005-0000-0000-0000F0010000}"/>
    <cellStyle name="Normal 31 48 2" xfId="1250" xr:uid="{E1D27A0B-BB78-4924-9F89-2370E5200B5D}"/>
    <cellStyle name="Normal 31 49" xfId="484" xr:uid="{00000000-0005-0000-0000-0000F1010000}"/>
    <cellStyle name="Normal 31 49 2" xfId="1251" xr:uid="{B804E4B1-E78A-4E4D-87D1-27CF1946E40C}"/>
    <cellStyle name="Normal 31 5" xfId="485" xr:uid="{00000000-0005-0000-0000-0000F2010000}"/>
    <cellStyle name="Normal 31 5 2" xfId="1252" xr:uid="{A19703C1-FB9F-4D9C-AF43-2D04FC099EE1}"/>
    <cellStyle name="Normal 31 50" xfId="486" xr:uid="{00000000-0005-0000-0000-0000F3010000}"/>
    <cellStyle name="Normal 31 50 2" xfId="1253" xr:uid="{0FC10E1B-B9CB-4CEF-90B3-84BEA5907A79}"/>
    <cellStyle name="Normal 31 51" xfId="487" xr:uid="{00000000-0005-0000-0000-0000F4010000}"/>
    <cellStyle name="Normal 31 51 2" xfId="1254" xr:uid="{2E31F94D-5D80-404B-8721-217D0796B7B9}"/>
    <cellStyle name="Normal 31 52" xfId="488" xr:uid="{00000000-0005-0000-0000-0000F5010000}"/>
    <cellStyle name="Normal 31 52 2" xfId="1255" xr:uid="{732A4823-9F57-4A24-BC93-F6CB7EE57B53}"/>
    <cellStyle name="Normal 31 53" xfId="489" xr:uid="{00000000-0005-0000-0000-0000F6010000}"/>
    <cellStyle name="Normal 31 53 2" xfId="1256" xr:uid="{B01A3A21-50D8-4F2C-9AAF-D51F8CCCA54A}"/>
    <cellStyle name="Normal 31 54" xfId="490" xr:uid="{00000000-0005-0000-0000-0000F7010000}"/>
    <cellStyle name="Normal 31 54 2" xfId="1257" xr:uid="{3883C73E-2033-4E07-8C40-2D3DA866DFC5}"/>
    <cellStyle name="Normal 31 55" xfId="491" xr:uid="{00000000-0005-0000-0000-0000F8010000}"/>
    <cellStyle name="Normal 31 55 2" xfId="1258" xr:uid="{B0E17DDC-8D18-4051-9C26-BEE1260D1B4F}"/>
    <cellStyle name="Normal 31 56" xfId="492" xr:uid="{00000000-0005-0000-0000-0000F9010000}"/>
    <cellStyle name="Normal 31 56 2" xfId="1259" xr:uid="{64314AE7-220C-425F-ACFB-3264BC23AD2A}"/>
    <cellStyle name="Normal 31 57" xfId="493" xr:uid="{00000000-0005-0000-0000-0000FA010000}"/>
    <cellStyle name="Normal 31 57 2" xfId="1260" xr:uid="{F974FA63-B93B-479A-8D34-8AF01A79C42A}"/>
    <cellStyle name="Normal 31 58" xfId="494" xr:uid="{00000000-0005-0000-0000-0000FB010000}"/>
    <cellStyle name="Normal 31 58 2" xfId="1261" xr:uid="{B994955A-07B2-4AFE-ADCE-7600ADC05EE4}"/>
    <cellStyle name="Normal 31 59" xfId="495" xr:uid="{00000000-0005-0000-0000-0000FC010000}"/>
    <cellStyle name="Normal 31 59 2" xfId="1262" xr:uid="{99AAEA46-1590-4A2A-A9E4-9318CB9C2302}"/>
    <cellStyle name="Normal 31 6" xfId="496" xr:uid="{00000000-0005-0000-0000-0000FD010000}"/>
    <cellStyle name="Normal 31 6 2" xfId="1263" xr:uid="{0CD455F8-2A16-4CC1-96EA-ACDF9FBECA4B}"/>
    <cellStyle name="Normal 31 60" xfId="497" xr:uid="{00000000-0005-0000-0000-0000FE010000}"/>
    <cellStyle name="Normal 31 60 2" xfId="1264" xr:uid="{5383A80D-6E2C-4A88-AB19-9FEB92002369}"/>
    <cellStyle name="Normal 31 61" xfId="498" xr:uid="{00000000-0005-0000-0000-0000FF010000}"/>
    <cellStyle name="Normal 31 61 2" xfId="1265" xr:uid="{F722327F-CD24-4B18-BC28-5DD3AEBE9F4F}"/>
    <cellStyle name="Normal 31 62" xfId="499" xr:uid="{00000000-0005-0000-0000-000000020000}"/>
    <cellStyle name="Normal 31 62 2" xfId="1266" xr:uid="{2753D63C-B59B-4FA0-A28F-A8E4F8AC8055}"/>
    <cellStyle name="Normal 31 63" xfId="500" xr:uid="{00000000-0005-0000-0000-000001020000}"/>
    <cellStyle name="Normal 31 63 2" xfId="1267" xr:uid="{6BEE5E9E-2B12-4545-94BB-F4494DAF6CC1}"/>
    <cellStyle name="Normal 31 64" xfId="501" xr:uid="{00000000-0005-0000-0000-000002020000}"/>
    <cellStyle name="Normal 31 64 2" xfId="1268" xr:uid="{384DCD32-9E84-4C81-8D57-910FC3EB6FFB}"/>
    <cellStyle name="Normal 31 65" xfId="502" xr:uid="{00000000-0005-0000-0000-000003020000}"/>
    <cellStyle name="Normal 31 65 2" xfId="1269" xr:uid="{7BAAB6AC-BD6C-4831-A286-BF1D5F9D8622}"/>
    <cellStyle name="Normal 31 66" xfId="503" xr:uid="{00000000-0005-0000-0000-000004020000}"/>
    <cellStyle name="Normal 31 66 2" xfId="1270" xr:uid="{D2E5AF08-E68B-485D-BCD5-7ECA226C0A08}"/>
    <cellStyle name="Normal 31 67" xfId="504" xr:uid="{00000000-0005-0000-0000-000005020000}"/>
    <cellStyle name="Normal 31 67 2" xfId="1271" xr:uid="{028DE6C7-BB86-47ED-9CD3-FE146151CF65}"/>
    <cellStyle name="Normal 31 68" xfId="505" xr:uid="{00000000-0005-0000-0000-000006020000}"/>
    <cellStyle name="Normal 31 68 2" xfId="1272" xr:uid="{2D977AB6-7217-4638-A5ED-6E39E72EA9F6}"/>
    <cellStyle name="Normal 31 69" xfId="506" xr:uid="{00000000-0005-0000-0000-000007020000}"/>
    <cellStyle name="Normal 31 69 2" xfId="1273" xr:uid="{B2C72BDB-482B-474F-8057-1EA395755A38}"/>
    <cellStyle name="Normal 31 7" xfId="507" xr:uid="{00000000-0005-0000-0000-000008020000}"/>
    <cellStyle name="Normal 31 7 2" xfId="1274" xr:uid="{73CF4AE9-C57D-4C0D-B3F6-2173F175FD62}"/>
    <cellStyle name="Normal 31 70" xfId="508" xr:uid="{00000000-0005-0000-0000-000009020000}"/>
    <cellStyle name="Normal 31 70 2" xfId="1275" xr:uid="{803BDD26-A8E7-41C2-AAA1-5BE8368A9FD6}"/>
    <cellStyle name="Normal 31 71" xfId="509" xr:uid="{00000000-0005-0000-0000-00000A020000}"/>
    <cellStyle name="Normal 31 71 2" xfId="1276" xr:uid="{2641CD5F-E535-46C8-9D3F-AD4765E65899}"/>
    <cellStyle name="Normal 31 72" xfId="510" xr:uid="{00000000-0005-0000-0000-00000B020000}"/>
    <cellStyle name="Normal 31 72 2" xfId="1277" xr:uid="{B4ADE628-BDA3-4896-AEFA-F9B96966D9B2}"/>
    <cellStyle name="Normal 31 73" xfId="511" xr:uid="{00000000-0005-0000-0000-00000C020000}"/>
    <cellStyle name="Normal 31 73 2" xfId="1278" xr:uid="{B3BA1C81-22E7-46A9-9FB1-45EEE484D0C8}"/>
    <cellStyle name="Normal 31 74" xfId="512" xr:uid="{00000000-0005-0000-0000-00000D020000}"/>
    <cellStyle name="Normal 31 74 2" xfId="1279" xr:uid="{17212392-2F19-4888-BC2F-5BAA41AB8CFB}"/>
    <cellStyle name="Normal 31 75" xfId="513" xr:uid="{00000000-0005-0000-0000-00000E020000}"/>
    <cellStyle name="Normal 31 75 2" xfId="1280" xr:uid="{DFCBCC42-68DE-4CE8-8894-03A5A21DEC48}"/>
    <cellStyle name="Normal 31 76" xfId="514" xr:uid="{00000000-0005-0000-0000-00000F020000}"/>
    <cellStyle name="Normal 31 76 2" xfId="1281" xr:uid="{78A48871-AEDC-4EC5-90FD-5A84FE173D9C}"/>
    <cellStyle name="Normal 31 77" xfId="515" xr:uid="{00000000-0005-0000-0000-000010020000}"/>
    <cellStyle name="Normal 31 77 2" xfId="1282" xr:uid="{5758FC1F-C30B-4F82-906C-DBC62C4F03C1}"/>
    <cellStyle name="Normal 31 78" xfId="516" xr:uid="{00000000-0005-0000-0000-000011020000}"/>
    <cellStyle name="Normal 31 78 2" xfId="1283" xr:uid="{5642E145-092D-4356-94AC-740A71C7115E}"/>
    <cellStyle name="Normal 31 79" xfId="517" xr:uid="{00000000-0005-0000-0000-000012020000}"/>
    <cellStyle name="Normal 31 79 2" xfId="1284" xr:uid="{DE12963F-F425-436C-818D-86A6945615FC}"/>
    <cellStyle name="Normal 31 8" xfId="518" xr:uid="{00000000-0005-0000-0000-000013020000}"/>
    <cellStyle name="Normal 31 8 2" xfId="1285" xr:uid="{BB38D4F0-475E-4053-BF22-6C4B559F7405}"/>
    <cellStyle name="Normal 31 80" xfId="519" xr:uid="{00000000-0005-0000-0000-000014020000}"/>
    <cellStyle name="Normal 31 80 2" xfId="1286" xr:uid="{D6D8D926-B291-4076-BF3C-9B0918E83B75}"/>
    <cellStyle name="Normal 31 81" xfId="520" xr:uid="{00000000-0005-0000-0000-000015020000}"/>
    <cellStyle name="Normal 31 81 2" xfId="1287" xr:uid="{10B09FF1-5552-47E9-BABB-9247C006376B}"/>
    <cellStyle name="Normal 31 82" xfId="521" xr:uid="{00000000-0005-0000-0000-000016020000}"/>
    <cellStyle name="Normal 31 82 2" xfId="1288" xr:uid="{2D0C3D47-18C5-4FA9-96D7-9F7504330B7C}"/>
    <cellStyle name="Normal 31 83" xfId="522" xr:uid="{00000000-0005-0000-0000-000017020000}"/>
    <cellStyle name="Normal 31 83 2" xfId="1289" xr:uid="{944BA06F-E199-46E2-B1AC-E3BA998E2F99}"/>
    <cellStyle name="Normal 31 84" xfId="523" xr:uid="{00000000-0005-0000-0000-000018020000}"/>
    <cellStyle name="Normal 31 84 2" xfId="1290" xr:uid="{1B537601-E4B7-4015-8862-D76B3B78F83A}"/>
    <cellStyle name="Normal 31 85" xfId="524" xr:uid="{00000000-0005-0000-0000-000019020000}"/>
    <cellStyle name="Normal 31 85 2" xfId="1291" xr:uid="{03D9DC1C-3A0B-4B5D-9E8E-D927F2DB3975}"/>
    <cellStyle name="Normal 31 86" xfId="525" xr:uid="{00000000-0005-0000-0000-00001A020000}"/>
    <cellStyle name="Normal 31 86 2" xfId="1292" xr:uid="{656DE1E6-E66C-48C6-82C4-9BE4A89D7F1E}"/>
    <cellStyle name="Normal 31 87" xfId="526" xr:uid="{00000000-0005-0000-0000-00001B020000}"/>
    <cellStyle name="Normal 31 87 2" xfId="1293" xr:uid="{CC3B0276-B3BF-40CE-9ED8-27993893C6B1}"/>
    <cellStyle name="Normal 31 88" xfId="527" xr:uid="{00000000-0005-0000-0000-00001C020000}"/>
    <cellStyle name="Normal 31 88 2" xfId="1294" xr:uid="{0E60CAB5-C92E-4964-B8DA-EC1E1631CDFA}"/>
    <cellStyle name="Normal 31 89" xfId="528" xr:uid="{00000000-0005-0000-0000-00001D020000}"/>
    <cellStyle name="Normal 31 89 2" xfId="1295" xr:uid="{DE180D87-78FB-490D-ADEB-5DCA010944EF}"/>
    <cellStyle name="Normal 31 9" xfId="529" xr:uid="{00000000-0005-0000-0000-00001E020000}"/>
    <cellStyle name="Normal 31 9 2" xfId="1296" xr:uid="{D7AC9901-1DBF-4AAA-8266-F50F5F92A745}"/>
    <cellStyle name="Normal 31 90" xfId="530" xr:uid="{00000000-0005-0000-0000-00001F020000}"/>
    <cellStyle name="Normal 31 90 2" xfId="1297" xr:uid="{80759870-C5FD-452A-A9FC-9FEE130DE23D}"/>
    <cellStyle name="Normal 31 91" xfId="531" xr:uid="{00000000-0005-0000-0000-000020020000}"/>
    <cellStyle name="Normal 31 91 2" xfId="1298" xr:uid="{6171F33A-88DF-4CEB-AAB2-58CCFF71BDAE}"/>
    <cellStyle name="Normal 31 92" xfId="532" xr:uid="{00000000-0005-0000-0000-000021020000}"/>
    <cellStyle name="Normal 31 92 2" xfId="1299" xr:uid="{F7A534AD-007E-4587-BAAA-F4D2DFE8FAFA}"/>
    <cellStyle name="Normal 31 93" xfId="533" xr:uid="{00000000-0005-0000-0000-000022020000}"/>
    <cellStyle name="Normal 31 93 2" xfId="1300" xr:uid="{A2C8ED67-F9D3-4E03-840A-8F6D6B60F66B}"/>
    <cellStyle name="Normal 31 94" xfId="534" xr:uid="{00000000-0005-0000-0000-000023020000}"/>
    <cellStyle name="Normal 31 94 2" xfId="1301" xr:uid="{E40CD5D6-8D7E-4DF3-B4AD-93B2768B55E3}"/>
    <cellStyle name="Normal 31 95" xfId="535" xr:uid="{00000000-0005-0000-0000-000024020000}"/>
    <cellStyle name="Normal 31 95 2" xfId="1302" xr:uid="{C563AB71-F40D-4C7F-845F-4B24301B0ECC}"/>
    <cellStyle name="Normal 31 96" xfId="536" xr:uid="{00000000-0005-0000-0000-000025020000}"/>
    <cellStyle name="Normal 31 96 2" xfId="1303" xr:uid="{56A8A99D-6EDB-4E03-B23E-E7974300015F}"/>
    <cellStyle name="Normal 31 97" xfId="1208" xr:uid="{81380A79-B6C1-46C7-B3B1-15C6E6B2C8C0}"/>
    <cellStyle name="Normal 32" xfId="537" xr:uid="{00000000-0005-0000-0000-000026020000}"/>
    <cellStyle name="Normal 32 2" xfId="1304" xr:uid="{F3A0A331-112F-4F62-936F-B5C9DDBC2984}"/>
    <cellStyle name="Normal 33" xfId="538" xr:uid="{00000000-0005-0000-0000-000027020000}"/>
    <cellStyle name="Normal 33 10" xfId="539" xr:uid="{00000000-0005-0000-0000-000028020000}"/>
    <cellStyle name="Normal 33 10 2" xfId="1306" xr:uid="{23CF5069-0D79-4355-A3E1-5BF1146BEEEC}"/>
    <cellStyle name="Normal 33 11" xfId="540" xr:uid="{00000000-0005-0000-0000-000029020000}"/>
    <cellStyle name="Normal 33 11 2" xfId="1307" xr:uid="{F6118592-2E41-44B5-ABDD-FB554AEA2CD8}"/>
    <cellStyle name="Normal 33 12" xfId="541" xr:uid="{00000000-0005-0000-0000-00002A020000}"/>
    <cellStyle name="Normal 33 12 2" xfId="1308" xr:uid="{C0D52076-483E-4EAE-A7DC-72F593FCD57B}"/>
    <cellStyle name="Normal 33 13" xfId="542" xr:uid="{00000000-0005-0000-0000-00002B020000}"/>
    <cellStyle name="Normal 33 13 2" xfId="1309" xr:uid="{D9E67902-5436-491F-BA78-1ADC89FCC194}"/>
    <cellStyle name="Normal 33 14" xfId="543" xr:uid="{00000000-0005-0000-0000-00002C020000}"/>
    <cellStyle name="Normal 33 14 2" xfId="1310" xr:uid="{B84F2894-E84A-4B6E-B671-4A7E5531B6F9}"/>
    <cellStyle name="Normal 33 15" xfId="544" xr:uid="{00000000-0005-0000-0000-00002D020000}"/>
    <cellStyle name="Normal 33 15 2" xfId="1311" xr:uid="{9DB291CC-C6EF-4C6D-AD41-5377F1A73011}"/>
    <cellStyle name="Normal 33 16" xfId="545" xr:uid="{00000000-0005-0000-0000-00002E020000}"/>
    <cellStyle name="Normal 33 16 2" xfId="1312" xr:uid="{2B7FB7DD-AB1F-4083-A74F-417B56E7DF16}"/>
    <cellStyle name="Normal 33 17" xfId="546" xr:uid="{00000000-0005-0000-0000-00002F020000}"/>
    <cellStyle name="Normal 33 17 2" xfId="1313" xr:uid="{FEA70429-162E-4EAA-9907-8FF8AE80D929}"/>
    <cellStyle name="Normal 33 18" xfId="547" xr:uid="{00000000-0005-0000-0000-000030020000}"/>
    <cellStyle name="Normal 33 18 2" xfId="1314" xr:uid="{901D05C5-0886-4DD1-9586-03BC345F6838}"/>
    <cellStyle name="Normal 33 19" xfId="548" xr:uid="{00000000-0005-0000-0000-000031020000}"/>
    <cellStyle name="Normal 33 19 2" xfId="1315" xr:uid="{9FFAF6DF-242F-4AD1-9034-A121645B6773}"/>
    <cellStyle name="Normal 33 2" xfId="549" xr:uid="{00000000-0005-0000-0000-000032020000}"/>
    <cellStyle name="Normal 33 2 2" xfId="1316" xr:uid="{B0DA40CB-A5E9-4600-ABD1-8A68773B0052}"/>
    <cellStyle name="Normal 33 20" xfId="550" xr:uid="{00000000-0005-0000-0000-000033020000}"/>
    <cellStyle name="Normal 33 20 2" xfId="1317" xr:uid="{5A19A2A6-05D6-44B5-8B63-6AC110198EBC}"/>
    <cellStyle name="Normal 33 21" xfId="551" xr:uid="{00000000-0005-0000-0000-000034020000}"/>
    <cellStyle name="Normal 33 21 2" xfId="1318" xr:uid="{26A9A5C5-33C0-41F3-A142-06B139CF3B68}"/>
    <cellStyle name="Normal 33 22" xfId="552" xr:uid="{00000000-0005-0000-0000-000035020000}"/>
    <cellStyle name="Normal 33 22 2" xfId="1319" xr:uid="{D4E71FEC-C403-4143-AF1D-294DC3315650}"/>
    <cellStyle name="Normal 33 23" xfId="553" xr:uid="{00000000-0005-0000-0000-000036020000}"/>
    <cellStyle name="Normal 33 23 2" xfId="1320" xr:uid="{144F0A1B-6B67-4551-9D4A-8B7D5296C883}"/>
    <cellStyle name="Normal 33 24" xfId="554" xr:uid="{00000000-0005-0000-0000-000037020000}"/>
    <cellStyle name="Normal 33 24 2" xfId="1321" xr:uid="{C11589DE-26CD-4126-9299-7D27163843B2}"/>
    <cellStyle name="Normal 33 25" xfId="555" xr:uid="{00000000-0005-0000-0000-000038020000}"/>
    <cellStyle name="Normal 33 25 2" xfId="1322" xr:uid="{F8FFCD07-B577-4F8F-A90D-E5B9AD2A584F}"/>
    <cellStyle name="Normal 33 26" xfId="556" xr:uid="{00000000-0005-0000-0000-000039020000}"/>
    <cellStyle name="Normal 33 26 2" xfId="1323" xr:uid="{C686EF21-6BF6-467B-AF9E-A1C9B625626B}"/>
    <cellStyle name="Normal 33 27" xfId="557" xr:uid="{00000000-0005-0000-0000-00003A020000}"/>
    <cellStyle name="Normal 33 27 2" xfId="1324" xr:uid="{0DC5407B-8491-4A5E-B51A-621D9787D69C}"/>
    <cellStyle name="Normal 33 28" xfId="558" xr:uid="{00000000-0005-0000-0000-00003B020000}"/>
    <cellStyle name="Normal 33 28 2" xfId="1325" xr:uid="{D9942A10-6516-495C-9B10-7552AF917675}"/>
    <cellStyle name="Normal 33 29" xfId="559" xr:uid="{00000000-0005-0000-0000-00003C020000}"/>
    <cellStyle name="Normal 33 29 2" xfId="1326" xr:uid="{21231C8C-6A07-431B-BC45-675F8F208E97}"/>
    <cellStyle name="Normal 33 3" xfId="560" xr:uid="{00000000-0005-0000-0000-00003D020000}"/>
    <cellStyle name="Normal 33 3 2" xfId="1327" xr:uid="{D89EAA4F-D503-45A9-A211-AEB3C475723E}"/>
    <cellStyle name="Normal 33 30" xfId="561" xr:uid="{00000000-0005-0000-0000-00003E020000}"/>
    <cellStyle name="Normal 33 30 2" xfId="1328" xr:uid="{9E3FC090-E182-41AD-977D-73A179B0F2B5}"/>
    <cellStyle name="Normal 33 31" xfId="562" xr:uid="{00000000-0005-0000-0000-00003F020000}"/>
    <cellStyle name="Normal 33 31 2" xfId="1329" xr:uid="{14145D09-FFE4-47C6-9148-0097A359279E}"/>
    <cellStyle name="Normal 33 32" xfId="563" xr:uid="{00000000-0005-0000-0000-000040020000}"/>
    <cellStyle name="Normal 33 32 2" xfId="1330" xr:uid="{C5223D54-D078-4C23-99A2-840846548D15}"/>
    <cellStyle name="Normal 33 33" xfId="564" xr:uid="{00000000-0005-0000-0000-000041020000}"/>
    <cellStyle name="Normal 33 33 2" xfId="1331" xr:uid="{A4B6CB7E-B9E1-4519-9740-CA29176CA04A}"/>
    <cellStyle name="Normal 33 34" xfId="565" xr:uid="{00000000-0005-0000-0000-000042020000}"/>
    <cellStyle name="Normal 33 34 2" xfId="1332" xr:uid="{B210AC65-B5E8-4DCE-B06A-9178B07C8119}"/>
    <cellStyle name="Normal 33 35" xfId="566" xr:uid="{00000000-0005-0000-0000-000043020000}"/>
    <cellStyle name="Normal 33 35 2" xfId="1333" xr:uid="{42E8B130-A88C-45D1-AEFA-5D5896976311}"/>
    <cellStyle name="Normal 33 36" xfId="567" xr:uid="{00000000-0005-0000-0000-000044020000}"/>
    <cellStyle name="Normal 33 36 2" xfId="1334" xr:uid="{C44ADF90-359F-48EA-89DA-F2E4D66DB93C}"/>
    <cellStyle name="Normal 33 37" xfId="568" xr:uid="{00000000-0005-0000-0000-000045020000}"/>
    <cellStyle name="Normal 33 37 2" xfId="1335" xr:uid="{ED69ECE1-E618-4F5B-B0A8-B85B7EEF3ECA}"/>
    <cellStyle name="Normal 33 38" xfId="569" xr:uid="{00000000-0005-0000-0000-000046020000}"/>
    <cellStyle name="Normal 33 38 2" xfId="1336" xr:uid="{728AE3AD-ECFA-4FD8-83A1-97636ECDA58F}"/>
    <cellStyle name="Normal 33 39" xfId="570" xr:uid="{00000000-0005-0000-0000-000047020000}"/>
    <cellStyle name="Normal 33 39 2" xfId="1337" xr:uid="{B1B47106-0F72-4D47-A0B8-4E986572A084}"/>
    <cellStyle name="Normal 33 4" xfId="571" xr:uid="{00000000-0005-0000-0000-000048020000}"/>
    <cellStyle name="Normal 33 4 2" xfId="1338" xr:uid="{99F6121B-C305-4B51-A6C6-9B9E65E599DF}"/>
    <cellStyle name="Normal 33 40" xfId="572" xr:uid="{00000000-0005-0000-0000-000049020000}"/>
    <cellStyle name="Normal 33 40 2" xfId="1339" xr:uid="{10C8527C-7E0C-4DF0-8EAA-114DEF228D66}"/>
    <cellStyle name="Normal 33 41" xfId="573" xr:uid="{00000000-0005-0000-0000-00004A020000}"/>
    <cellStyle name="Normal 33 41 2" xfId="1340" xr:uid="{3277AEF8-786D-403F-BCFD-9FD97FD4A512}"/>
    <cellStyle name="Normal 33 42" xfId="574" xr:uid="{00000000-0005-0000-0000-00004B020000}"/>
    <cellStyle name="Normal 33 42 2" xfId="1341" xr:uid="{4995E6E3-36DB-4BC5-A309-F587E06CCE46}"/>
    <cellStyle name="Normal 33 43" xfId="575" xr:uid="{00000000-0005-0000-0000-00004C020000}"/>
    <cellStyle name="Normal 33 43 2" xfId="1342" xr:uid="{7B76B1BC-C587-43C2-A218-03BDDFA21F77}"/>
    <cellStyle name="Normal 33 44" xfId="576" xr:uid="{00000000-0005-0000-0000-00004D020000}"/>
    <cellStyle name="Normal 33 44 2" xfId="1343" xr:uid="{945F466B-2CA9-4AA1-873E-FCB88B3AE65D}"/>
    <cellStyle name="Normal 33 45" xfId="577" xr:uid="{00000000-0005-0000-0000-00004E020000}"/>
    <cellStyle name="Normal 33 45 2" xfId="1344" xr:uid="{72CDC087-58CE-4EBA-97E0-610CC11E491B}"/>
    <cellStyle name="Normal 33 46" xfId="578" xr:uid="{00000000-0005-0000-0000-00004F020000}"/>
    <cellStyle name="Normal 33 46 2" xfId="1345" xr:uid="{722540C3-E07C-4655-9B80-6C603CE70F68}"/>
    <cellStyle name="Normal 33 47" xfId="579" xr:uid="{00000000-0005-0000-0000-000050020000}"/>
    <cellStyle name="Normal 33 47 2" xfId="1346" xr:uid="{854F7B2C-F6DE-45EA-8423-2CF1B92EA498}"/>
    <cellStyle name="Normal 33 48" xfId="580" xr:uid="{00000000-0005-0000-0000-000051020000}"/>
    <cellStyle name="Normal 33 48 2" xfId="1347" xr:uid="{7A8AEFFE-9FE1-4F76-926D-72C04E39C847}"/>
    <cellStyle name="Normal 33 49" xfId="581" xr:uid="{00000000-0005-0000-0000-000052020000}"/>
    <cellStyle name="Normal 33 49 2" xfId="1348" xr:uid="{46C6B679-00DA-4750-96CB-8833AF930B9C}"/>
    <cellStyle name="Normal 33 5" xfId="582" xr:uid="{00000000-0005-0000-0000-000053020000}"/>
    <cellStyle name="Normal 33 5 2" xfId="1349" xr:uid="{D36B2D6F-199C-4901-AEFD-5A6930C07A12}"/>
    <cellStyle name="Normal 33 50" xfId="583" xr:uid="{00000000-0005-0000-0000-000054020000}"/>
    <cellStyle name="Normal 33 50 2" xfId="1350" xr:uid="{9A81A5C2-68F9-4C47-979B-05B843CC1357}"/>
    <cellStyle name="Normal 33 51" xfId="584" xr:uid="{00000000-0005-0000-0000-000055020000}"/>
    <cellStyle name="Normal 33 51 2" xfId="1351" xr:uid="{FB277495-E72B-468A-AEE7-7DBFB836B1B4}"/>
    <cellStyle name="Normal 33 52" xfId="585" xr:uid="{00000000-0005-0000-0000-000056020000}"/>
    <cellStyle name="Normal 33 52 2" xfId="1352" xr:uid="{D6086509-238C-444A-9C45-A6F8CE13EA5A}"/>
    <cellStyle name="Normal 33 53" xfId="586" xr:uid="{00000000-0005-0000-0000-000057020000}"/>
    <cellStyle name="Normal 33 53 2" xfId="1353" xr:uid="{64C471E0-6709-497B-9CD1-A34C170B29F2}"/>
    <cellStyle name="Normal 33 54" xfId="587" xr:uid="{00000000-0005-0000-0000-000058020000}"/>
    <cellStyle name="Normal 33 54 2" xfId="1354" xr:uid="{039C1E71-6BCE-4A72-8837-D3AD1DDF2C22}"/>
    <cellStyle name="Normal 33 55" xfId="588" xr:uid="{00000000-0005-0000-0000-000059020000}"/>
    <cellStyle name="Normal 33 55 2" xfId="1355" xr:uid="{B4440930-5437-4516-B2A6-6462B4199037}"/>
    <cellStyle name="Normal 33 56" xfId="589" xr:uid="{00000000-0005-0000-0000-00005A020000}"/>
    <cellStyle name="Normal 33 56 2" xfId="1356" xr:uid="{69101938-BBED-4620-B77A-8502A562CC91}"/>
    <cellStyle name="Normal 33 57" xfId="590" xr:uid="{00000000-0005-0000-0000-00005B020000}"/>
    <cellStyle name="Normal 33 57 2" xfId="1357" xr:uid="{571FE301-A2F8-4209-B84F-6E9F6E5FB8FA}"/>
    <cellStyle name="Normal 33 58" xfId="591" xr:uid="{00000000-0005-0000-0000-00005C020000}"/>
    <cellStyle name="Normal 33 58 2" xfId="1358" xr:uid="{059DDFFB-63CA-4455-B41B-CF3E1FA1F16F}"/>
    <cellStyle name="Normal 33 59" xfId="592" xr:uid="{00000000-0005-0000-0000-00005D020000}"/>
    <cellStyle name="Normal 33 59 2" xfId="1359" xr:uid="{C5A89851-7CF1-482A-AE9E-06C9428ED172}"/>
    <cellStyle name="Normal 33 6" xfId="593" xr:uid="{00000000-0005-0000-0000-00005E020000}"/>
    <cellStyle name="Normal 33 6 2" xfId="1360" xr:uid="{9DA6D413-0235-47FC-B0D6-E6E6DAAFF3A8}"/>
    <cellStyle name="Normal 33 60" xfId="594" xr:uid="{00000000-0005-0000-0000-00005F020000}"/>
    <cellStyle name="Normal 33 60 2" xfId="1361" xr:uid="{10C6D0BC-E892-40BB-B830-F0946B6C9371}"/>
    <cellStyle name="Normal 33 61" xfId="595" xr:uid="{00000000-0005-0000-0000-000060020000}"/>
    <cellStyle name="Normal 33 61 2" xfId="1362" xr:uid="{A2DE4679-4B25-435F-92C0-D177902F4BE7}"/>
    <cellStyle name="Normal 33 62" xfId="596" xr:uid="{00000000-0005-0000-0000-000061020000}"/>
    <cellStyle name="Normal 33 62 2" xfId="1363" xr:uid="{3ECFD4DC-98FA-439D-84CA-53B7B5B8714B}"/>
    <cellStyle name="Normal 33 63" xfId="597" xr:uid="{00000000-0005-0000-0000-000062020000}"/>
    <cellStyle name="Normal 33 63 2" xfId="1364" xr:uid="{FEB84179-366A-464B-9149-83C38929E3A5}"/>
    <cellStyle name="Normal 33 64" xfId="598" xr:uid="{00000000-0005-0000-0000-000063020000}"/>
    <cellStyle name="Normal 33 64 2" xfId="1365" xr:uid="{EA80E2D4-AE0A-4E72-8F11-97E9C54F461E}"/>
    <cellStyle name="Normal 33 65" xfId="599" xr:uid="{00000000-0005-0000-0000-000064020000}"/>
    <cellStyle name="Normal 33 65 2" xfId="1366" xr:uid="{34225FAA-93F0-4137-9EA9-17F81A04CAAF}"/>
    <cellStyle name="Normal 33 66" xfId="600" xr:uid="{00000000-0005-0000-0000-000065020000}"/>
    <cellStyle name="Normal 33 66 2" xfId="1367" xr:uid="{A2A9F05C-EEA3-40DD-B529-86919BA8194A}"/>
    <cellStyle name="Normal 33 67" xfId="601" xr:uid="{00000000-0005-0000-0000-000066020000}"/>
    <cellStyle name="Normal 33 67 2" xfId="1368" xr:uid="{3C5CB955-AA1F-4E51-9415-CD1F04EFCBAE}"/>
    <cellStyle name="Normal 33 68" xfId="602" xr:uid="{00000000-0005-0000-0000-000067020000}"/>
    <cellStyle name="Normal 33 68 2" xfId="1369" xr:uid="{D47DC9D5-F9F1-48F7-AB7D-88449D856F53}"/>
    <cellStyle name="Normal 33 69" xfId="603" xr:uid="{00000000-0005-0000-0000-000068020000}"/>
    <cellStyle name="Normal 33 69 2" xfId="1370" xr:uid="{99829BAF-1E85-4240-A278-7966172CB81E}"/>
    <cellStyle name="Normal 33 7" xfId="604" xr:uid="{00000000-0005-0000-0000-000069020000}"/>
    <cellStyle name="Normal 33 7 2" xfId="1371" xr:uid="{271C4E84-A4BD-4C6A-A428-9429451FCF97}"/>
    <cellStyle name="Normal 33 70" xfId="605" xr:uid="{00000000-0005-0000-0000-00006A020000}"/>
    <cellStyle name="Normal 33 70 2" xfId="1372" xr:uid="{E7D97008-296F-4EF0-BCCF-7E55AD9EB8EE}"/>
    <cellStyle name="Normal 33 71" xfId="606" xr:uid="{00000000-0005-0000-0000-00006B020000}"/>
    <cellStyle name="Normal 33 71 2" xfId="1373" xr:uid="{14954FC5-F3D4-44EC-BD05-863527B69F89}"/>
    <cellStyle name="Normal 33 72" xfId="607" xr:uid="{00000000-0005-0000-0000-00006C020000}"/>
    <cellStyle name="Normal 33 72 2" xfId="1374" xr:uid="{10669947-2877-4A99-AFC7-726D85E58410}"/>
    <cellStyle name="Normal 33 73" xfId="608" xr:uid="{00000000-0005-0000-0000-00006D020000}"/>
    <cellStyle name="Normal 33 73 2" xfId="1375" xr:uid="{0A044726-E37D-465B-B6EC-CF495CC5BCAD}"/>
    <cellStyle name="Normal 33 74" xfId="609" xr:uid="{00000000-0005-0000-0000-00006E020000}"/>
    <cellStyle name="Normal 33 74 2" xfId="1376" xr:uid="{7A4BA8A7-FA29-4F50-8EAF-CA02CB099EC4}"/>
    <cellStyle name="Normal 33 75" xfId="610" xr:uid="{00000000-0005-0000-0000-00006F020000}"/>
    <cellStyle name="Normal 33 75 2" xfId="1377" xr:uid="{A6D3832B-EFE3-4924-BA9A-194BB7017FCF}"/>
    <cellStyle name="Normal 33 76" xfId="611" xr:uid="{00000000-0005-0000-0000-000070020000}"/>
    <cellStyle name="Normal 33 76 2" xfId="1378" xr:uid="{C3FB26A8-BE9E-4AE9-804B-21D3CE3673BA}"/>
    <cellStyle name="Normal 33 77" xfId="612" xr:uid="{00000000-0005-0000-0000-000071020000}"/>
    <cellStyle name="Normal 33 77 2" xfId="1379" xr:uid="{CC9DD17D-6F61-4CA9-BF9B-4E15DABCE4C1}"/>
    <cellStyle name="Normal 33 78" xfId="613" xr:uid="{00000000-0005-0000-0000-000072020000}"/>
    <cellStyle name="Normal 33 78 2" xfId="1380" xr:uid="{8EAFCA7B-FAD9-479C-AAE0-B30BC27F87BC}"/>
    <cellStyle name="Normal 33 79" xfId="614" xr:uid="{00000000-0005-0000-0000-000073020000}"/>
    <cellStyle name="Normal 33 79 2" xfId="1381" xr:uid="{61E463EA-05A3-43CD-8235-30A0417DA431}"/>
    <cellStyle name="Normal 33 8" xfId="615" xr:uid="{00000000-0005-0000-0000-000074020000}"/>
    <cellStyle name="Normal 33 8 2" xfId="1382" xr:uid="{734A34EB-081E-452D-9C7A-809CEA20F7DA}"/>
    <cellStyle name="Normal 33 80" xfId="616" xr:uid="{00000000-0005-0000-0000-000075020000}"/>
    <cellStyle name="Normal 33 80 2" xfId="1383" xr:uid="{D0A91979-E326-4167-AA51-2CEF7CCBAB35}"/>
    <cellStyle name="Normal 33 81" xfId="617" xr:uid="{00000000-0005-0000-0000-000076020000}"/>
    <cellStyle name="Normal 33 81 2" xfId="1384" xr:uid="{A8F5093F-FF19-4333-B9AA-C83541DC257E}"/>
    <cellStyle name="Normal 33 82" xfId="618" xr:uid="{00000000-0005-0000-0000-000077020000}"/>
    <cellStyle name="Normal 33 82 2" xfId="1385" xr:uid="{61E3F034-0AB2-4283-A5F8-7BBE13689C7F}"/>
    <cellStyle name="Normal 33 83" xfId="619" xr:uid="{00000000-0005-0000-0000-000078020000}"/>
    <cellStyle name="Normal 33 83 2" xfId="1386" xr:uid="{90875142-7276-435C-8F42-2C5E6CF1FB8E}"/>
    <cellStyle name="Normal 33 84" xfId="620" xr:uid="{00000000-0005-0000-0000-000079020000}"/>
    <cellStyle name="Normal 33 84 2" xfId="1387" xr:uid="{1EF7AF95-8398-4566-8B0B-C9DEF73BD372}"/>
    <cellStyle name="Normal 33 85" xfId="621" xr:uid="{00000000-0005-0000-0000-00007A020000}"/>
    <cellStyle name="Normal 33 85 2" xfId="1388" xr:uid="{71A08860-3984-4943-84F2-044A9695500B}"/>
    <cellStyle name="Normal 33 86" xfId="622" xr:uid="{00000000-0005-0000-0000-00007B020000}"/>
    <cellStyle name="Normal 33 86 2" xfId="1389" xr:uid="{AF77AA51-B432-47B9-AB4A-0CC1F9FDE980}"/>
    <cellStyle name="Normal 33 87" xfId="623" xr:uid="{00000000-0005-0000-0000-00007C020000}"/>
    <cellStyle name="Normal 33 87 2" xfId="1390" xr:uid="{FCA67CBB-911F-44A3-8B71-8BA7C6DDFA74}"/>
    <cellStyle name="Normal 33 88" xfId="624" xr:uid="{00000000-0005-0000-0000-00007D020000}"/>
    <cellStyle name="Normal 33 88 2" xfId="1391" xr:uid="{0E2D6579-23F8-4383-B5B0-E971C578FA70}"/>
    <cellStyle name="Normal 33 89" xfId="625" xr:uid="{00000000-0005-0000-0000-00007E020000}"/>
    <cellStyle name="Normal 33 89 2" xfId="1392" xr:uid="{CE2841DD-D97C-430D-A338-9E8E919650A0}"/>
    <cellStyle name="Normal 33 9" xfId="626" xr:uid="{00000000-0005-0000-0000-00007F020000}"/>
    <cellStyle name="Normal 33 9 2" xfId="1393" xr:uid="{43D6A3BD-0B65-4336-99B0-807B07E3AE8C}"/>
    <cellStyle name="Normal 33 90" xfId="627" xr:uid="{00000000-0005-0000-0000-000080020000}"/>
    <cellStyle name="Normal 33 90 2" xfId="1394" xr:uid="{61B39413-9859-4F01-B70B-90BF5610ACBD}"/>
    <cellStyle name="Normal 33 91" xfId="628" xr:uid="{00000000-0005-0000-0000-000081020000}"/>
    <cellStyle name="Normal 33 91 2" xfId="1395" xr:uid="{2ECBDC8A-935C-43E4-8BF4-69BBBFA161A4}"/>
    <cellStyle name="Normal 33 92" xfId="629" xr:uid="{00000000-0005-0000-0000-000082020000}"/>
    <cellStyle name="Normal 33 92 2" xfId="1396" xr:uid="{738997AF-F258-4CA8-BA69-510D55541D25}"/>
    <cellStyle name="Normal 33 93" xfId="630" xr:uid="{00000000-0005-0000-0000-000083020000}"/>
    <cellStyle name="Normal 33 93 2" xfId="1397" xr:uid="{1D73A82F-C6E9-4EFD-8EF4-6D72D1C3317C}"/>
    <cellStyle name="Normal 33 94" xfId="631" xr:uid="{00000000-0005-0000-0000-000084020000}"/>
    <cellStyle name="Normal 33 94 2" xfId="1398" xr:uid="{D0FA285A-B92B-41A7-89A5-A380ABFFBC53}"/>
    <cellStyle name="Normal 33 95" xfId="632" xr:uid="{00000000-0005-0000-0000-000085020000}"/>
    <cellStyle name="Normal 33 95 2" xfId="1399" xr:uid="{B43792AB-E6F9-496A-85C2-C9633729B05E}"/>
    <cellStyle name="Normal 33 96" xfId="633" xr:uid="{00000000-0005-0000-0000-000086020000}"/>
    <cellStyle name="Normal 33 96 2" xfId="1400" xr:uid="{52E75DC0-E83F-45DD-A01F-41C9E0CC3247}"/>
    <cellStyle name="Normal 33 97" xfId="1305" xr:uid="{109CEABE-FA5A-4CC8-B0DE-0A0603DA5BF6}"/>
    <cellStyle name="Normal 34" xfId="634" xr:uid="{00000000-0005-0000-0000-000087020000}"/>
    <cellStyle name="Normal 35" xfId="635" xr:uid="{00000000-0005-0000-0000-000088020000}"/>
    <cellStyle name="Normal 36" xfId="636" xr:uid="{00000000-0005-0000-0000-000089020000}"/>
    <cellStyle name="Normal 37" xfId="637" xr:uid="{00000000-0005-0000-0000-00008A020000}"/>
    <cellStyle name="Normal 37 2" xfId="1401" xr:uid="{3CB0002C-D675-4297-9684-C43A2D1381D5}"/>
    <cellStyle name="Normal 38" xfId="638" xr:uid="{00000000-0005-0000-0000-00008B020000}"/>
    <cellStyle name="Normal 39" xfId="803" xr:uid="{00000000-0005-0000-0000-00008C020000}"/>
    <cellStyle name="Normal 39 2" xfId="1558" xr:uid="{704859FE-1790-4376-8512-1BB064108D24}"/>
    <cellStyle name="Normal 4" xfId="639" xr:uid="{00000000-0005-0000-0000-00008D020000}"/>
    <cellStyle name="Normal 4 2" xfId="1402" xr:uid="{B601D61D-0F01-4ED1-BA93-28BA46969A71}"/>
    <cellStyle name="Normal 40" xfId="811" xr:uid="{00000000-0005-0000-0000-00008E020000}"/>
    <cellStyle name="Normal 40 2" xfId="1561" xr:uid="{E7777416-B7C4-4693-8C80-D2D7D6C8ABC3}"/>
    <cellStyle name="Normal 41" xfId="814" xr:uid="{00000000-0005-0000-0000-00008F020000}"/>
    <cellStyle name="Normal 41 2" xfId="1564" xr:uid="{02871DE4-0E48-4238-AF06-318460B370A1}"/>
    <cellStyle name="Normal 5" xfId="640" xr:uid="{00000000-0005-0000-0000-000090020000}"/>
    <cellStyle name="Normal 5 2" xfId="641" xr:uid="{00000000-0005-0000-0000-000091020000}"/>
    <cellStyle name="Normal 5 2 2" xfId="1404" xr:uid="{1BB82379-DA18-4864-AC17-7AC14D986E01}"/>
    <cellStyle name="Normal 5 3" xfId="1403" xr:uid="{4FBC5AA5-C48D-4730-AC6A-D3323B1E8A21}"/>
    <cellStyle name="Normal 5 9" xfId="642" xr:uid="{00000000-0005-0000-0000-000092020000}"/>
    <cellStyle name="Normal 6" xfId="643" xr:uid="{00000000-0005-0000-0000-000093020000}"/>
    <cellStyle name="Normal 6 2" xfId="1405" xr:uid="{8F553519-7A09-492E-A102-6E897E3022A9}"/>
    <cellStyle name="Normal 7" xfId="644" xr:uid="{00000000-0005-0000-0000-000094020000}"/>
    <cellStyle name="Normal 7 2" xfId="1406" xr:uid="{E8822B41-518C-41CF-A996-B348F393CFEF}"/>
    <cellStyle name="Normal 7 3" xfId="645" xr:uid="{00000000-0005-0000-0000-000095020000}"/>
    <cellStyle name="Normal 7 3 2" xfId="1407" xr:uid="{1A09BB1E-14FF-465E-A5E6-35EFD217697C}"/>
    <cellStyle name="Normal 8" xfId="646" xr:uid="{00000000-0005-0000-0000-000096020000}"/>
    <cellStyle name="Normal 8 2" xfId="1408" xr:uid="{90139A35-4DC7-4800-ABE6-BE2AA63B0C6B}"/>
    <cellStyle name="Normal 8 3" xfId="647" xr:uid="{00000000-0005-0000-0000-000097020000}"/>
    <cellStyle name="Normal 8 3 2" xfId="1409" xr:uid="{20FE2C73-4419-4909-9BAD-ADD32D21E8BA}"/>
    <cellStyle name="Normal 9" xfId="648" xr:uid="{00000000-0005-0000-0000-000098020000}"/>
    <cellStyle name="Normal 9 2" xfId="1410" xr:uid="{9EEF8209-E0CA-4AFB-B3F5-485036F67303}"/>
    <cellStyle name="Normal_FORMATO Análisis de precios unitarios" xfId="649" xr:uid="{00000000-0005-0000-0000-000099020000}"/>
    <cellStyle name="Normal_PRECIOS" xfId="650" xr:uid="{00000000-0005-0000-0000-00009A020000}"/>
    <cellStyle name="Note 2" xfId="651" xr:uid="{00000000-0005-0000-0000-00009B020000}"/>
    <cellStyle name="Note 2 2" xfId="1411" xr:uid="{19ACC352-1710-4B3E-BFFA-3553830CD4F9}"/>
    <cellStyle name="Note 3" xfId="652" xr:uid="{00000000-0005-0000-0000-00009C020000}"/>
    <cellStyle name="Note 3 2" xfId="1412" xr:uid="{A6D55E7F-41BD-4CA8-BD3F-38666197EB0A}"/>
    <cellStyle name="Output" xfId="653" xr:uid="{00000000-0005-0000-0000-00009D020000}"/>
    <cellStyle name="Porcentaje" xfId="654" builtinId="5"/>
    <cellStyle name="Porcentaje 2" xfId="655" xr:uid="{00000000-0005-0000-0000-00009F020000}"/>
    <cellStyle name="Porcentaje 2 2" xfId="1413" xr:uid="{C10E412B-7406-4046-A7D1-67E4F0D3A256}"/>
    <cellStyle name="Porcentaje 3" xfId="656" xr:uid="{00000000-0005-0000-0000-0000A0020000}"/>
    <cellStyle name="Porcentaje 3 2" xfId="1414" xr:uid="{2BA107C5-06C1-41E8-846A-6E35F99BCF75}"/>
    <cellStyle name="Porcentaje 3 3" xfId="657" xr:uid="{00000000-0005-0000-0000-0000A1020000}"/>
    <cellStyle name="Porcentaje 3 3 2" xfId="1415" xr:uid="{3A82973D-AAE8-455F-BD73-9188E2098283}"/>
    <cellStyle name="Porcentaje 4" xfId="658" xr:uid="{00000000-0005-0000-0000-0000A2020000}"/>
    <cellStyle name="Porcentaje 5" xfId="805" xr:uid="{00000000-0005-0000-0000-0000A3020000}"/>
    <cellStyle name="Porcentaje 5 2" xfId="1560" xr:uid="{82B391A1-958B-482F-9644-DFF374504E32}"/>
    <cellStyle name="Porcentaje 6" xfId="813" xr:uid="{00000000-0005-0000-0000-0000A4020000}"/>
    <cellStyle name="Porcentaje 6 2" xfId="1563" xr:uid="{FC4ABED5-6ADD-4A9F-B5DE-DA8D62904C71}"/>
    <cellStyle name="Porcentaje 7" xfId="816" xr:uid="{00000000-0005-0000-0000-0000A5020000}"/>
    <cellStyle name="Porcentaje 7 2" xfId="1566" xr:uid="{880962A4-7BC7-41E8-8B3D-F9F0BBD0ECAE}"/>
    <cellStyle name="Porcentual 10" xfId="659" xr:uid="{00000000-0005-0000-0000-0000A6020000}"/>
    <cellStyle name="Porcentual 10 2" xfId="1416" xr:uid="{E8D9F0B3-9F66-4C0B-B13D-E549C8B61D51}"/>
    <cellStyle name="Porcentual 100" xfId="660" xr:uid="{00000000-0005-0000-0000-0000A7020000}"/>
    <cellStyle name="Porcentual 100 2" xfId="1417" xr:uid="{A1011D5B-1AE1-45CA-9744-6557FAA55990}"/>
    <cellStyle name="Porcentual 101" xfId="661" xr:uid="{00000000-0005-0000-0000-0000A8020000}"/>
    <cellStyle name="Porcentual 101 2" xfId="1418" xr:uid="{025B8E72-A6ED-4DCD-A855-BE74CA8BC9FC}"/>
    <cellStyle name="Porcentual 102" xfId="662" xr:uid="{00000000-0005-0000-0000-0000A9020000}"/>
    <cellStyle name="Porcentual 102 2" xfId="1419" xr:uid="{03346B65-59DE-42F2-BD6B-A586C13087E5}"/>
    <cellStyle name="Porcentual 103" xfId="663" xr:uid="{00000000-0005-0000-0000-0000AA020000}"/>
    <cellStyle name="Porcentual 103 2" xfId="1420" xr:uid="{8058908B-5BB6-49EB-83D1-110FC304BC9F}"/>
    <cellStyle name="Porcentual 104" xfId="664" xr:uid="{00000000-0005-0000-0000-0000AB020000}"/>
    <cellStyle name="Porcentual 104 2" xfId="1421" xr:uid="{052E00D1-5756-42CA-8BFA-FD68D7B09BD6}"/>
    <cellStyle name="Porcentual 105" xfId="665" xr:uid="{00000000-0005-0000-0000-0000AC020000}"/>
    <cellStyle name="Porcentual 105 2" xfId="1422" xr:uid="{385306F1-E64B-440D-88F7-9623F1F7EC7B}"/>
    <cellStyle name="Porcentual 106" xfId="666" xr:uid="{00000000-0005-0000-0000-0000AD020000}"/>
    <cellStyle name="Porcentual 106 2" xfId="1423" xr:uid="{147BD3ED-777A-44D1-A0EE-7CE3D82B47B8}"/>
    <cellStyle name="Porcentual 107" xfId="667" xr:uid="{00000000-0005-0000-0000-0000AE020000}"/>
    <cellStyle name="Porcentual 107 2" xfId="1424" xr:uid="{4BE15AE8-5A03-44E0-963B-8AC643CBF3EE}"/>
    <cellStyle name="Porcentual 108" xfId="668" xr:uid="{00000000-0005-0000-0000-0000AF020000}"/>
    <cellStyle name="Porcentual 108 2" xfId="1425" xr:uid="{A29C1E5D-3466-4591-89E5-7EBF4BE07F05}"/>
    <cellStyle name="Porcentual 109" xfId="669" xr:uid="{00000000-0005-0000-0000-0000B0020000}"/>
    <cellStyle name="Porcentual 109 2" xfId="1426" xr:uid="{DB3117F3-44B6-4C8C-929C-4E7EA451B6DA}"/>
    <cellStyle name="Porcentual 11" xfId="670" xr:uid="{00000000-0005-0000-0000-0000B1020000}"/>
    <cellStyle name="Porcentual 11 2" xfId="1427" xr:uid="{D36A45A0-4B2F-47E0-A4FA-830678271BDE}"/>
    <cellStyle name="Porcentual 110" xfId="671" xr:uid="{00000000-0005-0000-0000-0000B2020000}"/>
    <cellStyle name="Porcentual 110 2" xfId="1428" xr:uid="{ED158D90-E48F-418B-AC76-890941CEECC7}"/>
    <cellStyle name="Porcentual 111" xfId="672" xr:uid="{00000000-0005-0000-0000-0000B3020000}"/>
    <cellStyle name="Porcentual 111 2" xfId="1429" xr:uid="{8775A2C7-7D07-4944-AEEE-3EC99D6DFE86}"/>
    <cellStyle name="Porcentual 112" xfId="673" xr:uid="{00000000-0005-0000-0000-0000B4020000}"/>
    <cellStyle name="Porcentual 112 2" xfId="1430" xr:uid="{6E30B686-FC7B-423C-A3EB-98B52992B599}"/>
    <cellStyle name="Porcentual 113" xfId="674" xr:uid="{00000000-0005-0000-0000-0000B5020000}"/>
    <cellStyle name="Porcentual 113 2" xfId="1431" xr:uid="{074B14D5-181E-4EB3-B990-81CC40A63120}"/>
    <cellStyle name="Porcentual 114" xfId="675" xr:uid="{00000000-0005-0000-0000-0000B6020000}"/>
    <cellStyle name="Porcentual 114 2" xfId="1432" xr:uid="{C53D2016-E7DF-4CED-A4C8-B7D3167E338B}"/>
    <cellStyle name="Porcentual 115" xfId="676" xr:uid="{00000000-0005-0000-0000-0000B7020000}"/>
    <cellStyle name="Porcentual 115 2" xfId="1433" xr:uid="{0942B4BF-117A-4C16-A52D-44ED9E228E26}"/>
    <cellStyle name="Porcentual 116" xfId="677" xr:uid="{00000000-0005-0000-0000-0000B8020000}"/>
    <cellStyle name="Porcentual 116 2" xfId="1434" xr:uid="{6BE99A3E-8391-4F9F-8018-EDF7160165E6}"/>
    <cellStyle name="Porcentual 117" xfId="678" xr:uid="{00000000-0005-0000-0000-0000B9020000}"/>
    <cellStyle name="Porcentual 117 2" xfId="1435" xr:uid="{81514E55-C997-4EBA-B28C-6D31233546EA}"/>
    <cellStyle name="Porcentual 118" xfId="679" xr:uid="{00000000-0005-0000-0000-0000BA020000}"/>
    <cellStyle name="Porcentual 118 2" xfId="1436" xr:uid="{9CC04151-BE79-40EB-9E89-793C74354EC0}"/>
    <cellStyle name="Porcentual 119" xfId="680" xr:uid="{00000000-0005-0000-0000-0000BB020000}"/>
    <cellStyle name="Porcentual 119 2" xfId="1437" xr:uid="{334A3311-D66D-4133-A03A-5173981C4F63}"/>
    <cellStyle name="Porcentual 12" xfId="681" xr:uid="{00000000-0005-0000-0000-0000BC020000}"/>
    <cellStyle name="Porcentual 12 2" xfId="1438" xr:uid="{6291CA77-ABB8-4C54-9DB6-19D72C0F0644}"/>
    <cellStyle name="Porcentual 120" xfId="682" xr:uid="{00000000-0005-0000-0000-0000BD020000}"/>
    <cellStyle name="Porcentual 120 2" xfId="1439" xr:uid="{3D83D180-DF67-433C-B76D-8A812C56EF84}"/>
    <cellStyle name="Porcentual 121" xfId="683" xr:uid="{00000000-0005-0000-0000-0000BE020000}"/>
    <cellStyle name="Porcentual 121 2" xfId="1440" xr:uid="{F5F05DAE-F2EB-46C2-BD5E-44C2B56CA3E9}"/>
    <cellStyle name="Porcentual 122" xfId="684" xr:uid="{00000000-0005-0000-0000-0000BF020000}"/>
    <cellStyle name="Porcentual 122 2" xfId="1441" xr:uid="{F75B2E7B-73E7-499E-A338-B17C6D31BA95}"/>
    <cellStyle name="Porcentual 123" xfId="685" xr:uid="{00000000-0005-0000-0000-0000C0020000}"/>
    <cellStyle name="Porcentual 123 2" xfId="1442" xr:uid="{EC60D789-222B-43CF-991E-6BE72BA5FCB4}"/>
    <cellStyle name="Porcentual 124" xfId="686" xr:uid="{00000000-0005-0000-0000-0000C1020000}"/>
    <cellStyle name="Porcentual 124 2" xfId="1443" xr:uid="{54EF2634-CEE2-460C-81F6-9F39C4FF9D47}"/>
    <cellStyle name="Porcentual 125" xfId="687" xr:uid="{00000000-0005-0000-0000-0000C2020000}"/>
    <cellStyle name="Porcentual 125 2" xfId="1444" xr:uid="{8D5A9C29-5461-4216-A553-916A15EE5D58}"/>
    <cellStyle name="Porcentual 126" xfId="688" xr:uid="{00000000-0005-0000-0000-0000C3020000}"/>
    <cellStyle name="Porcentual 126 2" xfId="1445" xr:uid="{17B78A6D-F48D-4D6B-A06D-B253FB0D0D0A}"/>
    <cellStyle name="Porcentual 127" xfId="689" xr:uid="{00000000-0005-0000-0000-0000C4020000}"/>
    <cellStyle name="Porcentual 127 2" xfId="1446" xr:uid="{54FEEECD-5722-4F88-B032-A9A097AB13B8}"/>
    <cellStyle name="Porcentual 128" xfId="690" xr:uid="{00000000-0005-0000-0000-0000C5020000}"/>
    <cellStyle name="Porcentual 128 2" xfId="1447" xr:uid="{8D91B4E5-E844-4360-B8A5-C8CB5838150A}"/>
    <cellStyle name="Porcentual 129" xfId="691" xr:uid="{00000000-0005-0000-0000-0000C6020000}"/>
    <cellStyle name="Porcentual 129 2" xfId="1448" xr:uid="{EFE168BD-5BDE-4932-BF2F-E67742DED825}"/>
    <cellStyle name="Porcentual 13" xfId="692" xr:uid="{00000000-0005-0000-0000-0000C7020000}"/>
    <cellStyle name="Porcentual 13 2" xfId="1449" xr:uid="{65D315D5-36E2-45F2-A358-FC2DA058C5B4}"/>
    <cellStyle name="Porcentual 130" xfId="693" xr:uid="{00000000-0005-0000-0000-0000C8020000}"/>
    <cellStyle name="Porcentual 130 2" xfId="1450" xr:uid="{7A950065-9962-4100-91B7-733FEA912A5A}"/>
    <cellStyle name="Porcentual 131" xfId="694" xr:uid="{00000000-0005-0000-0000-0000C9020000}"/>
    <cellStyle name="Porcentual 131 2" xfId="1451" xr:uid="{B444E502-A3EE-45CD-B481-9DCD0A0D4FEC}"/>
    <cellStyle name="Porcentual 132" xfId="695" xr:uid="{00000000-0005-0000-0000-0000CA020000}"/>
    <cellStyle name="Porcentual 132 2" xfId="1452" xr:uid="{E7AFCE5C-3FF8-454A-A5B1-CB87B03CDF62}"/>
    <cellStyle name="Porcentual 133" xfId="696" xr:uid="{00000000-0005-0000-0000-0000CB020000}"/>
    <cellStyle name="Porcentual 133 2" xfId="1453" xr:uid="{567015BB-595B-4A43-8E50-7F0547030DC1}"/>
    <cellStyle name="Porcentual 134" xfId="697" xr:uid="{00000000-0005-0000-0000-0000CC020000}"/>
    <cellStyle name="Porcentual 134 2" xfId="1454" xr:uid="{332FB843-776F-41C8-8C3F-82AA9C19D712}"/>
    <cellStyle name="Porcentual 135" xfId="698" xr:uid="{00000000-0005-0000-0000-0000CD020000}"/>
    <cellStyle name="Porcentual 135 2" xfId="1455" xr:uid="{5F4BF221-4A56-43CA-B960-AF6799C9E06E}"/>
    <cellStyle name="Porcentual 136" xfId="699" xr:uid="{00000000-0005-0000-0000-0000CE020000}"/>
    <cellStyle name="Porcentual 136 2" xfId="1456" xr:uid="{6B7DE13B-8883-4777-AD63-0E87CD07037B}"/>
    <cellStyle name="Porcentual 137" xfId="700" xr:uid="{00000000-0005-0000-0000-0000CF020000}"/>
    <cellStyle name="Porcentual 137 2" xfId="1457" xr:uid="{7B65224B-D5E4-473A-8292-F863895E5446}"/>
    <cellStyle name="Porcentual 138" xfId="701" xr:uid="{00000000-0005-0000-0000-0000D0020000}"/>
    <cellStyle name="Porcentual 138 2" xfId="1458" xr:uid="{BC5B8129-1963-4EC1-802D-12D192C5C14E}"/>
    <cellStyle name="Porcentual 139" xfId="702" xr:uid="{00000000-0005-0000-0000-0000D1020000}"/>
    <cellStyle name="Porcentual 139 2" xfId="1459" xr:uid="{DAD3D2D4-9729-48ED-966E-6699EB6817EB}"/>
    <cellStyle name="Porcentual 14" xfId="703" xr:uid="{00000000-0005-0000-0000-0000D2020000}"/>
    <cellStyle name="Porcentual 14 2" xfId="1460" xr:uid="{33AD57A0-9757-408B-938E-5D298688C45C}"/>
    <cellStyle name="Porcentual 140" xfId="704" xr:uid="{00000000-0005-0000-0000-0000D3020000}"/>
    <cellStyle name="Porcentual 140 2" xfId="1461" xr:uid="{0C87D238-5770-4B4F-B97E-4CD2FFCFDFAF}"/>
    <cellStyle name="Porcentual 141" xfId="705" xr:uid="{00000000-0005-0000-0000-0000D4020000}"/>
    <cellStyle name="Porcentual 141 2" xfId="1462" xr:uid="{392A3029-56AA-4254-8304-BB1041E524BB}"/>
    <cellStyle name="Porcentual 142" xfId="706" xr:uid="{00000000-0005-0000-0000-0000D5020000}"/>
    <cellStyle name="Porcentual 142 2" xfId="1463" xr:uid="{CAA200FA-176E-4347-9DC3-F200E3E92DA8}"/>
    <cellStyle name="Porcentual 143" xfId="707" xr:uid="{00000000-0005-0000-0000-0000D6020000}"/>
    <cellStyle name="Porcentual 143 2" xfId="1464" xr:uid="{1CD00BAA-27F6-4624-A437-88762A25C0E3}"/>
    <cellStyle name="Porcentual 15" xfId="708" xr:uid="{00000000-0005-0000-0000-0000D7020000}"/>
    <cellStyle name="Porcentual 15 2" xfId="1465" xr:uid="{8D74B7AE-AE48-4C22-8399-FD6A03D97929}"/>
    <cellStyle name="Porcentual 16" xfId="709" xr:uid="{00000000-0005-0000-0000-0000D8020000}"/>
    <cellStyle name="Porcentual 16 2" xfId="1466" xr:uid="{39FF5107-3643-4519-B6FC-95C28E41E0A1}"/>
    <cellStyle name="Porcentual 17" xfId="710" xr:uid="{00000000-0005-0000-0000-0000D9020000}"/>
    <cellStyle name="Porcentual 17 2" xfId="1467" xr:uid="{3EE79B2A-D20B-40C3-A424-ED73A8B098A3}"/>
    <cellStyle name="Porcentual 18" xfId="711" xr:uid="{00000000-0005-0000-0000-0000DA020000}"/>
    <cellStyle name="Porcentual 18 2" xfId="1468" xr:uid="{2FE56E18-CF1C-428D-9E03-5FB53FAEF1EF}"/>
    <cellStyle name="Porcentual 19" xfId="712" xr:uid="{00000000-0005-0000-0000-0000DB020000}"/>
    <cellStyle name="Porcentual 19 2" xfId="1469" xr:uid="{D8317FDD-6E59-4CF7-B42C-B796AE2EB3A7}"/>
    <cellStyle name="Porcentual 2" xfId="713" xr:uid="{00000000-0005-0000-0000-0000DC020000}"/>
    <cellStyle name="Porcentual 2 2" xfId="1470" xr:uid="{5E65C7E5-916E-43DA-9EE2-CD32428DC021}"/>
    <cellStyle name="Porcentual 20" xfId="714" xr:uid="{00000000-0005-0000-0000-0000DD020000}"/>
    <cellStyle name="Porcentual 20 2" xfId="1471" xr:uid="{70830B8A-145D-4632-AEC3-04FBD40952EE}"/>
    <cellStyle name="Porcentual 21" xfId="715" xr:uid="{00000000-0005-0000-0000-0000DE020000}"/>
    <cellStyle name="Porcentual 21 2" xfId="1472" xr:uid="{D377D16F-817E-48ED-835A-60D526B73CC2}"/>
    <cellStyle name="Porcentual 22" xfId="716" xr:uid="{00000000-0005-0000-0000-0000DF020000}"/>
    <cellStyle name="Porcentual 22 2" xfId="1473" xr:uid="{A3301812-B65B-4996-A907-70A8043087CB}"/>
    <cellStyle name="Porcentual 23" xfId="717" xr:uid="{00000000-0005-0000-0000-0000E0020000}"/>
    <cellStyle name="Porcentual 23 2" xfId="1474" xr:uid="{7EF44CB4-1B0B-4B31-BE28-EBD16433AFAB}"/>
    <cellStyle name="Porcentual 24" xfId="718" xr:uid="{00000000-0005-0000-0000-0000E1020000}"/>
    <cellStyle name="Porcentual 24 2" xfId="1475" xr:uid="{406429CE-8218-4F5A-BA6B-30E502949058}"/>
    <cellStyle name="Porcentual 25" xfId="719" xr:uid="{00000000-0005-0000-0000-0000E2020000}"/>
    <cellStyle name="Porcentual 25 2" xfId="1476" xr:uid="{BECBE18C-F082-4EF4-B246-756ADC8DAF11}"/>
    <cellStyle name="Porcentual 26" xfId="720" xr:uid="{00000000-0005-0000-0000-0000E3020000}"/>
    <cellStyle name="Porcentual 26 2" xfId="1477" xr:uid="{F42EC2C0-B785-4769-BB3F-49BB173F1779}"/>
    <cellStyle name="Porcentual 27" xfId="721" xr:uid="{00000000-0005-0000-0000-0000E4020000}"/>
    <cellStyle name="Porcentual 27 2" xfId="1478" xr:uid="{55A25085-2933-4590-B7CF-06B7E1A5E46B}"/>
    <cellStyle name="Porcentual 28" xfId="722" xr:uid="{00000000-0005-0000-0000-0000E5020000}"/>
    <cellStyle name="Porcentual 28 2" xfId="1479" xr:uid="{FBCEA6B7-21F6-4B53-ACB0-467F7A7AEFBA}"/>
    <cellStyle name="Porcentual 29" xfId="723" xr:uid="{00000000-0005-0000-0000-0000E6020000}"/>
    <cellStyle name="Porcentual 29 2" xfId="1480" xr:uid="{DF4720F6-490D-4E4B-BCE6-44602D888AB9}"/>
    <cellStyle name="Porcentual 3" xfId="724" xr:uid="{00000000-0005-0000-0000-0000E7020000}"/>
    <cellStyle name="Porcentual 3 2" xfId="1481" xr:uid="{24267E3F-B89E-4F20-B8D1-D6E9E70421D2}"/>
    <cellStyle name="Porcentual 30" xfId="725" xr:uid="{00000000-0005-0000-0000-0000E8020000}"/>
    <cellStyle name="Porcentual 30 2" xfId="1482" xr:uid="{0DFBB610-6327-4BE5-B049-097FDED3941E}"/>
    <cellStyle name="Porcentual 31" xfId="726" xr:uid="{00000000-0005-0000-0000-0000E9020000}"/>
    <cellStyle name="Porcentual 31 2" xfId="1483" xr:uid="{3D226672-8216-4590-A0E1-52B6B8D84661}"/>
    <cellStyle name="Porcentual 32" xfId="727" xr:uid="{00000000-0005-0000-0000-0000EA020000}"/>
    <cellStyle name="Porcentual 32 2" xfId="1484" xr:uid="{AD5C7124-FCB5-4126-874A-02D2703BFB70}"/>
    <cellStyle name="Porcentual 33" xfId="728" xr:uid="{00000000-0005-0000-0000-0000EB020000}"/>
    <cellStyle name="Porcentual 33 2" xfId="1485" xr:uid="{320C7796-F866-487C-B93A-EBECC54B3B42}"/>
    <cellStyle name="Porcentual 34" xfId="729" xr:uid="{00000000-0005-0000-0000-0000EC020000}"/>
    <cellStyle name="Porcentual 34 2" xfId="1486" xr:uid="{EDA76CAD-3C28-4A29-B3C1-24049708579D}"/>
    <cellStyle name="Porcentual 35" xfId="730" xr:uid="{00000000-0005-0000-0000-0000ED020000}"/>
    <cellStyle name="Porcentual 35 2" xfId="1487" xr:uid="{283459DE-4B83-41D1-ABD3-701F2BB7E05A}"/>
    <cellStyle name="Porcentual 36" xfId="731" xr:uid="{00000000-0005-0000-0000-0000EE020000}"/>
    <cellStyle name="Porcentual 36 2" xfId="1488" xr:uid="{3A0D19D9-791B-406E-AAE8-883131A39CC6}"/>
    <cellStyle name="Porcentual 37" xfId="732" xr:uid="{00000000-0005-0000-0000-0000EF020000}"/>
    <cellStyle name="Porcentual 37 2" xfId="1489" xr:uid="{317E329F-7C54-4551-BF87-9523171DD7DC}"/>
    <cellStyle name="Porcentual 38" xfId="733" xr:uid="{00000000-0005-0000-0000-0000F0020000}"/>
    <cellStyle name="Porcentual 38 2" xfId="1490" xr:uid="{41A79F3E-0415-4815-9A0F-19DBFD2664A4}"/>
    <cellStyle name="Porcentual 39" xfId="734" xr:uid="{00000000-0005-0000-0000-0000F1020000}"/>
    <cellStyle name="Porcentual 39 2" xfId="1491" xr:uid="{284B772D-5F3C-485D-BB7B-F8D3E08404D8}"/>
    <cellStyle name="Porcentual 4" xfId="735" xr:uid="{00000000-0005-0000-0000-0000F2020000}"/>
    <cellStyle name="Porcentual 4 2" xfId="1492" xr:uid="{62A071C2-DA07-4AE4-9476-2AF7ABF79897}"/>
    <cellStyle name="Porcentual 40" xfId="736" xr:uid="{00000000-0005-0000-0000-0000F3020000}"/>
    <cellStyle name="Porcentual 40 2" xfId="1493" xr:uid="{A76458DD-14FA-4D90-9224-D67497A7417D}"/>
    <cellStyle name="Porcentual 41" xfId="737" xr:uid="{00000000-0005-0000-0000-0000F4020000}"/>
    <cellStyle name="Porcentual 41 2" xfId="1494" xr:uid="{D0A4B9C4-923F-44B1-BD3C-462476F62324}"/>
    <cellStyle name="Porcentual 42" xfId="738" xr:uid="{00000000-0005-0000-0000-0000F5020000}"/>
    <cellStyle name="Porcentual 42 2" xfId="1495" xr:uid="{8FD2DE5E-4BA6-47DA-A320-52C2261A3B80}"/>
    <cellStyle name="Porcentual 43" xfId="739" xr:uid="{00000000-0005-0000-0000-0000F6020000}"/>
    <cellStyle name="Porcentual 43 2" xfId="1496" xr:uid="{F1F8430A-B1DE-4EB1-A054-ADB332644ACA}"/>
    <cellStyle name="Porcentual 44" xfId="740" xr:uid="{00000000-0005-0000-0000-0000F7020000}"/>
    <cellStyle name="Porcentual 44 2" xfId="1497" xr:uid="{D0BF5886-0AB2-4964-8494-7C80CFE6FA8F}"/>
    <cellStyle name="Porcentual 45" xfId="741" xr:uid="{00000000-0005-0000-0000-0000F8020000}"/>
    <cellStyle name="Porcentual 45 2" xfId="1498" xr:uid="{DD4DFA11-A8D4-4FE1-9DF1-D4642D2E048E}"/>
    <cellStyle name="Porcentual 46" xfId="742" xr:uid="{00000000-0005-0000-0000-0000F9020000}"/>
    <cellStyle name="Porcentual 46 2" xfId="1499" xr:uid="{8D0E371E-FF44-4BFA-BBBC-B32A92BA1768}"/>
    <cellStyle name="Porcentual 47" xfId="743" xr:uid="{00000000-0005-0000-0000-0000FA020000}"/>
    <cellStyle name="Porcentual 47 2" xfId="1500" xr:uid="{D14918C0-7496-4975-A97E-655E86B42D72}"/>
    <cellStyle name="Porcentual 48" xfId="744" xr:uid="{00000000-0005-0000-0000-0000FB020000}"/>
    <cellStyle name="Porcentual 48 2" xfId="1501" xr:uid="{D8B4CE2E-87AF-4F31-8944-8C768F3F2A69}"/>
    <cellStyle name="Porcentual 49" xfId="745" xr:uid="{00000000-0005-0000-0000-0000FC020000}"/>
    <cellStyle name="Porcentual 49 2" xfId="1502" xr:uid="{6A4E069A-4A37-46B2-BF25-2937D86944EB}"/>
    <cellStyle name="Porcentual 5" xfId="746" xr:uid="{00000000-0005-0000-0000-0000FD020000}"/>
    <cellStyle name="Porcentual 5 2" xfId="1503" xr:uid="{F851FBFB-DDA5-45BB-AC30-FA468597544F}"/>
    <cellStyle name="Porcentual 50" xfId="747" xr:uid="{00000000-0005-0000-0000-0000FE020000}"/>
    <cellStyle name="Porcentual 50 2" xfId="1504" xr:uid="{952F306A-945C-4649-9143-985A24DA2D03}"/>
    <cellStyle name="Porcentual 51" xfId="748" xr:uid="{00000000-0005-0000-0000-0000FF020000}"/>
    <cellStyle name="Porcentual 51 2" xfId="1505" xr:uid="{2D89C36B-755B-41F0-90A4-C50128AF102F}"/>
    <cellStyle name="Porcentual 52" xfId="749" xr:uid="{00000000-0005-0000-0000-000000030000}"/>
    <cellStyle name="Porcentual 52 2" xfId="1506" xr:uid="{76160F25-3993-45A0-B641-FB5000D15C4F}"/>
    <cellStyle name="Porcentual 53" xfId="750" xr:uid="{00000000-0005-0000-0000-000001030000}"/>
    <cellStyle name="Porcentual 53 2" xfId="1507" xr:uid="{D588CB4A-3874-4539-B36A-1A82DB2D9EAA}"/>
    <cellStyle name="Porcentual 54" xfId="751" xr:uid="{00000000-0005-0000-0000-000002030000}"/>
    <cellStyle name="Porcentual 54 2" xfId="1508" xr:uid="{EEBBA50E-8947-4750-89EE-525729E697EA}"/>
    <cellStyle name="Porcentual 55" xfId="752" xr:uid="{00000000-0005-0000-0000-000003030000}"/>
    <cellStyle name="Porcentual 55 2" xfId="1509" xr:uid="{7E9A311C-37E2-43A1-953C-B88CE2E57CA7}"/>
    <cellStyle name="Porcentual 56" xfId="753" xr:uid="{00000000-0005-0000-0000-000004030000}"/>
    <cellStyle name="Porcentual 56 2" xfId="1510" xr:uid="{72587E13-4F97-4A66-B4C8-B661B2E432E2}"/>
    <cellStyle name="Porcentual 57" xfId="754" xr:uid="{00000000-0005-0000-0000-000005030000}"/>
    <cellStyle name="Porcentual 57 2" xfId="1511" xr:uid="{B68D612B-7777-4879-A4FA-8501CE20806C}"/>
    <cellStyle name="Porcentual 58" xfId="755" xr:uid="{00000000-0005-0000-0000-000006030000}"/>
    <cellStyle name="Porcentual 58 2" xfId="1512" xr:uid="{D20050AA-C9C2-415B-9FC6-3632A6EDB375}"/>
    <cellStyle name="Porcentual 59" xfId="756" xr:uid="{00000000-0005-0000-0000-000007030000}"/>
    <cellStyle name="Porcentual 59 2" xfId="1513" xr:uid="{21F4E9BC-E8BD-47FE-A677-34B5C3A7B68A}"/>
    <cellStyle name="Porcentual 6" xfId="757" xr:uid="{00000000-0005-0000-0000-000008030000}"/>
    <cellStyle name="Porcentual 6 2" xfId="1514" xr:uid="{5F44E602-9CFC-4C5C-AE85-09C660C55DCD}"/>
    <cellStyle name="Porcentual 60" xfId="758" xr:uid="{00000000-0005-0000-0000-000009030000}"/>
    <cellStyle name="Porcentual 60 2" xfId="1515" xr:uid="{915EC60A-13DD-46FF-B6D9-6A9CC81E2257}"/>
    <cellStyle name="Porcentual 61" xfId="759" xr:uid="{00000000-0005-0000-0000-00000A030000}"/>
    <cellStyle name="Porcentual 61 2" xfId="1516" xr:uid="{1CEC603B-3359-4131-9AF1-6FC0FC86856E}"/>
    <cellStyle name="Porcentual 62" xfId="760" xr:uid="{00000000-0005-0000-0000-00000B030000}"/>
    <cellStyle name="Porcentual 62 2" xfId="1517" xr:uid="{E00C35D5-A00E-49E7-AD65-FB227A1CFB74}"/>
    <cellStyle name="Porcentual 63" xfId="761" xr:uid="{00000000-0005-0000-0000-00000C030000}"/>
    <cellStyle name="Porcentual 63 2" xfId="1518" xr:uid="{60ABEEAE-80C8-4C16-B77E-DD66CED57BC1}"/>
    <cellStyle name="Porcentual 64" xfId="762" xr:uid="{00000000-0005-0000-0000-00000D030000}"/>
    <cellStyle name="Porcentual 64 2" xfId="1519" xr:uid="{08E987BD-9FEE-44CA-BBC9-211C5623D974}"/>
    <cellStyle name="Porcentual 65" xfId="763" xr:uid="{00000000-0005-0000-0000-00000E030000}"/>
    <cellStyle name="Porcentual 65 2" xfId="1520" xr:uid="{0301E12C-940E-40DE-B972-25500258DAAE}"/>
    <cellStyle name="Porcentual 66" xfId="764" xr:uid="{00000000-0005-0000-0000-00000F030000}"/>
    <cellStyle name="Porcentual 66 2" xfId="1521" xr:uid="{27E0B1D4-29B5-43CF-96FC-53EE3ED23A8C}"/>
    <cellStyle name="Porcentual 67" xfId="765" xr:uid="{00000000-0005-0000-0000-000010030000}"/>
    <cellStyle name="Porcentual 67 2" xfId="1522" xr:uid="{A4511329-D576-433B-87A8-62D67B818269}"/>
    <cellStyle name="Porcentual 68" xfId="766" xr:uid="{00000000-0005-0000-0000-000011030000}"/>
    <cellStyle name="Porcentual 68 2" xfId="1523" xr:uid="{7260E7E0-BB0F-411E-A24C-C641D64B6AED}"/>
    <cellStyle name="Porcentual 69" xfId="767" xr:uid="{00000000-0005-0000-0000-000012030000}"/>
    <cellStyle name="Porcentual 69 2" xfId="1524" xr:uid="{E030C236-07D5-43C3-9E64-BD2453691031}"/>
    <cellStyle name="Porcentual 7" xfId="768" xr:uid="{00000000-0005-0000-0000-000013030000}"/>
    <cellStyle name="Porcentual 7 2" xfId="1525" xr:uid="{608577C0-6387-4E33-8A9C-C67E1B1ADFAB}"/>
    <cellStyle name="Porcentual 70" xfId="769" xr:uid="{00000000-0005-0000-0000-000014030000}"/>
    <cellStyle name="Porcentual 70 2" xfId="1526" xr:uid="{E0EF5ED7-1F45-4232-A01B-BC1B75D39BB4}"/>
    <cellStyle name="Porcentual 71" xfId="770" xr:uid="{00000000-0005-0000-0000-000015030000}"/>
    <cellStyle name="Porcentual 71 2" xfId="1527" xr:uid="{0BE181E1-EFC0-43C6-A015-822961CA7111}"/>
    <cellStyle name="Porcentual 72" xfId="771" xr:uid="{00000000-0005-0000-0000-000016030000}"/>
    <cellStyle name="Porcentual 72 2" xfId="1528" xr:uid="{6AAFDE00-6D39-44D6-9BD7-4D983FFBB77D}"/>
    <cellStyle name="Porcentual 73" xfId="772" xr:uid="{00000000-0005-0000-0000-000017030000}"/>
    <cellStyle name="Porcentual 73 2" xfId="1529" xr:uid="{C5E462B8-BF44-4031-8844-8DBF8BD92BCA}"/>
    <cellStyle name="Porcentual 74" xfId="773" xr:uid="{00000000-0005-0000-0000-000018030000}"/>
    <cellStyle name="Porcentual 74 2" xfId="1530" xr:uid="{DBF9E64D-8D08-4E39-B880-05C988DBDE34}"/>
    <cellStyle name="Porcentual 75" xfId="774" xr:uid="{00000000-0005-0000-0000-000019030000}"/>
    <cellStyle name="Porcentual 75 2" xfId="1531" xr:uid="{79D98950-ABF5-415D-902A-B04E93C00D6D}"/>
    <cellStyle name="Porcentual 76" xfId="775" xr:uid="{00000000-0005-0000-0000-00001A030000}"/>
    <cellStyle name="Porcentual 76 2" xfId="1532" xr:uid="{70D4357C-20D2-4A6F-956A-241DBF3902E3}"/>
    <cellStyle name="Porcentual 77" xfId="776" xr:uid="{00000000-0005-0000-0000-00001B030000}"/>
    <cellStyle name="Porcentual 77 2" xfId="1533" xr:uid="{F45B11A9-F120-4C62-8837-6B0609CD9FAE}"/>
    <cellStyle name="Porcentual 78" xfId="777" xr:uid="{00000000-0005-0000-0000-00001C030000}"/>
    <cellStyle name="Porcentual 78 2" xfId="1534" xr:uid="{612100A4-5176-4A9A-B8AE-6007FFECD1AC}"/>
    <cellStyle name="Porcentual 79" xfId="778" xr:uid="{00000000-0005-0000-0000-00001D030000}"/>
    <cellStyle name="Porcentual 79 2" xfId="1535" xr:uid="{DFDAFD88-DEEB-4AC3-964D-4429BE8B8A28}"/>
    <cellStyle name="Porcentual 8" xfId="779" xr:uid="{00000000-0005-0000-0000-00001E030000}"/>
    <cellStyle name="Porcentual 8 2" xfId="1536" xr:uid="{DD217CF8-7F75-4A2C-B1CD-0F0F8AE59D1C}"/>
    <cellStyle name="Porcentual 80" xfId="780" xr:uid="{00000000-0005-0000-0000-00001F030000}"/>
    <cellStyle name="Porcentual 80 2" xfId="1537" xr:uid="{96B6BED7-D347-48BC-88F9-CAA14DAD0FA6}"/>
    <cellStyle name="Porcentual 81" xfId="781" xr:uid="{00000000-0005-0000-0000-000020030000}"/>
    <cellStyle name="Porcentual 81 2" xfId="1538" xr:uid="{9E548010-B9BA-4F2A-BAF3-8F2ADABB68CB}"/>
    <cellStyle name="Porcentual 82" xfId="782" xr:uid="{00000000-0005-0000-0000-000021030000}"/>
    <cellStyle name="Porcentual 82 2" xfId="1539" xr:uid="{1EA717FE-BA86-4D69-AB13-5099ACD3BA7F}"/>
    <cellStyle name="Porcentual 83" xfId="783" xr:uid="{00000000-0005-0000-0000-000022030000}"/>
    <cellStyle name="Porcentual 83 2" xfId="1540" xr:uid="{301FBE43-564D-4633-846A-542D038C6BE2}"/>
    <cellStyle name="Porcentual 84" xfId="784" xr:uid="{00000000-0005-0000-0000-000023030000}"/>
    <cellStyle name="Porcentual 84 2" xfId="1541" xr:uid="{91EE58D7-8923-46A3-9B9B-9DD0F7EEF5E6}"/>
    <cellStyle name="Porcentual 85" xfId="785" xr:uid="{00000000-0005-0000-0000-000024030000}"/>
    <cellStyle name="Porcentual 85 2" xfId="1542" xr:uid="{CFAA7A8F-266C-4E1C-8039-C757B8E869AB}"/>
    <cellStyle name="Porcentual 86" xfId="786" xr:uid="{00000000-0005-0000-0000-000025030000}"/>
    <cellStyle name="Porcentual 86 2" xfId="1543" xr:uid="{BB67143E-89BF-4218-9858-63235795C904}"/>
    <cellStyle name="Porcentual 87" xfId="787" xr:uid="{00000000-0005-0000-0000-000026030000}"/>
    <cellStyle name="Porcentual 87 2" xfId="1544" xr:uid="{1ACFCF6F-305B-4F0F-843B-CCF426CEA531}"/>
    <cellStyle name="Porcentual 88" xfId="788" xr:uid="{00000000-0005-0000-0000-000027030000}"/>
    <cellStyle name="Porcentual 88 2" xfId="1545" xr:uid="{12244F48-E922-4106-91E0-707571E33C2A}"/>
    <cellStyle name="Porcentual 89" xfId="789" xr:uid="{00000000-0005-0000-0000-000028030000}"/>
    <cellStyle name="Porcentual 89 2" xfId="1546" xr:uid="{077BFEBB-B50B-4DF6-98AE-100C6291650E}"/>
    <cellStyle name="Porcentual 9" xfId="790" xr:uid="{00000000-0005-0000-0000-000029030000}"/>
    <cellStyle name="Porcentual 9 2" xfId="1547" xr:uid="{9157E6F4-4CB5-4FE4-813C-49F70B090F9C}"/>
    <cellStyle name="Porcentual 90" xfId="791" xr:uid="{00000000-0005-0000-0000-00002A030000}"/>
    <cellStyle name="Porcentual 90 2" xfId="1548" xr:uid="{3D131875-1896-4761-A2A0-0A3887994636}"/>
    <cellStyle name="Porcentual 91" xfId="792" xr:uid="{00000000-0005-0000-0000-00002B030000}"/>
    <cellStyle name="Porcentual 91 2" xfId="1549" xr:uid="{9175D515-B310-4C43-A8B2-C6733D1DB029}"/>
    <cellStyle name="Porcentual 92" xfId="793" xr:uid="{00000000-0005-0000-0000-00002C030000}"/>
    <cellStyle name="Porcentual 92 2" xfId="1550" xr:uid="{CCC44A1F-EB5C-4752-932F-3843388E8D13}"/>
    <cellStyle name="Porcentual 93" xfId="794" xr:uid="{00000000-0005-0000-0000-00002D030000}"/>
    <cellStyle name="Porcentual 93 2" xfId="1551" xr:uid="{2F95BEAD-4EB1-4355-AB28-C8DD884144E2}"/>
    <cellStyle name="Porcentual 94" xfId="795" xr:uid="{00000000-0005-0000-0000-00002E030000}"/>
    <cellStyle name="Porcentual 94 2" xfId="1552" xr:uid="{E15F41BB-DBE8-44CC-83A6-867901FA4851}"/>
    <cellStyle name="Porcentual 95" xfId="796" xr:uid="{00000000-0005-0000-0000-00002F030000}"/>
    <cellStyle name="Porcentual 95 2" xfId="1553" xr:uid="{154E6F1E-0EC5-438F-A85E-65445D876D70}"/>
    <cellStyle name="Porcentual 96" xfId="797" xr:uid="{00000000-0005-0000-0000-000030030000}"/>
    <cellStyle name="Porcentual 96 2" xfId="1554" xr:uid="{D8895202-12D5-41A2-9C2C-F4F2893D49D6}"/>
    <cellStyle name="Porcentual 97" xfId="798" xr:uid="{00000000-0005-0000-0000-000031030000}"/>
    <cellStyle name="Porcentual 97 2" xfId="1555" xr:uid="{35743CBB-AA7E-4400-B9D6-8D185BD3182D}"/>
    <cellStyle name="Porcentual 98" xfId="799" xr:uid="{00000000-0005-0000-0000-000032030000}"/>
    <cellStyle name="Porcentual 98 2" xfId="1556" xr:uid="{6BF2C1F1-5387-40DA-A482-E77A31C92546}"/>
    <cellStyle name="Porcentual 99" xfId="800" xr:uid="{00000000-0005-0000-0000-000033030000}"/>
    <cellStyle name="Porcentual 99 2" xfId="1557" xr:uid="{D627184D-2886-4D6E-A8EB-01C4EA95F44B}"/>
    <cellStyle name="Title" xfId="801" xr:uid="{00000000-0005-0000-0000-000034030000}"/>
  </cellStyles>
  <dxfs count="16">
    <dxf>
      <font>
        <color rgb="FF006100"/>
      </font>
      <fill>
        <patternFill>
          <bgColor rgb="FFC6EFCE"/>
        </patternFill>
      </fill>
    </dxf>
    <dxf>
      <fill>
        <patternFill>
          <bgColor theme="6" tint="0.59996337778862885"/>
        </patternFill>
      </fill>
    </dxf>
    <dxf>
      <fill>
        <patternFill>
          <bgColor theme="6" tint="0.79998168889431442"/>
        </patternFill>
      </fill>
    </dxf>
    <dxf>
      <font>
        <condense val="0"/>
        <extend val="0"/>
        <color indexed="8"/>
      </font>
      <fill>
        <patternFill patternType="solid">
          <bgColor indexed="26"/>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worksheet" Target="worksheets/sheet117.xml"/><Relationship Id="rId21" Type="http://schemas.openxmlformats.org/officeDocument/2006/relationships/worksheet" Target="worksheets/sheet21.xml"/><Relationship Id="rId42" Type="http://schemas.openxmlformats.org/officeDocument/2006/relationships/worksheet" Target="worksheets/sheet42.xml"/><Relationship Id="rId63" Type="http://schemas.openxmlformats.org/officeDocument/2006/relationships/worksheet" Target="worksheets/sheet63.xml"/><Relationship Id="rId84" Type="http://schemas.openxmlformats.org/officeDocument/2006/relationships/worksheet" Target="worksheets/sheet84.xml"/><Relationship Id="rId138" Type="http://schemas.openxmlformats.org/officeDocument/2006/relationships/externalLink" Target="externalLinks/externalLink6.xml"/><Relationship Id="rId159" Type="http://schemas.openxmlformats.org/officeDocument/2006/relationships/externalLink" Target="externalLinks/externalLink27.xml"/><Relationship Id="rId107" Type="http://schemas.openxmlformats.org/officeDocument/2006/relationships/worksheet" Target="worksheets/sheet107.xml"/><Relationship Id="rId11" Type="http://schemas.openxmlformats.org/officeDocument/2006/relationships/worksheet" Target="worksheets/sheet11.xml"/><Relationship Id="rId32" Type="http://schemas.openxmlformats.org/officeDocument/2006/relationships/worksheet" Target="worksheets/sheet32.xml"/><Relationship Id="rId53" Type="http://schemas.openxmlformats.org/officeDocument/2006/relationships/worksheet" Target="worksheets/sheet53.xml"/><Relationship Id="rId74" Type="http://schemas.openxmlformats.org/officeDocument/2006/relationships/worksheet" Target="worksheets/sheet74.xml"/><Relationship Id="rId128" Type="http://schemas.openxmlformats.org/officeDocument/2006/relationships/worksheet" Target="worksheets/sheet128.xml"/><Relationship Id="rId149" Type="http://schemas.openxmlformats.org/officeDocument/2006/relationships/externalLink" Target="externalLinks/externalLink17.xml"/><Relationship Id="rId5" Type="http://schemas.openxmlformats.org/officeDocument/2006/relationships/worksheet" Target="worksheets/sheet5.xml"/><Relationship Id="rId95" Type="http://schemas.openxmlformats.org/officeDocument/2006/relationships/worksheet" Target="worksheets/sheet95.xml"/><Relationship Id="rId160" Type="http://schemas.openxmlformats.org/officeDocument/2006/relationships/theme" Target="theme/theme1.xml"/><Relationship Id="rId22" Type="http://schemas.openxmlformats.org/officeDocument/2006/relationships/worksheet" Target="worksheets/sheet22.xml"/><Relationship Id="rId43" Type="http://schemas.openxmlformats.org/officeDocument/2006/relationships/worksheet" Target="worksheets/sheet43.xml"/><Relationship Id="rId64" Type="http://schemas.openxmlformats.org/officeDocument/2006/relationships/worksheet" Target="worksheets/sheet64.xml"/><Relationship Id="rId118" Type="http://schemas.openxmlformats.org/officeDocument/2006/relationships/worksheet" Target="worksheets/sheet118.xml"/><Relationship Id="rId139" Type="http://schemas.openxmlformats.org/officeDocument/2006/relationships/externalLink" Target="externalLinks/externalLink7.xml"/><Relationship Id="rId85" Type="http://schemas.openxmlformats.org/officeDocument/2006/relationships/worksheet" Target="worksheets/sheet85.xml"/><Relationship Id="rId150" Type="http://schemas.openxmlformats.org/officeDocument/2006/relationships/externalLink" Target="externalLinks/externalLink18.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worksheet" Target="worksheets/sheet33.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worksheet" Target="worksheets/sheet103.xml"/><Relationship Id="rId108" Type="http://schemas.openxmlformats.org/officeDocument/2006/relationships/worksheet" Target="worksheets/sheet108.xml"/><Relationship Id="rId124" Type="http://schemas.openxmlformats.org/officeDocument/2006/relationships/worksheet" Target="worksheets/sheet124.xml"/><Relationship Id="rId129" Type="http://schemas.openxmlformats.org/officeDocument/2006/relationships/worksheet" Target="worksheets/sheet129.xml"/><Relationship Id="rId54" Type="http://schemas.openxmlformats.org/officeDocument/2006/relationships/worksheet" Target="worksheets/sheet54.xml"/><Relationship Id="rId70" Type="http://schemas.openxmlformats.org/officeDocument/2006/relationships/worksheet" Target="worksheets/sheet70.xml"/><Relationship Id="rId75" Type="http://schemas.openxmlformats.org/officeDocument/2006/relationships/worksheet" Target="worksheets/sheet75.xml"/><Relationship Id="rId91" Type="http://schemas.openxmlformats.org/officeDocument/2006/relationships/worksheet" Target="worksheets/sheet91.xml"/><Relationship Id="rId96" Type="http://schemas.openxmlformats.org/officeDocument/2006/relationships/worksheet" Target="worksheets/sheet96.xml"/><Relationship Id="rId140" Type="http://schemas.openxmlformats.org/officeDocument/2006/relationships/externalLink" Target="externalLinks/externalLink8.xml"/><Relationship Id="rId145" Type="http://schemas.openxmlformats.org/officeDocument/2006/relationships/externalLink" Target="externalLinks/externalLink13.xml"/><Relationship Id="rId16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worksheet" Target="worksheets/sheet23.xml"/><Relationship Id="rId28" Type="http://schemas.openxmlformats.org/officeDocument/2006/relationships/worksheet" Target="worksheets/sheet28.xml"/><Relationship Id="rId49" Type="http://schemas.openxmlformats.org/officeDocument/2006/relationships/worksheet" Target="worksheets/sheet49.xml"/><Relationship Id="rId114" Type="http://schemas.openxmlformats.org/officeDocument/2006/relationships/worksheet" Target="worksheets/sheet114.xml"/><Relationship Id="rId119" Type="http://schemas.openxmlformats.org/officeDocument/2006/relationships/worksheet" Target="worksheets/sheet119.xml"/><Relationship Id="rId44" Type="http://schemas.openxmlformats.org/officeDocument/2006/relationships/worksheet" Target="worksheets/sheet44.xml"/><Relationship Id="rId60" Type="http://schemas.openxmlformats.org/officeDocument/2006/relationships/worksheet" Target="worksheets/sheet60.xml"/><Relationship Id="rId65" Type="http://schemas.openxmlformats.org/officeDocument/2006/relationships/worksheet" Target="worksheets/sheet65.xml"/><Relationship Id="rId81" Type="http://schemas.openxmlformats.org/officeDocument/2006/relationships/worksheet" Target="worksheets/sheet81.xml"/><Relationship Id="rId86" Type="http://schemas.openxmlformats.org/officeDocument/2006/relationships/worksheet" Target="worksheets/sheet86.xml"/><Relationship Id="rId130" Type="http://schemas.openxmlformats.org/officeDocument/2006/relationships/worksheet" Target="worksheets/sheet130.xml"/><Relationship Id="rId135" Type="http://schemas.openxmlformats.org/officeDocument/2006/relationships/externalLink" Target="externalLinks/externalLink3.xml"/><Relationship Id="rId151" Type="http://schemas.openxmlformats.org/officeDocument/2006/relationships/externalLink" Target="externalLinks/externalLink19.xml"/><Relationship Id="rId156" Type="http://schemas.openxmlformats.org/officeDocument/2006/relationships/externalLink" Target="externalLinks/externalLink24.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worksheet" Target="worksheets/sheet10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04" Type="http://schemas.openxmlformats.org/officeDocument/2006/relationships/worksheet" Target="worksheets/sheet104.xml"/><Relationship Id="rId120" Type="http://schemas.openxmlformats.org/officeDocument/2006/relationships/worksheet" Target="worksheets/sheet120.xml"/><Relationship Id="rId125" Type="http://schemas.openxmlformats.org/officeDocument/2006/relationships/worksheet" Target="worksheets/sheet125.xml"/><Relationship Id="rId141" Type="http://schemas.openxmlformats.org/officeDocument/2006/relationships/externalLink" Target="externalLinks/externalLink9.xml"/><Relationship Id="rId146" Type="http://schemas.openxmlformats.org/officeDocument/2006/relationships/externalLink" Target="externalLinks/externalLink14.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162" Type="http://schemas.openxmlformats.org/officeDocument/2006/relationships/sharedStrings" Target="sharedStrings.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110" Type="http://schemas.openxmlformats.org/officeDocument/2006/relationships/worksheet" Target="worksheets/sheet110.xml"/><Relationship Id="rId115" Type="http://schemas.openxmlformats.org/officeDocument/2006/relationships/worksheet" Target="worksheets/sheet115.xml"/><Relationship Id="rId131" Type="http://schemas.openxmlformats.org/officeDocument/2006/relationships/worksheet" Target="worksheets/sheet131.xml"/><Relationship Id="rId136" Type="http://schemas.openxmlformats.org/officeDocument/2006/relationships/externalLink" Target="externalLinks/externalLink4.xml"/><Relationship Id="rId157" Type="http://schemas.openxmlformats.org/officeDocument/2006/relationships/externalLink" Target="externalLinks/externalLink25.xml"/><Relationship Id="rId61" Type="http://schemas.openxmlformats.org/officeDocument/2006/relationships/worksheet" Target="worksheets/sheet61.xml"/><Relationship Id="rId82" Type="http://schemas.openxmlformats.org/officeDocument/2006/relationships/worksheet" Target="worksheets/sheet82.xml"/><Relationship Id="rId152" Type="http://schemas.openxmlformats.org/officeDocument/2006/relationships/externalLink" Target="externalLinks/externalLink20.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worksheet" Target="worksheets/sheet100.xml"/><Relationship Id="rId105" Type="http://schemas.openxmlformats.org/officeDocument/2006/relationships/worksheet" Target="worksheets/sheet105.xml"/><Relationship Id="rId126" Type="http://schemas.openxmlformats.org/officeDocument/2006/relationships/worksheet" Target="worksheets/sheet126.xml"/><Relationship Id="rId147" Type="http://schemas.openxmlformats.org/officeDocument/2006/relationships/externalLink" Target="externalLinks/externalLink15.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98" Type="http://schemas.openxmlformats.org/officeDocument/2006/relationships/worksheet" Target="worksheets/sheet98.xml"/><Relationship Id="rId121" Type="http://schemas.openxmlformats.org/officeDocument/2006/relationships/worksheet" Target="worksheets/sheet121.xml"/><Relationship Id="rId142" Type="http://schemas.openxmlformats.org/officeDocument/2006/relationships/externalLink" Target="externalLinks/externalLink10.xml"/><Relationship Id="rId163"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116" Type="http://schemas.openxmlformats.org/officeDocument/2006/relationships/worksheet" Target="worksheets/sheet116.xml"/><Relationship Id="rId137" Type="http://schemas.openxmlformats.org/officeDocument/2006/relationships/externalLink" Target="externalLinks/externalLink5.xml"/><Relationship Id="rId158" Type="http://schemas.openxmlformats.org/officeDocument/2006/relationships/externalLink" Target="externalLinks/externalLink26.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worksheet" Target="worksheets/sheet83.xml"/><Relationship Id="rId88" Type="http://schemas.openxmlformats.org/officeDocument/2006/relationships/worksheet" Target="worksheets/sheet88.xml"/><Relationship Id="rId111" Type="http://schemas.openxmlformats.org/officeDocument/2006/relationships/worksheet" Target="worksheets/sheet111.xml"/><Relationship Id="rId132" Type="http://schemas.openxmlformats.org/officeDocument/2006/relationships/worksheet" Target="worksheets/sheet132.xml"/><Relationship Id="rId153" Type="http://schemas.openxmlformats.org/officeDocument/2006/relationships/externalLink" Target="externalLinks/externalLink21.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worksheet" Target="worksheets/sheet57.xml"/><Relationship Id="rId106" Type="http://schemas.openxmlformats.org/officeDocument/2006/relationships/worksheet" Target="worksheets/sheet106.xml"/><Relationship Id="rId127" Type="http://schemas.openxmlformats.org/officeDocument/2006/relationships/worksheet" Target="worksheets/sheet127.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worksheet" Target="worksheets/sheet52.xml"/><Relationship Id="rId73" Type="http://schemas.openxmlformats.org/officeDocument/2006/relationships/worksheet" Target="worksheets/sheet73.xml"/><Relationship Id="rId78" Type="http://schemas.openxmlformats.org/officeDocument/2006/relationships/worksheet" Target="worksheets/sheet78.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worksheet" Target="worksheets/sheet101.xml"/><Relationship Id="rId122" Type="http://schemas.openxmlformats.org/officeDocument/2006/relationships/worksheet" Target="worksheets/sheet122.xml"/><Relationship Id="rId143" Type="http://schemas.openxmlformats.org/officeDocument/2006/relationships/externalLink" Target="externalLinks/externalLink11.xml"/><Relationship Id="rId148" Type="http://schemas.openxmlformats.org/officeDocument/2006/relationships/externalLink" Target="externalLinks/externalLink16.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worksheet" Target="worksheets/sheet26.xml"/><Relationship Id="rId47" Type="http://schemas.openxmlformats.org/officeDocument/2006/relationships/worksheet" Target="worksheets/sheet47.xml"/><Relationship Id="rId68" Type="http://schemas.openxmlformats.org/officeDocument/2006/relationships/worksheet" Target="worksheets/sheet68.xml"/><Relationship Id="rId89" Type="http://schemas.openxmlformats.org/officeDocument/2006/relationships/worksheet" Target="worksheets/sheet89.xml"/><Relationship Id="rId112" Type="http://schemas.openxmlformats.org/officeDocument/2006/relationships/worksheet" Target="worksheets/sheet112.xml"/><Relationship Id="rId133" Type="http://schemas.openxmlformats.org/officeDocument/2006/relationships/externalLink" Target="externalLinks/externalLink1.xml"/><Relationship Id="rId154" Type="http://schemas.openxmlformats.org/officeDocument/2006/relationships/externalLink" Target="externalLinks/externalLink22.xml"/><Relationship Id="rId16" Type="http://schemas.openxmlformats.org/officeDocument/2006/relationships/worksheet" Target="worksheets/sheet16.xml"/><Relationship Id="rId37" Type="http://schemas.openxmlformats.org/officeDocument/2006/relationships/worksheet" Target="worksheets/sheet37.xml"/><Relationship Id="rId58" Type="http://schemas.openxmlformats.org/officeDocument/2006/relationships/worksheet" Target="worksheets/sheet58.xml"/><Relationship Id="rId79" Type="http://schemas.openxmlformats.org/officeDocument/2006/relationships/worksheet" Target="worksheets/sheet79.xml"/><Relationship Id="rId102" Type="http://schemas.openxmlformats.org/officeDocument/2006/relationships/worksheet" Target="worksheets/sheet102.xml"/><Relationship Id="rId123" Type="http://schemas.openxmlformats.org/officeDocument/2006/relationships/worksheet" Target="worksheets/sheet123.xml"/><Relationship Id="rId144" Type="http://schemas.openxmlformats.org/officeDocument/2006/relationships/externalLink" Target="externalLinks/externalLink12.xml"/><Relationship Id="rId90" Type="http://schemas.openxmlformats.org/officeDocument/2006/relationships/worksheet" Target="worksheets/sheet90.xml"/><Relationship Id="rId27" Type="http://schemas.openxmlformats.org/officeDocument/2006/relationships/worksheet" Target="worksheets/sheet27.xml"/><Relationship Id="rId48" Type="http://schemas.openxmlformats.org/officeDocument/2006/relationships/worksheet" Target="worksheets/sheet48.xml"/><Relationship Id="rId69" Type="http://schemas.openxmlformats.org/officeDocument/2006/relationships/worksheet" Target="worksheets/sheet69.xml"/><Relationship Id="rId113" Type="http://schemas.openxmlformats.org/officeDocument/2006/relationships/worksheet" Target="worksheets/sheet113.xml"/><Relationship Id="rId134" Type="http://schemas.openxmlformats.org/officeDocument/2006/relationships/externalLink" Target="externalLinks/externalLink2.xml"/><Relationship Id="rId80" Type="http://schemas.openxmlformats.org/officeDocument/2006/relationships/worksheet" Target="worksheets/sheet80.xml"/><Relationship Id="rId155" Type="http://schemas.openxmlformats.org/officeDocument/2006/relationships/externalLink" Target="externalLinks/externalLink23.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480639293127809E-2"/>
          <c:y val="4.8356021414602005E-2"/>
          <c:w val="0.92444798574929266"/>
          <c:h val="0.86245479378817291"/>
        </c:manualLayout>
      </c:layout>
      <c:scatterChart>
        <c:scatterStyle val="smoothMarker"/>
        <c:varyColors val="0"/>
        <c:ser>
          <c:idx val="0"/>
          <c:order val="0"/>
          <c:tx>
            <c:v>TERRENO</c:v>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Mem_CALCULO!$D$12:$D$45</c:f>
              <c:numCache>
                <c:formatCode>\K#0\+0#0.00</c:formatCode>
                <c:ptCount val="34"/>
                <c:pt idx="0">
                  <c:v>0</c:v>
                </c:pt>
                <c:pt idx="1">
                  <c:v>42.69</c:v>
                </c:pt>
                <c:pt idx="2">
                  <c:v>100.572</c:v>
                </c:pt>
                <c:pt idx="3">
                  <c:v>124.124</c:v>
                </c:pt>
                <c:pt idx="4">
                  <c:v>183.91</c:v>
                </c:pt>
                <c:pt idx="5">
                  <c:v>253.76999999999998</c:v>
                </c:pt>
                <c:pt idx="6">
                  <c:v>332.12699999999995</c:v>
                </c:pt>
                <c:pt idx="7">
                  <c:v>389.98299999999995</c:v>
                </c:pt>
                <c:pt idx="8">
                  <c:v>469.43899999999996</c:v>
                </c:pt>
                <c:pt idx="9">
                  <c:v>536.31099999999992</c:v>
                </c:pt>
                <c:pt idx="10">
                  <c:v>617.30899999999997</c:v>
                </c:pt>
                <c:pt idx="11">
                  <c:v>702.57099999999991</c:v>
                </c:pt>
                <c:pt idx="12">
                  <c:v>775.66699999999992</c:v>
                </c:pt>
                <c:pt idx="13">
                  <c:v>852.60399999999993</c:v>
                </c:pt>
                <c:pt idx="14">
                  <c:v>883.47799999999995</c:v>
                </c:pt>
                <c:pt idx="15">
                  <c:v>908.51499999999999</c:v>
                </c:pt>
                <c:pt idx="16">
                  <c:v>933.904</c:v>
                </c:pt>
                <c:pt idx="17">
                  <c:v>1021.472</c:v>
                </c:pt>
                <c:pt idx="18">
                  <c:v>1091.896</c:v>
                </c:pt>
                <c:pt idx="19">
                  <c:v>1197.0049999999999</c:v>
                </c:pt>
                <c:pt idx="20">
                  <c:v>1269.204</c:v>
                </c:pt>
                <c:pt idx="21">
                  <c:v>1375.1019999999999</c:v>
                </c:pt>
                <c:pt idx="25">
                  <c:v>0</c:v>
                </c:pt>
                <c:pt idx="26">
                  <c:v>57.835999999999999</c:v>
                </c:pt>
                <c:pt idx="27">
                  <c:v>114.49199999999999</c:v>
                </c:pt>
                <c:pt idx="28">
                  <c:v>146.589</c:v>
                </c:pt>
                <c:pt idx="29">
                  <c:v>193.803</c:v>
                </c:pt>
                <c:pt idx="30">
                  <c:v>254.398</c:v>
                </c:pt>
                <c:pt idx="31">
                  <c:v>312.69099999999997</c:v>
                </c:pt>
                <c:pt idx="32">
                  <c:v>374.173</c:v>
                </c:pt>
                <c:pt idx="33">
                  <c:v>465.01300000000003</c:v>
                </c:pt>
              </c:numCache>
            </c:numRef>
          </c:xVal>
          <c:yVal>
            <c:numRef>
              <c:f>Mem_CALCULO!$AK$12:$AK$45</c:f>
              <c:numCache>
                <c:formatCode>0.00</c:formatCode>
                <c:ptCount val="34"/>
                <c:pt idx="0">
                  <c:v>948.92</c:v>
                </c:pt>
                <c:pt idx="1">
                  <c:v>944.38</c:v>
                </c:pt>
                <c:pt idx="2">
                  <c:v>940.25</c:v>
                </c:pt>
                <c:pt idx="3">
                  <c:v>939.65</c:v>
                </c:pt>
                <c:pt idx="4">
                  <c:v>937.81</c:v>
                </c:pt>
                <c:pt idx="5">
                  <c:v>934.01</c:v>
                </c:pt>
                <c:pt idx="6">
                  <c:v>930.1</c:v>
                </c:pt>
                <c:pt idx="7">
                  <c:v>927.13</c:v>
                </c:pt>
                <c:pt idx="8">
                  <c:v>924.57</c:v>
                </c:pt>
                <c:pt idx="9">
                  <c:v>921.82</c:v>
                </c:pt>
                <c:pt idx="10">
                  <c:v>918.31</c:v>
                </c:pt>
                <c:pt idx="11">
                  <c:v>918.13</c:v>
                </c:pt>
                <c:pt idx="12">
                  <c:v>917.04</c:v>
                </c:pt>
                <c:pt idx="13">
                  <c:v>916.05</c:v>
                </c:pt>
                <c:pt idx="14">
                  <c:v>914.15</c:v>
                </c:pt>
                <c:pt idx="15">
                  <c:v>913.68</c:v>
                </c:pt>
                <c:pt idx="16">
                  <c:v>915.65</c:v>
                </c:pt>
                <c:pt idx="17">
                  <c:v>913.5</c:v>
                </c:pt>
                <c:pt idx="18">
                  <c:v>913.82</c:v>
                </c:pt>
                <c:pt idx="19">
                  <c:v>913.27</c:v>
                </c:pt>
                <c:pt idx="20">
                  <c:v>912.46</c:v>
                </c:pt>
                <c:pt idx="21">
                  <c:v>910.4</c:v>
                </c:pt>
                <c:pt idx="25">
                  <c:v>967.1</c:v>
                </c:pt>
                <c:pt idx="26">
                  <c:v>964.52</c:v>
                </c:pt>
                <c:pt idx="27">
                  <c:v>960.79</c:v>
                </c:pt>
                <c:pt idx="28">
                  <c:v>958.34</c:v>
                </c:pt>
                <c:pt idx="29">
                  <c:v>955.82</c:v>
                </c:pt>
                <c:pt idx="30">
                  <c:v>952.71</c:v>
                </c:pt>
                <c:pt idx="31">
                  <c:v>948.6</c:v>
                </c:pt>
                <c:pt idx="32">
                  <c:v>944.81</c:v>
                </c:pt>
                <c:pt idx="33">
                  <c:v>940.67</c:v>
                </c:pt>
              </c:numCache>
            </c:numRef>
          </c:yVal>
          <c:smooth val="1"/>
          <c:extLst>
            <c:ext xmlns:c16="http://schemas.microsoft.com/office/drawing/2014/chart" uri="{C3380CC4-5D6E-409C-BE32-E72D297353CC}">
              <c16:uniqueId val="{00000000-944A-446B-89EA-CCBC259C98E4}"/>
            </c:ext>
          </c:extLst>
        </c:ser>
        <c:ser>
          <c:idx val="1"/>
          <c:order val="1"/>
          <c:tx>
            <c:v>BATEA</c:v>
          </c:tx>
          <c:spPr>
            <a:ln w="19050" cap="rnd">
              <a:solidFill>
                <a:schemeClr val="accent2"/>
              </a:solidFill>
              <a:round/>
            </a:ln>
            <a:effectLst/>
          </c:spPr>
          <c:marker>
            <c:symbol val="circle"/>
            <c:size val="5"/>
            <c:spPr>
              <a:solidFill>
                <a:schemeClr val="accent2"/>
              </a:solidFill>
              <a:ln w="9525">
                <a:solidFill>
                  <a:schemeClr val="accent2"/>
                </a:solidFill>
              </a:ln>
              <a:effectLst/>
            </c:spPr>
          </c:marker>
          <c:xVal>
            <c:numRef>
              <c:f>Mem_CALCULO!$D$12:$D$45</c:f>
              <c:numCache>
                <c:formatCode>\K#0\+0#0.00</c:formatCode>
                <c:ptCount val="34"/>
                <c:pt idx="0">
                  <c:v>0</c:v>
                </c:pt>
                <c:pt idx="1">
                  <c:v>42.69</c:v>
                </c:pt>
                <c:pt idx="2">
                  <c:v>100.572</c:v>
                </c:pt>
                <c:pt idx="3">
                  <c:v>124.124</c:v>
                </c:pt>
                <c:pt idx="4">
                  <c:v>183.91</c:v>
                </c:pt>
                <c:pt idx="5">
                  <c:v>253.76999999999998</c:v>
                </c:pt>
                <c:pt idx="6">
                  <c:v>332.12699999999995</c:v>
                </c:pt>
                <c:pt idx="7">
                  <c:v>389.98299999999995</c:v>
                </c:pt>
                <c:pt idx="8">
                  <c:v>469.43899999999996</c:v>
                </c:pt>
                <c:pt idx="9">
                  <c:v>536.31099999999992</c:v>
                </c:pt>
                <c:pt idx="10">
                  <c:v>617.30899999999997</c:v>
                </c:pt>
                <c:pt idx="11">
                  <c:v>702.57099999999991</c:v>
                </c:pt>
                <c:pt idx="12">
                  <c:v>775.66699999999992</c:v>
                </c:pt>
                <c:pt idx="13">
                  <c:v>852.60399999999993</c:v>
                </c:pt>
                <c:pt idx="14">
                  <c:v>883.47799999999995</c:v>
                </c:pt>
                <c:pt idx="15">
                  <c:v>908.51499999999999</c:v>
                </c:pt>
                <c:pt idx="16">
                  <c:v>933.904</c:v>
                </c:pt>
                <c:pt idx="17">
                  <c:v>1021.472</c:v>
                </c:pt>
                <c:pt idx="18">
                  <c:v>1091.896</c:v>
                </c:pt>
                <c:pt idx="19">
                  <c:v>1197.0049999999999</c:v>
                </c:pt>
                <c:pt idx="20">
                  <c:v>1269.204</c:v>
                </c:pt>
                <c:pt idx="21">
                  <c:v>1375.1019999999999</c:v>
                </c:pt>
                <c:pt idx="25">
                  <c:v>0</c:v>
                </c:pt>
                <c:pt idx="26">
                  <c:v>57.835999999999999</c:v>
                </c:pt>
                <c:pt idx="27">
                  <c:v>114.49199999999999</c:v>
                </c:pt>
                <c:pt idx="28">
                  <c:v>146.589</c:v>
                </c:pt>
                <c:pt idx="29">
                  <c:v>193.803</c:v>
                </c:pt>
                <c:pt idx="30">
                  <c:v>254.398</c:v>
                </c:pt>
                <c:pt idx="31">
                  <c:v>312.69099999999997</c:v>
                </c:pt>
                <c:pt idx="32">
                  <c:v>374.173</c:v>
                </c:pt>
                <c:pt idx="33">
                  <c:v>465.01300000000003</c:v>
                </c:pt>
              </c:numCache>
            </c:numRef>
          </c:xVal>
          <c:yVal>
            <c:numRef>
              <c:f>Mem_CALCULO!$AO$12:$AO$45</c:f>
              <c:numCache>
                <c:formatCode>0.000</c:formatCode>
                <c:ptCount val="34"/>
                <c:pt idx="0">
                  <c:v>947.51999999999987</c:v>
                </c:pt>
                <c:pt idx="1">
                  <c:v>942.95351499999992</c:v>
                </c:pt>
                <c:pt idx="2">
                  <c:v>938.64028100000007</c:v>
                </c:pt>
                <c:pt idx="3">
                  <c:v>938.18427650000001</c:v>
                </c:pt>
                <c:pt idx="4">
                  <c:v>936.31091049999998</c:v>
                </c:pt>
                <c:pt idx="5">
                  <c:v>932.55340049999995</c:v>
                </c:pt>
                <c:pt idx="6">
                  <c:v>928.61555049999993</c:v>
                </c:pt>
                <c:pt idx="7">
                  <c:v>925.70275049999998</c:v>
                </c:pt>
                <c:pt idx="8">
                  <c:v>923.14015849999998</c:v>
                </c:pt>
                <c:pt idx="9">
                  <c:v>919.63898199999994</c:v>
                </c:pt>
                <c:pt idx="10">
                  <c:v>916.04325349999988</c:v>
                </c:pt>
                <c:pt idx="11">
                  <c:v>915.59694349999995</c:v>
                </c:pt>
                <c:pt idx="12">
                  <c:v>915.21146349999992</c:v>
                </c:pt>
                <c:pt idx="13">
                  <c:v>914.38362499999994</c:v>
                </c:pt>
                <c:pt idx="14">
                  <c:v>914.20925499999998</c:v>
                </c:pt>
                <c:pt idx="15">
                  <c:v>914.06407000000002</c:v>
                </c:pt>
                <c:pt idx="16">
                  <c:v>913.91712500000006</c:v>
                </c:pt>
                <c:pt idx="17">
                  <c:v>911.85446250000018</c:v>
                </c:pt>
                <c:pt idx="18">
                  <c:v>911.48234250000019</c:v>
                </c:pt>
                <c:pt idx="19">
                  <c:v>910.93679750000024</c:v>
                </c:pt>
                <c:pt idx="20">
                  <c:v>910.52580250000028</c:v>
                </c:pt>
                <c:pt idx="21">
                  <c:v>910.18810850000034</c:v>
                </c:pt>
                <c:pt idx="25">
                  <c:v>965.69999999999993</c:v>
                </c:pt>
                <c:pt idx="26">
                  <c:v>963.07737999999995</c:v>
                </c:pt>
                <c:pt idx="27">
                  <c:v>959.34641199999999</c:v>
                </c:pt>
                <c:pt idx="28">
                  <c:v>956.88703999999996</c:v>
                </c:pt>
                <c:pt idx="29">
                  <c:v>954.36469799999998</c:v>
                </c:pt>
                <c:pt idx="30">
                  <c:v>951.25435300000004</c:v>
                </c:pt>
                <c:pt idx="31">
                  <c:v>947.15384300000005</c:v>
                </c:pt>
                <c:pt idx="32">
                  <c:v>943.38344100000006</c:v>
                </c:pt>
                <c:pt idx="33">
                  <c:v>939.18480100000011</c:v>
                </c:pt>
              </c:numCache>
            </c:numRef>
          </c:yVal>
          <c:smooth val="1"/>
          <c:extLst>
            <c:ext xmlns:c16="http://schemas.microsoft.com/office/drawing/2014/chart" uri="{C3380CC4-5D6E-409C-BE32-E72D297353CC}">
              <c16:uniqueId val="{00000001-944A-446B-89EA-CCBC259C98E4}"/>
            </c:ext>
          </c:extLst>
        </c:ser>
        <c:dLbls>
          <c:showLegendKey val="0"/>
          <c:showVal val="0"/>
          <c:showCatName val="0"/>
          <c:showSerName val="0"/>
          <c:showPercent val="0"/>
          <c:showBubbleSize val="0"/>
        </c:dLbls>
        <c:axId val="1619981727"/>
        <c:axId val="1620005855"/>
      </c:scatterChart>
      <c:valAx>
        <c:axId val="1619981727"/>
        <c:scaling>
          <c:orientation val="minMax"/>
        </c:scaling>
        <c:delete val="0"/>
        <c:axPos val="b"/>
        <c:majorGridlines>
          <c:spPr>
            <a:ln w="9525" cap="flat" cmpd="sng" algn="ctr">
              <a:solidFill>
                <a:schemeClr val="tx1">
                  <a:lumMod val="15000"/>
                  <a:lumOff val="85000"/>
                </a:schemeClr>
              </a:solidFill>
              <a:round/>
            </a:ln>
            <a:effectLst/>
          </c:spPr>
        </c:majorGridlines>
        <c:numFmt formatCode="\K#0\+0#0.00" sourceLinked="1"/>
        <c:majorTickMark val="none"/>
        <c:minorTickMark val="none"/>
        <c:tickLblPos val="nextTo"/>
        <c:spPr>
          <a:noFill/>
          <a:ln w="9525" cap="flat" cmpd="sng" algn="ctr">
            <a:solidFill>
              <a:schemeClr val="tx1">
                <a:lumMod val="25000"/>
                <a:lumOff val="75000"/>
              </a:schemeClr>
            </a:solidFill>
            <a:round/>
          </a:ln>
          <a:effectLst/>
        </c:spPr>
        <c:txPr>
          <a:bodyPr rot="-5400000" spcFirstLastPara="1" vertOverflow="ellipsis"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620005855"/>
        <c:crosses val="autoZero"/>
        <c:crossBetween val="midCat"/>
        <c:majorUnit val="100"/>
        <c:minorUnit val="50"/>
      </c:valAx>
      <c:valAx>
        <c:axId val="1620005855"/>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619981727"/>
        <c:crosses val="autoZero"/>
        <c:crossBetween val="midCat"/>
        <c:majorUnit val="5"/>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image" Target="../media/image5.png"/><Relationship Id="rId3" Type="http://schemas.openxmlformats.org/officeDocument/2006/relationships/hyperlink" Target="#PRESUPUESTO!A1"/><Relationship Id="rId7" Type="http://schemas.openxmlformats.org/officeDocument/2006/relationships/image" Target="../media/image4.png"/><Relationship Id="rId2" Type="http://schemas.openxmlformats.org/officeDocument/2006/relationships/hyperlink" Target="#BASICOS!A1"/><Relationship Id="rId1" Type="http://schemas.openxmlformats.org/officeDocument/2006/relationships/hyperlink" Target="#CUADRILLAS!&#193;rea_de_impresi&#243;n"/><Relationship Id="rId6" Type="http://schemas.openxmlformats.org/officeDocument/2006/relationships/image" Target="../media/image3.png"/><Relationship Id="rId5" Type="http://schemas.openxmlformats.org/officeDocument/2006/relationships/image" Target="../media/image2.png"/><Relationship Id="rId10" Type="http://schemas.openxmlformats.org/officeDocument/2006/relationships/image" Target="../media/image7.png"/><Relationship Id="rId4" Type="http://schemas.openxmlformats.org/officeDocument/2006/relationships/image" Target="../media/image1.png"/><Relationship Id="rId9" Type="http://schemas.openxmlformats.org/officeDocument/2006/relationships/image" Target="../media/image6.png"/></Relationships>
</file>

<file path=xl/drawings/_rels/drawing2.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image" Target="../media/image9.png"/></Relationships>
</file>

<file path=xl/drawings/_rels/drawing4.xml.rels><?xml version="1.0" encoding="UTF-8" standalone="yes"?>
<Relationships xmlns="http://schemas.openxmlformats.org/package/2006/relationships"><Relationship Id="rId1" Type="http://schemas.openxmlformats.org/officeDocument/2006/relationships/image" Target="../media/image11.png"/></Relationships>
</file>

<file path=xl/drawings/_rels/drawing5.xml.rels><?xml version="1.0" encoding="UTF-8" standalone="yes"?>
<Relationships xmlns="http://schemas.openxmlformats.org/package/2006/relationships"><Relationship Id="rId2" Type="http://schemas.openxmlformats.org/officeDocument/2006/relationships/image" Target="../media/image12.png"/><Relationship Id="rId1" Type="http://schemas.openxmlformats.org/officeDocument/2006/relationships/image" Target="../media/image9.png"/></Relationships>
</file>

<file path=xl/drawings/_rels/drawing6.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4" Type="http://schemas.openxmlformats.org/officeDocument/2006/relationships/hyperlink" Target="#PRESUPUESTO!A1"/></Relationships>
</file>

<file path=xl/drawings/_rels/drawing7.xml.rels><?xml version="1.0" encoding="UTF-8" standalone="yes"?>
<Relationships xmlns="http://schemas.openxmlformats.org/package/2006/relationships"><Relationship Id="rId3" Type="http://schemas.openxmlformats.org/officeDocument/2006/relationships/hyperlink" Target="#PRESUPUESTO!A1"/><Relationship Id="rId2" Type="http://schemas.openxmlformats.org/officeDocument/2006/relationships/hyperlink" Target="#BASICOS!A1"/><Relationship Id="rId1" Type="http://schemas.openxmlformats.org/officeDocument/2006/relationships/hyperlink" Target="#INSUMOS!A1"/></Relationships>
</file>

<file path=xl/drawings/_rels/drawing8.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5" Type="http://schemas.openxmlformats.org/officeDocument/2006/relationships/image" Target="../media/image11.png"/><Relationship Id="rId4" Type="http://schemas.openxmlformats.org/officeDocument/2006/relationships/hyperlink" Target="#PRESUPUESTO!A1"/></Relationships>
</file>

<file path=xl/drawings/_rels/drawing9.xml.rels><?xml version="1.0" encoding="UTF-8" standalone="yes"?>
<Relationships xmlns="http://schemas.openxmlformats.org/package/2006/relationships"><Relationship Id="rId3" Type="http://schemas.openxmlformats.org/officeDocument/2006/relationships/hyperlink" Target="#CUADRILLAS!&#193;rea_de_impresi&#243;n"/><Relationship Id="rId2" Type="http://schemas.openxmlformats.org/officeDocument/2006/relationships/hyperlink" Target="#INSUMOS!A1"/><Relationship Id="rId1" Type="http://schemas.openxmlformats.org/officeDocument/2006/relationships/image" Target="../media/image13.png"/><Relationship Id="rId6" Type="http://schemas.openxmlformats.org/officeDocument/2006/relationships/image" Target="../media/image14.png"/><Relationship Id="rId5" Type="http://schemas.openxmlformats.org/officeDocument/2006/relationships/hyperlink" Target="#PRESUPUESTO!A1"/><Relationship Id="rId4" Type="http://schemas.openxmlformats.org/officeDocument/2006/relationships/hyperlink" Target="#BASICOS!A1"/></Relationships>
</file>

<file path=xl/drawings/_rels/drawing10.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5" Type="http://schemas.openxmlformats.org/officeDocument/2006/relationships/image" Target="../media/image11.png"/><Relationship Id="rId4" Type="http://schemas.openxmlformats.org/officeDocument/2006/relationships/hyperlink" Target="#PRESUPUESTO!A1"/></Relationships>
</file>

<file path=xl/drawings/_rels/drawing11.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5" Type="http://schemas.openxmlformats.org/officeDocument/2006/relationships/image" Target="../media/image11.png"/><Relationship Id="rId4" Type="http://schemas.openxmlformats.org/officeDocument/2006/relationships/hyperlink" Target="#PRESUPUESTO!A1"/></Relationships>
</file>

<file path=xl/drawings/_rels/drawing12.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5" Type="http://schemas.openxmlformats.org/officeDocument/2006/relationships/image" Target="../media/image11.png"/><Relationship Id="rId4" Type="http://schemas.openxmlformats.org/officeDocument/2006/relationships/hyperlink" Target="#PRESUPUESTO!A1"/></Relationships>
</file>

<file path=xl/drawings/_rels/drawing13.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5" Type="http://schemas.openxmlformats.org/officeDocument/2006/relationships/image" Target="../media/image11.png"/><Relationship Id="rId4" Type="http://schemas.openxmlformats.org/officeDocument/2006/relationships/hyperlink" Target="#PRESUPUESTO!A1"/></Relationships>
</file>

<file path=xl/drawings/_rels/drawing14.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5" Type="http://schemas.openxmlformats.org/officeDocument/2006/relationships/image" Target="../media/image11.png"/><Relationship Id="rId4" Type="http://schemas.openxmlformats.org/officeDocument/2006/relationships/hyperlink" Target="#PRESUPUESTO!A1"/></Relationships>
</file>

<file path=xl/drawings/_rels/drawing15.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5" Type="http://schemas.openxmlformats.org/officeDocument/2006/relationships/image" Target="../media/image11.png"/><Relationship Id="rId4" Type="http://schemas.openxmlformats.org/officeDocument/2006/relationships/hyperlink" Target="#PRESUPUESTO!A1"/></Relationships>
</file>

<file path=xl/drawings/_rels/drawing16.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5" Type="http://schemas.openxmlformats.org/officeDocument/2006/relationships/image" Target="../media/image11.png"/><Relationship Id="rId4" Type="http://schemas.openxmlformats.org/officeDocument/2006/relationships/hyperlink" Target="#PRESUPUESTO!A1"/></Relationships>
</file>

<file path=xl/drawings/_rels/drawing17.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5" Type="http://schemas.openxmlformats.org/officeDocument/2006/relationships/image" Target="../media/image11.png"/><Relationship Id="rId4" Type="http://schemas.openxmlformats.org/officeDocument/2006/relationships/hyperlink" Target="#PRESUPUESTO!A1"/></Relationships>
</file>

<file path=xl/drawings/_rels/drawing18.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5" Type="http://schemas.openxmlformats.org/officeDocument/2006/relationships/image" Target="../media/image11.png"/><Relationship Id="rId4" Type="http://schemas.openxmlformats.org/officeDocument/2006/relationships/hyperlink" Target="#PRESUPUESTO!A1"/></Relationships>
</file>

<file path=xl/drawings/_rels/drawing19.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5" Type="http://schemas.openxmlformats.org/officeDocument/2006/relationships/image" Target="../media/image11.png"/><Relationship Id="rId4" Type="http://schemas.openxmlformats.org/officeDocument/2006/relationships/hyperlink" Target="#PRESUPUESTO!A1"/></Relationships>
</file>

<file path=xl/drawings/_rels/drawing20.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5" Type="http://schemas.openxmlformats.org/officeDocument/2006/relationships/image" Target="../media/image11.png"/><Relationship Id="rId4" Type="http://schemas.openxmlformats.org/officeDocument/2006/relationships/hyperlink" Target="#PRESUPUESTO!A1"/></Relationships>
</file>

<file path=xl/drawings/_rels/drawing21.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5" Type="http://schemas.openxmlformats.org/officeDocument/2006/relationships/image" Target="../media/image11.png"/><Relationship Id="rId4" Type="http://schemas.openxmlformats.org/officeDocument/2006/relationships/hyperlink" Target="#PRESUPUESTO!A1"/></Relationships>
</file>

<file path=xl/drawings/_rels/drawing22.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5" Type="http://schemas.openxmlformats.org/officeDocument/2006/relationships/image" Target="../media/image11.png"/><Relationship Id="rId4" Type="http://schemas.openxmlformats.org/officeDocument/2006/relationships/hyperlink" Target="#PRESUPUESTO!A1"/></Relationships>
</file>

<file path=xl/drawings/_rels/drawing23.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5" Type="http://schemas.openxmlformats.org/officeDocument/2006/relationships/image" Target="../media/image11.png"/><Relationship Id="rId4" Type="http://schemas.openxmlformats.org/officeDocument/2006/relationships/hyperlink" Target="#PRESUPUESTO!A1"/></Relationships>
</file>

<file path=xl/drawings/_rels/drawing24.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5" Type="http://schemas.openxmlformats.org/officeDocument/2006/relationships/image" Target="../media/image11.png"/><Relationship Id="rId4" Type="http://schemas.openxmlformats.org/officeDocument/2006/relationships/hyperlink" Target="#PRESUPUESTO!A1"/></Relationships>
</file>

<file path=xl/drawings/_rels/drawing25.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5" Type="http://schemas.openxmlformats.org/officeDocument/2006/relationships/image" Target="../media/image11.png"/><Relationship Id="rId4" Type="http://schemas.openxmlformats.org/officeDocument/2006/relationships/hyperlink" Target="#PRESUPUESTO!A1"/></Relationships>
</file>

<file path=xl/drawings/_rels/drawing26.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5" Type="http://schemas.openxmlformats.org/officeDocument/2006/relationships/image" Target="../media/image11.png"/><Relationship Id="rId4" Type="http://schemas.openxmlformats.org/officeDocument/2006/relationships/hyperlink" Target="#PRESUPUESTO!A1"/></Relationships>
</file>

<file path=xl/drawings/_rels/drawing27.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5" Type="http://schemas.openxmlformats.org/officeDocument/2006/relationships/image" Target="../media/image11.png"/><Relationship Id="rId4" Type="http://schemas.openxmlformats.org/officeDocument/2006/relationships/hyperlink" Target="#PRESUPUESTO!A1"/></Relationships>
</file>

<file path=xl/drawings/_rels/drawing28.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5" Type="http://schemas.openxmlformats.org/officeDocument/2006/relationships/image" Target="../media/image11.png"/><Relationship Id="rId4" Type="http://schemas.openxmlformats.org/officeDocument/2006/relationships/hyperlink" Target="#PRESUPUESTO!A1"/></Relationships>
</file>

<file path=xl/drawings/_rels/drawing29.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5" Type="http://schemas.openxmlformats.org/officeDocument/2006/relationships/image" Target="../media/image11.png"/><Relationship Id="rId4" Type="http://schemas.openxmlformats.org/officeDocument/2006/relationships/hyperlink" Target="#PRESUPUESTO!A1"/></Relationships>
</file>

<file path=xl/drawings/_rels/drawing30.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6" Type="http://schemas.openxmlformats.org/officeDocument/2006/relationships/image" Target="../media/image16.png"/><Relationship Id="rId5" Type="http://schemas.openxmlformats.org/officeDocument/2006/relationships/image" Target="../media/image15.png"/><Relationship Id="rId4" Type="http://schemas.openxmlformats.org/officeDocument/2006/relationships/hyperlink" Target="#PRESUPUESTO!A1"/></Relationships>
</file>

<file path=xl/drawings/_rels/drawing31.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5" Type="http://schemas.openxmlformats.org/officeDocument/2006/relationships/image" Target="../media/image11.png"/><Relationship Id="rId4" Type="http://schemas.openxmlformats.org/officeDocument/2006/relationships/hyperlink" Target="#PRESUPUESTO!A1"/></Relationships>
</file>

<file path=xl/drawings/_rels/drawing32.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5" Type="http://schemas.openxmlformats.org/officeDocument/2006/relationships/image" Target="../media/image11.png"/><Relationship Id="rId4" Type="http://schemas.openxmlformats.org/officeDocument/2006/relationships/hyperlink" Target="#PRESUPUESTO!A1"/></Relationships>
</file>

<file path=xl/drawings/_rels/drawing33.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5" Type="http://schemas.openxmlformats.org/officeDocument/2006/relationships/image" Target="../media/image11.png"/><Relationship Id="rId4" Type="http://schemas.openxmlformats.org/officeDocument/2006/relationships/hyperlink" Target="#PRESUPUESTO!A1"/></Relationships>
</file>

<file path=xl/drawings/_rels/drawing34.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5" Type="http://schemas.openxmlformats.org/officeDocument/2006/relationships/image" Target="../media/image11.png"/><Relationship Id="rId4" Type="http://schemas.openxmlformats.org/officeDocument/2006/relationships/hyperlink" Target="#PRESUPUESTO!A1"/></Relationships>
</file>

<file path=xl/drawings/_rels/drawing35.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5" Type="http://schemas.openxmlformats.org/officeDocument/2006/relationships/image" Target="../media/image11.png"/><Relationship Id="rId4" Type="http://schemas.openxmlformats.org/officeDocument/2006/relationships/hyperlink" Target="#PRESUPUESTO!A1"/></Relationships>
</file>

<file path=xl/drawings/_rels/drawing36.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5" Type="http://schemas.openxmlformats.org/officeDocument/2006/relationships/image" Target="../media/image11.png"/><Relationship Id="rId4" Type="http://schemas.openxmlformats.org/officeDocument/2006/relationships/hyperlink" Target="#PRESUPUESTO!A1"/></Relationships>
</file>

<file path=xl/drawings/_rels/drawing37.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5" Type="http://schemas.openxmlformats.org/officeDocument/2006/relationships/image" Target="../media/image11.png"/><Relationship Id="rId4" Type="http://schemas.openxmlformats.org/officeDocument/2006/relationships/hyperlink" Target="#PRESUPUESTO!A1"/></Relationships>
</file>

<file path=xl/drawings/_rels/drawing38.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5" Type="http://schemas.openxmlformats.org/officeDocument/2006/relationships/image" Target="../media/image11.png"/><Relationship Id="rId4" Type="http://schemas.openxmlformats.org/officeDocument/2006/relationships/hyperlink" Target="#PRESUPUESTO!A1"/></Relationships>
</file>

<file path=xl/drawings/_rels/drawing39.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5" Type="http://schemas.openxmlformats.org/officeDocument/2006/relationships/image" Target="../media/image11.png"/><Relationship Id="rId4" Type="http://schemas.openxmlformats.org/officeDocument/2006/relationships/hyperlink" Target="#PRESUPUESTO!A1"/></Relationships>
</file>

<file path=xl/drawings/_rels/drawing40.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5" Type="http://schemas.openxmlformats.org/officeDocument/2006/relationships/image" Target="../media/image11.png"/><Relationship Id="rId4" Type="http://schemas.openxmlformats.org/officeDocument/2006/relationships/hyperlink" Target="#PRESUPUESTO!A1"/></Relationships>
</file>

<file path=xl/drawings/_rels/drawing41.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5" Type="http://schemas.openxmlformats.org/officeDocument/2006/relationships/image" Target="../media/image11.png"/><Relationship Id="rId4" Type="http://schemas.openxmlformats.org/officeDocument/2006/relationships/hyperlink" Target="#PRESUPUESTO!A1"/></Relationships>
</file>

<file path=xl/drawings/_rels/drawing42.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5" Type="http://schemas.openxmlformats.org/officeDocument/2006/relationships/image" Target="../media/image11.png"/><Relationship Id="rId4" Type="http://schemas.openxmlformats.org/officeDocument/2006/relationships/hyperlink" Target="#PRESUPUESTO!A1"/></Relationships>
</file>

<file path=xl/drawings/_rels/drawing43.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5" Type="http://schemas.openxmlformats.org/officeDocument/2006/relationships/image" Target="../media/image11.png"/><Relationship Id="rId4" Type="http://schemas.openxmlformats.org/officeDocument/2006/relationships/hyperlink" Target="#PRESUPUESTO!A1"/></Relationships>
</file>

<file path=xl/drawings/_rels/drawing44.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5" Type="http://schemas.openxmlformats.org/officeDocument/2006/relationships/image" Target="../media/image11.png"/><Relationship Id="rId4" Type="http://schemas.openxmlformats.org/officeDocument/2006/relationships/hyperlink" Target="#PRESUPUESTO!A1"/></Relationships>
</file>

<file path=xl/drawings/_rels/drawing45.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5" Type="http://schemas.openxmlformats.org/officeDocument/2006/relationships/image" Target="../media/image11.png"/><Relationship Id="rId4" Type="http://schemas.openxmlformats.org/officeDocument/2006/relationships/hyperlink" Target="#PRESUPUESTO!A1"/></Relationships>
</file>

<file path=xl/drawings/_rels/drawing46.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6" Type="http://schemas.openxmlformats.org/officeDocument/2006/relationships/image" Target="../media/image16.png"/><Relationship Id="rId5" Type="http://schemas.openxmlformats.org/officeDocument/2006/relationships/image" Target="../media/image17.png"/><Relationship Id="rId4" Type="http://schemas.openxmlformats.org/officeDocument/2006/relationships/hyperlink" Target="#PRESUPUESTO!A1"/></Relationships>
</file>

<file path=xl/drawings/_rels/drawing47.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6" Type="http://schemas.openxmlformats.org/officeDocument/2006/relationships/image" Target="../media/image16.png"/><Relationship Id="rId5" Type="http://schemas.openxmlformats.org/officeDocument/2006/relationships/image" Target="../media/image17.png"/><Relationship Id="rId4" Type="http://schemas.openxmlformats.org/officeDocument/2006/relationships/hyperlink" Target="#PRESUPUESTO!A1"/></Relationships>
</file>

<file path=xl/drawings/_rels/drawing48.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6" Type="http://schemas.openxmlformats.org/officeDocument/2006/relationships/image" Target="../media/image16.png"/><Relationship Id="rId5" Type="http://schemas.openxmlformats.org/officeDocument/2006/relationships/image" Target="../media/image17.png"/><Relationship Id="rId4" Type="http://schemas.openxmlformats.org/officeDocument/2006/relationships/hyperlink" Target="#PRESUPUESTO!A1"/></Relationships>
</file>

<file path=xl/drawings/_rels/drawing49.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6" Type="http://schemas.openxmlformats.org/officeDocument/2006/relationships/image" Target="../media/image16.png"/><Relationship Id="rId5" Type="http://schemas.openxmlformats.org/officeDocument/2006/relationships/image" Target="../media/image17.png"/><Relationship Id="rId4" Type="http://schemas.openxmlformats.org/officeDocument/2006/relationships/hyperlink" Target="#PRESUPUESTO!A1"/></Relationships>
</file>

<file path=xl/drawings/_rels/drawing50.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6" Type="http://schemas.openxmlformats.org/officeDocument/2006/relationships/image" Target="../media/image16.png"/><Relationship Id="rId5" Type="http://schemas.openxmlformats.org/officeDocument/2006/relationships/image" Target="../media/image17.png"/><Relationship Id="rId4" Type="http://schemas.openxmlformats.org/officeDocument/2006/relationships/hyperlink" Target="#PRESUPUESTO!A1"/></Relationships>
</file>

<file path=xl/drawings/_rels/drawing51.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6" Type="http://schemas.openxmlformats.org/officeDocument/2006/relationships/image" Target="../media/image16.png"/><Relationship Id="rId5" Type="http://schemas.openxmlformats.org/officeDocument/2006/relationships/image" Target="../media/image17.png"/><Relationship Id="rId4" Type="http://schemas.openxmlformats.org/officeDocument/2006/relationships/hyperlink" Target="#PRESUPUESTO!A1"/></Relationships>
</file>

<file path=xl/drawings/_rels/drawing52.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6" Type="http://schemas.openxmlformats.org/officeDocument/2006/relationships/image" Target="../media/image16.png"/><Relationship Id="rId5" Type="http://schemas.openxmlformats.org/officeDocument/2006/relationships/image" Target="../media/image17.png"/><Relationship Id="rId4" Type="http://schemas.openxmlformats.org/officeDocument/2006/relationships/hyperlink" Target="#PRESUPUESTO!A1"/></Relationships>
</file>

<file path=xl/drawings/_rels/drawing53.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6" Type="http://schemas.openxmlformats.org/officeDocument/2006/relationships/image" Target="../media/image16.png"/><Relationship Id="rId5" Type="http://schemas.openxmlformats.org/officeDocument/2006/relationships/image" Target="../media/image17.png"/><Relationship Id="rId4" Type="http://schemas.openxmlformats.org/officeDocument/2006/relationships/hyperlink" Target="#PRESUPUESTO!A1"/></Relationships>
</file>

<file path=xl/drawings/_rels/drawing54.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6" Type="http://schemas.openxmlformats.org/officeDocument/2006/relationships/image" Target="../media/image16.png"/><Relationship Id="rId5" Type="http://schemas.openxmlformats.org/officeDocument/2006/relationships/image" Target="../media/image17.png"/><Relationship Id="rId4" Type="http://schemas.openxmlformats.org/officeDocument/2006/relationships/hyperlink" Target="#PRESUPUESTO!A1"/></Relationships>
</file>

<file path=xl/drawings/_rels/drawing55.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6" Type="http://schemas.openxmlformats.org/officeDocument/2006/relationships/image" Target="../media/image16.png"/><Relationship Id="rId5" Type="http://schemas.openxmlformats.org/officeDocument/2006/relationships/image" Target="../media/image17.png"/><Relationship Id="rId4" Type="http://schemas.openxmlformats.org/officeDocument/2006/relationships/hyperlink" Target="#PRESUPUESTO!A1"/></Relationships>
</file>

<file path=xl/drawings/_rels/drawing56.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6" Type="http://schemas.openxmlformats.org/officeDocument/2006/relationships/image" Target="../media/image16.png"/><Relationship Id="rId5" Type="http://schemas.openxmlformats.org/officeDocument/2006/relationships/image" Target="../media/image17.png"/><Relationship Id="rId4" Type="http://schemas.openxmlformats.org/officeDocument/2006/relationships/hyperlink" Target="#PRESUPUESTO!A1"/></Relationships>
</file>

<file path=xl/drawings/_rels/drawing57.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6" Type="http://schemas.openxmlformats.org/officeDocument/2006/relationships/image" Target="../media/image16.png"/><Relationship Id="rId5" Type="http://schemas.openxmlformats.org/officeDocument/2006/relationships/image" Target="../media/image17.png"/><Relationship Id="rId4" Type="http://schemas.openxmlformats.org/officeDocument/2006/relationships/hyperlink" Target="#PRESUPUESTO!A1"/></Relationships>
</file>

<file path=xl/drawings/_rels/drawing58.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6" Type="http://schemas.openxmlformats.org/officeDocument/2006/relationships/image" Target="../media/image16.png"/><Relationship Id="rId5" Type="http://schemas.openxmlformats.org/officeDocument/2006/relationships/image" Target="../media/image17.png"/><Relationship Id="rId4" Type="http://schemas.openxmlformats.org/officeDocument/2006/relationships/hyperlink" Target="#PRESUPUESTO!A1"/></Relationships>
</file>

<file path=xl/drawings/_rels/drawing59.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6" Type="http://schemas.openxmlformats.org/officeDocument/2006/relationships/image" Target="../media/image16.png"/><Relationship Id="rId5" Type="http://schemas.openxmlformats.org/officeDocument/2006/relationships/image" Target="../media/image17.png"/><Relationship Id="rId4" Type="http://schemas.openxmlformats.org/officeDocument/2006/relationships/hyperlink" Target="#PRESUPUESTO!A1"/></Relationships>
</file>

<file path=xl/drawings/_rels/drawing60.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6" Type="http://schemas.openxmlformats.org/officeDocument/2006/relationships/image" Target="../media/image16.png"/><Relationship Id="rId5" Type="http://schemas.openxmlformats.org/officeDocument/2006/relationships/image" Target="../media/image17.png"/><Relationship Id="rId4" Type="http://schemas.openxmlformats.org/officeDocument/2006/relationships/hyperlink" Target="#PRESUPUESTO!A1"/></Relationships>
</file>

<file path=xl/drawings/_rels/drawing61.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6" Type="http://schemas.openxmlformats.org/officeDocument/2006/relationships/image" Target="../media/image16.png"/><Relationship Id="rId5" Type="http://schemas.openxmlformats.org/officeDocument/2006/relationships/image" Target="../media/image18.png"/><Relationship Id="rId4" Type="http://schemas.openxmlformats.org/officeDocument/2006/relationships/hyperlink" Target="#PRESUPUESTO!A1"/></Relationships>
</file>

<file path=xl/drawings/_rels/drawing62.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6" Type="http://schemas.openxmlformats.org/officeDocument/2006/relationships/image" Target="../media/image16.png"/><Relationship Id="rId5" Type="http://schemas.openxmlformats.org/officeDocument/2006/relationships/image" Target="../media/image17.png"/><Relationship Id="rId4" Type="http://schemas.openxmlformats.org/officeDocument/2006/relationships/hyperlink" Target="#PRESUPUESTO!A1"/></Relationships>
</file>

<file path=xl/drawings/_rels/drawing63.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6" Type="http://schemas.openxmlformats.org/officeDocument/2006/relationships/image" Target="../media/image16.png"/><Relationship Id="rId5" Type="http://schemas.openxmlformats.org/officeDocument/2006/relationships/image" Target="../media/image17.png"/><Relationship Id="rId4" Type="http://schemas.openxmlformats.org/officeDocument/2006/relationships/hyperlink" Target="#PRESUPUESTO!A1"/></Relationships>
</file>

<file path=xl/drawings/_rels/drawing64.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6" Type="http://schemas.openxmlformats.org/officeDocument/2006/relationships/image" Target="../media/image16.png"/><Relationship Id="rId5" Type="http://schemas.openxmlformats.org/officeDocument/2006/relationships/image" Target="../media/image17.png"/><Relationship Id="rId4" Type="http://schemas.openxmlformats.org/officeDocument/2006/relationships/hyperlink" Target="#PRESUPUESTO!A1"/></Relationships>
</file>

<file path=xl/drawings/_rels/drawing65.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6" Type="http://schemas.openxmlformats.org/officeDocument/2006/relationships/image" Target="../media/image16.png"/><Relationship Id="rId5" Type="http://schemas.openxmlformats.org/officeDocument/2006/relationships/image" Target="../media/image17.png"/><Relationship Id="rId4" Type="http://schemas.openxmlformats.org/officeDocument/2006/relationships/hyperlink" Target="#PRESUPUESTO!A1"/></Relationships>
</file>

<file path=xl/drawings/_rels/drawing66.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6" Type="http://schemas.openxmlformats.org/officeDocument/2006/relationships/image" Target="../media/image16.png"/><Relationship Id="rId5" Type="http://schemas.openxmlformats.org/officeDocument/2006/relationships/image" Target="../media/image17.png"/><Relationship Id="rId4" Type="http://schemas.openxmlformats.org/officeDocument/2006/relationships/hyperlink" Target="#PRESUPUESTO!A1"/></Relationships>
</file>

<file path=xl/drawings/_rels/drawing67.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6" Type="http://schemas.openxmlformats.org/officeDocument/2006/relationships/image" Target="../media/image16.png"/><Relationship Id="rId5" Type="http://schemas.openxmlformats.org/officeDocument/2006/relationships/image" Target="../media/image17.png"/><Relationship Id="rId4" Type="http://schemas.openxmlformats.org/officeDocument/2006/relationships/hyperlink" Target="#PRESUPUESTO!A1"/></Relationships>
</file>

<file path=xl/drawings/_rels/drawing68.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6" Type="http://schemas.openxmlformats.org/officeDocument/2006/relationships/image" Target="../media/image16.png"/><Relationship Id="rId5" Type="http://schemas.openxmlformats.org/officeDocument/2006/relationships/image" Target="../media/image17.png"/><Relationship Id="rId4" Type="http://schemas.openxmlformats.org/officeDocument/2006/relationships/hyperlink" Target="#PRESUPUESTO!A1"/></Relationships>
</file>

<file path=xl/drawings/_rels/drawing69.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6" Type="http://schemas.openxmlformats.org/officeDocument/2006/relationships/image" Target="../media/image16.png"/><Relationship Id="rId5" Type="http://schemas.openxmlformats.org/officeDocument/2006/relationships/image" Target="../media/image17.png"/><Relationship Id="rId4" Type="http://schemas.openxmlformats.org/officeDocument/2006/relationships/hyperlink" Target="#PRESUPUESTO!A1"/></Relationships>
</file>

<file path=xl/drawings/_rels/drawing70.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6" Type="http://schemas.openxmlformats.org/officeDocument/2006/relationships/image" Target="../media/image16.png"/><Relationship Id="rId5" Type="http://schemas.openxmlformats.org/officeDocument/2006/relationships/image" Target="../media/image17.png"/><Relationship Id="rId4" Type="http://schemas.openxmlformats.org/officeDocument/2006/relationships/hyperlink" Target="#PRESUPUESTO!A1"/></Relationships>
</file>

<file path=xl/drawings/_rels/drawing71.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6" Type="http://schemas.openxmlformats.org/officeDocument/2006/relationships/image" Target="../media/image16.png"/><Relationship Id="rId5" Type="http://schemas.openxmlformats.org/officeDocument/2006/relationships/image" Target="../media/image17.png"/><Relationship Id="rId4" Type="http://schemas.openxmlformats.org/officeDocument/2006/relationships/hyperlink" Target="#PRESUPUESTO!A1"/></Relationships>
</file>

<file path=xl/drawings/_rels/drawing72.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6" Type="http://schemas.openxmlformats.org/officeDocument/2006/relationships/image" Target="../media/image16.png"/><Relationship Id="rId5" Type="http://schemas.openxmlformats.org/officeDocument/2006/relationships/image" Target="../media/image17.png"/><Relationship Id="rId4" Type="http://schemas.openxmlformats.org/officeDocument/2006/relationships/hyperlink" Target="#PRESUPUESTO!A1"/></Relationships>
</file>

<file path=xl/drawings/_rels/drawing73.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6" Type="http://schemas.openxmlformats.org/officeDocument/2006/relationships/image" Target="../media/image16.png"/><Relationship Id="rId5" Type="http://schemas.openxmlformats.org/officeDocument/2006/relationships/image" Target="../media/image18.png"/><Relationship Id="rId4" Type="http://schemas.openxmlformats.org/officeDocument/2006/relationships/hyperlink" Target="#PRESUPUESTO!A1"/></Relationships>
</file>

<file path=xl/drawings/_rels/drawing74.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6" Type="http://schemas.openxmlformats.org/officeDocument/2006/relationships/image" Target="../media/image16.png"/><Relationship Id="rId5" Type="http://schemas.openxmlformats.org/officeDocument/2006/relationships/image" Target="../media/image17.png"/><Relationship Id="rId4" Type="http://schemas.openxmlformats.org/officeDocument/2006/relationships/hyperlink" Target="#PRESUPUESTO!A1"/></Relationships>
</file>

<file path=xl/drawings/_rels/drawing75.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6" Type="http://schemas.openxmlformats.org/officeDocument/2006/relationships/image" Target="../media/image16.png"/><Relationship Id="rId5" Type="http://schemas.openxmlformats.org/officeDocument/2006/relationships/image" Target="../media/image17.png"/><Relationship Id="rId4" Type="http://schemas.openxmlformats.org/officeDocument/2006/relationships/hyperlink" Target="#PRESUPUESTO!A1"/></Relationships>
</file>

<file path=xl/drawings/_rels/drawing76.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6" Type="http://schemas.openxmlformats.org/officeDocument/2006/relationships/image" Target="../media/image16.png"/><Relationship Id="rId5" Type="http://schemas.openxmlformats.org/officeDocument/2006/relationships/image" Target="../media/image17.png"/><Relationship Id="rId4" Type="http://schemas.openxmlformats.org/officeDocument/2006/relationships/hyperlink" Target="#PRESUPUESTO!A1"/></Relationships>
</file>

<file path=xl/drawings/_rels/drawing77.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6" Type="http://schemas.openxmlformats.org/officeDocument/2006/relationships/image" Target="../media/image16.png"/><Relationship Id="rId5" Type="http://schemas.openxmlformats.org/officeDocument/2006/relationships/image" Target="../media/image17.png"/><Relationship Id="rId4" Type="http://schemas.openxmlformats.org/officeDocument/2006/relationships/hyperlink" Target="#PRESUPUESTO!A1"/></Relationships>
</file>

<file path=xl/drawings/_rels/drawing78.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6" Type="http://schemas.openxmlformats.org/officeDocument/2006/relationships/image" Target="../media/image16.png"/><Relationship Id="rId5" Type="http://schemas.openxmlformats.org/officeDocument/2006/relationships/image" Target="../media/image17.png"/><Relationship Id="rId4" Type="http://schemas.openxmlformats.org/officeDocument/2006/relationships/hyperlink" Target="#PRESUPUESTO!A1"/></Relationships>
</file>

<file path=xl/drawings/_rels/drawing79.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6" Type="http://schemas.openxmlformats.org/officeDocument/2006/relationships/image" Target="../media/image16.png"/><Relationship Id="rId5" Type="http://schemas.openxmlformats.org/officeDocument/2006/relationships/image" Target="../media/image17.png"/><Relationship Id="rId4" Type="http://schemas.openxmlformats.org/officeDocument/2006/relationships/hyperlink" Target="#PRESUPUESTO!A1"/></Relationships>
</file>

<file path=xl/drawings/_rels/drawing80.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6" Type="http://schemas.openxmlformats.org/officeDocument/2006/relationships/image" Target="../media/image16.png"/><Relationship Id="rId5" Type="http://schemas.openxmlformats.org/officeDocument/2006/relationships/image" Target="../media/image17.png"/><Relationship Id="rId4" Type="http://schemas.openxmlformats.org/officeDocument/2006/relationships/hyperlink" Target="#PRESUPUESTO!A1"/></Relationships>
</file>

<file path=xl/drawings/_rels/drawing81.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6" Type="http://schemas.openxmlformats.org/officeDocument/2006/relationships/image" Target="../media/image16.png"/><Relationship Id="rId5" Type="http://schemas.openxmlformats.org/officeDocument/2006/relationships/image" Target="../media/image17.png"/><Relationship Id="rId4" Type="http://schemas.openxmlformats.org/officeDocument/2006/relationships/hyperlink" Target="#PRESUPUESTO!A1"/></Relationships>
</file>

<file path=xl/drawings/_rels/drawing82.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6" Type="http://schemas.openxmlformats.org/officeDocument/2006/relationships/image" Target="../media/image16.png"/><Relationship Id="rId5" Type="http://schemas.openxmlformats.org/officeDocument/2006/relationships/image" Target="../media/image17.png"/><Relationship Id="rId4" Type="http://schemas.openxmlformats.org/officeDocument/2006/relationships/hyperlink" Target="#PRESUPUESTO!A1"/></Relationships>
</file>

<file path=xl/drawings/_rels/drawing83.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6" Type="http://schemas.openxmlformats.org/officeDocument/2006/relationships/image" Target="../media/image16.png"/><Relationship Id="rId5" Type="http://schemas.openxmlformats.org/officeDocument/2006/relationships/image" Target="../media/image17.png"/><Relationship Id="rId4" Type="http://schemas.openxmlformats.org/officeDocument/2006/relationships/hyperlink" Target="#PRESUPUESTO!A1"/></Relationships>
</file>

<file path=xl/drawings/_rels/drawing84.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6" Type="http://schemas.openxmlformats.org/officeDocument/2006/relationships/image" Target="../media/image16.png"/><Relationship Id="rId5" Type="http://schemas.openxmlformats.org/officeDocument/2006/relationships/image" Target="../media/image17.png"/><Relationship Id="rId4" Type="http://schemas.openxmlformats.org/officeDocument/2006/relationships/hyperlink" Target="#PRESUPUESTO!A1"/></Relationships>
</file>

<file path=xl/drawings/_rels/drawing85.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6" Type="http://schemas.openxmlformats.org/officeDocument/2006/relationships/image" Target="../media/image16.png"/><Relationship Id="rId5" Type="http://schemas.openxmlformats.org/officeDocument/2006/relationships/image" Target="../media/image17.png"/><Relationship Id="rId4" Type="http://schemas.openxmlformats.org/officeDocument/2006/relationships/hyperlink" Target="#PRESUPUESTO!A1"/></Relationships>
</file>

<file path=xl/drawings/_rels/drawing86.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6" Type="http://schemas.openxmlformats.org/officeDocument/2006/relationships/image" Target="../media/image16.png"/><Relationship Id="rId5" Type="http://schemas.openxmlformats.org/officeDocument/2006/relationships/image" Target="../media/image17.png"/><Relationship Id="rId4" Type="http://schemas.openxmlformats.org/officeDocument/2006/relationships/hyperlink" Target="#PRESUPUESTO!A1"/></Relationships>
</file>

<file path=xl/drawings/_rels/drawing87.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6" Type="http://schemas.openxmlformats.org/officeDocument/2006/relationships/image" Target="../media/image16.png"/><Relationship Id="rId5" Type="http://schemas.openxmlformats.org/officeDocument/2006/relationships/image" Target="../media/image17.png"/><Relationship Id="rId4" Type="http://schemas.openxmlformats.org/officeDocument/2006/relationships/hyperlink" Target="#PRESUPUESTO!A1"/></Relationships>
</file>

<file path=xl/drawings/_rels/drawing88.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6" Type="http://schemas.openxmlformats.org/officeDocument/2006/relationships/image" Target="../media/image16.png"/><Relationship Id="rId5" Type="http://schemas.openxmlformats.org/officeDocument/2006/relationships/image" Target="../media/image17.png"/><Relationship Id="rId4" Type="http://schemas.openxmlformats.org/officeDocument/2006/relationships/hyperlink" Target="#PRESUPUESTO!A1"/></Relationships>
</file>

<file path=xl/drawings/_rels/drawing89.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6" Type="http://schemas.openxmlformats.org/officeDocument/2006/relationships/image" Target="../media/image16.png"/><Relationship Id="rId5" Type="http://schemas.openxmlformats.org/officeDocument/2006/relationships/image" Target="../media/image18.png"/><Relationship Id="rId4" Type="http://schemas.openxmlformats.org/officeDocument/2006/relationships/hyperlink" Target="#PRESUPUESTO!A1"/></Relationships>
</file>

<file path=xl/drawings/_rels/drawing90.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6" Type="http://schemas.openxmlformats.org/officeDocument/2006/relationships/image" Target="../media/image16.png"/><Relationship Id="rId5" Type="http://schemas.openxmlformats.org/officeDocument/2006/relationships/image" Target="../media/image17.png"/><Relationship Id="rId4" Type="http://schemas.openxmlformats.org/officeDocument/2006/relationships/hyperlink" Target="#PRESUPUESTO!A1"/></Relationships>
</file>

<file path=xl/drawings/_rels/drawing91.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6" Type="http://schemas.openxmlformats.org/officeDocument/2006/relationships/image" Target="../media/image16.png"/><Relationship Id="rId5" Type="http://schemas.openxmlformats.org/officeDocument/2006/relationships/image" Target="../media/image17.png"/><Relationship Id="rId4" Type="http://schemas.openxmlformats.org/officeDocument/2006/relationships/hyperlink" Target="#PRESUPUESTO!A1"/></Relationships>
</file>

<file path=xl/drawings/_rels/drawing92.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6" Type="http://schemas.openxmlformats.org/officeDocument/2006/relationships/image" Target="../media/image16.png"/><Relationship Id="rId5" Type="http://schemas.openxmlformats.org/officeDocument/2006/relationships/image" Target="../media/image17.png"/><Relationship Id="rId4" Type="http://schemas.openxmlformats.org/officeDocument/2006/relationships/hyperlink" Target="#PRESUPUESTO!A1"/></Relationships>
</file>

<file path=xl/drawings/_rels/drawing93.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6" Type="http://schemas.openxmlformats.org/officeDocument/2006/relationships/image" Target="../media/image16.png"/><Relationship Id="rId5" Type="http://schemas.openxmlformats.org/officeDocument/2006/relationships/image" Target="../media/image17.png"/><Relationship Id="rId4" Type="http://schemas.openxmlformats.org/officeDocument/2006/relationships/hyperlink" Target="#PRESUPUESTO!A1"/></Relationships>
</file>

<file path=xl/drawings/_rels/drawing94.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6" Type="http://schemas.openxmlformats.org/officeDocument/2006/relationships/image" Target="../media/image16.png"/><Relationship Id="rId5" Type="http://schemas.openxmlformats.org/officeDocument/2006/relationships/image" Target="../media/image17.png"/><Relationship Id="rId4" Type="http://schemas.openxmlformats.org/officeDocument/2006/relationships/hyperlink" Target="#PRESUPUESTO!A1"/></Relationships>
</file>

<file path=xl/drawings/_rels/drawing95.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6" Type="http://schemas.openxmlformats.org/officeDocument/2006/relationships/image" Target="../media/image16.png"/><Relationship Id="rId5" Type="http://schemas.openxmlformats.org/officeDocument/2006/relationships/image" Target="../media/image17.png"/><Relationship Id="rId4" Type="http://schemas.openxmlformats.org/officeDocument/2006/relationships/hyperlink" Target="#PRESUPUESTO!A1"/></Relationships>
</file>

<file path=xl/drawings/_rels/drawing96.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6" Type="http://schemas.openxmlformats.org/officeDocument/2006/relationships/image" Target="../media/image16.png"/><Relationship Id="rId5" Type="http://schemas.openxmlformats.org/officeDocument/2006/relationships/image" Target="../media/image17.png"/><Relationship Id="rId4" Type="http://schemas.openxmlformats.org/officeDocument/2006/relationships/hyperlink" Target="#PRESUPUESTO!A1"/></Relationships>
</file>

<file path=xl/drawings/_rels/drawing97.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6" Type="http://schemas.openxmlformats.org/officeDocument/2006/relationships/image" Target="../media/image16.png"/><Relationship Id="rId5" Type="http://schemas.openxmlformats.org/officeDocument/2006/relationships/image" Target="../media/image17.png"/><Relationship Id="rId4" Type="http://schemas.openxmlformats.org/officeDocument/2006/relationships/hyperlink" Target="#PRESUPUESTO!A1"/></Relationships>
</file>

<file path=xl/drawings/_rels/drawing98.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6" Type="http://schemas.openxmlformats.org/officeDocument/2006/relationships/image" Target="../media/image16.png"/><Relationship Id="rId5" Type="http://schemas.openxmlformats.org/officeDocument/2006/relationships/image" Target="../media/image17.png"/><Relationship Id="rId4" Type="http://schemas.openxmlformats.org/officeDocument/2006/relationships/hyperlink" Target="#PRESUPUESTO!A1"/></Relationships>
</file>

<file path=xl/drawings/_rels/drawing99.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6" Type="http://schemas.openxmlformats.org/officeDocument/2006/relationships/image" Target="../media/image16.png"/><Relationship Id="rId5" Type="http://schemas.openxmlformats.org/officeDocument/2006/relationships/image" Target="../media/image17.png"/><Relationship Id="rId4" Type="http://schemas.openxmlformats.org/officeDocument/2006/relationships/hyperlink" Target="#PRESUPUESTO!A1"/></Relationships>
</file>

<file path=xl/drawings/_rels/drawing100.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6" Type="http://schemas.openxmlformats.org/officeDocument/2006/relationships/image" Target="../media/image16.png"/><Relationship Id="rId5" Type="http://schemas.openxmlformats.org/officeDocument/2006/relationships/image" Target="../media/image17.png"/><Relationship Id="rId4" Type="http://schemas.openxmlformats.org/officeDocument/2006/relationships/hyperlink" Target="#PRESUPUESTO!A1"/></Relationships>
</file>

<file path=xl/drawings/_rels/drawing101.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6" Type="http://schemas.openxmlformats.org/officeDocument/2006/relationships/image" Target="../media/image16.png"/><Relationship Id="rId5" Type="http://schemas.openxmlformats.org/officeDocument/2006/relationships/image" Target="../media/image17.png"/><Relationship Id="rId4" Type="http://schemas.openxmlformats.org/officeDocument/2006/relationships/hyperlink" Target="#PRESUPUESTO!A1"/></Relationships>
</file>

<file path=xl/drawings/_rels/drawing102.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6" Type="http://schemas.openxmlformats.org/officeDocument/2006/relationships/image" Target="../media/image16.png"/><Relationship Id="rId5" Type="http://schemas.openxmlformats.org/officeDocument/2006/relationships/image" Target="../media/image17.png"/><Relationship Id="rId4" Type="http://schemas.openxmlformats.org/officeDocument/2006/relationships/hyperlink" Target="#PRESUPUESTO!A1"/></Relationships>
</file>

<file path=xl/drawings/_rels/drawing103.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6" Type="http://schemas.openxmlformats.org/officeDocument/2006/relationships/image" Target="../media/image16.png"/><Relationship Id="rId5" Type="http://schemas.openxmlformats.org/officeDocument/2006/relationships/image" Target="../media/image17.png"/><Relationship Id="rId4" Type="http://schemas.openxmlformats.org/officeDocument/2006/relationships/hyperlink" Target="#PRESUPUESTO!A1"/></Relationships>
</file>

<file path=xl/drawings/_rels/drawing104.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6" Type="http://schemas.openxmlformats.org/officeDocument/2006/relationships/image" Target="../media/image16.png"/><Relationship Id="rId5" Type="http://schemas.openxmlformats.org/officeDocument/2006/relationships/image" Target="../media/image17.png"/><Relationship Id="rId4" Type="http://schemas.openxmlformats.org/officeDocument/2006/relationships/hyperlink" Target="#PRESUPUESTO!A1"/></Relationships>
</file>

<file path=xl/drawings/_rels/drawing105.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6" Type="http://schemas.openxmlformats.org/officeDocument/2006/relationships/image" Target="../media/image16.png"/><Relationship Id="rId5" Type="http://schemas.openxmlformats.org/officeDocument/2006/relationships/image" Target="../media/image17.png"/><Relationship Id="rId4" Type="http://schemas.openxmlformats.org/officeDocument/2006/relationships/hyperlink" Target="#PRESUPUESTO!A1"/></Relationships>
</file>

<file path=xl/drawings/_rels/drawing106.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6" Type="http://schemas.openxmlformats.org/officeDocument/2006/relationships/image" Target="../media/image16.png"/><Relationship Id="rId5" Type="http://schemas.openxmlformats.org/officeDocument/2006/relationships/image" Target="../media/image17.png"/><Relationship Id="rId4" Type="http://schemas.openxmlformats.org/officeDocument/2006/relationships/hyperlink" Target="#PRESUPUESTO!A1"/></Relationships>
</file>

<file path=xl/drawings/_rels/drawing107.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6" Type="http://schemas.openxmlformats.org/officeDocument/2006/relationships/image" Target="../media/image16.png"/><Relationship Id="rId5" Type="http://schemas.openxmlformats.org/officeDocument/2006/relationships/image" Target="../media/image17.png"/><Relationship Id="rId4" Type="http://schemas.openxmlformats.org/officeDocument/2006/relationships/hyperlink" Target="#PRESUPUESTO!A1"/></Relationships>
</file>

<file path=xl/drawings/_rels/drawing108.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6" Type="http://schemas.openxmlformats.org/officeDocument/2006/relationships/image" Target="../media/image16.png"/><Relationship Id="rId5" Type="http://schemas.openxmlformats.org/officeDocument/2006/relationships/image" Target="../media/image17.png"/><Relationship Id="rId4" Type="http://schemas.openxmlformats.org/officeDocument/2006/relationships/hyperlink" Target="#PRESUPUESTO!A1"/></Relationships>
</file>

<file path=xl/drawings/_rels/drawing109.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6" Type="http://schemas.openxmlformats.org/officeDocument/2006/relationships/image" Target="../media/image16.png"/><Relationship Id="rId5" Type="http://schemas.openxmlformats.org/officeDocument/2006/relationships/image" Target="../media/image17.png"/><Relationship Id="rId4" Type="http://schemas.openxmlformats.org/officeDocument/2006/relationships/hyperlink" Target="#PRESUPUESTO!A1"/></Relationships>
</file>

<file path=xl/drawings/_rels/drawing110.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6" Type="http://schemas.openxmlformats.org/officeDocument/2006/relationships/image" Target="../media/image16.png"/><Relationship Id="rId5" Type="http://schemas.openxmlformats.org/officeDocument/2006/relationships/image" Target="../media/image17.png"/><Relationship Id="rId4" Type="http://schemas.openxmlformats.org/officeDocument/2006/relationships/hyperlink" Target="#PRESUPUESTO!A1"/></Relationships>
</file>

<file path=xl/drawings/_rels/drawing111.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6" Type="http://schemas.openxmlformats.org/officeDocument/2006/relationships/image" Target="../media/image16.png"/><Relationship Id="rId5" Type="http://schemas.openxmlformats.org/officeDocument/2006/relationships/image" Target="../media/image17.png"/><Relationship Id="rId4" Type="http://schemas.openxmlformats.org/officeDocument/2006/relationships/hyperlink" Target="#PRESUPUESTO!A1"/></Relationships>
</file>

<file path=xl/drawings/_rels/drawing112.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6" Type="http://schemas.openxmlformats.org/officeDocument/2006/relationships/image" Target="../media/image16.png"/><Relationship Id="rId5" Type="http://schemas.openxmlformats.org/officeDocument/2006/relationships/image" Target="../media/image17.png"/><Relationship Id="rId4" Type="http://schemas.openxmlformats.org/officeDocument/2006/relationships/hyperlink" Target="#PRESUPUESTO!A1"/></Relationships>
</file>

<file path=xl/drawings/_rels/drawing113.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6" Type="http://schemas.openxmlformats.org/officeDocument/2006/relationships/image" Target="../media/image16.png"/><Relationship Id="rId5" Type="http://schemas.openxmlformats.org/officeDocument/2006/relationships/image" Target="../media/image17.png"/><Relationship Id="rId4" Type="http://schemas.openxmlformats.org/officeDocument/2006/relationships/hyperlink" Target="#PRESUPUESTO!A1"/></Relationships>
</file>

<file path=xl/drawings/_rels/drawing114.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6" Type="http://schemas.openxmlformats.org/officeDocument/2006/relationships/image" Target="../media/image16.png"/><Relationship Id="rId5" Type="http://schemas.openxmlformats.org/officeDocument/2006/relationships/image" Target="../media/image17.png"/><Relationship Id="rId4" Type="http://schemas.openxmlformats.org/officeDocument/2006/relationships/hyperlink" Target="#PRESUPUESTO!A1"/></Relationships>
</file>

<file path=xl/drawings/_rels/drawing115.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6" Type="http://schemas.openxmlformats.org/officeDocument/2006/relationships/image" Target="../media/image16.png"/><Relationship Id="rId5" Type="http://schemas.openxmlformats.org/officeDocument/2006/relationships/image" Target="../media/image17.png"/><Relationship Id="rId4" Type="http://schemas.openxmlformats.org/officeDocument/2006/relationships/hyperlink" Target="#PRESUPUESTO!A1"/></Relationships>
</file>

<file path=xl/drawings/_rels/drawing116.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6" Type="http://schemas.openxmlformats.org/officeDocument/2006/relationships/image" Target="../media/image16.png"/><Relationship Id="rId5" Type="http://schemas.openxmlformats.org/officeDocument/2006/relationships/image" Target="../media/image17.png"/><Relationship Id="rId4" Type="http://schemas.openxmlformats.org/officeDocument/2006/relationships/hyperlink" Target="#PRESUPUESTO!A1"/></Relationships>
</file>

<file path=xl/drawings/_rels/drawing117.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6" Type="http://schemas.openxmlformats.org/officeDocument/2006/relationships/image" Target="../media/image16.png"/><Relationship Id="rId5" Type="http://schemas.openxmlformats.org/officeDocument/2006/relationships/image" Target="../media/image17.png"/><Relationship Id="rId4" Type="http://schemas.openxmlformats.org/officeDocument/2006/relationships/hyperlink" Target="#PRESUPUESTO!A1"/></Relationships>
</file>

<file path=xl/drawings/_rels/drawing118.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6" Type="http://schemas.openxmlformats.org/officeDocument/2006/relationships/image" Target="../media/image16.png"/><Relationship Id="rId5" Type="http://schemas.openxmlformats.org/officeDocument/2006/relationships/image" Target="../media/image17.png"/><Relationship Id="rId4" Type="http://schemas.openxmlformats.org/officeDocument/2006/relationships/hyperlink" Target="#PRESUPUESTO!A1"/></Relationships>
</file>

<file path=xl/drawings/_rels/drawing119.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6" Type="http://schemas.openxmlformats.org/officeDocument/2006/relationships/image" Target="../media/image16.png"/><Relationship Id="rId5" Type="http://schemas.openxmlformats.org/officeDocument/2006/relationships/image" Target="../media/image17.png"/><Relationship Id="rId4" Type="http://schemas.openxmlformats.org/officeDocument/2006/relationships/hyperlink" Target="#PRESUPUESTO!A1"/></Relationships>
</file>

<file path=xl/drawings/_rels/drawing120.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6" Type="http://schemas.openxmlformats.org/officeDocument/2006/relationships/image" Target="../media/image16.png"/><Relationship Id="rId5" Type="http://schemas.openxmlformats.org/officeDocument/2006/relationships/image" Target="../media/image17.png"/><Relationship Id="rId4" Type="http://schemas.openxmlformats.org/officeDocument/2006/relationships/hyperlink" Target="#PRESUPUESTO!A1"/></Relationships>
</file>

<file path=xl/drawings/_rels/drawing121.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6" Type="http://schemas.openxmlformats.org/officeDocument/2006/relationships/image" Target="../media/image16.png"/><Relationship Id="rId5" Type="http://schemas.openxmlformats.org/officeDocument/2006/relationships/image" Target="../media/image17.png"/><Relationship Id="rId4" Type="http://schemas.openxmlformats.org/officeDocument/2006/relationships/hyperlink" Target="#PRESUPUESTO!A1"/></Relationships>
</file>

<file path=xl/drawings/_rels/drawing122.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6" Type="http://schemas.openxmlformats.org/officeDocument/2006/relationships/image" Target="../media/image16.png"/><Relationship Id="rId5" Type="http://schemas.openxmlformats.org/officeDocument/2006/relationships/image" Target="../media/image17.png"/><Relationship Id="rId4" Type="http://schemas.openxmlformats.org/officeDocument/2006/relationships/hyperlink" Target="#PRESUPUESTO!A1"/></Relationships>
</file>

<file path=xl/drawings/_rels/drawing123.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6" Type="http://schemas.openxmlformats.org/officeDocument/2006/relationships/image" Target="../media/image16.png"/><Relationship Id="rId5" Type="http://schemas.openxmlformats.org/officeDocument/2006/relationships/image" Target="../media/image17.png"/><Relationship Id="rId4" Type="http://schemas.openxmlformats.org/officeDocument/2006/relationships/hyperlink" Target="#PRESUPUESTO!A1"/></Relationships>
</file>

<file path=xl/drawings/drawing1.xml><?xml version="1.0" encoding="utf-8"?>
<xdr:wsDr xmlns:xdr="http://schemas.openxmlformats.org/drawingml/2006/spreadsheetDrawing" xmlns:a="http://schemas.openxmlformats.org/drawingml/2006/main">
  <xdr:twoCellAnchor>
    <xdr:from>
      <xdr:col>1</xdr:col>
      <xdr:colOff>2205542</xdr:colOff>
      <xdr:row>0</xdr:row>
      <xdr:rowOff>72721</xdr:rowOff>
    </xdr:from>
    <xdr:to>
      <xdr:col>2</xdr:col>
      <xdr:colOff>563722</xdr:colOff>
      <xdr:row>0</xdr:row>
      <xdr:rowOff>474155</xdr:rowOff>
    </xdr:to>
    <xdr:sp macro="" textlink="">
      <xdr:nvSpPr>
        <xdr:cNvPr id="3" name="Flecha: hacia la izquierda 2">
          <a:hlinkClick xmlns:r="http://schemas.openxmlformats.org/officeDocument/2006/relationships" r:id="rId1"/>
          <a:extLst>
            <a:ext uri="{FF2B5EF4-FFF2-40B4-BE49-F238E27FC236}">
              <a16:creationId xmlns:a16="http://schemas.microsoft.com/office/drawing/2014/main" id="{00000000-0008-0000-0100-000003000000}"/>
            </a:ext>
          </a:extLst>
        </xdr:cNvPr>
        <xdr:cNvSpPr/>
      </xdr:nvSpPr>
      <xdr:spPr>
        <a:xfrm>
          <a:off x="3473824" y="99391"/>
          <a:ext cx="1420710" cy="484632"/>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213608</xdr:colOff>
      <xdr:row>0</xdr:row>
      <xdr:rowOff>72721</xdr:rowOff>
    </xdr:from>
    <xdr:to>
      <xdr:col>4</xdr:col>
      <xdr:colOff>364569</xdr:colOff>
      <xdr:row>0</xdr:row>
      <xdr:rowOff>474155</xdr:rowOff>
    </xdr:to>
    <xdr:sp macro="" textlink="">
      <xdr:nvSpPr>
        <xdr:cNvPr id="4" name="Flecha: hacia la izquierda 3">
          <a:hlinkClick xmlns:r="http://schemas.openxmlformats.org/officeDocument/2006/relationships" r:id="rId2"/>
          <a:extLst>
            <a:ext uri="{FF2B5EF4-FFF2-40B4-BE49-F238E27FC236}">
              <a16:creationId xmlns:a16="http://schemas.microsoft.com/office/drawing/2014/main" id="{00000000-0008-0000-0100-000004000000}"/>
            </a:ext>
          </a:extLst>
        </xdr:cNvPr>
        <xdr:cNvSpPr/>
      </xdr:nvSpPr>
      <xdr:spPr>
        <a:xfrm>
          <a:off x="5240455" y="99391"/>
          <a:ext cx="1034839" cy="484632"/>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572575</xdr:colOff>
      <xdr:row>0</xdr:row>
      <xdr:rowOff>82909</xdr:rowOff>
    </xdr:from>
    <xdr:to>
      <xdr:col>6</xdr:col>
      <xdr:colOff>384702</xdr:colOff>
      <xdr:row>0</xdr:row>
      <xdr:rowOff>475164</xdr:rowOff>
    </xdr:to>
    <xdr:sp macro="" textlink="">
      <xdr:nvSpPr>
        <xdr:cNvPr id="5" name="Flecha: a la derecha con bandas 4">
          <a:hlinkClick xmlns:r="http://schemas.openxmlformats.org/officeDocument/2006/relationships" r:id="rId3"/>
          <a:extLst>
            <a:ext uri="{FF2B5EF4-FFF2-40B4-BE49-F238E27FC236}">
              <a16:creationId xmlns:a16="http://schemas.microsoft.com/office/drawing/2014/main" id="{00000000-0008-0000-0100-000005000000}"/>
            </a:ext>
          </a:extLst>
        </xdr:cNvPr>
        <xdr:cNvSpPr/>
      </xdr:nvSpPr>
      <xdr:spPr>
        <a:xfrm>
          <a:off x="6542285" y="107674"/>
          <a:ext cx="1380274" cy="484632"/>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8</xdr:col>
      <xdr:colOff>43543</xdr:colOff>
      <xdr:row>36</xdr:row>
      <xdr:rowOff>293914</xdr:rowOff>
    </xdr:from>
    <xdr:to>
      <xdr:col>13</xdr:col>
      <xdr:colOff>682954</xdr:colOff>
      <xdr:row>53</xdr:row>
      <xdr:rowOff>138343</xdr:rowOff>
    </xdr:to>
    <xdr:pic>
      <xdr:nvPicPr>
        <xdr:cNvPr id="2" name="Imagen 1">
          <a:extLst>
            <a:ext uri="{FF2B5EF4-FFF2-40B4-BE49-F238E27FC236}">
              <a16:creationId xmlns:a16="http://schemas.microsoft.com/office/drawing/2014/main" id="{628DC41B-163A-4105-9A19-AA708C5884DA}"/>
            </a:ext>
          </a:extLst>
        </xdr:cNvPr>
        <xdr:cNvPicPr>
          <a:picLocks noChangeAspect="1"/>
        </xdr:cNvPicPr>
      </xdr:nvPicPr>
      <xdr:blipFill>
        <a:blip xmlns:r="http://schemas.openxmlformats.org/officeDocument/2006/relationships" r:embed="rId4"/>
        <a:stretch>
          <a:fillRect/>
        </a:stretch>
      </xdr:blipFill>
      <xdr:spPr>
        <a:xfrm>
          <a:off x="11081657" y="6781800"/>
          <a:ext cx="5265840" cy="3556457"/>
        </a:xfrm>
        <a:prstGeom prst="rect">
          <a:avLst/>
        </a:prstGeom>
      </xdr:spPr>
    </xdr:pic>
    <xdr:clientData/>
  </xdr:twoCellAnchor>
  <xdr:twoCellAnchor editAs="oneCell">
    <xdr:from>
      <xdr:col>6</xdr:col>
      <xdr:colOff>43543</xdr:colOff>
      <xdr:row>453</xdr:row>
      <xdr:rowOff>54428</xdr:rowOff>
    </xdr:from>
    <xdr:to>
      <xdr:col>10</xdr:col>
      <xdr:colOff>423413</xdr:colOff>
      <xdr:row>463</xdr:row>
      <xdr:rowOff>78600</xdr:rowOff>
    </xdr:to>
    <xdr:pic>
      <xdr:nvPicPr>
        <xdr:cNvPr id="6" name="Imagen 5">
          <a:extLst>
            <a:ext uri="{FF2B5EF4-FFF2-40B4-BE49-F238E27FC236}">
              <a16:creationId xmlns:a16="http://schemas.microsoft.com/office/drawing/2014/main" id="{96E1F9ED-221B-4494-941E-1C065581A18B}"/>
            </a:ext>
          </a:extLst>
        </xdr:cNvPr>
        <xdr:cNvPicPr>
          <a:picLocks noChangeAspect="1"/>
        </xdr:cNvPicPr>
      </xdr:nvPicPr>
      <xdr:blipFill>
        <a:blip xmlns:r="http://schemas.openxmlformats.org/officeDocument/2006/relationships" r:embed="rId5"/>
        <a:stretch>
          <a:fillRect/>
        </a:stretch>
      </xdr:blipFill>
      <xdr:spPr>
        <a:xfrm>
          <a:off x="9144000" y="89143114"/>
          <a:ext cx="4189870" cy="1722343"/>
        </a:xfrm>
        <a:prstGeom prst="rect">
          <a:avLst/>
        </a:prstGeom>
      </xdr:spPr>
    </xdr:pic>
    <xdr:clientData/>
  </xdr:twoCellAnchor>
  <xdr:twoCellAnchor editAs="oneCell">
    <xdr:from>
      <xdr:col>6</xdr:col>
      <xdr:colOff>0</xdr:colOff>
      <xdr:row>465</xdr:row>
      <xdr:rowOff>0</xdr:rowOff>
    </xdr:from>
    <xdr:to>
      <xdr:col>10</xdr:col>
      <xdr:colOff>223478</xdr:colOff>
      <xdr:row>473</xdr:row>
      <xdr:rowOff>78958</xdr:rowOff>
    </xdr:to>
    <xdr:pic>
      <xdr:nvPicPr>
        <xdr:cNvPr id="7" name="Imagen 6">
          <a:extLst>
            <a:ext uri="{FF2B5EF4-FFF2-40B4-BE49-F238E27FC236}">
              <a16:creationId xmlns:a16="http://schemas.microsoft.com/office/drawing/2014/main" id="{6AA9855F-AB9D-4243-8FA8-46B9C9A7DFF4}"/>
            </a:ext>
          </a:extLst>
        </xdr:cNvPr>
        <xdr:cNvPicPr>
          <a:picLocks noChangeAspect="1"/>
        </xdr:cNvPicPr>
      </xdr:nvPicPr>
      <xdr:blipFill>
        <a:blip xmlns:r="http://schemas.openxmlformats.org/officeDocument/2006/relationships" r:embed="rId6"/>
        <a:stretch>
          <a:fillRect/>
        </a:stretch>
      </xdr:blipFill>
      <xdr:spPr>
        <a:xfrm>
          <a:off x="9100457" y="91113429"/>
          <a:ext cx="4033478" cy="1385243"/>
        </a:xfrm>
        <a:prstGeom prst="rect">
          <a:avLst/>
        </a:prstGeom>
      </xdr:spPr>
    </xdr:pic>
    <xdr:clientData/>
  </xdr:twoCellAnchor>
  <xdr:twoCellAnchor editAs="oneCell">
    <xdr:from>
      <xdr:col>7</xdr:col>
      <xdr:colOff>130630</xdr:colOff>
      <xdr:row>631</xdr:row>
      <xdr:rowOff>108857</xdr:rowOff>
    </xdr:from>
    <xdr:to>
      <xdr:col>11</xdr:col>
      <xdr:colOff>64253</xdr:colOff>
      <xdr:row>647</xdr:row>
      <xdr:rowOff>119742</xdr:rowOff>
    </xdr:to>
    <xdr:pic>
      <xdr:nvPicPr>
        <xdr:cNvPr id="8" name="Imagen 7">
          <a:extLst>
            <a:ext uri="{FF2B5EF4-FFF2-40B4-BE49-F238E27FC236}">
              <a16:creationId xmlns:a16="http://schemas.microsoft.com/office/drawing/2014/main" id="{38B1B6D2-3312-4214-84BA-1CB6F1625538}"/>
            </a:ext>
          </a:extLst>
        </xdr:cNvPr>
        <xdr:cNvPicPr>
          <a:picLocks noChangeAspect="1"/>
        </xdr:cNvPicPr>
      </xdr:nvPicPr>
      <xdr:blipFill>
        <a:blip xmlns:r="http://schemas.openxmlformats.org/officeDocument/2006/relationships" r:embed="rId7"/>
        <a:stretch>
          <a:fillRect/>
        </a:stretch>
      </xdr:blipFill>
      <xdr:spPr>
        <a:xfrm>
          <a:off x="10199916" y="119427171"/>
          <a:ext cx="3906908" cy="2623457"/>
        </a:xfrm>
        <a:prstGeom prst="rect">
          <a:avLst/>
        </a:prstGeom>
      </xdr:spPr>
    </xdr:pic>
    <xdr:clientData/>
  </xdr:twoCellAnchor>
  <xdr:twoCellAnchor editAs="oneCell">
    <xdr:from>
      <xdr:col>7</xdr:col>
      <xdr:colOff>1</xdr:colOff>
      <xdr:row>648</xdr:row>
      <xdr:rowOff>1</xdr:rowOff>
    </xdr:from>
    <xdr:to>
      <xdr:col>11</xdr:col>
      <xdr:colOff>65316</xdr:colOff>
      <xdr:row>661</xdr:row>
      <xdr:rowOff>9480</xdr:rowOff>
    </xdr:to>
    <xdr:pic>
      <xdr:nvPicPr>
        <xdr:cNvPr id="9" name="Imagen 8">
          <a:extLst>
            <a:ext uri="{FF2B5EF4-FFF2-40B4-BE49-F238E27FC236}">
              <a16:creationId xmlns:a16="http://schemas.microsoft.com/office/drawing/2014/main" id="{7C3252A0-E142-4E02-9BC0-D8D009299121}"/>
            </a:ext>
          </a:extLst>
        </xdr:cNvPr>
        <xdr:cNvPicPr>
          <a:picLocks noChangeAspect="1"/>
        </xdr:cNvPicPr>
      </xdr:nvPicPr>
      <xdr:blipFill rotWithShape="1">
        <a:blip xmlns:r="http://schemas.openxmlformats.org/officeDocument/2006/relationships" r:embed="rId8"/>
        <a:srcRect b="40390"/>
        <a:stretch>
          <a:fillRect/>
        </a:stretch>
      </xdr:blipFill>
      <xdr:spPr>
        <a:xfrm>
          <a:off x="10069287" y="122094172"/>
          <a:ext cx="4038600" cy="2132194"/>
        </a:xfrm>
        <a:prstGeom prst="rect">
          <a:avLst/>
        </a:prstGeom>
      </xdr:spPr>
    </xdr:pic>
    <xdr:clientData/>
  </xdr:twoCellAnchor>
  <xdr:twoCellAnchor editAs="oneCell">
    <xdr:from>
      <xdr:col>5</xdr:col>
      <xdr:colOff>838200</xdr:colOff>
      <xdr:row>715</xdr:row>
      <xdr:rowOff>152401</xdr:rowOff>
    </xdr:from>
    <xdr:to>
      <xdr:col>10</xdr:col>
      <xdr:colOff>936173</xdr:colOff>
      <xdr:row>743</xdr:row>
      <xdr:rowOff>58425</xdr:rowOff>
    </xdr:to>
    <xdr:pic>
      <xdr:nvPicPr>
        <xdr:cNvPr id="10" name="Imagen 9">
          <a:extLst>
            <a:ext uri="{FF2B5EF4-FFF2-40B4-BE49-F238E27FC236}">
              <a16:creationId xmlns:a16="http://schemas.microsoft.com/office/drawing/2014/main" id="{5787A654-2876-498F-85D8-7FB47D0FB308}"/>
            </a:ext>
          </a:extLst>
        </xdr:cNvPr>
        <xdr:cNvPicPr>
          <a:picLocks noChangeAspect="1"/>
        </xdr:cNvPicPr>
      </xdr:nvPicPr>
      <xdr:blipFill>
        <a:blip xmlns:r="http://schemas.openxmlformats.org/officeDocument/2006/relationships" r:embed="rId9"/>
        <a:stretch>
          <a:fillRect/>
        </a:stretch>
      </xdr:blipFill>
      <xdr:spPr>
        <a:xfrm>
          <a:off x="9067800" y="133317344"/>
          <a:ext cx="4778830" cy="4771938"/>
        </a:xfrm>
        <a:prstGeom prst="rect">
          <a:avLst/>
        </a:prstGeom>
      </xdr:spPr>
    </xdr:pic>
    <xdr:clientData/>
  </xdr:twoCellAnchor>
  <xdr:twoCellAnchor editAs="oneCell">
    <xdr:from>
      <xdr:col>6</xdr:col>
      <xdr:colOff>0</xdr:colOff>
      <xdr:row>747</xdr:row>
      <xdr:rowOff>0</xdr:rowOff>
    </xdr:from>
    <xdr:to>
      <xdr:col>11</xdr:col>
      <xdr:colOff>411202</xdr:colOff>
      <xdr:row>761</xdr:row>
      <xdr:rowOff>63748</xdr:rowOff>
    </xdr:to>
    <xdr:pic>
      <xdr:nvPicPr>
        <xdr:cNvPr id="11" name="Imagen 10">
          <a:extLst>
            <a:ext uri="{FF2B5EF4-FFF2-40B4-BE49-F238E27FC236}">
              <a16:creationId xmlns:a16="http://schemas.microsoft.com/office/drawing/2014/main" id="{B71E7C9D-3EA7-4A94-A77A-86062FD32B86}"/>
            </a:ext>
          </a:extLst>
        </xdr:cNvPr>
        <xdr:cNvPicPr>
          <a:picLocks noChangeAspect="1"/>
        </xdr:cNvPicPr>
      </xdr:nvPicPr>
      <xdr:blipFill>
        <a:blip xmlns:r="http://schemas.openxmlformats.org/officeDocument/2006/relationships" r:embed="rId10"/>
        <a:stretch>
          <a:fillRect/>
        </a:stretch>
      </xdr:blipFill>
      <xdr:spPr>
        <a:xfrm>
          <a:off x="9100457" y="138716657"/>
          <a:ext cx="5353316" cy="234974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0</xdr:colOff>
      <xdr:row>177</xdr:row>
      <xdr:rowOff>0</xdr:rowOff>
    </xdr:from>
    <xdr:to>
      <xdr:col>20</xdr:col>
      <xdr:colOff>436048</xdr:colOff>
      <xdr:row>233</xdr:row>
      <xdr:rowOff>66759</xdr:rowOff>
    </xdr:to>
    <xdr:graphicFrame macro="">
      <xdr:nvGraphicFramePr>
        <xdr:cNvPr id="4" name="Gráfico 3">
          <a:extLst>
            <a:ext uri="{FF2B5EF4-FFF2-40B4-BE49-F238E27FC236}">
              <a16:creationId xmlns:a16="http://schemas.microsoft.com/office/drawing/2014/main" id="{00000000-0008-0000-03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70</xdr:col>
      <xdr:colOff>784412</xdr:colOff>
      <xdr:row>162</xdr:row>
      <xdr:rowOff>0</xdr:rowOff>
    </xdr:from>
    <xdr:to>
      <xdr:col>75</xdr:col>
      <xdr:colOff>822515</xdr:colOff>
      <xdr:row>203</xdr:row>
      <xdr:rowOff>1840</xdr:rowOff>
    </xdr:to>
    <xdr:pic>
      <xdr:nvPicPr>
        <xdr:cNvPr id="5" name="Imagen 4">
          <a:extLst>
            <a:ext uri="{FF2B5EF4-FFF2-40B4-BE49-F238E27FC236}">
              <a16:creationId xmlns:a16="http://schemas.microsoft.com/office/drawing/2014/main" id="{F9C1E71F-74AB-4024-B597-2876F71FF49B}"/>
            </a:ext>
          </a:extLst>
        </xdr:cNvPr>
        <xdr:cNvPicPr>
          <a:picLocks noChangeAspect="1"/>
        </xdr:cNvPicPr>
      </xdr:nvPicPr>
      <xdr:blipFill>
        <a:blip xmlns:r="http://schemas.openxmlformats.org/officeDocument/2006/relationships" r:embed="rId2"/>
        <a:stretch>
          <a:fillRect/>
        </a:stretch>
      </xdr:blipFill>
      <xdr:spPr>
        <a:xfrm>
          <a:off x="52320265" y="30155029"/>
          <a:ext cx="4229103" cy="7554605"/>
        </a:xfrm>
        <a:prstGeom prst="rect">
          <a:avLst/>
        </a:prstGeom>
        <a:ln>
          <a:solidFill>
            <a:sysClr val="windowText" lastClr="000000"/>
          </a:solid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0</xdr:colOff>
      <xdr:row>8</xdr:row>
      <xdr:rowOff>0</xdr:rowOff>
    </xdr:from>
    <xdr:to>
      <xdr:col>8</xdr:col>
      <xdr:colOff>243840</xdr:colOff>
      <xdr:row>9</xdr:row>
      <xdr:rowOff>72390</xdr:rowOff>
    </xdr:to>
    <xdr:sp macro="" textlink="">
      <xdr:nvSpPr>
        <xdr:cNvPr id="248429" name="AutoShape 1" descr="Resultado de imagen para ESCUDO DE YAGUARA HUILA">
          <a:extLst>
            <a:ext uri="{FF2B5EF4-FFF2-40B4-BE49-F238E27FC236}">
              <a16:creationId xmlns:a16="http://schemas.microsoft.com/office/drawing/2014/main" id="{00000000-0008-0000-0400-00006DCA0300}"/>
            </a:ext>
          </a:extLst>
        </xdr:cNvPr>
        <xdr:cNvSpPr>
          <a:spLocks noChangeAspect="1" noChangeArrowheads="1"/>
        </xdr:cNvSpPr>
      </xdr:nvSpPr>
      <xdr:spPr bwMode="auto">
        <a:xfrm>
          <a:off x="10584180" y="1356360"/>
          <a:ext cx="243840" cy="281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106680</xdr:colOff>
      <xdr:row>1</xdr:row>
      <xdr:rowOff>62866</xdr:rowOff>
    </xdr:from>
    <xdr:to>
      <xdr:col>1</xdr:col>
      <xdr:colOff>366701</xdr:colOff>
      <xdr:row>6</xdr:row>
      <xdr:rowOff>144780</xdr:rowOff>
    </xdr:to>
    <xdr:pic>
      <xdr:nvPicPr>
        <xdr:cNvPr id="3" name="Imagen 2">
          <a:extLst>
            <a:ext uri="{FF2B5EF4-FFF2-40B4-BE49-F238E27FC236}">
              <a16:creationId xmlns:a16="http://schemas.microsoft.com/office/drawing/2014/main" id="{762FCF15-9269-433E-A276-9F268B45A3E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6680" y="230506"/>
          <a:ext cx="1052501" cy="927734"/>
        </a:xfrm>
        <a:prstGeom prst="rect">
          <a:avLst/>
        </a:prstGeom>
      </xdr:spPr>
    </xdr:pic>
    <xdr:clientData/>
  </xdr:twoCellAnchor>
  <xdr:twoCellAnchor editAs="oneCell">
    <xdr:from>
      <xdr:col>1</xdr:col>
      <xdr:colOff>388621</xdr:colOff>
      <xdr:row>1</xdr:row>
      <xdr:rowOff>60960</xdr:rowOff>
    </xdr:from>
    <xdr:to>
      <xdr:col>1</xdr:col>
      <xdr:colOff>2758441</xdr:colOff>
      <xdr:row>7</xdr:row>
      <xdr:rowOff>1588</xdr:rowOff>
    </xdr:to>
    <xdr:pic>
      <xdr:nvPicPr>
        <xdr:cNvPr id="2" name="Imagen 1" descr="Trámites">
          <a:extLst>
            <a:ext uri="{FF2B5EF4-FFF2-40B4-BE49-F238E27FC236}">
              <a16:creationId xmlns:a16="http://schemas.microsoft.com/office/drawing/2014/main" id="{16D5C87C-F67F-475E-8360-D896FEF28045}"/>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81101" y="228600"/>
          <a:ext cx="2369820" cy="9433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64477</xdr:colOff>
      <xdr:row>0</xdr:row>
      <xdr:rowOff>51288</xdr:rowOff>
    </xdr:from>
    <xdr:to>
      <xdr:col>3</xdr:col>
      <xdr:colOff>881890</xdr:colOff>
      <xdr:row>5</xdr:row>
      <xdr:rowOff>131883</xdr:rowOff>
    </xdr:to>
    <xdr:pic>
      <xdr:nvPicPr>
        <xdr:cNvPr id="4" name="Imagen 3">
          <a:extLst>
            <a:ext uri="{FF2B5EF4-FFF2-40B4-BE49-F238E27FC236}">
              <a16:creationId xmlns:a16="http://schemas.microsoft.com/office/drawing/2014/main" id="{11354000-8F80-4CF7-A76D-CF935D78E03A}"/>
            </a:ext>
          </a:extLst>
        </xdr:cNvPr>
        <xdr:cNvPicPr>
          <a:picLocks noChangeAspect="1"/>
        </xdr:cNvPicPr>
      </xdr:nvPicPr>
      <xdr:blipFill rotWithShape="1">
        <a:blip xmlns:r="http://schemas.openxmlformats.org/officeDocument/2006/relationships" r:embed="rId1"/>
        <a:srcRect l="52292"/>
        <a:stretch>
          <a:fillRect/>
        </a:stretch>
      </xdr:blipFill>
      <xdr:spPr>
        <a:xfrm>
          <a:off x="5017477" y="51288"/>
          <a:ext cx="817413" cy="890220"/>
        </a:xfrm>
        <a:prstGeom prst="rect">
          <a:avLst/>
        </a:prstGeom>
      </xdr:spPr>
    </xdr:pic>
    <xdr:clientData/>
  </xdr:twoCellAnchor>
  <xdr:twoCellAnchor editAs="oneCell">
    <xdr:from>
      <xdr:col>0</xdr:col>
      <xdr:colOff>27842</xdr:colOff>
      <xdr:row>0</xdr:row>
      <xdr:rowOff>108438</xdr:rowOff>
    </xdr:from>
    <xdr:to>
      <xdr:col>1</xdr:col>
      <xdr:colOff>977</xdr:colOff>
      <xdr:row>5</xdr:row>
      <xdr:rowOff>64024</xdr:rowOff>
    </xdr:to>
    <xdr:pic>
      <xdr:nvPicPr>
        <xdr:cNvPr id="5" name="Imagen 4">
          <a:extLst>
            <a:ext uri="{FF2B5EF4-FFF2-40B4-BE49-F238E27FC236}">
              <a16:creationId xmlns:a16="http://schemas.microsoft.com/office/drawing/2014/main" id="{214BE3E4-AE0D-41BE-B1E5-8C68C4498B43}"/>
            </a:ext>
          </a:extLst>
        </xdr:cNvPr>
        <xdr:cNvPicPr>
          <a:picLocks noChangeAspect="1"/>
        </xdr:cNvPicPr>
      </xdr:nvPicPr>
      <xdr:blipFill rotWithShape="1">
        <a:blip xmlns:r="http://schemas.openxmlformats.org/officeDocument/2006/relationships" r:embed="rId1"/>
        <a:srcRect r="45737"/>
        <a:stretch>
          <a:fillRect/>
        </a:stretch>
      </xdr:blipFill>
      <xdr:spPr>
        <a:xfrm>
          <a:off x="27842" y="108438"/>
          <a:ext cx="798635" cy="765211"/>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1076325</xdr:colOff>
      <xdr:row>2</xdr:row>
      <xdr:rowOff>182880</xdr:rowOff>
    </xdr:from>
    <xdr:to>
      <xdr:col>0</xdr:col>
      <xdr:colOff>2629885</xdr:colOff>
      <xdr:row>2</xdr:row>
      <xdr:rowOff>1552575</xdr:rowOff>
    </xdr:to>
    <xdr:pic>
      <xdr:nvPicPr>
        <xdr:cNvPr id="4" name="Imagen 3">
          <a:extLst>
            <a:ext uri="{FF2B5EF4-FFF2-40B4-BE49-F238E27FC236}">
              <a16:creationId xmlns:a16="http://schemas.microsoft.com/office/drawing/2014/main" id="{C36FD626-FF92-435C-9780-48B22B6D8DD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76325" y="697230"/>
          <a:ext cx="1553560" cy="1369695"/>
        </a:xfrm>
        <a:prstGeom prst="rect">
          <a:avLst/>
        </a:prstGeom>
      </xdr:spPr>
    </xdr:pic>
    <xdr:clientData/>
  </xdr:twoCellAnchor>
  <xdr:twoCellAnchor editAs="oneCell">
    <xdr:from>
      <xdr:col>6</xdr:col>
      <xdr:colOff>520065</xdr:colOff>
      <xdr:row>2</xdr:row>
      <xdr:rowOff>200025</xdr:rowOff>
    </xdr:from>
    <xdr:to>
      <xdr:col>8</xdr:col>
      <xdr:colOff>1404863</xdr:colOff>
      <xdr:row>2</xdr:row>
      <xdr:rowOff>1304925</xdr:rowOff>
    </xdr:to>
    <xdr:pic>
      <xdr:nvPicPr>
        <xdr:cNvPr id="5" name="Imagen 4" descr="Trámites">
          <a:extLst>
            <a:ext uri="{FF2B5EF4-FFF2-40B4-BE49-F238E27FC236}">
              <a16:creationId xmlns:a16="http://schemas.microsoft.com/office/drawing/2014/main" id="{0968527B-CCB7-4CB1-BA74-BD6D6C2F2C94}"/>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40065" y="714375"/>
          <a:ext cx="2856473" cy="1104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46944</xdr:colOff>
      <xdr:row>0</xdr:row>
      <xdr:rowOff>475164</xdr:rowOff>
    </xdr:to>
    <xdr:sp macro="" textlink="">
      <xdr:nvSpPr>
        <xdr:cNvPr id="7" name="Flecha: hacia la izquierda 6">
          <a:hlinkClick xmlns:r="http://schemas.openxmlformats.org/officeDocument/2006/relationships" r:id="rId1"/>
          <a:extLst>
            <a:ext uri="{FF2B5EF4-FFF2-40B4-BE49-F238E27FC236}">
              <a16:creationId xmlns:a16="http://schemas.microsoft.com/office/drawing/2014/main" id="{00000000-0008-0000-0B00-000007000000}"/>
            </a:ext>
          </a:extLst>
        </xdr:cNvPr>
        <xdr:cNvSpPr/>
      </xdr:nvSpPr>
      <xdr:spPr>
        <a:xfrm>
          <a:off x="323022" y="107674"/>
          <a:ext cx="975509" cy="484632"/>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319459</xdr:colOff>
      <xdr:row>0</xdr:row>
      <xdr:rowOff>72721</xdr:rowOff>
    </xdr:from>
    <xdr:to>
      <xdr:col>3</xdr:col>
      <xdr:colOff>131284</xdr:colOff>
      <xdr:row>0</xdr:row>
      <xdr:rowOff>474155</xdr:rowOff>
    </xdr:to>
    <xdr:sp macro="" textlink="">
      <xdr:nvSpPr>
        <xdr:cNvPr id="8" name="Flecha: hacia la izquierda 7">
          <a:hlinkClick xmlns:r="http://schemas.openxmlformats.org/officeDocument/2006/relationships" r:id="rId2"/>
          <a:extLst>
            <a:ext uri="{FF2B5EF4-FFF2-40B4-BE49-F238E27FC236}">
              <a16:creationId xmlns:a16="http://schemas.microsoft.com/office/drawing/2014/main" id="{00000000-0008-0000-0B00-000008000000}"/>
            </a:ext>
          </a:extLst>
        </xdr:cNvPr>
        <xdr:cNvSpPr/>
      </xdr:nvSpPr>
      <xdr:spPr>
        <a:xfrm>
          <a:off x="1645339" y="99391"/>
          <a:ext cx="1244462" cy="484632"/>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213608</xdr:colOff>
      <xdr:row>0</xdr:row>
      <xdr:rowOff>72721</xdr:rowOff>
    </xdr:from>
    <xdr:to>
      <xdr:col>4</xdr:col>
      <xdr:colOff>163058</xdr:colOff>
      <xdr:row>0</xdr:row>
      <xdr:rowOff>474155</xdr:rowOff>
    </xdr:to>
    <xdr:sp macro="" textlink="">
      <xdr:nvSpPr>
        <xdr:cNvPr id="9" name="Flecha: hacia la izquierda 8">
          <a:hlinkClick xmlns:r="http://schemas.openxmlformats.org/officeDocument/2006/relationships" r:id="rId3"/>
          <a:extLst>
            <a:ext uri="{FF2B5EF4-FFF2-40B4-BE49-F238E27FC236}">
              <a16:creationId xmlns:a16="http://schemas.microsoft.com/office/drawing/2014/main" id="{00000000-0008-0000-0B00-000009000000}"/>
            </a:ext>
          </a:extLst>
        </xdr:cNvPr>
        <xdr:cNvSpPr/>
      </xdr:nvSpPr>
      <xdr:spPr>
        <a:xfrm>
          <a:off x="2989193" y="99391"/>
          <a:ext cx="974266" cy="484632"/>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589720</xdr:colOff>
      <xdr:row>0</xdr:row>
      <xdr:rowOff>82909</xdr:rowOff>
    </xdr:from>
    <xdr:to>
      <xdr:col>6</xdr:col>
      <xdr:colOff>220883</xdr:colOff>
      <xdr:row>0</xdr:row>
      <xdr:rowOff>475164</xdr:rowOff>
    </xdr:to>
    <xdr:sp macro="" textlink="">
      <xdr:nvSpPr>
        <xdr:cNvPr id="10" name="Flecha: a la derecha con bandas 9">
          <a:hlinkClick xmlns:r="http://schemas.openxmlformats.org/officeDocument/2006/relationships" r:id="rId4"/>
          <a:extLst>
            <a:ext uri="{FF2B5EF4-FFF2-40B4-BE49-F238E27FC236}">
              <a16:creationId xmlns:a16="http://schemas.microsoft.com/office/drawing/2014/main" id="{00000000-0008-0000-0B00-00000A000000}"/>
            </a:ext>
          </a:extLst>
        </xdr:cNvPr>
        <xdr:cNvSpPr/>
      </xdr:nvSpPr>
      <xdr:spPr>
        <a:xfrm>
          <a:off x="4475920" y="107674"/>
          <a:ext cx="1208847" cy="484632"/>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258252</xdr:colOff>
      <xdr:row>0</xdr:row>
      <xdr:rowOff>82909</xdr:rowOff>
    </xdr:from>
    <xdr:to>
      <xdr:col>2</xdr:col>
      <xdr:colOff>46908</xdr:colOff>
      <xdr:row>0</xdr:row>
      <xdr:rowOff>475164</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00000000-0008-0000-0A00-000002000000}"/>
            </a:ext>
          </a:extLst>
        </xdr:cNvPr>
        <xdr:cNvSpPr/>
      </xdr:nvSpPr>
      <xdr:spPr>
        <a:xfrm>
          <a:off x="323022" y="107674"/>
          <a:ext cx="975509" cy="484632"/>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313662</xdr:colOff>
      <xdr:row>0</xdr:row>
      <xdr:rowOff>69491</xdr:rowOff>
    </xdr:from>
    <xdr:to>
      <xdr:col>3</xdr:col>
      <xdr:colOff>48998</xdr:colOff>
      <xdr:row>0</xdr:row>
      <xdr:rowOff>451096</xdr:rowOff>
    </xdr:to>
    <xdr:sp macro="" textlink="">
      <xdr:nvSpPr>
        <xdr:cNvPr id="4" name="Flecha: hacia la izquierda 3">
          <a:hlinkClick xmlns:r="http://schemas.openxmlformats.org/officeDocument/2006/relationships" r:id="rId2"/>
          <a:extLst>
            <a:ext uri="{FF2B5EF4-FFF2-40B4-BE49-F238E27FC236}">
              <a16:creationId xmlns:a16="http://schemas.microsoft.com/office/drawing/2014/main" id="{00000000-0008-0000-0A00-000004000000}"/>
            </a:ext>
          </a:extLst>
        </xdr:cNvPr>
        <xdr:cNvSpPr/>
      </xdr:nvSpPr>
      <xdr:spPr>
        <a:xfrm>
          <a:off x="3851413" y="82826"/>
          <a:ext cx="911088" cy="484632"/>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3</xdr:col>
      <xdr:colOff>537207</xdr:colOff>
      <xdr:row>0</xdr:row>
      <xdr:rowOff>59303</xdr:rowOff>
    </xdr:from>
    <xdr:to>
      <xdr:col>5</xdr:col>
      <xdr:colOff>303857</xdr:colOff>
      <xdr:row>0</xdr:row>
      <xdr:rowOff>440908</xdr:rowOff>
    </xdr:to>
    <xdr:sp macro="" textlink="">
      <xdr:nvSpPr>
        <xdr:cNvPr id="5" name="Flecha: a la derecha con bandas 4">
          <a:hlinkClick xmlns:r="http://schemas.openxmlformats.org/officeDocument/2006/relationships" r:id="rId3"/>
          <a:extLst>
            <a:ext uri="{FF2B5EF4-FFF2-40B4-BE49-F238E27FC236}">
              <a16:creationId xmlns:a16="http://schemas.microsoft.com/office/drawing/2014/main" id="{00000000-0008-0000-0A00-000005000000}"/>
            </a:ext>
          </a:extLst>
        </xdr:cNvPr>
        <xdr:cNvSpPr/>
      </xdr:nvSpPr>
      <xdr:spPr>
        <a:xfrm>
          <a:off x="5343936" y="74543"/>
          <a:ext cx="1290433" cy="484632"/>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258252</xdr:colOff>
      <xdr:row>0</xdr:row>
      <xdr:rowOff>82909</xdr:rowOff>
    </xdr:from>
    <xdr:to>
      <xdr:col>2</xdr:col>
      <xdr:colOff>46972</xdr:colOff>
      <xdr:row>0</xdr:row>
      <xdr:rowOff>475164</xdr:rowOff>
    </xdr:to>
    <xdr:sp macro="" textlink="">
      <xdr:nvSpPr>
        <xdr:cNvPr id="3" name="Flecha: hacia la izquierda 2">
          <a:hlinkClick xmlns:r="http://schemas.openxmlformats.org/officeDocument/2006/relationships" r:id="rId1"/>
          <a:extLst>
            <a:ext uri="{FF2B5EF4-FFF2-40B4-BE49-F238E27FC236}">
              <a16:creationId xmlns:a16="http://schemas.microsoft.com/office/drawing/2014/main" id="{00000000-0008-0000-0C00-000003000000}"/>
            </a:ext>
          </a:extLst>
        </xdr:cNvPr>
        <xdr:cNvSpPr/>
      </xdr:nvSpPr>
      <xdr:spPr>
        <a:xfrm>
          <a:off x="323022" y="107674"/>
          <a:ext cx="978408" cy="484632"/>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319459</xdr:colOff>
      <xdr:row>0</xdr:row>
      <xdr:rowOff>72721</xdr:rowOff>
    </xdr:from>
    <xdr:to>
      <xdr:col>3</xdr:col>
      <xdr:colOff>131317</xdr:colOff>
      <xdr:row>0</xdr:row>
      <xdr:rowOff>474155</xdr:rowOff>
    </xdr:to>
    <xdr:sp macro="" textlink="">
      <xdr:nvSpPr>
        <xdr:cNvPr id="5" name="Flecha: hacia la izquierda 4">
          <a:hlinkClick xmlns:r="http://schemas.openxmlformats.org/officeDocument/2006/relationships" r:id="rId2"/>
          <a:extLst>
            <a:ext uri="{FF2B5EF4-FFF2-40B4-BE49-F238E27FC236}">
              <a16:creationId xmlns:a16="http://schemas.microsoft.com/office/drawing/2014/main" id="{00000000-0008-0000-0C00-000005000000}"/>
            </a:ext>
          </a:extLst>
        </xdr:cNvPr>
        <xdr:cNvSpPr/>
      </xdr:nvSpPr>
      <xdr:spPr>
        <a:xfrm>
          <a:off x="1648238" y="99391"/>
          <a:ext cx="1242391" cy="484632"/>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213608</xdr:colOff>
      <xdr:row>0</xdr:row>
      <xdr:rowOff>72721</xdr:rowOff>
    </xdr:from>
    <xdr:to>
      <xdr:col>4</xdr:col>
      <xdr:colOff>163025</xdr:colOff>
      <xdr:row>0</xdr:row>
      <xdr:rowOff>474155</xdr:rowOff>
    </xdr:to>
    <xdr:sp macro="" textlink="">
      <xdr:nvSpPr>
        <xdr:cNvPr id="6" name="Flecha: hacia la izquierda 5">
          <a:hlinkClick xmlns:r="http://schemas.openxmlformats.org/officeDocument/2006/relationships" r:id="rId3"/>
          <a:extLst>
            <a:ext uri="{FF2B5EF4-FFF2-40B4-BE49-F238E27FC236}">
              <a16:creationId xmlns:a16="http://schemas.microsoft.com/office/drawing/2014/main" id="{00000000-0008-0000-0C00-000006000000}"/>
            </a:ext>
          </a:extLst>
        </xdr:cNvPr>
        <xdr:cNvSpPr/>
      </xdr:nvSpPr>
      <xdr:spPr>
        <a:xfrm>
          <a:off x="2990021" y="99391"/>
          <a:ext cx="978408" cy="484632"/>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589720</xdr:colOff>
      <xdr:row>0</xdr:row>
      <xdr:rowOff>82909</xdr:rowOff>
    </xdr:from>
    <xdr:to>
      <xdr:col>6</xdr:col>
      <xdr:colOff>212899</xdr:colOff>
      <xdr:row>0</xdr:row>
      <xdr:rowOff>475164</xdr:rowOff>
    </xdr:to>
    <xdr:sp macro="" textlink="">
      <xdr:nvSpPr>
        <xdr:cNvPr id="4" name="Flecha: a la derecha con bandas 3">
          <a:hlinkClick xmlns:r="http://schemas.openxmlformats.org/officeDocument/2006/relationships" r:id="rId4"/>
          <a:extLst>
            <a:ext uri="{FF2B5EF4-FFF2-40B4-BE49-F238E27FC236}">
              <a16:creationId xmlns:a16="http://schemas.microsoft.com/office/drawing/2014/main" id="{00000000-0008-0000-0C00-000004000000}"/>
            </a:ext>
          </a:extLst>
        </xdr:cNvPr>
        <xdr:cNvSpPr/>
      </xdr:nvSpPr>
      <xdr:spPr>
        <a:xfrm>
          <a:off x="4480890" y="107674"/>
          <a:ext cx="1209261" cy="484632"/>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457200</xdr:colOff>
      <xdr:row>1</xdr:row>
      <xdr:rowOff>76200</xdr:rowOff>
    </xdr:from>
    <xdr:to>
      <xdr:col>2</xdr:col>
      <xdr:colOff>1238250</xdr:colOff>
      <xdr:row>3</xdr:row>
      <xdr:rowOff>299626</xdr:rowOff>
    </xdr:to>
    <xdr:pic>
      <xdr:nvPicPr>
        <xdr:cNvPr id="7" name="Imagen 6">
          <a:extLst>
            <a:ext uri="{FF2B5EF4-FFF2-40B4-BE49-F238E27FC236}">
              <a16:creationId xmlns:a16="http://schemas.microsoft.com/office/drawing/2014/main" id="{4674A185-0ABC-4886-B578-A8CFF1ABEA8C}"/>
            </a:ext>
          </a:extLst>
        </xdr:cNvPr>
        <xdr:cNvPicPr>
          <a:picLocks noChangeAspect="1"/>
        </xdr:cNvPicPr>
      </xdr:nvPicPr>
      <xdr:blipFill>
        <a:blip xmlns:r="http://schemas.openxmlformats.org/officeDocument/2006/relationships" r:embed="rId5"/>
        <a:stretch>
          <a:fillRect/>
        </a:stretch>
      </xdr:blipFill>
      <xdr:spPr>
        <a:xfrm>
          <a:off x="457200" y="847725"/>
          <a:ext cx="2162175" cy="1118776"/>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114300</xdr:colOff>
      <xdr:row>1</xdr:row>
      <xdr:rowOff>45720</xdr:rowOff>
    </xdr:from>
    <xdr:to>
      <xdr:col>1</xdr:col>
      <xdr:colOff>411480</xdr:colOff>
      <xdr:row>3</xdr:row>
      <xdr:rowOff>198120</xdr:rowOff>
    </xdr:to>
    <xdr:pic>
      <xdr:nvPicPr>
        <xdr:cNvPr id="319700" name="Imagen 1" descr="Resultado de imagen para escudo municipio de neiva">
          <a:extLst>
            <a:ext uri="{FF2B5EF4-FFF2-40B4-BE49-F238E27FC236}">
              <a16:creationId xmlns:a16="http://schemas.microsoft.com/office/drawing/2014/main" id="{00000000-0008-0000-0D00-0000D4E004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4300" y="662940"/>
          <a:ext cx="922020" cy="868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265872</xdr:colOff>
      <xdr:row>0</xdr:row>
      <xdr:rowOff>82909</xdr:rowOff>
    </xdr:from>
    <xdr:to>
      <xdr:col>2</xdr:col>
      <xdr:colOff>46794</xdr:colOff>
      <xdr:row>0</xdr:row>
      <xdr:rowOff>475164</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00000000-0008-0000-0D00-000003000000}"/>
            </a:ext>
          </a:extLst>
        </xdr:cNvPr>
        <xdr:cNvSpPr/>
      </xdr:nvSpPr>
      <xdr:spPr>
        <a:xfrm>
          <a:off x="323022" y="107674"/>
          <a:ext cx="975509" cy="484632"/>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00000000-0008-0000-0D00-000004000000}"/>
            </a:ext>
          </a:extLst>
        </xdr:cNvPr>
        <xdr:cNvSpPr/>
      </xdr:nvSpPr>
      <xdr:spPr>
        <a:xfrm>
          <a:off x="1645339" y="99391"/>
          <a:ext cx="1492112" cy="484632"/>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5" name="Flecha: hacia la izquierda 4">
          <a:hlinkClick xmlns:r="http://schemas.openxmlformats.org/officeDocument/2006/relationships" r:id="rId4"/>
          <a:extLst>
            <a:ext uri="{FF2B5EF4-FFF2-40B4-BE49-F238E27FC236}">
              <a16:creationId xmlns:a16="http://schemas.microsoft.com/office/drawing/2014/main" id="{00000000-0008-0000-0D00-000005000000}"/>
            </a:ext>
          </a:extLst>
        </xdr:cNvPr>
        <xdr:cNvSpPr/>
      </xdr:nvSpPr>
      <xdr:spPr>
        <a:xfrm>
          <a:off x="3236843" y="99391"/>
          <a:ext cx="974266" cy="484632"/>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6" name="Flecha: a la derecha con bandas 5">
          <a:hlinkClick xmlns:r="http://schemas.openxmlformats.org/officeDocument/2006/relationships" r:id="rId5"/>
          <a:extLst>
            <a:ext uri="{FF2B5EF4-FFF2-40B4-BE49-F238E27FC236}">
              <a16:creationId xmlns:a16="http://schemas.microsoft.com/office/drawing/2014/main" id="{00000000-0008-0000-0D00-000006000000}"/>
            </a:ext>
          </a:extLst>
        </xdr:cNvPr>
        <xdr:cNvSpPr/>
      </xdr:nvSpPr>
      <xdr:spPr>
        <a:xfrm>
          <a:off x="4723570" y="107674"/>
          <a:ext cx="1208847" cy="484632"/>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2</xdr:col>
      <xdr:colOff>381000</xdr:colOff>
      <xdr:row>1</xdr:row>
      <xdr:rowOff>60960</xdr:rowOff>
    </xdr:from>
    <xdr:to>
      <xdr:col>2</xdr:col>
      <xdr:colOff>990600</xdr:colOff>
      <xdr:row>3</xdr:row>
      <xdr:rowOff>190500</xdr:rowOff>
    </xdr:to>
    <xdr:pic>
      <xdr:nvPicPr>
        <xdr:cNvPr id="319705" name="Imagen 6">
          <a:extLst>
            <a:ext uri="{FF2B5EF4-FFF2-40B4-BE49-F238E27FC236}">
              <a16:creationId xmlns:a16="http://schemas.microsoft.com/office/drawing/2014/main" id="{00000000-0008-0000-0D00-0000D9E00400}"/>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r="74307"/>
        <a:stretch>
          <a:fillRect/>
        </a:stretch>
      </xdr:blipFill>
      <xdr:spPr bwMode="auto">
        <a:xfrm>
          <a:off x="1851660" y="678180"/>
          <a:ext cx="609600" cy="845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xdr:from>
      <xdr:col>0</xdr:col>
      <xdr:colOff>498282</xdr:colOff>
      <xdr:row>0</xdr:row>
      <xdr:rowOff>155299</xdr:rowOff>
    </xdr:from>
    <xdr:to>
      <xdr:col>2</xdr:col>
      <xdr:colOff>100576</xdr:colOff>
      <xdr:row>1</xdr:row>
      <xdr:rowOff>7053</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00000000-0008-0000-1000-000002000000}"/>
            </a:ext>
          </a:extLst>
        </xdr:cNvPr>
        <xdr:cNvSpPr/>
      </xdr:nvSpPr>
      <xdr:spPr>
        <a:xfrm>
          <a:off x="498282" y="155299"/>
          <a:ext cx="1074859" cy="472784"/>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633784</xdr:colOff>
      <xdr:row>0</xdr:row>
      <xdr:rowOff>148921</xdr:rowOff>
    </xdr:from>
    <xdr:to>
      <xdr:col>3</xdr:col>
      <xdr:colOff>247132</xdr:colOff>
      <xdr:row>1</xdr:row>
      <xdr:rowOff>5877</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00000000-0008-0000-1000-000003000000}"/>
            </a:ext>
          </a:extLst>
        </xdr:cNvPr>
        <xdr:cNvSpPr/>
      </xdr:nvSpPr>
      <xdr:spPr>
        <a:xfrm>
          <a:off x="2106349" y="148921"/>
          <a:ext cx="1392618" cy="477986"/>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426968</xdr:colOff>
      <xdr:row>0</xdr:row>
      <xdr:rowOff>148921</xdr:rowOff>
    </xdr:from>
    <xdr:to>
      <xdr:col>4</xdr:col>
      <xdr:colOff>304096</xdr:colOff>
      <xdr:row>1</xdr:row>
      <xdr:rowOff>5877</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00000000-0008-0000-1000-000004000000}"/>
            </a:ext>
          </a:extLst>
        </xdr:cNvPr>
        <xdr:cNvSpPr/>
      </xdr:nvSpPr>
      <xdr:spPr>
        <a:xfrm>
          <a:off x="3676898" y="148921"/>
          <a:ext cx="1313498" cy="477986"/>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890710</xdr:colOff>
      <xdr:row>0</xdr:row>
      <xdr:rowOff>155299</xdr:rowOff>
    </xdr:from>
    <xdr:to>
      <xdr:col>6</xdr:col>
      <xdr:colOff>426269</xdr:colOff>
      <xdr:row>1</xdr:row>
      <xdr:rowOff>7053</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00000000-0008-0000-1000-000005000000}"/>
            </a:ext>
          </a:extLst>
        </xdr:cNvPr>
        <xdr:cNvSpPr/>
      </xdr:nvSpPr>
      <xdr:spPr>
        <a:xfrm>
          <a:off x="5580820" y="155299"/>
          <a:ext cx="1229104" cy="472784"/>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438150</xdr:colOff>
      <xdr:row>1</xdr:row>
      <xdr:rowOff>66674</xdr:rowOff>
    </xdr:from>
    <xdr:to>
      <xdr:col>2</xdr:col>
      <xdr:colOff>942975</xdr:colOff>
      <xdr:row>3</xdr:row>
      <xdr:rowOff>343265</xdr:rowOff>
    </xdr:to>
    <xdr:pic>
      <xdr:nvPicPr>
        <xdr:cNvPr id="8" name="Imagen 7">
          <a:extLst>
            <a:ext uri="{FF2B5EF4-FFF2-40B4-BE49-F238E27FC236}">
              <a16:creationId xmlns:a16="http://schemas.microsoft.com/office/drawing/2014/main" id="{B7276E29-9BD2-420F-ADE3-FA2C2B861588}"/>
            </a:ext>
          </a:extLst>
        </xdr:cNvPr>
        <xdr:cNvPicPr>
          <a:picLocks noChangeAspect="1"/>
        </xdr:cNvPicPr>
      </xdr:nvPicPr>
      <xdr:blipFill>
        <a:blip xmlns:r="http://schemas.openxmlformats.org/officeDocument/2006/relationships" r:embed="rId5"/>
        <a:stretch>
          <a:fillRect/>
        </a:stretch>
      </xdr:blipFill>
      <xdr:spPr>
        <a:xfrm>
          <a:off x="438150" y="685799"/>
          <a:ext cx="1933575" cy="1000491"/>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3" name="Flecha: hacia la izquierda 2">
          <a:hlinkClick xmlns:r="http://schemas.openxmlformats.org/officeDocument/2006/relationships" r:id="rId1"/>
          <a:extLst>
            <a:ext uri="{FF2B5EF4-FFF2-40B4-BE49-F238E27FC236}">
              <a16:creationId xmlns:a16="http://schemas.microsoft.com/office/drawing/2014/main" id="{00000000-0008-0000-1100-000003000000}"/>
            </a:ext>
          </a:extLst>
        </xdr:cNvPr>
        <xdr:cNvSpPr/>
      </xdr:nvSpPr>
      <xdr:spPr>
        <a:xfrm>
          <a:off x="323022" y="107674"/>
          <a:ext cx="1156484" cy="484632"/>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4" name="Flecha: hacia la izquierda 3">
          <a:hlinkClick xmlns:r="http://schemas.openxmlformats.org/officeDocument/2006/relationships" r:id="rId2"/>
          <a:extLst>
            <a:ext uri="{FF2B5EF4-FFF2-40B4-BE49-F238E27FC236}">
              <a16:creationId xmlns:a16="http://schemas.microsoft.com/office/drawing/2014/main" id="{00000000-0008-0000-1100-000004000000}"/>
            </a:ext>
          </a:extLst>
        </xdr:cNvPr>
        <xdr:cNvSpPr/>
      </xdr:nvSpPr>
      <xdr:spPr>
        <a:xfrm>
          <a:off x="1826314" y="99391"/>
          <a:ext cx="1492112" cy="484632"/>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5" name="Flecha: hacia la izquierda 4">
          <a:hlinkClick xmlns:r="http://schemas.openxmlformats.org/officeDocument/2006/relationships" r:id="rId3"/>
          <a:extLst>
            <a:ext uri="{FF2B5EF4-FFF2-40B4-BE49-F238E27FC236}">
              <a16:creationId xmlns:a16="http://schemas.microsoft.com/office/drawing/2014/main" id="{00000000-0008-0000-1100-000005000000}"/>
            </a:ext>
          </a:extLst>
        </xdr:cNvPr>
        <xdr:cNvSpPr/>
      </xdr:nvSpPr>
      <xdr:spPr>
        <a:xfrm>
          <a:off x="3417818" y="99391"/>
          <a:ext cx="1326691" cy="484632"/>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6" name="Flecha: a la derecha con bandas 5">
          <a:hlinkClick xmlns:r="http://schemas.openxmlformats.org/officeDocument/2006/relationships" r:id="rId4"/>
          <a:extLst>
            <a:ext uri="{FF2B5EF4-FFF2-40B4-BE49-F238E27FC236}">
              <a16:creationId xmlns:a16="http://schemas.microsoft.com/office/drawing/2014/main" id="{00000000-0008-0000-1100-000006000000}"/>
            </a:ext>
          </a:extLst>
        </xdr:cNvPr>
        <xdr:cNvSpPr/>
      </xdr:nvSpPr>
      <xdr:spPr>
        <a:xfrm>
          <a:off x="5256970" y="107674"/>
          <a:ext cx="1208847" cy="484632"/>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352425</xdr:colOff>
      <xdr:row>1</xdr:row>
      <xdr:rowOff>114300</xdr:rowOff>
    </xdr:from>
    <xdr:to>
      <xdr:col>2</xdr:col>
      <xdr:colOff>971550</xdr:colOff>
      <xdr:row>3</xdr:row>
      <xdr:rowOff>278583</xdr:rowOff>
    </xdr:to>
    <xdr:pic>
      <xdr:nvPicPr>
        <xdr:cNvPr id="11" name="Imagen 10">
          <a:extLst>
            <a:ext uri="{FF2B5EF4-FFF2-40B4-BE49-F238E27FC236}">
              <a16:creationId xmlns:a16="http://schemas.microsoft.com/office/drawing/2014/main" id="{A5C764F8-74E0-4C50-B907-9CC873DA39EB}"/>
            </a:ext>
          </a:extLst>
        </xdr:cNvPr>
        <xdr:cNvPicPr>
          <a:picLocks noChangeAspect="1"/>
        </xdr:cNvPicPr>
      </xdr:nvPicPr>
      <xdr:blipFill>
        <a:blip xmlns:r="http://schemas.openxmlformats.org/officeDocument/2006/relationships" r:embed="rId5"/>
        <a:stretch>
          <a:fillRect/>
        </a:stretch>
      </xdr:blipFill>
      <xdr:spPr>
        <a:xfrm>
          <a:off x="352425" y="885825"/>
          <a:ext cx="2047875" cy="1059633"/>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3" name="Flecha: hacia la izquierda 2">
          <a:hlinkClick xmlns:r="http://schemas.openxmlformats.org/officeDocument/2006/relationships" r:id="rId1"/>
          <a:extLst>
            <a:ext uri="{FF2B5EF4-FFF2-40B4-BE49-F238E27FC236}">
              <a16:creationId xmlns:a16="http://schemas.microsoft.com/office/drawing/2014/main" id="{00000000-0008-0000-1200-000003000000}"/>
            </a:ext>
          </a:extLst>
        </xdr:cNvPr>
        <xdr:cNvSpPr/>
      </xdr:nvSpPr>
      <xdr:spPr>
        <a:xfrm>
          <a:off x="265872" y="84814"/>
          <a:ext cx="1259202" cy="394160"/>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4" name="Flecha: hacia la izquierda 3">
          <a:hlinkClick xmlns:r="http://schemas.openxmlformats.org/officeDocument/2006/relationships" r:id="rId2"/>
          <a:extLst>
            <a:ext uri="{FF2B5EF4-FFF2-40B4-BE49-F238E27FC236}">
              <a16:creationId xmlns:a16="http://schemas.microsoft.com/office/drawing/2014/main" id="{00000000-0008-0000-1200-000004000000}"/>
            </a:ext>
          </a:extLst>
        </xdr:cNvPr>
        <xdr:cNvSpPr/>
      </xdr:nvSpPr>
      <xdr:spPr>
        <a:xfrm>
          <a:off x="1797739" y="72721"/>
          <a:ext cx="1585302" cy="40524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5" name="Flecha: hacia la izquierda 4">
          <a:hlinkClick xmlns:r="http://schemas.openxmlformats.org/officeDocument/2006/relationships" r:id="rId3"/>
          <a:extLst>
            <a:ext uri="{FF2B5EF4-FFF2-40B4-BE49-F238E27FC236}">
              <a16:creationId xmlns:a16="http://schemas.microsoft.com/office/drawing/2014/main" id="{00000000-0008-0000-1200-000005000000}"/>
            </a:ext>
          </a:extLst>
        </xdr:cNvPr>
        <xdr:cNvSpPr/>
      </xdr:nvSpPr>
      <xdr:spPr>
        <a:xfrm>
          <a:off x="3467348" y="72721"/>
          <a:ext cx="1383882" cy="40524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6" name="Flecha: a la derecha con bandas 5">
          <a:hlinkClick xmlns:r="http://schemas.openxmlformats.org/officeDocument/2006/relationships" r:id="rId4"/>
          <a:extLst>
            <a:ext uri="{FF2B5EF4-FFF2-40B4-BE49-F238E27FC236}">
              <a16:creationId xmlns:a16="http://schemas.microsoft.com/office/drawing/2014/main" id="{00000000-0008-0000-1200-000006000000}"/>
            </a:ext>
          </a:extLst>
        </xdr:cNvPr>
        <xdr:cNvSpPr/>
      </xdr:nvSpPr>
      <xdr:spPr>
        <a:xfrm>
          <a:off x="5270305" y="84814"/>
          <a:ext cx="1330470" cy="394160"/>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571500</xdr:colOff>
      <xdr:row>1</xdr:row>
      <xdr:rowOff>123825</xdr:rowOff>
    </xdr:from>
    <xdr:to>
      <xdr:col>2</xdr:col>
      <xdr:colOff>1190625</xdr:colOff>
      <xdr:row>3</xdr:row>
      <xdr:rowOff>288108</xdr:rowOff>
    </xdr:to>
    <xdr:pic>
      <xdr:nvPicPr>
        <xdr:cNvPr id="8" name="Imagen 7">
          <a:extLst>
            <a:ext uri="{FF2B5EF4-FFF2-40B4-BE49-F238E27FC236}">
              <a16:creationId xmlns:a16="http://schemas.microsoft.com/office/drawing/2014/main" id="{00B5DBF6-6145-4D8D-BFD3-6FD42A4A9CDD}"/>
            </a:ext>
          </a:extLst>
        </xdr:cNvPr>
        <xdr:cNvPicPr>
          <a:picLocks noChangeAspect="1"/>
        </xdr:cNvPicPr>
      </xdr:nvPicPr>
      <xdr:blipFill>
        <a:blip xmlns:r="http://schemas.openxmlformats.org/officeDocument/2006/relationships" r:embed="rId5"/>
        <a:stretch>
          <a:fillRect/>
        </a:stretch>
      </xdr:blipFill>
      <xdr:spPr>
        <a:xfrm>
          <a:off x="571500" y="895350"/>
          <a:ext cx="2047875" cy="1059633"/>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3" name="Flecha: hacia la izquierda 2">
          <a:hlinkClick xmlns:r="http://schemas.openxmlformats.org/officeDocument/2006/relationships" r:id="rId1"/>
          <a:extLst>
            <a:ext uri="{FF2B5EF4-FFF2-40B4-BE49-F238E27FC236}">
              <a16:creationId xmlns:a16="http://schemas.microsoft.com/office/drawing/2014/main" id="{00000000-0008-0000-1300-000003000000}"/>
            </a:ext>
          </a:extLst>
        </xdr:cNvPr>
        <xdr:cNvSpPr/>
      </xdr:nvSpPr>
      <xdr:spPr>
        <a:xfrm>
          <a:off x="265872" y="84814"/>
          <a:ext cx="1259202" cy="394160"/>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4" name="Flecha: hacia la izquierda 3">
          <a:hlinkClick xmlns:r="http://schemas.openxmlformats.org/officeDocument/2006/relationships" r:id="rId2"/>
          <a:extLst>
            <a:ext uri="{FF2B5EF4-FFF2-40B4-BE49-F238E27FC236}">
              <a16:creationId xmlns:a16="http://schemas.microsoft.com/office/drawing/2014/main" id="{00000000-0008-0000-1300-000004000000}"/>
            </a:ext>
          </a:extLst>
        </xdr:cNvPr>
        <xdr:cNvSpPr/>
      </xdr:nvSpPr>
      <xdr:spPr>
        <a:xfrm>
          <a:off x="1797739" y="72721"/>
          <a:ext cx="1585302" cy="40524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5" name="Flecha: hacia la izquierda 4">
          <a:hlinkClick xmlns:r="http://schemas.openxmlformats.org/officeDocument/2006/relationships" r:id="rId3"/>
          <a:extLst>
            <a:ext uri="{FF2B5EF4-FFF2-40B4-BE49-F238E27FC236}">
              <a16:creationId xmlns:a16="http://schemas.microsoft.com/office/drawing/2014/main" id="{00000000-0008-0000-1300-000005000000}"/>
            </a:ext>
          </a:extLst>
        </xdr:cNvPr>
        <xdr:cNvSpPr/>
      </xdr:nvSpPr>
      <xdr:spPr>
        <a:xfrm>
          <a:off x="3467348" y="72721"/>
          <a:ext cx="1383882" cy="40524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6" name="Flecha: a la derecha con bandas 5">
          <a:hlinkClick xmlns:r="http://schemas.openxmlformats.org/officeDocument/2006/relationships" r:id="rId4"/>
          <a:extLst>
            <a:ext uri="{FF2B5EF4-FFF2-40B4-BE49-F238E27FC236}">
              <a16:creationId xmlns:a16="http://schemas.microsoft.com/office/drawing/2014/main" id="{00000000-0008-0000-1300-000006000000}"/>
            </a:ext>
          </a:extLst>
        </xdr:cNvPr>
        <xdr:cNvSpPr/>
      </xdr:nvSpPr>
      <xdr:spPr>
        <a:xfrm>
          <a:off x="5270305" y="84814"/>
          <a:ext cx="1330470" cy="394160"/>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476250</xdr:colOff>
      <xdr:row>1</xdr:row>
      <xdr:rowOff>161925</xdr:rowOff>
    </xdr:from>
    <xdr:to>
      <xdr:col>2</xdr:col>
      <xdr:colOff>1095375</xdr:colOff>
      <xdr:row>3</xdr:row>
      <xdr:rowOff>326208</xdr:rowOff>
    </xdr:to>
    <xdr:pic>
      <xdr:nvPicPr>
        <xdr:cNvPr id="8" name="Imagen 7">
          <a:extLst>
            <a:ext uri="{FF2B5EF4-FFF2-40B4-BE49-F238E27FC236}">
              <a16:creationId xmlns:a16="http://schemas.microsoft.com/office/drawing/2014/main" id="{645D7542-F88C-4750-A96C-B1BF360A5AE8}"/>
            </a:ext>
          </a:extLst>
        </xdr:cNvPr>
        <xdr:cNvPicPr>
          <a:picLocks noChangeAspect="1"/>
        </xdr:cNvPicPr>
      </xdr:nvPicPr>
      <xdr:blipFill>
        <a:blip xmlns:r="http://schemas.openxmlformats.org/officeDocument/2006/relationships" r:embed="rId5"/>
        <a:stretch>
          <a:fillRect/>
        </a:stretch>
      </xdr:blipFill>
      <xdr:spPr>
        <a:xfrm>
          <a:off x="476250" y="933450"/>
          <a:ext cx="2047875" cy="1059633"/>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29F17D40-7393-46B3-B6FE-EA1C0AE63B7B}"/>
            </a:ext>
          </a:extLst>
        </xdr:cNvPr>
        <xdr:cNvSpPr/>
      </xdr:nvSpPr>
      <xdr:spPr>
        <a:xfrm>
          <a:off x="265872" y="84814"/>
          <a:ext cx="1259202" cy="394160"/>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B5A67387-B735-421D-98B8-678E09D0CB52}"/>
            </a:ext>
          </a:extLst>
        </xdr:cNvPr>
        <xdr:cNvSpPr/>
      </xdr:nvSpPr>
      <xdr:spPr>
        <a:xfrm>
          <a:off x="1797739" y="72721"/>
          <a:ext cx="1585302" cy="40524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ACEF4971-C67E-4C72-AFFA-7AEAADBE85B4}"/>
            </a:ext>
          </a:extLst>
        </xdr:cNvPr>
        <xdr:cNvSpPr/>
      </xdr:nvSpPr>
      <xdr:spPr>
        <a:xfrm>
          <a:off x="3467348" y="72721"/>
          <a:ext cx="1383882" cy="40524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71714A88-FBB9-4D4F-A7C0-7E6D68F09685}"/>
            </a:ext>
          </a:extLst>
        </xdr:cNvPr>
        <xdr:cNvSpPr/>
      </xdr:nvSpPr>
      <xdr:spPr>
        <a:xfrm>
          <a:off x="5270305" y="84814"/>
          <a:ext cx="1330470" cy="394160"/>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523875</xdr:colOff>
      <xdr:row>1</xdr:row>
      <xdr:rowOff>152400</xdr:rowOff>
    </xdr:from>
    <xdr:to>
      <xdr:col>2</xdr:col>
      <xdr:colOff>1143000</xdr:colOff>
      <xdr:row>3</xdr:row>
      <xdr:rowOff>316683</xdr:rowOff>
    </xdr:to>
    <xdr:pic>
      <xdr:nvPicPr>
        <xdr:cNvPr id="8" name="Imagen 7">
          <a:extLst>
            <a:ext uri="{FF2B5EF4-FFF2-40B4-BE49-F238E27FC236}">
              <a16:creationId xmlns:a16="http://schemas.microsoft.com/office/drawing/2014/main" id="{42027C8B-A3A5-46E6-A6BE-94CC24AF5CCE}"/>
            </a:ext>
          </a:extLst>
        </xdr:cNvPr>
        <xdr:cNvPicPr>
          <a:picLocks noChangeAspect="1"/>
        </xdr:cNvPicPr>
      </xdr:nvPicPr>
      <xdr:blipFill>
        <a:blip xmlns:r="http://schemas.openxmlformats.org/officeDocument/2006/relationships" r:embed="rId5"/>
        <a:stretch>
          <a:fillRect/>
        </a:stretch>
      </xdr:blipFill>
      <xdr:spPr>
        <a:xfrm>
          <a:off x="523875" y="923925"/>
          <a:ext cx="2047875" cy="1059633"/>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3" name="Flecha: hacia la izquierda 2">
          <a:hlinkClick xmlns:r="http://schemas.openxmlformats.org/officeDocument/2006/relationships" r:id="rId1"/>
          <a:extLst>
            <a:ext uri="{FF2B5EF4-FFF2-40B4-BE49-F238E27FC236}">
              <a16:creationId xmlns:a16="http://schemas.microsoft.com/office/drawing/2014/main" id="{00000000-0008-0000-1400-000003000000}"/>
            </a:ext>
          </a:extLst>
        </xdr:cNvPr>
        <xdr:cNvSpPr/>
      </xdr:nvSpPr>
      <xdr:spPr>
        <a:xfrm>
          <a:off x="330642" y="107674"/>
          <a:ext cx="1190710" cy="477060"/>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4" name="Flecha: hacia la izquierda 3">
          <a:hlinkClick xmlns:r="http://schemas.openxmlformats.org/officeDocument/2006/relationships" r:id="rId2"/>
          <a:extLst>
            <a:ext uri="{FF2B5EF4-FFF2-40B4-BE49-F238E27FC236}">
              <a16:creationId xmlns:a16="http://schemas.microsoft.com/office/drawing/2014/main" id="{00000000-0008-0000-1400-000004000000}"/>
            </a:ext>
          </a:extLst>
        </xdr:cNvPr>
        <xdr:cNvSpPr/>
      </xdr:nvSpPr>
      <xdr:spPr>
        <a:xfrm>
          <a:off x="1875844" y="91771"/>
          <a:ext cx="1543547" cy="492325"/>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5" name="Flecha: hacia la izquierda 4">
          <a:hlinkClick xmlns:r="http://schemas.openxmlformats.org/officeDocument/2006/relationships" r:id="rId3"/>
          <a:extLst>
            <a:ext uri="{FF2B5EF4-FFF2-40B4-BE49-F238E27FC236}">
              <a16:creationId xmlns:a16="http://schemas.microsoft.com/office/drawing/2014/main" id="{00000000-0008-0000-1400-000005000000}"/>
            </a:ext>
          </a:extLst>
        </xdr:cNvPr>
        <xdr:cNvSpPr/>
      </xdr:nvSpPr>
      <xdr:spPr>
        <a:xfrm>
          <a:off x="3518783" y="91771"/>
          <a:ext cx="1366696" cy="492325"/>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6" name="Flecha: a la derecha con bandas 5">
          <a:hlinkClick xmlns:r="http://schemas.openxmlformats.org/officeDocument/2006/relationships" r:id="rId4"/>
          <a:extLst>
            <a:ext uri="{FF2B5EF4-FFF2-40B4-BE49-F238E27FC236}">
              <a16:creationId xmlns:a16="http://schemas.microsoft.com/office/drawing/2014/main" id="{00000000-0008-0000-1400-000006000000}"/>
            </a:ext>
          </a:extLst>
        </xdr:cNvPr>
        <xdr:cNvSpPr/>
      </xdr:nvSpPr>
      <xdr:spPr>
        <a:xfrm>
          <a:off x="5413180" y="107674"/>
          <a:ext cx="1237422" cy="477060"/>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504825</xdr:colOff>
      <xdr:row>1</xdr:row>
      <xdr:rowOff>171450</xdr:rowOff>
    </xdr:from>
    <xdr:to>
      <xdr:col>2</xdr:col>
      <xdr:colOff>1123950</xdr:colOff>
      <xdr:row>3</xdr:row>
      <xdr:rowOff>335733</xdr:rowOff>
    </xdr:to>
    <xdr:pic>
      <xdr:nvPicPr>
        <xdr:cNvPr id="8" name="Imagen 7">
          <a:extLst>
            <a:ext uri="{FF2B5EF4-FFF2-40B4-BE49-F238E27FC236}">
              <a16:creationId xmlns:a16="http://schemas.microsoft.com/office/drawing/2014/main" id="{F1488BD1-B34F-4652-9C70-F7446A693167}"/>
            </a:ext>
          </a:extLst>
        </xdr:cNvPr>
        <xdr:cNvPicPr>
          <a:picLocks noChangeAspect="1"/>
        </xdr:cNvPicPr>
      </xdr:nvPicPr>
      <xdr:blipFill>
        <a:blip xmlns:r="http://schemas.openxmlformats.org/officeDocument/2006/relationships" r:embed="rId5"/>
        <a:stretch>
          <a:fillRect/>
        </a:stretch>
      </xdr:blipFill>
      <xdr:spPr>
        <a:xfrm>
          <a:off x="504825" y="942975"/>
          <a:ext cx="2047875" cy="1059633"/>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D847B154-F135-49A7-9335-F3CD46C368A7}"/>
            </a:ext>
          </a:extLst>
        </xdr:cNvPr>
        <xdr:cNvSpPr/>
      </xdr:nvSpPr>
      <xdr:spPr>
        <a:xfrm>
          <a:off x="265872" y="84814"/>
          <a:ext cx="1259202" cy="394160"/>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E335327F-AA0D-4FB5-AE1D-3F8ABFC35F8E}"/>
            </a:ext>
          </a:extLst>
        </xdr:cNvPr>
        <xdr:cNvSpPr/>
      </xdr:nvSpPr>
      <xdr:spPr>
        <a:xfrm>
          <a:off x="1797739" y="72721"/>
          <a:ext cx="1585302" cy="40524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45556A87-4525-47E9-8AC6-5C370BE7CF26}"/>
            </a:ext>
          </a:extLst>
        </xdr:cNvPr>
        <xdr:cNvSpPr/>
      </xdr:nvSpPr>
      <xdr:spPr>
        <a:xfrm>
          <a:off x="3467348" y="72721"/>
          <a:ext cx="1383882" cy="40524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80BA5A36-45C5-40A8-A1DB-C4687F0E0112}"/>
            </a:ext>
          </a:extLst>
        </xdr:cNvPr>
        <xdr:cNvSpPr/>
      </xdr:nvSpPr>
      <xdr:spPr>
        <a:xfrm>
          <a:off x="5270305" y="84814"/>
          <a:ext cx="1330470" cy="394160"/>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514350</xdr:colOff>
      <xdr:row>1</xdr:row>
      <xdr:rowOff>95250</xdr:rowOff>
    </xdr:from>
    <xdr:to>
      <xdr:col>2</xdr:col>
      <xdr:colOff>1133475</xdr:colOff>
      <xdr:row>3</xdr:row>
      <xdr:rowOff>259533</xdr:rowOff>
    </xdr:to>
    <xdr:pic>
      <xdr:nvPicPr>
        <xdr:cNvPr id="8" name="Imagen 7">
          <a:extLst>
            <a:ext uri="{FF2B5EF4-FFF2-40B4-BE49-F238E27FC236}">
              <a16:creationId xmlns:a16="http://schemas.microsoft.com/office/drawing/2014/main" id="{F3A74D07-A497-48F8-B015-0215148B6E8D}"/>
            </a:ext>
          </a:extLst>
        </xdr:cNvPr>
        <xdr:cNvPicPr>
          <a:picLocks noChangeAspect="1"/>
        </xdr:cNvPicPr>
      </xdr:nvPicPr>
      <xdr:blipFill>
        <a:blip xmlns:r="http://schemas.openxmlformats.org/officeDocument/2006/relationships" r:embed="rId5"/>
        <a:stretch>
          <a:fillRect/>
        </a:stretch>
      </xdr:blipFill>
      <xdr:spPr>
        <a:xfrm>
          <a:off x="514350" y="866775"/>
          <a:ext cx="2047875" cy="1059633"/>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0E1FC62E-7708-4D4A-AD4F-C7D17B108AFA}"/>
            </a:ext>
          </a:extLst>
        </xdr:cNvPr>
        <xdr:cNvSpPr/>
      </xdr:nvSpPr>
      <xdr:spPr>
        <a:xfrm>
          <a:off x="265872" y="84814"/>
          <a:ext cx="1259202" cy="394160"/>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4AE8C35C-DFCD-4B17-9DA8-136C34121727}"/>
            </a:ext>
          </a:extLst>
        </xdr:cNvPr>
        <xdr:cNvSpPr/>
      </xdr:nvSpPr>
      <xdr:spPr>
        <a:xfrm>
          <a:off x="1797739" y="72721"/>
          <a:ext cx="1585302" cy="40524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ADD7CC0D-C7FD-4541-A9A8-A799212AC5FE}"/>
            </a:ext>
          </a:extLst>
        </xdr:cNvPr>
        <xdr:cNvSpPr/>
      </xdr:nvSpPr>
      <xdr:spPr>
        <a:xfrm>
          <a:off x="3467348" y="72721"/>
          <a:ext cx="1383882" cy="40524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55A5A522-414B-45AD-8682-9EA02005A3E4}"/>
            </a:ext>
          </a:extLst>
        </xdr:cNvPr>
        <xdr:cNvSpPr/>
      </xdr:nvSpPr>
      <xdr:spPr>
        <a:xfrm>
          <a:off x="5270305" y="84814"/>
          <a:ext cx="1330470" cy="394160"/>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400050</xdr:colOff>
      <xdr:row>1</xdr:row>
      <xdr:rowOff>161925</xdr:rowOff>
    </xdr:from>
    <xdr:to>
      <xdr:col>2</xdr:col>
      <xdr:colOff>1019175</xdr:colOff>
      <xdr:row>3</xdr:row>
      <xdr:rowOff>326208</xdr:rowOff>
    </xdr:to>
    <xdr:pic>
      <xdr:nvPicPr>
        <xdr:cNvPr id="8" name="Imagen 7">
          <a:extLst>
            <a:ext uri="{FF2B5EF4-FFF2-40B4-BE49-F238E27FC236}">
              <a16:creationId xmlns:a16="http://schemas.microsoft.com/office/drawing/2014/main" id="{3A132329-429F-4AEB-879C-CDD159A28117}"/>
            </a:ext>
          </a:extLst>
        </xdr:cNvPr>
        <xdr:cNvPicPr>
          <a:picLocks noChangeAspect="1"/>
        </xdr:cNvPicPr>
      </xdr:nvPicPr>
      <xdr:blipFill>
        <a:blip xmlns:r="http://schemas.openxmlformats.org/officeDocument/2006/relationships" r:embed="rId5"/>
        <a:stretch>
          <a:fillRect/>
        </a:stretch>
      </xdr:blipFill>
      <xdr:spPr>
        <a:xfrm>
          <a:off x="400050" y="933450"/>
          <a:ext cx="2047875" cy="1059633"/>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B4E2D746-C4A2-4D83-BA6D-80E35E3EF9F8}"/>
            </a:ext>
          </a:extLst>
        </xdr:cNvPr>
        <xdr:cNvSpPr/>
      </xdr:nvSpPr>
      <xdr:spPr>
        <a:xfrm>
          <a:off x="265872" y="84814"/>
          <a:ext cx="1259202" cy="394160"/>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BAD35198-53B0-4863-B134-F396787D7505}"/>
            </a:ext>
          </a:extLst>
        </xdr:cNvPr>
        <xdr:cNvSpPr/>
      </xdr:nvSpPr>
      <xdr:spPr>
        <a:xfrm>
          <a:off x="1797739" y="72721"/>
          <a:ext cx="1585302" cy="40524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3DADD000-3748-4F64-9E56-D3A375B934B5}"/>
            </a:ext>
          </a:extLst>
        </xdr:cNvPr>
        <xdr:cNvSpPr/>
      </xdr:nvSpPr>
      <xdr:spPr>
        <a:xfrm>
          <a:off x="3467348" y="72721"/>
          <a:ext cx="1383882" cy="40524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F5980F67-9760-4392-B476-7AA6A37FF748}"/>
            </a:ext>
          </a:extLst>
        </xdr:cNvPr>
        <xdr:cNvSpPr/>
      </xdr:nvSpPr>
      <xdr:spPr>
        <a:xfrm>
          <a:off x="5270305" y="84814"/>
          <a:ext cx="1330470" cy="394160"/>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590550</xdr:colOff>
      <xdr:row>1</xdr:row>
      <xdr:rowOff>123825</xdr:rowOff>
    </xdr:from>
    <xdr:to>
      <xdr:col>2</xdr:col>
      <xdr:colOff>1209675</xdr:colOff>
      <xdr:row>3</xdr:row>
      <xdr:rowOff>288108</xdr:rowOff>
    </xdr:to>
    <xdr:pic>
      <xdr:nvPicPr>
        <xdr:cNvPr id="8" name="Imagen 7">
          <a:extLst>
            <a:ext uri="{FF2B5EF4-FFF2-40B4-BE49-F238E27FC236}">
              <a16:creationId xmlns:a16="http://schemas.microsoft.com/office/drawing/2014/main" id="{6020362C-6A49-4FBC-83D7-E7001DFEA87A}"/>
            </a:ext>
          </a:extLst>
        </xdr:cNvPr>
        <xdr:cNvPicPr>
          <a:picLocks noChangeAspect="1"/>
        </xdr:cNvPicPr>
      </xdr:nvPicPr>
      <xdr:blipFill>
        <a:blip xmlns:r="http://schemas.openxmlformats.org/officeDocument/2006/relationships" r:embed="rId5"/>
        <a:stretch>
          <a:fillRect/>
        </a:stretch>
      </xdr:blipFill>
      <xdr:spPr>
        <a:xfrm>
          <a:off x="590550" y="895350"/>
          <a:ext cx="2047875" cy="1059633"/>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53079C97-B300-4F3F-A409-7B43C69A2E20}"/>
            </a:ext>
          </a:extLst>
        </xdr:cNvPr>
        <xdr:cNvSpPr/>
      </xdr:nvSpPr>
      <xdr:spPr>
        <a:xfrm>
          <a:off x="265872" y="84814"/>
          <a:ext cx="1259202" cy="394160"/>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4C37CC40-2D9D-4C9A-828D-C3EA32185C8B}"/>
            </a:ext>
          </a:extLst>
        </xdr:cNvPr>
        <xdr:cNvSpPr/>
      </xdr:nvSpPr>
      <xdr:spPr>
        <a:xfrm>
          <a:off x="1797739" y="72721"/>
          <a:ext cx="1585302" cy="40524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6AEAFA15-D604-43B6-807A-BBA30736FAC2}"/>
            </a:ext>
          </a:extLst>
        </xdr:cNvPr>
        <xdr:cNvSpPr/>
      </xdr:nvSpPr>
      <xdr:spPr>
        <a:xfrm>
          <a:off x="3467348" y="72721"/>
          <a:ext cx="1383882" cy="40524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E718B7C8-D3B6-4D2D-8C8B-77DE1E129FDA}"/>
            </a:ext>
          </a:extLst>
        </xdr:cNvPr>
        <xdr:cNvSpPr/>
      </xdr:nvSpPr>
      <xdr:spPr>
        <a:xfrm>
          <a:off x="5270305" y="84814"/>
          <a:ext cx="1330470" cy="394160"/>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590550</xdr:colOff>
      <xdr:row>1</xdr:row>
      <xdr:rowOff>142875</xdr:rowOff>
    </xdr:from>
    <xdr:to>
      <xdr:col>2</xdr:col>
      <xdr:colOff>1209675</xdr:colOff>
      <xdr:row>3</xdr:row>
      <xdr:rowOff>307158</xdr:rowOff>
    </xdr:to>
    <xdr:pic>
      <xdr:nvPicPr>
        <xdr:cNvPr id="8" name="Imagen 7">
          <a:extLst>
            <a:ext uri="{FF2B5EF4-FFF2-40B4-BE49-F238E27FC236}">
              <a16:creationId xmlns:a16="http://schemas.microsoft.com/office/drawing/2014/main" id="{891736A2-888C-4921-AC4D-6BA37E7FA9DD}"/>
            </a:ext>
          </a:extLst>
        </xdr:cNvPr>
        <xdr:cNvPicPr>
          <a:picLocks noChangeAspect="1"/>
        </xdr:cNvPicPr>
      </xdr:nvPicPr>
      <xdr:blipFill>
        <a:blip xmlns:r="http://schemas.openxmlformats.org/officeDocument/2006/relationships" r:embed="rId5"/>
        <a:stretch>
          <a:fillRect/>
        </a:stretch>
      </xdr:blipFill>
      <xdr:spPr>
        <a:xfrm>
          <a:off x="590550" y="914400"/>
          <a:ext cx="2047875" cy="1059633"/>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3" name="Flecha: hacia la izquierda 2">
          <a:hlinkClick xmlns:r="http://schemas.openxmlformats.org/officeDocument/2006/relationships" r:id="rId1"/>
          <a:extLst>
            <a:ext uri="{FF2B5EF4-FFF2-40B4-BE49-F238E27FC236}">
              <a16:creationId xmlns:a16="http://schemas.microsoft.com/office/drawing/2014/main" id="{00000000-0008-0000-1600-000003000000}"/>
            </a:ext>
          </a:extLst>
        </xdr:cNvPr>
        <xdr:cNvSpPr/>
      </xdr:nvSpPr>
      <xdr:spPr>
        <a:xfrm>
          <a:off x="323022" y="107674"/>
          <a:ext cx="1156484" cy="484632"/>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4" name="Flecha: hacia la izquierda 3">
          <a:hlinkClick xmlns:r="http://schemas.openxmlformats.org/officeDocument/2006/relationships" r:id="rId2"/>
          <a:extLst>
            <a:ext uri="{FF2B5EF4-FFF2-40B4-BE49-F238E27FC236}">
              <a16:creationId xmlns:a16="http://schemas.microsoft.com/office/drawing/2014/main" id="{00000000-0008-0000-1600-000004000000}"/>
            </a:ext>
          </a:extLst>
        </xdr:cNvPr>
        <xdr:cNvSpPr/>
      </xdr:nvSpPr>
      <xdr:spPr>
        <a:xfrm>
          <a:off x="1826314" y="99391"/>
          <a:ext cx="1492112" cy="484632"/>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5" name="Flecha: hacia la izquierda 4">
          <a:hlinkClick xmlns:r="http://schemas.openxmlformats.org/officeDocument/2006/relationships" r:id="rId3"/>
          <a:extLst>
            <a:ext uri="{FF2B5EF4-FFF2-40B4-BE49-F238E27FC236}">
              <a16:creationId xmlns:a16="http://schemas.microsoft.com/office/drawing/2014/main" id="{00000000-0008-0000-1600-000005000000}"/>
            </a:ext>
          </a:extLst>
        </xdr:cNvPr>
        <xdr:cNvSpPr/>
      </xdr:nvSpPr>
      <xdr:spPr>
        <a:xfrm>
          <a:off x="3417818" y="99391"/>
          <a:ext cx="1326691" cy="484632"/>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6" name="Flecha: a la derecha con bandas 5">
          <a:hlinkClick xmlns:r="http://schemas.openxmlformats.org/officeDocument/2006/relationships" r:id="rId4"/>
          <a:extLst>
            <a:ext uri="{FF2B5EF4-FFF2-40B4-BE49-F238E27FC236}">
              <a16:creationId xmlns:a16="http://schemas.microsoft.com/office/drawing/2014/main" id="{00000000-0008-0000-1600-000006000000}"/>
            </a:ext>
          </a:extLst>
        </xdr:cNvPr>
        <xdr:cNvSpPr/>
      </xdr:nvSpPr>
      <xdr:spPr>
        <a:xfrm>
          <a:off x="5256970" y="107674"/>
          <a:ext cx="1208847" cy="484632"/>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523875</xdr:colOff>
      <xdr:row>1</xdr:row>
      <xdr:rowOff>152400</xdr:rowOff>
    </xdr:from>
    <xdr:to>
      <xdr:col>2</xdr:col>
      <xdr:colOff>1143000</xdr:colOff>
      <xdr:row>3</xdr:row>
      <xdr:rowOff>316683</xdr:rowOff>
    </xdr:to>
    <xdr:pic>
      <xdr:nvPicPr>
        <xdr:cNvPr id="8" name="Imagen 7">
          <a:extLst>
            <a:ext uri="{FF2B5EF4-FFF2-40B4-BE49-F238E27FC236}">
              <a16:creationId xmlns:a16="http://schemas.microsoft.com/office/drawing/2014/main" id="{F7728C96-6F46-4E61-96DA-18FB9F027C00}"/>
            </a:ext>
          </a:extLst>
        </xdr:cNvPr>
        <xdr:cNvPicPr>
          <a:picLocks noChangeAspect="1"/>
        </xdr:cNvPicPr>
      </xdr:nvPicPr>
      <xdr:blipFill>
        <a:blip xmlns:r="http://schemas.openxmlformats.org/officeDocument/2006/relationships" r:embed="rId5"/>
        <a:stretch>
          <a:fillRect/>
        </a:stretch>
      </xdr:blipFill>
      <xdr:spPr>
        <a:xfrm>
          <a:off x="523875" y="923925"/>
          <a:ext cx="2047875" cy="1059633"/>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3" name="Flecha: hacia la izquierda 2">
          <a:hlinkClick xmlns:r="http://schemas.openxmlformats.org/officeDocument/2006/relationships" r:id="rId1"/>
          <a:extLst>
            <a:ext uri="{FF2B5EF4-FFF2-40B4-BE49-F238E27FC236}">
              <a16:creationId xmlns:a16="http://schemas.microsoft.com/office/drawing/2014/main" id="{00000000-0008-0000-1700-000003000000}"/>
            </a:ext>
          </a:extLst>
        </xdr:cNvPr>
        <xdr:cNvSpPr/>
      </xdr:nvSpPr>
      <xdr:spPr>
        <a:xfrm>
          <a:off x="330642" y="107674"/>
          <a:ext cx="1190710" cy="477060"/>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4" name="Flecha: hacia la izquierda 3">
          <a:hlinkClick xmlns:r="http://schemas.openxmlformats.org/officeDocument/2006/relationships" r:id="rId2"/>
          <a:extLst>
            <a:ext uri="{FF2B5EF4-FFF2-40B4-BE49-F238E27FC236}">
              <a16:creationId xmlns:a16="http://schemas.microsoft.com/office/drawing/2014/main" id="{00000000-0008-0000-1700-000004000000}"/>
            </a:ext>
          </a:extLst>
        </xdr:cNvPr>
        <xdr:cNvSpPr/>
      </xdr:nvSpPr>
      <xdr:spPr>
        <a:xfrm>
          <a:off x="1875844" y="91771"/>
          <a:ext cx="1543547" cy="492325"/>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5" name="Flecha: hacia la izquierda 4">
          <a:hlinkClick xmlns:r="http://schemas.openxmlformats.org/officeDocument/2006/relationships" r:id="rId3"/>
          <a:extLst>
            <a:ext uri="{FF2B5EF4-FFF2-40B4-BE49-F238E27FC236}">
              <a16:creationId xmlns:a16="http://schemas.microsoft.com/office/drawing/2014/main" id="{00000000-0008-0000-1700-000005000000}"/>
            </a:ext>
          </a:extLst>
        </xdr:cNvPr>
        <xdr:cNvSpPr/>
      </xdr:nvSpPr>
      <xdr:spPr>
        <a:xfrm>
          <a:off x="3518783" y="91771"/>
          <a:ext cx="1366696" cy="492325"/>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6" name="Flecha: a la derecha con bandas 5">
          <a:hlinkClick xmlns:r="http://schemas.openxmlformats.org/officeDocument/2006/relationships" r:id="rId4"/>
          <a:extLst>
            <a:ext uri="{FF2B5EF4-FFF2-40B4-BE49-F238E27FC236}">
              <a16:creationId xmlns:a16="http://schemas.microsoft.com/office/drawing/2014/main" id="{00000000-0008-0000-1700-000006000000}"/>
            </a:ext>
          </a:extLst>
        </xdr:cNvPr>
        <xdr:cNvSpPr/>
      </xdr:nvSpPr>
      <xdr:spPr>
        <a:xfrm>
          <a:off x="5413180" y="107674"/>
          <a:ext cx="1237422" cy="477060"/>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504825</xdr:colOff>
      <xdr:row>1</xdr:row>
      <xdr:rowOff>190500</xdr:rowOff>
    </xdr:from>
    <xdr:to>
      <xdr:col>2</xdr:col>
      <xdr:colOff>1123950</xdr:colOff>
      <xdr:row>3</xdr:row>
      <xdr:rowOff>354783</xdr:rowOff>
    </xdr:to>
    <xdr:pic>
      <xdr:nvPicPr>
        <xdr:cNvPr id="8" name="Imagen 7">
          <a:extLst>
            <a:ext uri="{FF2B5EF4-FFF2-40B4-BE49-F238E27FC236}">
              <a16:creationId xmlns:a16="http://schemas.microsoft.com/office/drawing/2014/main" id="{02D62481-5E04-4848-818E-DAF9CD858EF4}"/>
            </a:ext>
          </a:extLst>
        </xdr:cNvPr>
        <xdr:cNvPicPr>
          <a:picLocks noChangeAspect="1"/>
        </xdr:cNvPicPr>
      </xdr:nvPicPr>
      <xdr:blipFill>
        <a:blip xmlns:r="http://schemas.openxmlformats.org/officeDocument/2006/relationships" r:embed="rId5"/>
        <a:stretch>
          <a:fillRect/>
        </a:stretch>
      </xdr:blipFill>
      <xdr:spPr>
        <a:xfrm>
          <a:off x="504825" y="962025"/>
          <a:ext cx="2047875" cy="1059633"/>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3" name="Flecha: hacia la izquierda 2">
          <a:hlinkClick xmlns:r="http://schemas.openxmlformats.org/officeDocument/2006/relationships" r:id="rId1"/>
          <a:extLst>
            <a:ext uri="{FF2B5EF4-FFF2-40B4-BE49-F238E27FC236}">
              <a16:creationId xmlns:a16="http://schemas.microsoft.com/office/drawing/2014/main" id="{00000000-0008-0000-1800-000003000000}"/>
            </a:ext>
          </a:extLst>
        </xdr:cNvPr>
        <xdr:cNvSpPr/>
      </xdr:nvSpPr>
      <xdr:spPr>
        <a:xfrm>
          <a:off x="330642" y="107674"/>
          <a:ext cx="1190710" cy="477060"/>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4" name="Flecha: hacia la izquierda 3">
          <a:hlinkClick xmlns:r="http://schemas.openxmlformats.org/officeDocument/2006/relationships" r:id="rId2"/>
          <a:extLst>
            <a:ext uri="{FF2B5EF4-FFF2-40B4-BE49-F238E27FC236}">
              <a16:creationId xmlns:a16="http://schemas.microsoft.com/office/drawing/2014/main" id="{00000000-0008-0000-1800-000004000000}"/>
            </a:ext>
          </a:extLst>
        </xdr:cNvPr>
        <xdr:cNvSpPr/>
      </xdr:nvSpPr>
      <xdr:spPr>
        <a:xfrm>
          <a:off x="1875844" y="91771"/>
          <a:ext cx="1543547" cy="492325"/>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5" name="Flecha: hacia la izquierda 4">
          <a:hlinkClick xmlns:r="http://schemas.openxmlformats.org/officeDocument/2006/relationships" r:id="rId3"/>
          <a:extLst>
            <a:ext uri="{FF2B5EF4-FFF2-40B4-BE49-F238E27FC236}">
              <a16:creationId xmlns:a16="http://schemas.microsoft.com/office/drawing/2014/main" id="{00000000-0008-0000-1800-000005000000}"/>
            </a:ext>
          </a:extLst>
        </xdr:cNvPr>
        <xdr:cNvSpPr/>
      </xdr:nvSpPr>
      <xdr:spPr>
        <a:xfrm>
          <a:off x="3518783" y="91771"/>
          <a:ext cx="1366696" cy="492325"/>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6" name="Flecha: a la derecha con bandas 5">
          <a:hlinkClick xmlns:r="http://schemas.openxmlformats.org/officeDocument/2006/relationships" r:id="rId4"/>
          <a:extLst>
            <a:ext uri="{FF2B5EF4-FFF2-40B4-BE49-F238E27FC236}">
              <a16:creationId xmlns:a16="http://schemas.microsoft.com/office/drawing/2014/main" id="{00000000-0008-0000-1800-000006000000}"/>
            </a:ext>
          </a:extLst>
        </xdr:cNvPr>
        <xdr:cNvSpPr/>
      </xdr:nvSpPr>
      <xdr:spPr>
        <a:xfrm>
          <a:off x="5413180" y="107674"/>
          <a:ext cx="1237422" cy="477060"/>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1</xdr:col>
      <xdr:colOff>0</xdr:colOff>
      <xdr:row>1</xdr:row>
      <xdr:rowOff>133350</xdr:rowOff>
    </xdr:from>
    <xdr:to>
      <xdr:col>2</xdr:col>
      <xdr:colOff>1228725</xdr:colOff>
      <xdr:row>3</xdr:row>
      <xdr:rowOff>297633</xdr:rowOff>
    </xdr:to>
    <xdr:pic>
      <xdr:nvPicPr>
        <xdr:cNvPr id="8" name="Imagen 7">
          <a:extLst>
            <a:ext uri="{FF2B5EF4-FFF2-40B4-BE49-F238E27FC236}">
              <a16:creationId xmlns:a16="http://schemas.microsoft.com/office/drawing/2014/main" id="{12519103-D60B-4D82-9175-CD34441D74D7}"/>
            </a:ext>
          </a:extLst>
        </xdr:cNvPr>
        <xdr:cNvPicPr>
          <a:picLocks noChangeAspect="1"/>
        </xdr:cNvPicPr>
      </xdr:nvPicPr>
      <xdr:blipFill>
        <a:blip xmlns:r="http://schemas.openxmlformats.org/officeDocument/2006/relationships" r:embed="rId5"/>
        <a:stretch>
          <a:fillRect/>
        </a:stretch>
      </xdr:blipFill>
      <xdr:spPr>
        <a:xfrm>
          <a:off x="609600" y="904875"/>
          <a:ext cx="2047875" cy="1059633"/>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3" name="Flecha: hacia la izquierda 2">
          <a:hlinkClick xmlns:r="http://schemas.openxmlformats.org/officeDocument/2006/relationships" r:id="rId1"/>
          <a:extLst>
            <a:ext uri="{FF2B5EF4-FFF2-40B4-BE49-F238E27FC236}">
              <a16:creationId xmlns:a16="http://schemas.microsoft.com/office/drawing/2014/main" id="{00000000-0008-0000-1900-000003000000}"/>
            </a:ext>
          </a:extLst>
        </xdr:cNvPr>
        <xdr:cNvSpPr/>
      </xdr:nvSpPr>
      <xdr:spPr>
        <a:xfrm>
          <a:off x="330642" y="107674"/>
          <a:ext cx="1190710" cy="477060"/>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4" name="Flecha: hacia la izquierda 3">
          <a:hlinkClick xmlns:r="http://schemas.openxmlformats.org/officeDocument/2006/relationships" r:id="rId2"/>
          <a:extLst>
            <a:ext uri="{FF2B5EF4-FFF2-40B4-BE49-F238E27FC236}">
              <a16:creationId xmlns:a16="http://schemas.microsoft.com/office/drawing/2014/main" id="{00000000-0008-0000-1900-000004000000}"/>
            </a:ext>
          </a:extLst>
        </xdr:cNvPr>
        <xdr:cNvSpPr/>
      </xdr:nvSpPr>
      <xdr:spPr>
        <a:xfrm>
          <a:off x="1875844" y="91771"/>
          <a:ext cx="1543547" cy="492325"/>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5" name="Flecha: hacia la izquierda 4">
          <a:hlinkClick xmlns:r="http://schemas.openxmlformats.org/officeDocument/2006/relationships" r:id="rId3"/>
          <a:extLst>
            <a:ext uri="{FF2B5EF4-FFF2-40B4-BE49-F238E27FC236}">
              <a16:creationId xmlns:a16="http://schemas.microsoft.com/office/drawing/2014/main" id="{00000000-0008-0000-1900-000005000000}"/>
            </a:ext>
          </a:extLst>
        </xdr:cNvPr>
        <xdr:cNvSpPr/>
      </xdr:nvSpPr>
      <xdr:spPr>
        <a:xfrm>
          <a:off x="3518783" y="91771"/>
          <a:ext cx="1366696" cy="492325"/>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6" name="Flecha: a la derecha con bandas 5">
          <a:hlinkClick xmlns:r="http://schemas.openxmlformats.org/officeDocument/2006/relationships" r:id="rId4"/>
          <a:extLst>
            <a:ext uri="{FF2B5EF4-FFF2-40B4-BE49-F238E27FC236}">
              <a16:creationId xmlns:a16="http://schemas.microsoft.com/office/drawing/2014/main" id="{00000000-0008-0000-1900-000006000000}"/>
            </a:ext>
          </a:extLst>
        </xdr:cNvPr>
        <xdr:cNvSpPr/>
      </xdr:nvSpPr>
      <xdr:spPr>
        <a:xfrm>
          <a:off x="5413180" y="107674"/>
          <a:ext cx="1237422" cy="477060"/>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419100</xdr:colOff>
      <xdr:row>1</xdr:row>
      <xdr:rowOff>152400</xdr:rowOff>
    </xdr:from>
    <xdr:to>
      <xdr:col>2</xdr:col>
      <xdr:colOff>1038225</xdr:colOff>
      <xdr:row>3</xdr:row>
      <xdr:rowOff>316683</xdr:rowOff>
    </xdr:to>
    <xdr:pic>
      <xdr:nvPicPr>
        <xdr:cNvPr id="8" name="Imagen 7">
          <a:extLst>
            <a:ext uri="{FF2B5EF4-FFF2-40B4-BE49-F238E27FC236}">
              <a16:creationId xmlns:a16="http://schemas.microsoft.com/office/drawing/2014/main" id="{53ED0C07-3AE8-4BD1-B77D-982D0785E4F3}"/>
            </a:ext>
          </a:extLst>
        </xdr:cNvPr>
        <xdr:cNvPicPr>
          <a:picLocks noChangeAspect="1"/>
        </xdr:cNvPicPr>
      </xdr:nvPicPr>
      <xdr:blipFill>
        <a:blip xmlns:r="http://schemas.openxmlformats.org/officeDocument/2006/relationships" r:embed="rId5"/>
        <a:stretch>
          <a:fillRect/>
        </a:stretch>
      </xdr:blipFill>
      <xdr:spPr>
        <a:xfrm>
          <a:off x="419100" y="923925"/>
          <a:ext cx="2047875" cy="1059633"/>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3" name="Flecha: hacia la izquierda 2">
          <a:hlinkClick xmlns:r="http://schemas.openxmlformats.org/officeDocument/2006/relationships" r:id="rId1"/>
          <a:extLst>
            <a:ext uri="{FF2B5EF4-FFF2-40B4-BE49-F238E27FC236}">
              <a16:creationId xmlns:a16="http://schemas.microsoft.com/office/drawing/2014/main" id="{00000000-0008-0000-1A00-000003000000}"/>
            </a:ext>
          </a:extLst>
        </xdr:cNvPr>
        <xdr:cNvSpPr/>
      </xdr:nvSpPr>
      <xdr:spPr>
        <a:xfrm>
          <a:off x="330642" y="107674"/>
          <a:ext cx="1190710" cy="477060"/>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4" name="Flecha: hacia la izquierda 3">
          <a:hlinkClick xmlns:r="http://schemas.openxmlformats.org/officeDocument/2006/relationships" r:id="rId2"/>
          <a:extLst>
            <a:ext uri="{FF2B5EF4-FFF2-40B4-BE49-F238E27FC236}">
              <a16:creationId xmlns:a16="http://schemas.microsoft.com/office/drawing/2014/main" id="{00000000-0008-0000-1A00-000004000000}"/>
            </a:ext>
          </a:extLst>
        </xdr:cNvPr>
        <xdr:cNvSpPr/>
      </xdr:nvSpPr>
      <xdr:spPr>
        <a:xfrm>
          <a:off x="1875844" y="91771"/>
          <a:ext cx="1543547" cy="492325"/>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5" name="Flecha: hacia la izquierda 4">
          <a:hlinkClick xmlns:r="http://schemas.openxmlformats.org/officeDocument/2006/relationships" r:id="rId3"/>
          <a:extLst>
            <a:ext uri="{FF2B5EF4-FFF2-40B4-BE49-F238E27FC236}">
              <a16:creationId xmlns:a16="http://schemas.microsoft.com/office/drawing/2014/main" id="{00000000-0008-0000-1A00-000005000000}"/>
            </a:ext>
          </a:extLst>
        </xdr:cNvPr>
        <xdr:cNvSpPr/>
      </xdr:nvSpPr>
      <xdr:spPr>
        <a:xfrm>
          <a:off x="3518783" y="91771"/>
          <a:ext cx="1366696" cy="492325"/>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6" name="Flecha: a la derecha con bandas 5">
          <a:hlinkClick xmlns:r="http://schemas.openxmlformats.org/officeDocument/2006/relationships" r:id="rId4"/>
          <a:extLst>
            <a:ext uri="{FF2B5EF4-FFF2-40B4-BE49-F238E27FC236}">
              <a16:creationId xmlns:a16="http://schemas.microsoft.com/office/drawing/2014/main" id="{00000000-0008-0000-1A00-000006000000}"/>
            </a:ext>
          </a:extLst>
        </xdr:cNvPr>
        <xdr:cNvSpPr/>
      </xdr:nvSpPr>
      <xdr:spPr>
        <a:xfrm>
          <a:off x="5413180" y="107674"/>
          <a:ext cx="1237422" cy="477060"/>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419100</xdr:colOff>
      <xdr:row>1</xdr:row>
      <xdr:rowOff>133350</xdr:rowOff>
    </xdr:from>
    <xdr:to>
      <xdr:col>2</xdr:col>
      <xdr:colOff>1038225</xdr:colOff>
      <xdr:row>3</xdr:row>
      <xdr:rowOff>297633</xdr:rowOff>
    </xdr:to>
    <xdr:pic>
      <xdr:nvPicPr>
        <xdr:cNvPr id="8" name="Imagen 7">
          <a:extLst>
            <a:ext uri="{FF2B5EF4-FFF2-40B4-BE49-F238E27FC236}">
              <a16:creationId xmlns:a16="http://schemas.microsoft.com/office/drawing/2014/main" id="{012EFE8A-0DE6-4E34-AEE3-4746F9094B69}"/>
            </a:ext>
          </a:extLst>
        </xdr:cNvPr>
        <xdr:cNvPicPr>
          <a:picLocks noChangeAspect="1"/>
        </xdr:cNvPicPr>
      </xdr:nvPicPr>
      <xdr:blipFill>
        <a:blip xmlns:r="http://schemas.openxmlformats.org/officeDocument/2006/relationships" r:embed="rId5"/>
        <a:stretch>
          <a:fillRect/>
        </a:stretch>
      </xdr:blipFill>
      <xdr:spPr>
        <a:xfrm>
          <a:off x="419100" y="904875"/>
          <a:ext cx="2047875" cy="1059633"/>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3" name="Flecha: hacia la izquierda 2">
          <a:hlinkClick xmlns:r="http://schemas.openxmlformats.org/officeDocument/2006/relationships" r:id="rId1"/>
          <a:extLst>
            <a:ext uri="{FF2B5EF4-FFF2-40B4-BE49-F238E27FC236}">
              <a16:creationId xmlns:a16="http://schemas.microsoft.com/office/drawing/2014/main" id="{00000000-0008-0000-1B00-000003000000}"/>
            </a:ext>
          </a:extLst>
        </xdr:cNvPr>
        <xdr:cNvSpPr/>
      </xdr:nvSpPr>
      <xdr:spPr>
        <a:xfrm>
          <a:off x="265872" y="84814"/>
          <a:ext cx="1259202" cy="394160"/>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4" name="Flecha: hacia la izquierda 3">
          <a:hlinkClick xmlns:r="http://schemas.openxmlformats.org/officeDocument/2006/relationships" r:id="rId2"/>
          <a:extLst>
            <a:ext uri="{FF2B5EF4-FFF2-40B4-BE49-F238E27FC236}">
              <a16:creationId xmlns:a16="http://schemas.microsoft.com/office/drawing/2014/main" id="{00000000-0008-0000-1B00-000004000000}"/>
            </a:ext>
          </a:extLst>
        </xdr:cNvPr>
        <xdr:cNvSpPr/>
      </xdr:nvSpPr>
      <xdr:spPr>
        <a:xfrm>
          <a:off x="1797739" y="72721"/>
          <a:ext cx="1585302" cy="40524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5" name="Flecha: hacia la izquierda 4">
          <a:hlinkClick xmlns:r="http://schemas.openxmlformats.org/officeDocument/2006/relationships" r:id="rId3"/>
          <a:extLst>
            <a:ext uri="{FF2B5EF4-FFF2-40B4-BE49-F238E27FC236}">
              <a16:creationId xmlns:a16="http://schemas.microsoft.com/office/drawing/2014/main" id="{00000000-0008-0000-1B00-000005000000}"/>
            </a:ext>
          </a:extLst>
        </xdr:cNvPr>
        <xdr:cNvSpPr/>
      </xdr:nvSpPr>
      <xdr:spPr>
        <a:xfrm>
          <a:off x="3467348" y="72721"/>
          <a:ext cx="1383882" cy="40524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6" name="Flecha: a la derecha con bandas 5">
          <a:hlinkClick xmlns:r="http://schemas.openxmlformats.org/officeDocument/2006/relationships" r:id="rId4"/>
          <a:extLst>
            <a:ext uri="{FF2B5EF4-FFF2-40B4-BE49-F238E27FC236}">
              <a16:creationId xmlns:a16="http://schemas.microsoft.com/office/drawing/2014/main" id="{00000000-0008-0000-1B00-000006000000}"/>
            </a:ext>
          </a:extLst>
        </xdr:cNvPr>
        <xdr:cNvSpPr/>
      </xdr:nvSpPr>
      <xdr:spPr>
        <a:xfrm>
          <a:off x="5270305" y="84814"/>
          <a:ext cx="1330470" cy="394160"/>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523875</xdr:colOff>
      <xdr:row>1</xdr:row>
      <xdr:rowOff>142875</xdr:rowOff>
    </xdr:from>
    <xdr:to>
      <xdr:col>2</xdr:col>
      <xdr:colOff>1143000</xdr:colOff>
      <xdr:row>3</xdr:row>
      <xdr:rowOff>307158</xdr:rowOff>
    </xdr:to>
    <xdr:pic>
      <xdr:nvPicPr>
        <xdr:cNvPr id="8" name="Imagen 7">
          <a:extLst>
            <a:ext uri="{FF2B5EF4-FFF2-40B4-BE49-F238E27FC236}">
              <a16:creationId xmlns:a16="http://schemas.microsoft.com/office/drawing/2014/main" id="{F2802428-EC93-4C6E-A711-EE0E1783167F}"/>
            </a:ext>
          </a:extLst>
        </xdr:cNvPr>
        <xdr:cNvPicPr>
          <a:picLocks noChangeAspect="1"/>
        </xdr:cNvPicPr>
      </xdr:nvPicPr>
      <xdr:blipFill>
        <a:blip xmlns:r="http://schemas.openxmlformats.org/officeDocument/2006/relationships" r:embed="rId5"/>
        <a:stretch>
          <a:fillRect/>
        </a:stretch>
      </xdr:blipFill>
      <xdr:spPr>
        <a:xfrm>
          <a:off x="523875" y="914400"/>
          <a:ext cx="2047875" cy="1059633"/>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3" name="Flecha: hacia la izquierda 2">
          <a:hlinkClick xmlns:r="http://schemas.openxmlformats.org/officeDocument/2006/relationships" r:id="rId1"/>
          <a:extLst>
            <a:ext uri="{FF2B5EF4-FFF2-40B4-BE49-F238E27FC236}">
              <a16:creationId xmlns:a16="http://schemas.microsoft.com/office/drawing/2014/main" id="{00000000-0008-0000-1D00-000003000000}"/>
            </a:ext>
          </a:extLst>
        </xdr:cNvPr>
        <xdr:cNvSpPr/>
      </xdr:nvSpPr>
      <xdr:spPr>
        <a:xfrm>
          <a:off x="330642" y="107674"/>
          <a:ext cx="1190710" cy="477060"/>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4" name="Flecha: hacia la izquierda 3">
          <a:hlinkClick xmlns:r="http://schemas.openxmlformats.org/officeDocument/2006/relationships" r:id="rId2"/>
          <a:extLst>
            <a:ext uri="{FF2B5EF4-FFF2-40B4-BE49-F238E27FC236}">
              <a16:creationId xmlns:a16="http://schemas.microsoft.com/office/drawing/2014/main" id="{00000000-0008-0000-1D00-000004000000}"/>
            </a:ext>
          </a:extLst>
        </xdr:cNvPr>
        <xdr:cNvSpPr/>
      </xdr:nvSpPr>
      <xdr:spPr>
        <a:xfrm>
          <a:off x="1875844" y="91771"/>
          <a:ext cx="1543547" cy="492325"/>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5" name="Flecha: hacia la izquierda 4">
          <a:hlinkClick xmlns:r="http://schemas.openxmlformats.org/officeDocument/2006/relationships" r:id="rId3"/>
          <a:extLst>
            <a:ext uri="{FF2B5EF4-FFF2-40B4-BE49-F238E27FC236}">
              <a16:creationId xmlns:a16="http://schemas.microsoft.com/office/drawing/2014/main" id="{00000000-0008-0000-1D00-000005000000}"/>
            </a:ext>
          </a:extLst>
        </xdr:cNvPr>
        <xdr:cNvSpPr/>
      </xdr:nvSpPr>
      <xdr:spPr>
        <a:xfrm>
          <a:off x="3518783" y="91771"/>
          <a:ext cx="1366696" cy="492325"/>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6" name="Flecha: a la derecha con bandas 5">
          <a:hlinkClick xmlns:r="http://schemas.openxmlformats.org/officeDocument/2006/relationships" r:id="rId4"/>
          <a:extLst>
            <a:ext uri="{FF2B5EF4-FFF2-40B4-BE49-F238E27FC236}">
              <a16:creationId xmlns:a16="http://schemas.microsoft.com/office/drawing/2014/main" id="{00000000-0008-0000-1D00-000006000000}"/>
            </a:ext>
          </a:extLst>
        </xdr:cNvPr>
        <xdr:cNvSpPr/>
      </xdr:nvSpPr>
      <xdr:spPr>
        <a:xfrm>
          <a:off x="5413180" y="107674"/>
          <a:ext cx="1237422" cy="477060"/>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514350</xdr:colOff>
      <xdr:row>1</xdr:row>
      <xdr:rowOff>123825</xdr:rowOff>
    </xdr:from>
    <xdr:to>
      <xdr:col>2</xdr:col>
      <xdr:colOff>1133475</xdr:colOff>
      <xdr:row>3</xdr:row>
      <xdr:rowOff>288108</xdr:rowOff>
    </xdr:to>
    <xdr:pic>
      <xdr:nvPicPr>
        <xdr:cNvPr id="8" name="Imagen 7">
          <a:extLst>
            <a:ext uri="{FF2B5EF4-FFF2-40B4-BE49-F238E27FC236}">
              <a16:creationId xmlns:a16="http://schemas.microsoft.com/office/drawing/2014/main" id="{E2FA8785-FF6E-4EB1-A565-1B33376E3FFD}"/>
            </a:ext>
          </a:extLst>
        </xdr:cNvPr>
        <xdr:cNvPicPr>
          <a:picLocks noChangeAspect="1"/>
        </xdr:cNvPicPr>
      </xdr:nvPicPr>
      <xdr:blipFill>
        <a:blip xmlns:r="http://schemas.openxmlformats.org/officeDocument/2006/relationships" r:embed="rId5"/>
        <a:stretch>
          <a:fillRect/>
        </a:stretch>
      </xdr:blipFill>
      <xdr:spPr>
        <a:xfrm>
          <a:off x="514350" y="895350"/>
          <a:ext cx="2047875" cy="1059633"/>
        </a:xfrm>
        <a:prstGeom prst="rect">
          <a:avLst/>
        </a:prstGeom>
      </xdr:spPr>
    </xdr:pic>
    <xdr:clientData/>
  </xdr:twoCellAnchor>
</xdr:wsDr>
</file>

<file path=xl/drawings/drawing27.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3" name="Flecha: hacia la izquierda 2">
          <a:hlinkClick xmlns:r="http://schemas.openxmlformats.org/officeDocument/2006/relationships" r:id="rId1"/>
          <a:extLst>
            <a:ext uri="{FF2B5EF4-FFF2-40B4-BE49-F238E27FC236}">
              <a16:creationId xmlns:a16="http://schemas.microsoft.com/office/drawing/2014/main" id="{00000000-0008-0000-1E00-000003000000}"/>
            </a:ext>
          </a:extLst>
        </xdr:cNvPr>
        <xdr:cNvSpPr/>
      </xdr:nvSpPr>
      <xdr:spPr>
        <a:xfrm>
          <a:off x="330642" y="107674"/>
          <a:ext cx="1190710" cy="477060"/>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4" name="Flecha: hacia la izquierda 3">
          <a:hlinkClick xmlns:r="http://schemas.openxmlformats.org/officeDocument/2006/relationships" r:id="rId2"/>
          <a:extLst>
            <a:ext uri="{FF2B5EF4-FFF2-40B4-BE49-F238E27FC236}">
              <a16:creationId xmlns:a16="http://schemas.microsoft.com/office/drawing/2014/main" id="{00000000-0008-0000-1E00-000004000000}"/>
            </a:ext>
          </a:extLst>
        </xdr:cNvPr>
        <xdr:cNvSpPr/>
      </xdr:nvSpPr>
      <xdr:spPr>
        <a:xfrm>
          <a:off x="1875844" y="91771"/>
          <a:ext cx="1543547" cy="492325"/>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5" name="Flecha: hacia la izquierda 4">
          <a:hlinkClick xmlns:r="http://schemas.openxmlformats.org/officeDocument/2006/relationships" r:id="rId3"/>
          <a:extLst>
            <a:ext uri="{FF2B5EF4-FFF2-40B4-BE49-F238E27FC236}">
              <a16:creationId xmlns:a16="http://schemas.microsoft.com/office/drawing/2014/main" id="{00000000-0008-0000-1E00-000005000000}"/>
            </a:ext>
          </a:extLst>
        </xdr:cNvPr>
        <xdr:cNvSpPr/>
      </xdr:nvSpPr>
      <xdr:spPr>
        <a:xfrm>
          <a:off x="3518783" y="91771"/>
          <a:ext cx="1366696" cy="492325"/>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6" name="Flecha: a la derecha con bandas 5">
          <a:hlinkClick xmlns:r="http://schemas.openxmlformats.org/officeDocument/2006/relationships" r:id="rId4"/>
          <a:extLst>
            <a:ext uri="{FF2B5EF4-FFF2-40B4-BE49-F238E27FC236}">
              <a16:creationId xmlns:a16="http://schemas.microsoft.com/office/drawing/2014/main" id="{00000000-0008-0000-1E00-000006000000}"/>
            </a:ext>
          </a:extLst>
        </xdr:cNvPr>
        <xdr:cNvSpPr/>
      </xdr:nvSpPr>
      <xdr:spPr>
        <a:xfrm>
          <a:off x="5413180" y="107674"/>
          <a:ext cx="1237422" cy="477060"/>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447675</xdr:colOff>
      <xdr:row>1</xdr:row>
      <xdr:rowOff>133350</xdr:rowOff>
    </xdr:from>
    <xdr:to>
      <xdr:col>2</xdr:col>
      <xdr:colOff>1066800</xdr:colOff>
      <xdr:row>3</xdr:row>
      <xdr:rowOff>297633</xdr:rowOff>
    </xdr:to>
    <xdr:pic>
      <xdr:nvPicPr>
        <xdr:cNvPr id="8" name="Imagen 7">
          <a:extLst>
            <a:ext uri="{FF2B5EF4-FFF2-40B4-BE49-F238E27FC236}">
              <a16:creationId xmlns:a16="http://schemas.microsoft.com/office/drawing/2014/main" id="{CC5300E5-20FC-496B-932E-683F04BE0F53}"/>
            </a:ext>
          </a:extLst>
        </xdr:cNvPr>
        <xdr:cNvPicPr>
          <a:picLocks noChangeAspect="1"/>
        </xdr:cNvPicPr>
      </xdr:nvPicPr>
      <xdr:blipFill>
        <a:blip xmlns:r="http://schemas.openxmlformats.org/officeDocument/2006/relationships" r:embed="rId5"/>
        <a:stretch>
          <a:fillRect/>
        </a:stretch>
      </xdr:blipFill>
      <xdr:spPr>
        <a:xfrm>
          <a:off x="447675" y="904875"/>
          <a:ext cx="2047875" cy="1059633"/>
        </a:xfrm>
        <a:prstGeom prst="rect">
          <a:avLst/>
        </a:prstGeom>
      </xdr:spPr>
    </xdr:pic>
    <xdr:clientData/>
  </xdr:twoCellAnchor>
</xdr:wsDr>
</file>

<file path=xl/drawings/drawing28.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3" name="Flecha: hacia la izquierda 2">
          <a:hlinkClick xmlns:r="http://schemas.openxmlformats.org/officeDocument/2006/relationships" r:id="rId1"/>
          <a:extLst>
            <a:ext uri="{FF2B5EF4-FFF2-40B4-BE49-F238E27FC236}">
              <a16:creationId xmlns:a16="http://schemas.microsoft.com/office/drawing/2014/main" id="{00000000-0008-0000-1F00-000003000000}"/>
            </a:ext>
          </a:extLst>
        </xdr:cNvPr>
        <xdr:cNvSpPr/>
      </xdr:nvSpPr>
      <xdr:spPr>
        <a:xfrm>
          <a:off x="265872" y="84814"/>
          <a:ext cx="1259202" cy="394160"/>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4" name="Flecha: hacia la izquierda 3">
          <a:hlinkClick xmlns:r="http://schemas.openxmlformats.org/officeDocument/2006/relationships" r:id="rId2"/>
          <a:extLst>
            <a:ext uri="{FF2B5EF4-FFF2-40B4-BE49-F238E27FC236}">
              <a16:creationId xmlns:a16="http://schemas.microsoft.com/office/drawing/2014/main" id="{00000000-0008-0000-1F00-000004000000}"/>
            </a:ext>
          </a:extLst>
        </xdr:cNvPr>
        <xdr:cNvSpPr/>
      </xdr:nvSpPr>
      <xdr:spPr>
        <a:xfrm>
          <a:off x="1797739" y="72721"/>
          <a:ext cx="1585302" cy="40524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5" name="Flecha: hacia la izquierda 4">
          <a:hlinkClick xmlns:r="http://schemas.openxmlformats.org/officeDocument/2006/relationships" r:id="rId3"/>
          <a:extLst>
            <a:ext uri="{FF2B5EF4-FFF2-40B4-BE49-F238E27FC236}">
              <a16:creationId xmlns:a16="http://schemas.microsoft.com/office/drawing/2014/main" id="{00000000-0008-0000-1F00-000005000000}"/>
            </a:ext>
          </a:extLst>
        </xdr:cNvPr>
        <xdr:cNvSpPr/>
      </xdr:nvSpPr>
      <xdr:spPr>
        <a:xfrm>
          <a:off x="3467348" y="72721"/>
          <a:ext cx="1383882" cy="40524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6" name="Flecha: a la derecha con bandas 5">
          <a:hlinkClick xmlns:r="http://schemas.openxmlformats.org/officeDocument/2006/relationships" r:id="rId4"/>
          <a:extLst>
            <a:ext uri="{FF2B5EF4-FFF2-40B4-BE49-F238E27FC236}">
              <a16:creationId xmlns:a16="http://schemas.microsoft.com/office/drawing/2014/main" id="{00000000-0008-0000-1F00-000006000000}"/>
            </a:ext>
          </a:extLst>
        </xdr:cNvPr>
        <xdr:cNvSpPr/>
      </xdr:nvSpPr>
      <xdr:spPr>
        <a:xfrm>
          <a:off x="5270305" y="84814"/>
          <a:ext cx="1330470" cy="394160"/>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466725</xdr:colOff>
      <xdr:row>1</xdr:row>
      <xdr:rowOff>171450</xdr:rowOff>
    </xdr:from>
    <xdr:to>
      <xdr:col>2</xdr:col>
      <xdr:colOff>1085850</xdr:colOff>
      <xdr:row>3</xdr:row>
      <xdr:rowOff>335733</xdr:rowOff>
    </xdr:to>
    <xdr:pic>
      <xdr:nvPicPr>
        <xdr:cNvPr id="8" name="Imagen 7">
          <a:extLst>
            <a:ext uri="{FF2B5EF4-FFF2-40B4-BE49-F238E27FC236}">
              <a16:creationId xmlns:a16="http://schemas.microsoft.com/office/drawing/2014/main" id="{9EEFE25D-51DF-4361-ADA0-E22693B116B5}"/>
            </a:ext>
          </a:extLst>
        </xdr:cNvPr>
        <xdr:cNvPicPr>
          <a:picLocks noChangeAspect="1"/>
        </xdr:cNvPicPr>
      </xdr:nvPicPr>
      <xdr:blipFill>
        <a:blip xmlns:r="http://schemas.openxmlformats.org/officeDocument/2006/relationships" r:embed="rId5"/>
        <a:stretch>
          <a:fillRect/>
        </a:stretch>
      </xdr:blipFill>
      <xdr:spPr>
        <a:xfrm>
          <a:off x="466725" y="942975"/>
          <a:ext cx="2047875" cy="1059633"/>
        </a:xfrm>
        <a:prstGeom prst="rect">
          <a:avLst/>
        </a:prstGeom>
      </xdr:spPr>
    </xdr:pic>
    <xdr:clientData/>
  </xdr:twoCellAnchor>
</xdr:wsDr>
</file>

<file path=xl/drawings/drawing29.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48D8CAC8-D702-454F-96A1-971FE4A056B0}"/>
            </a:ext>
          </a:extLst>
        </xdr:cNvPr>
        <xdr:cNvSpPr/>
      </xdr:nvSpPr>
      <xdr:spPr>
        <a:xfrm>
          <a:off x="265872" y="84814"/>
          <a:ext cx="1259202" cy="394160"/>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3D255712-1AEE-43AD-AE7D-2079B2F9C35F}"/>
            </a:ext>
          </a:extLst>
        </xdr:cNvPr>
        <xdr:cNvSpPr/>
      </xdr:nvSpPr>
      <xdr:spPr>
        <a:xfrm>
          <a:off x="1797739" y="72721"/>
          <a:ext cx="1585302" cy="40524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1EAA455F-78AD-4E1F-8F88-2F1A76255102}"/>
            </a:ext>
          </a:extLst>
        </xdr:cNvPr>
        <xdr:cNvSpPr/>
      </xdr:nvSpPr>
      <xdr:spPr>
        <a:xfrm>
          <a:off x="3467348" y="72721"/>
          <a:ext cx="1383882" cy="40524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CC950B63-2240-42F1-8CCE-AC211A59FB83}"/>
            </a:ext>
          </a:extLst>
        </xdr:cNvPr>
        <xdr:cNvSpPr/>
      </xdr:nvSpPr>
      <xdr:spPr>
        <a:xfrm>
          <a:off x="5270305" y="84814"/>
          <a:ext cx="1330470" cy="394160"/>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1</xdr:col>
      <xdr:colOff>28575</xdr:colOff>
      <xdr:row>1</xdr:row>
      <xdr:rowOff>161925</xdr:rowOff>
    </xdr:from>
    <xdr:to>
      <xdr:col>2</xdr:col>
      <xdr:colOff>1257300</xdr:colOff>
      <xdr:row>3</xdr:row>
      <xdr:rowOff>326208</xdr:rowOff>
    </xdr:to>
    <xdr:pic>
      <xdr:nvPicPr>
        <xdr:cNvPr id="8" name="Imagen 7">
          <a:extLst>
            <a:ext uri="{FF2B5EF4-FFF2-40B4-BE49-F238E27FC236}">
              <a16:creationId xmlns:a16="http://schemas.microsoft.com/office/drawing/2014/main" id="{663932A2-DB4C-4C5D-B56B-7CAAA5A408B6}"/>
            </a:ext>
          </a:extLst>
        </xdr:cNvPr>
        <xdr:cNvPicPr>
          <a:picLocks noChangeAspect="1"/>
        </xdr:cNvPicPr>
      </xdr:nvPicPr>
      <xdr:blipFill>
        <a:blip xmlns:r="http://schemas.openxmlformats.org/officeDocument/2006/relationships" r:embed="rId5"/>
        <a:stretch>
          <a:fillRect/>
        </a:stretch>
      </xdr:blipFill>
      <xdr:spPr>
        <a:xfrm>
          <a:off x="638175" y="933450"/>
          <a:ext cx="2047875" cy="1059633"/>
        </a:xfrm>
        <a:prstGeom prst="rect">
          <a:avLst/>
        </a:prstGeom>
      </xdr:spPr>
    </xdr:pic>
    <xdr:clientData/>
  </xdr:twoCellAnchor>
</xdr:wsDr>
</file>

<file path=xl/drawings/drawing30.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A9912460-CBF6-4445-9F79-D61BF0735D54}"/>
            </a:ext>
          </a:extLst>
        </xdr:cNvPr>
        <xdr:cNvSpPr/>
      </xdr:nvSpPr>
      <xdr:spPr>
        <a:xfrm>
          <a:off x="265872" y="84814"/>
          <a:ext cx="1259202" cy="394160"/>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D7453128-371F-4DA8-9C41-9506C983A815}"/>
            </a:ext>
          </a:extLst>
        </xdr:cNvPr>
        <xdr:cNvSpPr/>
      </xdr:nvSpPr>
      <xdr:spPr>
        <a:xfrm>
          <a:off x="1797739" y="72721"/>
          <a:ext cx="1585302" cy="40524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E3941553-2FC6-4F54-8A61-9D1F802C6AD7}"/>
            </a:ext>
          </a:extLst>
        </xdr:cNvPr>
        <xdr:cNvSpPr/>
      </xdr:nvSpPr>
      <xdr:spPr>
        <a:xfrm>
          <a:off x="3467348" y="72721"/>
          <a:ext cx="1383882" cy="40524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35E3E574-6AE6-4E92-9894-26DA7C4D0129}"/>
            </a:ext>
          </a:extLst>
        </xdr:cNvPr>
        <xdr:cNvSpPr/>
      </xdr:nvSpPr>
      <xdr:spPr>
        <a:xfrm>
          <a:off x="5270305" y="84814"/>
          <a:ext cx="1330470" cy="394160"/>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76200</xdr:colOff>
      <xdr:row>1</xdr:row>
      <xdr:rowOff>104775</xdr:rowOff>
    </xdr:from>
    <xdr:to>
      <xdr:col>1</xdr:col>
      <xdr:colOff>667203</xdr:colOff>
      <xdr:row>3</xdr:row>
      <xdr:rowOff>285283</xdr:rowOff>
    </xdr:to>
    <xdr:pic>
      <xdr:nvPicPr>
        <xdr:cNvPr id="6" name="Imagen 5">
          <a:extLst>
            <a:ext uri="{FF2B5EF4-FFF2-40B4-BE49-F238E27FC236}">
              <a16:creationId xmlns:a16="http://schemas.microsoft.com/office/drawing/2014/main" id="{61B2F630-A82D-4F3C-9D4D-C0D31856383A}"/>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76200" y="874395"/>
          <a:ext cx="1229994" cy="1076674"/>
        </a:xfrm>
        <a:prstGeom prst="rect">
          <a:avLst/>
        </a:prstGeom>
      </xdr:spPr>
    </xdr:pic>
    <xdr:clientData/>
  </xdr:twoCellAnchor>
  <xdr:twoCellAnchor editAs="oneCell">
    <xdr:from>
      <xdr:col>2</xdr:col>
      <xdr:colOff>219075</xdr:colOff>
      <xdr:row>1</xdr:row>
      <xdr:rowOff>47625</xdr:rowOff>
    </xdr:from>
    <xdr:to>
      <xdr:col>2</xdr:col>
      <xdr:colOff>1353367</xdr:colOff>
      <xdr:row>3</xdr:row>
      <xdr:rowOff>321643</xdr:rowOff>
    </xdr:to>
    <xdr:pic>
      <xdr:nvPicPr>
        <xdr:cNvPr id="7" name="Imagen 6">
          <a:extLst>
            <a:ext uri="{FF2B5EF4-FFF2-40B4-BE49-F238E27FC236}">
              <a16:creationId xmlns:a16="http://schemas.microsoft.com/office/drawing/2014/main" id="{78D13D1D-507D-43D0-9374-444D8C89DF27}"/>
            </a:ext>
          </a:extLst>
        </xdr:cNvPr>
        <xdr:cNvPicPr>
          <a:picLocks noChangeAspect="1"/>
        </xdr:cNvPicPr>
      </xdr:nvPicPr>
      <xdr:blipFill>
        <a:blip xmlns:r="http://schemas.openxmlformats.org/officeDocument/2006/relationships" r:embed="rId6"/>
        <a:stretch>
          <a:fillRect/>
        </a:stretch>
      </xdr:blipFill>
      <xdr:spPr>
        <a:xfrm>
          <a:off x="1693545" y="821055"/>
          <a:ext cx="1146811" cy="1160659"/>
        </a:xfrm>
        <a:prstGeom prst="rect">
          <a:avLst/>
        </a:prstGeom>
      </xdr:spPr>
    </xdr:pic>
    <xdr:clientData/>
  </xdr:twoCellAnchor>
</xdr:wsDr>
</file>

<file path=xl/drawings/drawing31.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2A5175CB-B577-411C-BAFE-E6B6F85CE305}"/>
            </a:ext>
          </a:extLst>
        </xdr:cNvPr>
        <xdr:cNvSpPr/>
      </xdr:nvSpPr>
      <xdr:spPr>
        <a:xfrm>
          <a:off x="265872" y="84814"/>
          <a:ext cx="1259202" cy="394160"/>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C1FD494B-490C-42D6-96C1-5C8EB00B1144}"/>
            </a:ext>
          </a:extLst>
        </xdr:cNvPr>
        <xdr:cNvSpPr/>
      </xdr:nvSpPr>
      <xdr:spPr>
        <a:xfrm>
          <a:off x="1797739" y="72721"/>
          <a:ext cx="1585302" cy="40524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44135BF6-7712-4D7B-A108-35BD11C19B95}"/>
            </a:ext>
          </a:extLst>
        </xdr:cNvPr>
        <xdr:cNvSpPr/>
      </xdr:nvSpPr>
      <xdr:spPr>
        <a:xfrm>
          <a:off x="3467348" y="72721"/>
          <a:ext cx="1383882" cy="40524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AC2AA6CE-B978-41D3-9778-97E92F7210EC}"/>
            </a:ext>
          </a:extLst>
        </xdr:cNvPr>
        <xdr:cNvSpPr/>
      </xdr:nvSpPr>
      <xdr:spPr>
        <a:xfrm>
          <a:off x="5270305" y="84814"/>
          <a:ext cx="1330470" cy="394160"/>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457200</xdr:colOff>
      <xdr:row>1</xdr:row>
      <xdr:rowOff>171450</xdr:rowOff>
    </xdr:from>
    <xdr:to>
      <xdr:col>2</xdr:col>
      <xdr:colOff>1076325</xdr:colOff>
      <xdr:row>3</xdr:row>
      <xdr:rowOff>335733</xdr:rowOff>
    </xdr:to>
    <xdr:pic>
      <xdr:nvPicPr>
        <xdr:cNvPr id="8" name="Imagen 7">
          <a:extLst>
            <a:ext uri="{FF2B5EF4-FFF2-40B4-BE49-F238E27FC236}">
              <a16:creationId xmlns:a16="http://schemas.microsoft.com/office/drawing/2014/main" id="{8DC6A397-2F3A-4B9E-8AE8-C8A7E0EB5970}"/>
            </a:ext>
          </a:extLst>
        </xdr:cNvPr>
        <xdr:cNvPicPr>
          <a:picLocks noChangeAspect="1"/>
        </xdr:cNvPicPr>
      </xdr:nvPicPr>
      <xdr:blipFill>
        <a:blip xmlns:r="http://schemas.openxmlformats.org/officeDocument/2006/relationships" r:embed="rId5"/>
        <a:stretch>
          <a:fillRect/>
        </a:stretch>
      </xdr:blipFill>
      <xdr:spPr>
        <a:xfrm>
          <a:off x="457200" y="942975"/>
          <a:ext cx="2047875" cy="1059633"/>
        </a:xfrm>
        <a:prstGeom prst="rect">
          <a:avLst/>
        </a:prstGeom>
      </xdr:spPr>
    </xdr:pic>
    <xdr:clientData/>
  </xdr:twoCellAnchor>
</xdr:wsDr>
</file>

<file path=xl/drawings/drawing32.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691C04DC-81C5-484E-A8AE-438DD09D24E7}"/>
            </a:ext>
          </a:extLst>
        </xdr:cNvPr>
        <xdr:cNvSpPr/>
      </xdr:nvSpPr>
      <xdr:spPr>
        <a:xfrm>
          <a:off x="265872" y="84814"/>
          <a:ext cx="1259202" cy="394160"/>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D875A022-6CDB-422A-90E8-5B19BBCDEC8E}"/>
            </a:ext>
          </a:extLst>
        </xdr:cNvPr>
        <xdr:cNvSpPr/>
      </xdr:nvSpPr>
      <xdr:spPr>
        <a:xfrm>
          <a:off x="1797739" y="72721"/>
          <a:ext cx="1585302" cy="40524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B8EA7EBC-6099-4AD9-9A13-B5DDE45A1495}"/>
            </a:ext>
          </a:extLst>
        </xdr:cNvPr>
        <xdr:cNvSpPr/>
      </xdr:nvSpPr>
      <xdr:spPr>
        <a:xfrm>
          <a:off x="3467348" y="72721"/>
          <a:ext cx="1383882" cy="40524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821216E3-22E1-4964-92B5-1EE3B67CEE4B}"/>
            </a:ext>
          </a:extLst>
        </xdr:cNvPr>
        <xdr:cNvSpPr/>
      </xdr:nvSpPr>
      <xdr:spPr>
        <a:xfrm>
          <a:off x="5270305" y="84814"/>
          <a:ext cx="1330470" cy="394160"/>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1</xdr:col>
      <xdr:colOff>0</xdr:colOff>
      <xdr:row>1</xdr:row>
      <xdr:rowOff>142875</xdr:rowOff>
    </xdr:from>
    <xdr:to>
      <xdr:col>2</xdr:col>
      <xdr:colOff>1228725</xdr:colOff>
      <xdr:row>3</xdr:row>
      <xdr:rowOff>307158</xdr:rowOff>
    </xdr:to>
    <xdr:pic>
      <xdr:nvPicPr>
        <xdr:cNvPr id="8" name="Imagen 7">
          <a:extLst>
            <a:ext uri="{FF2B5EF4-FFF2-40B4-BE49-F238E27FC236}">
              <a16:creationId xmlns:a16="http://schemas.microsoft.com/office/drawing/2014/main" id="{58D3BAA3-583E-4B77-9037-7446FB9C633F}"/>
            </a:ext>
          </a:extLst>
        </xdr:cNvPr>
        <xdr:cNvPicPr>
          <a:picLocks noChangeAspect="1"/>
        </xdr:cNvPicPr>
      </xdr:nvPicPr>
      <xdr:blipFill>
        <a:blip xmlns:r="http://schemas.openxmlformats.org/officeDocument/2006/relationships" r:embed="rId5"/>
        <a:stretch>
          <a:fillRect/>
        </a:stretch>
      </xdr:blipFill>
      <xdr:spPr>
        <a:xfrm>
          <a:off x="609600" y="914400"/>
          <a:ext cx="2047875" cy="1059633"/>
        </a:xfrm>
        <a:prstGeom prst="rect">
          <a:avLst/>
        </a:prstGeom>
      </xdr:spPr>
    </xdr:pic>
    <xdr:clientData/>
  </xdr:twoCellAnchor>
</xdr:wsDr>
</file>

<file path=xl/drawings/drawing33.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991C6293-9F70-4C2D-AAB5-3DEFAAFD3FE7}"/>
            </a:ext>
          </a:extLst>
        </xdr:cNvPr>
        <xdr:cNvSpPr/>
      </xdr:nvSpPr>
      <xdr:spPr>
        <a:xfrm>
          <a:off x="265872" y="84814"/>
          <a:ext cx="1259202" cy="394160"/>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D26562AB-59C3-416A-8C13-C1FCA4A489D3}"/>
            </a:ext>
          </a:extLst>
        </xdr:cNvPr>
        <xdr:cNvSpPr/>
      </xdr:nvSpPr>
      <xdr:spPr>
        <a:xfrm>
          <a:off x="1797739" y="72721"/>
          <a:ext cx="1585302" cy="40524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3694FF93-23C9-4AD4-B82F-2BF542ABE8CB}"/>
            </a:ext>
          </a:extLst>
        </xdr:cNvPr>
        <xdr:cNvSpPr/>
      </xdr:nvSpPr>
      <xdr:spPr>
        <a:xfrm>
          <a:off x="3467348" y="72721"/>
          <a:ext cx="1383882" cy="40524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C97930D9-39AA-4490-B40E-A5B6616354AE}"/>
            </a:ext>
          </a:extLst>
        </xdr:cNvPr>
        <xdr:cNvSpPr/>
      </xdr:nvSpPr>
      <xdr:spPr>
        <a:xfrm>
          <a:off x="5270305" y="84814"/>
          <a:ext cx="1330470" cy="394160"/>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409575</xdr:colOff>
      <xdr:row>1</xdr:row>
      <xdr:rowOff>152400</xdr:rowOff>
    </xdr:from>
    <xdr:to>
      <xdr:col>2</xdr:col>
      <xdr:colOff>1028700</xdr:colOff>
      <xdr:row>3</xdr:row>
      <xdr:rowOff>316683</xdr:rowOff>
    </xdr:to>
    <xdr:pic>
      <xdr:nvPicPr>
        <xdr:cNvPr id="7" name="Imagen 6">
          <a:extLst>
            <a:ext uri="{FF2B5EF4-FFF2-40B4-BE49-F238E27FC236}">
              <a16:creationId xmlns:a16="http://schemas.microsoft.com/office/drawing/2014/main" id="{C950C24F-38C8-4730-998F-8E4EB5F9033D}"/>
            </a:ext>
          </a:extLst>
        </xdr:cNvPr>
        <xdr:cNvPicPr>
          <a:picLocks noChangeAspect="1"/>
        </xdr:cNvPicPr>
      </xdr:nvPicPr>
      <xdr:blipFill>
        <a:blip xmlns:r="http://schemas.openxmlformats.org/officeDocument/2006/relationships" r:embed="rId5"/>
        <a:stretch>
          <a:fillRect/>
        </a:stretch>
      </xdr:blipFill>
      <xdr:spPr>
        <a:xfrm>
          <a:off x="409575" y="923925"/>
          <a:ext cx="2047875" cy="1059633"/>
        </a:xfrm>
        <a:prstGeom prst="rect">
          <a:avLst/>
        </a:prstGeom>
      </xdr:spPr>
    </xdr:pic>
    <xdr:clientData/>
  </xdr:twoCellAnchor>
</xdr:wsDr>
</file>

<file path=xl/drawings/drawing34.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3" name="Flecha: hacia la izquierda 2">
          <a:hlinkClick xmlns:r="http://schemas.openxmlformats.org/officeDocument/2006/relationships" r:id="rId1"/>
          <a:extLst>
            <a:ext uri="{FF2B5EF4-FFF2-40B4-BE49-F238E27FC236}">
              <a16:creationId xmlns:a16="http://schemas.microsoft.com/office/drawing/2014/main" id="{00000000-0008-0000-2000-000003000000}"/>
            </a:ext>
          </a:extLst>
        </xdr:cNvPr>
        <xdr:cNvSpPr/>
      </xdr:nvSpPr>
      <xdr:spPr>
        <a:xfrm>
          <a:off x="330642" y="107674"/>
          <a:ext cx="1190710" cy="477060"/>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4" name="Flecha: hacia la izquierda 3">
          <a:hlinkClick xmlns:r="http://schemas.openxmlformats.org/officeDocument/2006/relationships" r:id="rId2"/>
          <a:extLst>
            <a:ext uri="{FF2B5EF4-FFF2-40B4-BE49-F238E27FC236}">
              <a16:creationId xmlns:a16="http://schemas.microsoft.com/office/drawing/2014/main" id="{00000000-0008-0000-2000-000004000000}"/>
            </a:ext>
          </a:extLst>
        </xdr:cNvPr>
        <xdr:cNvSpPr/>
      </xdr:nvSpPr>
      <xdr:spPr>
        <a:xfrm>
          <a:off x="1875844" y="91771"/>
          <a:ext cx="1543547" cy="492325"/>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5" name="Flecha: hacia la izquierda 4">
          <a:hlinkClick xmlns:r="http://schemas.openxmlformats.org/officeDocument/2006/relationships" r:id="rId3"/>
          <a:extLst>
            <a:ext uri="{FF2B5EF4-FFF2-40B4-BE49-F238E27FC236}">
              <a16:creationId xmlns:a16="http://schemas.microsoft.com/office/drawing/2014/main" id="{00000000-0008-0000-2000-000005000000}"/>
            </a:ext>
          </a:extLst>
        </xdr:cNvPr>
        <xdr:cNvSpPr/>
      </xdr:nvSpPr>
      <xdr:spPr>
        <a:xfrm>
          <a:off x="3518783" y="91771"/>
          <a:ext cx="1366696" cy="492325"/>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6" name="Flecha: a la derecha con bandas 5">
          <a:hlinkClick xmlns:r="http://schemas.openxmlformats.org/officeDocument/2006/relationships" r:id="rId4"/>
          <a:extLst>
            <a:ext uri="{FF2B5EF4-FFF2-40B4-BE49-F238E27FC236}">
              <a16:creationId xmlns:a16="http://schemas.microsoft.com/office/drawing/2014/main" id="{00000000-0008-0000-2000-000006000000}"/>
            </a:ext>
          </a:extLst>
        </xdr:cNvPr>
        <xdr:cNvSpPr/>
      </xdr:nvSpPr>
      <xdr:spPr>
        <a:xfrm>
          <a:off x="5413180" y="107674"/>
          <a:ext cx="1237422" cy="477060"/>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514350</xdr:colOff>
      <xdr:row>1</xdr:row>
      <xdr:rowOff>171450</xdr:rowOff>
    </xdr:from>
    <xdr:to>
      <xdr:col>2</xdr:col>
      <xdr:colOff>1133475</xdr:colOff>
      <xdr:row>3</xdr:row>
      <xdr:rowOff>335733</xdr:rowOff>
    </xdr:to>
    <xdr:pic>
      <xdr:nvPicPr>
        <xdr:cNvPr id="8" name="Imagen 7">
          <a:extLst>
            <a:ext uri="{FF2B5EF4-FFF2-40B4-BE49-F238E27FC236}">
              <a16:creationId xmlns:a16="http://schemas.microsoft.com/office/drawing/2014/main" id="{7185AF74-D0AE-495E-AEA3-99613836CAF5}"/>
            </a:ext>
          </a:extLst>
        </xdr:cNvPr>
        <xdr:cNvPicPr>
          <a:picLocks noChangeAspect="1"/>
        </xdr:cNvPicPr>
      </xdr:nvPicPr>
      <xdr:blipFill>
        <a:blip xmlns:r="http://schemas.openxmlformats.org/officeDocument/2006/relationships" r:embed="rId5"/>
        <a:stretch>
          <a:fillRect/>
        </a:stretch>
      </xdr:blipFill>
      <xdr:spPr>
        <a:xfrm>
          <a:off x="514350" y="942975"/>
          <a:ext cx="2047875" cy="1059633"/>
        </a:xfrm>
        <a:prstGeom prst="rect">
          <a:avLst/>
        </a:prstGeom>
      </xdr:spPr>
    </xdr:pic>
    <xdr:clientData/>
  </xdr:twoCellAnchor>
</xdr:wsDr>
</file>

<file path=xl/drawings/drawing35.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3" name="Flecha: hacia la izquierda 2">
          <a:hlinkClick xmlns:r="http://schemas.openxmlformats.org/officeDocument/2006/relationships" r:id="rId1"/>
          <a:extLst>
            <a:ext uri="{FF2B5EF4-FFF2-40B4-BE49-F238E27FC236}">
              <a16:creationId xmlns:a16="http://schemas.microsoft.com/office/drawing/2014/main" id="{00000000-0008-0000-2200-000003000000}"/>
            </a:ext>
          </a:extLst>
        </xdr:cNvPr>
        <xdr:cNvSpPr/>
      </xdr:nvSpPr>
      <xdr:spPr>
        <a:xfrm>
          <a:off x="330642" y="107674"/>
          <a:ext cx="1190710" cy="477060"/>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4" name="Flecha: hacia la izquierda 3">
          <a:hlinkClick xmlns:r="http://schemas.openxmlformats.org/officeDocument/2006/relationships" r:id="rId2"/>
          <a:extLst>
            <a:ext uri="{FF2B5EF4-FFF2-40B4-BE49-F238E27FC236}">
              <a16:creationId xmlns:a16="http://schemas.microsoft.com/office/drawing/2014/main" id="{00000000-0008-0000-2200-000004000000}"/>
            </a:ext>
          </a:extLst>
        </xdr:cNvPr>
        <xdr:cNvSpPr/>
      </xdr:nvSpPr>
      <xdr:spPr>
        <a:xfrm>
          <a:off x="1875844" y="91771"/>
          <a:ext cx="1543547" cy="492325"/>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5" name="Flecha: hacia la izquierda 4">
          <a:hlinkClick xmlns:r="http://schemas.openxmlformats.org/officeDocument/2006/relationships" r:id="rId3"/>
          <a:extLst>
            <a:ext uri="{FF2B5EF4-FFF2-40B4-BE49-F238E27FC236}">
              <a16:creationId xmlns:a16="http://schemas.microsoft.com/office/drawing/2014/main" id="{00000000-0008-0000-2200-000005000000}"/>
            </a:ext>
          </a:extLst>
        </xdr:cNvPr>
        <xdr:cNvSpPr/>
      </xdr:nvSpPr>
      <xdr:spPr>
        <a:xfrm>
          <a:off x="3518783" y="91771"/>
          <a:ext cx="1366696" cy="492325"/>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6" name="Flecha: a la derecha con bandas 5">
          <a:hlinkClick xmlns:r="http://schemas.openxmlformats.org/officeDocument/2006/relationships" r:id="rId4"/>
          <a:extLst>
            <a:ext uri="{FF2B5EF4-FFF2-40B4-BE49-F238E27FC236}">
              <a16:creationId xmlns:a16="http://schemas.microsoft.com/office/drawing/2014/main" id="{00000000-0008-0000-2200-000006000000}"/>
            </a:ext>
          </a:extLst>
        </xdr:cNvPr>
        <xdr:cNvSpPr/>
      </xdr:nvSpPr>
      <xdr:spPr>
        <a:xfrm>
          <a:off x="5413180" y="107674"/>
          <a:ext cx="1237422" cy="477060"/>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361950</xdr:colOff>
      <xdr:row>1</xdr:row>
      <xdr:rowOff>57151</xdr:rowOff>
    </xdr:from>
    <xdr:to>
      <xdr:col>2</xdr:col>
      <xdr:colOff>1190625</xdr:colOff>
      <xdr:row>3</xdr:row>
      <xdr:rowOff>329863</xdr:rowOff>
    </xdr:to>
    <xdr:pic>
      <xdr:nvPicPr>
        <xdr:cNvPr id="8" name="Imagen 7">
          <a:extLst>
            <a:ext uri="{FF2B5EF4-FFF2-40B4-BE49-F238E27FC236}">
              <a16:creationId xmlns:a16="http://schemas.microsoft.com/office/drawing/2014/main" id="{64F57F9C-7B8C-A139-D273-699FFF2BA937}"/>
            </a:ext>
          </a:extLst>
        </xdr:cNvPr>
        <xdr:cNvPicPr>
          <a:picLocks noChangeAspect="1"/>
        </xdr:cNvPicPr>
      </xdr:nvPicPr>
      <xdr:blipFill>
        <a:blip xmlns:r="http://schemas.openxmlformats.org/officeDocument/2006/relationships" r:embed="rId5"/>
        <a:stretch>
          <a:fillRect/>
        </a:stretch>
      </xdr:blipFill>
      <xdr:spPr>
        <a:xfrm>
          <a:off x="361950" y="828676"/>
          <a:ext cx="2257425" cy="1168062"/>
        </a:xfrm>
        <a:prstGeom prst="rect">
          <a:avLst/>
        </a:prstGeom>
      </xdr:spPr>
    </xdr:pic>
    <xdr:clientData/>
  </xdr:twoCellAnchor>
</xdr:wsDr>
</file>

<file path=xl/drawings/drawing36.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3" name="Flecha: hacia la izquierda 2">
          <a:hlinkClick xmlns:r="http://schemas.openxmlformats.org/officeDocument/2006/relationships" r:id="rId1"/>
          <a:extLst>
            <a:ext uri="{FF2B5EF4-FFF2-40B4-BE49-F238E27FC236}">
              <a16:creationId xmlns:a16="http://schemas.microsoft.com/office/drawing/2014/main" id="{00000000-0008-0000-2300-000003000000}"/>
            </a:ext>
          </a:extLst>
        </xdr:cNvPr>
        <xdr:cNvSpPr/>
      </xdr:nvSpPr>
      <xdr:spPr>
        <a:xfrm>
          <a:off x="330642" y="107674"/>
          <a:ext cx="1190710" cy="477060"/>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4" name="Flecha: hacia la izquierda 3">
          <a:hlinkClick xmlns:r="http://schemas.openxmlformats.org/officeDocument/2006/relationships" r:id="rId2"/>
          <a:extLst>
            <a:ext uri="{FF2B5EF4-FFF2-40B4-BE49-F238E27FC236}">
              <a16:creationId xmlns:a16="http://schemas.microsoft.com/office/drawing/2014/main" id="{00000000-0008-0000-2300-000004000000}"/>
            </a:ext>
          </a:extLst>
        </xdr:cNvPr>
        <xdr:cNvSpPr/>
      </xdr:nvSpPr>
      <xdr:spPr>
        <a:xfrm>
          <a:off x="1875844" y="91771"/>
          <a:ext cx="1543547" cy="492325"/>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5" name="Flecha: hacia la izquierda 4">
          <a:hlinkClick xmlns:r="http://schemas.openxmlformats.org/officeDocument/2006/relationships" r:id="rId3"/>
          <a:extLst>
            <a:ext uri="{FF2B5EF4-FFF2-40B4-BE49-F238E27FC236}">
              <a16:creationId xmlns:a16="http://schemas.microsoft.com/office/drawing/2014/main" id="{00000000-0008-0000-2300-000005000000}"/>
            </a:ext>
          </a:extLst>
        </xdr:cNvPr>
        <xdr:cNvSpPr/>
      </xdr:nvSpPr>
      <xdr:spPr>
        <a:xfrm>
          <a:off x="3518783" y="91771"/>
          <a:ext cx="1366696" cy="492325"/>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6" name="Flecha: a la derecha con bandas 5">
          <a:hlinkClick xmlns:r="http://schemas.openxmlformats.org/officeDocument/2006/relationships" r:id="rId4"/>
          <a:extLst>
            <a:ext uri="{FF2B5EF4-FFF2-40B4-BE49-F238E27FC236}">
              <a16:creationId xmlns:a16="http://schemas.microsoft.com/office/drawing/2014/main" id="{00000000-0008-0000-2300-000006000000}"/>
            </a:ext>
          </a:extLst>
        </xdr:cNvPr>
        <xdr:cNvSpPr/>
      </xdr:nvSpPr>
      <xdr:spPr>
        <a:xfrm>
          <a:off x="5413180" y="107674"/>
          <a:ext cx="1237422" cy="477060"/>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447675</xdr:colOff>
      <xdr:row>1</xdr:row>
      <xdr:rowOff>133350</xdr:rowOff>
    </xdr:from>
    <xdr:to>
      <xdr:col>2</xdr:col>
      <xdr:colOff>1066800</xdr:colOff>
      <xdr:row>3</xdr:row>
      <xdr:rowOff>297633</xdr:rowOff>
    </xdr:to>
    <xdr:pic>
      <xdr:nvPicPr>
        <xdr:cNvPr id="8" name="Imagen 7">
          <a:extLst>
            <a:ext uri="{FF2B5EF4-FFF2-40B4-BE49-F238E27FC236}">
              <a16:creationId xmlns:a16="http://schemas.microsoft.com/office/drawing/2014/main" id="{1EB2820F-7FE1-422C-A709-C0084B8331CE}"/>
            </a:ext>
          </a:extLst>
        </xdr:cNvPr>
        <xdr:cNvPicPr>
          <a:picLocks noChangeAspect="1"/>
        </xdr:cNvPicPr>
      </xdr:nvPicPr>
      <xdr:blipFill>
        <a:blip xmlns:r="http://schemas.openxmlformats.org/officeDocument/2006/relationships" r:embed="rId5"/>
        <a:stretch>
          <a:fillRect/>
        </a:stretch>
      </xdr:blipFill>
      <xdr:spPr>
        <a:xfrm>
          <a:off x="447675" y="904875"/>
          <a:ext cx="2047875" cy="1059633"/>
        </a:xfrm>
        <a:prstGeom prst="rect">
          <a:avLst/>
        </a:prstGeom>
      </xdr:spPr>
    </xdr:pic>
    <xdr:clientData/>
  </xdr:twoCellAnchor>
</xdr:wsDr>
</file>

<file path=xl/drawings/drawing37.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3" name="Flecha: hacia la izquierda 2">
          <a:hlinkClick xmlns:r="http://schemas.openxmlformats.org/officeDocument/2006/relationships" r:id="rId1"/>
          <a:extLst>
            <a:ext uri="{FF2B5EF4-FFF2-40B4-BE49-F238E27FC236}">
              <a16:creationId xmlns:a16="http://schemas.microsoft.com/office/drawing/2014/main" id="{00000000-0008-0000-2400-000003000000}"/>
            </a:ext>
          </a:extLst>
        </xdr:cNvPr>
        <xdr:cNvSpPr/>
      </xdr:nvSpPr>
      <xdr:spPr>
        <a:xfrm>
          <a:off x="330642" y="107674"/>
          <a:ext cx="1190710" cy="477060"/>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4" name="Flecha: hacia la izquierda 3">
          <a:hlinkClick xmlns:r="http://schemas.openxmlformats.org/officeDocument/2006/relationships" r:id="rId2"/>
          <a:extLst>
            <a:ext uri="{FF2B5EF4-FFF2-40B4-BE49-F238E27FC236}">
              <a16:creationId xmlns:a16="http://schemas.microsoft.com/office/drawing/2014/main" id="{00000000-0008-0000-2400-000004000000}"/>
            </a:ext>
          </a:extLst>
        </xdr:cNvPr>
        <xdr:cNvSpPr/>
      </xdr:nvSpPr>
      <xdr:spPr>
        <a:xfrm>
          <a:off x="1875844" y="91771"/>
          <a:ext cx="1543547" cy="492325"/>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5" name="Flecha: hacia la izquierda 4">
          <a:hlinkClick xmlns:r="http://schemas.openxmlformats.org/officeDocument/2006/relationships" r:id="rId3"/>
          <a:extLst>
            <a:ext uri="{FF2B5EF4-FFF2-40B4-BE49-F238E27FC236}">
              <a16:creationId xmlns:a16="http://schemas.microsoft.com/office/drawing/2014/main" id="{00000000-0008-0000-2400-000005000000}"/>
            </a:ext>
          </a:extLst>
        </xdr:cNvPr>
        <xdr:cNvSpPr/>
      </xdr:nvSpPr>
      <xdr:spPr>
        <a:xfrm>
          <a:off x="3518783" y="91771"/>
          <a:ext cx="1366696" cy="492325"/>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6" name="Flecha: a la derecha con bandas 5">
          <a:hlinkClick xmlns:r="http://schemas.openxmlformats.org/officeDocument/2006/relationships" r:id="rId4"/>
          <a:extLst>
            <a:ext uri="{FF2B5EF4-FFF2-40B4-BE49-F238E27FC236}">
              <a16:creationId xmlns:a16="http://schemas.microsoft.com/office/drawing/2014/main" id="{00000000-0008-0000-2400-000006000000}"/>
            </a:ext>
          </a:extLst>
        </xdr:cNvPr>
        <xdr:cNvSpPr/>
      </xdr:nvSpPr>
      <xdr:spPr>
        <a:xfrm>
          <a:off x="5413180" y="107674"/>
          <a:ext cx="1237422" cy="477060"/>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438150</xdr:colOff>
      <xdr:row>1</xdr:row>
      <xdr:rowOff>123825</xdr:rowOff>
    </xdr:from>
    <xdr:to>
      <xdr:col>2</xdr:col>
      <xdr:colOff>1057275</xdr:colOff>
      <xdr:row>3</xdr:row>
      <xdr:rowOff>288108</xdr:rowOff>
    </xdr:to>
    <xdr:pic>
      <xdr:nvPicPr>
        <xdr:cNvPr id="8" name="Imagen 7">
          <a:extLst>
            <a:ext uri="{FF2B5EF4-FFF2-40B4-BE49-F238E27FC236}">
              <a16:creationId xmlns:a16="http://schemas.microsoft.com/office/drawing/2014/main" id="{08423020-B136-44E2-8909-4B12BB39167D}"/>
            </a:ext>
          </a:extLst>
        </xdr:cNvPr>
        <xdr:cNvPicPr>
          <a:picLocks noChangeAspect="1"/>
        </xdr:cNvPicPr>
      </xdr:nvPicPr>
      <xdr:blipFill>
        <a:blip xmlns:r="http://schemas.openxmlformats.org/officeDocument/2006/relationships" r:embed="rId5"/>
        <a:stretch>
          <a:fillRect/>
        </a:stretch>
      </xdr:blipFill>
      <xdr:spPr>
        <a:xfrm>
          <a:off x="438150" y="895350"/>
          <a:ext cx="2047875" cy="1059633"/>
        </a:xfrm>
        <a:prstGeom prst="rect">
          <a:avLst/>
        </a:prstGeom>
      </xdr:spPr>
    </xdr:pic>
    <xdr:clientData/>
  </xdr:twoCellAnchor>
</xdr:wsDr>
</file>

<file path=xl/drawings/drawing38.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3" name="Flecha: hacia la izquierda 2">
          <a:hlinkClick xmlns:r="http://schemas.openxmlformats.org/officeDocument/2006/relationships" r:id="rId1"/>
          <a:extLst>
            <a:ext uri="{FF2B5EF4-FFF2-40B4-BE49-F238E27FC236}">
              <a16:creationId xmlns:a16="http://schemas.microsoft.com/office/drawing/2014/main" id="{00000000-0008-0000-2500-000003000000}"/>
            </a:ext>
          </a:extLst>
        </xdr:cNvPr>
        <xdr:cNvSpPr/>
      </xdr:nvSpPr>
      <xdr:spPr>
        <a:xfrm>
          <a:off x="330642" y="107674"/>
          <a:ext cx="1190710" cy="477060"/>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4" name="Flecha: hacia la izquierda 3">
          <a:hlinkClick xmlns:r="http://schemas.openxmlformats.org/officeDocument/2006/relationships" r:id="rId2"/>
          <a:extLst>
            <a:ext uri="{FF2B5EF4-FFF2-40B4-BE49-F238E27FC236}">
              <a16:creationId xmlns:a16="http://schemas.microsoft.com/office/drawing/2014/main" id="{00000000-0008-0000-2500-000004000000}"/>
            </a:ext>
          </a:extLst>
        </xdr:cNvPr>
        <xdr:cNvSpPr/>
      </xdr:nvSpPr>
      <xdr:spPr>
        <a:xfrm>
          <a:off x="1875844" y="91771"/>
          <a:ext cx="1543547" cy="492325"/>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5" name="Flecha: hacia la izquierda 4">
          <a:hlinkClick xmlns:r="http://schemas.openxmlformats.org/officeDocument/2006/relationships" r:id="rId3"/>
          <a:extLst>
            <a:ext uri="{FF2B5EF4-FFF2-40B4-BE49-F238E27FC236}">
              <a16:creationId xmlns:a16="http://schemas.microsoft.com/office/drawing/2014/main" id="{00000000-0008-0000-2500-000005000000}"/>
            </a:ext>
          </a:extLst>
        </xdr:cNvPr>
        <xdr:cNvSpPr/>
      </xdr:nvSpPr>
      <xdr:spPr>
        <a:xfrm>
          <a:off x="3518783" y="91771"/>
          <a:ext cx="1366696" cy="492325"/>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6" name="Flecha: a la derecha con bandas 5">
          <a:hlinkClick xmlns:r="http://schemas.openxmlformats.org/officeDocument/2006/relationships" r:id="rId4"/>
          <a:extLst>
            <a:ext uri="{FF2B5EF4-FFF2-40B4-BE49-F238E27FC236}">
              <a16:creationId xmlns:a16="http://schemas.microsoft.com/office/drawing/2014/main" id="{00000000-0008-0000-2500-000006000000}"/>
            </a:ext>
          </a:extLst>
        </xdr:cNvPr>
        <xdr:cNvSpPr/>
      </xdr:nvSpPr>
      <xdr:spPr>
        <a:xfrm>
          <a:off x="5413180" y="107674"/>
          <a:ext cx="1237422" cy="477060"/>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485775</xdr:colOff>
      <xdr:row>1</xdr:row>
      <xdr:rowOff>152400</xdr:rowOff>
    </xdr:from>
    <xdr:to>
      <xdr:col>2</xdr:col>
      <xdr:colOff>1104900</xdr:colOff>
      <xdr:row>3</xdr:row>
      <xdr:rowOff>316683</xdr:rowOff>
    </xdr:to>
    <xdr:pic>
      <xdr:nvPicPr>
        <xdr:cNvPr id="8" name="Imagen 7">
          <a:extLst>
            <a:ext uri="{FF2B5EF4-FFF2-40B4-BE49-F238E27FC236}">
              <a16:creationId xmlns:a16="http://schemas.microsoft.com/office/drawing/2014/main" id="{97A2FA3A-5D16-4D17-B51F-1BFAC4E12C22}"/>
            </a:ext>
          </a:extLst>
        </xdr:cNvPr>
        <xdr:cNvPicPr>
          <a:picLocks noChangeAspect="1"/>
        </xdr:cNvPicPr>
      </xdr:nvPicPr>
      <xdr:blipFill>
        <a:blip xmlns:r="http://schemas.openxmlformats.org/officeDocument/2006/relationships" r:embed="rId5"/>
        <a:stretch>
          <a:fillRect/>
        </a:stretch>
      </xdr:blipFill>
      <xdr:spPr>
        <a:xfrm>
          <a:off x="485775" y="923925"/>
          <a:ext cx="2047875" cy="1059633"/>
        </a:xfrm>
        <a:prstGeom prst="rect">
          <a:avLst/>
        </a:prstGeom>
      </xdr:spPr>
    </xdr:pic>
    <xdr:clientData/>
  </xdr:twoCellAnchor>
</xdr:wsDr>
</file>

<file path=xl/drawings/drawing39.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3" name="Flecha: hacia la izquierda 2">
          <a:hlinkClick xmlns:r="http://schemas.openxmlformats.org/officeDocument/2006/relationships" r:id="rId1"/>
          <a:extLst>
            <a:ext uri="{FF2B5EF4-FFF2-40B4-BE49-F238E27FC236}">
              <a16:creationId xmlns:a16="http://schemas.microsoft.com/office/drawing/2014/main" id="{00000000-0008-0000-2600-000003000000}"/>
            </a:ext>
          </a:extLst>
        </xdr:cNvPr>
        <xdr:cNvSpPr/>
      </xdr:nvSpPr>
      <xdr:spPr>
        <a:xfrm>
          <a:off x="265872" y="84814"/>
          <a:ext cx="1259202" cy="394160"/>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4" name="Flecha: hacia la izquierda 3">
          <a:hlinkClick xmlns:r="http://schemas.openxmlformats.org/officeDocument/2006/relationships" r:id="rId2"/>
          <a:extLst>
            <a:ext uri="{FF2B5EF4-FFF2-40B4-BE49-F238E27FC236}">
              <a16:creationId xmlns:a16="http://schemas.microsoft.com/office/drawing/2014/main" id="{00000000-0008-0000-2600-000004000000}"/>
            </a:ext>
          </a:extLst>
        </xdr:cNvPr>
        <xdr:cNvSpPr/>
      </xdr:nvSpPr>
      <xdr:spPr>
        <a:xfrm>
          <a:off x="1797739" y="72721"/>
          <a:ext cx="1585302" cy="40524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5" name="Flecha: hacia la izquierda 4">
          <a:hlinkClick xmlns:r="http://schemas.openxmlformats.org/officeDocument/2006/relationships" r:id="rId3"/>
          <a:extLst>
            <a:ext uri="{FF2B5EF4-FFF2-40B4-BE49-F238E27FC236}">
              <a16:creationId xmlns:a16="http://schemas.microsoft.com/office/drawing/2014/main" id="{00000000-0008-0000-2600-000005000000}"/>
            </a:ext>
          </a:extLst>
        </xdr:cNvPr>
        <xdr:cNvSpPr/>
      </xdr:nvSpPr>
      <xdr:spPr>
        <a:xfrm>
          <a:off x="3467348" y="72721"/>
          <a:ext cx="1383882" cy="40524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6" name="Flecha: a la derecha con bandas 5">
          <a:hlinkClick xmlns:r="http://schemas.openxmlformats.org/officeDocument/2006/relationships" r:id="rId4"/>
          <a:extLst>
            <a:ext uri="{FF2B5EF4-FFF2-40B4-BE49-F238E27FC236}">
              <a16:creationId xmlns:a16="http://schemas.microsoft.com/office/drawing/2014/main" id="{00000000-0008-0000-2600-000006000000}"/>
            </a:ext>
          </a:extLst>
        </xdr:cNvPr>
        <xdr:cNvSpPr/>
      </xdr:nvSpPr>
      <xdr:spPr>
        <a:xfrm>
          <a:off x="5270305" y="84814"/>
          <a:ext cx="1330470" cy="394160"/>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476250</xdr:colOff>
      <xdr:row>1</xdr:row>
      <xdr:rowOff>95250</xdr:rowOff>
    </xdr:from>
    <xdr:to>
      <xdr:col>2</xdr:col>
      <xdr:colOff>1095375</xdr:colOff>
      <xdr:row>3</xdr:row>
      <xdr:rowOff>259533</xdr:rowOff>
    </xdr:to>
    <xdr:pic>
      <xdr:nvPicPr>
        <xdr:cNvPr id="8" name="Imagen 7">
          <a:extLst>
            <a:ext uri="{FF2B5EF4-FFF2-40B4-BE49-F238E27FC236}">
              <a16:creationId xmlns:a16="http://schemas.microsoft.com/office/drawing/2014/main" id="{73CCF827-5904-4270-A280-BFD84EB28B03}"/>
            </a:ext>
          </a:extLst>
        </xdr:cNvPr>
        <xdr:cNvPicPr>
          <a:picLocks noChangeAspect="1"/>
        </xdr:cNvPicPr>
      </xdr:nvPicPr>
      <xdr:blipFill>
        <a:blip xmlns:r="http://schemas.openxmlformats.org/officeDocument/2006/relationships" r:embed="rId5"/>
        <a:stretch>
          <a:fillRect/>
        </a:stretch>
      </xdr:blipFill>
      <xdr:spPr>
        <a:xfrm>
          <a:off x="476250" y="866775"/>
          <a:ext cx="2047875" cy="1059633"/>
        </a:xfrm>
        <a:prstGeom prst="rect">
          <a:avLst/>
        </a:prstGeom>
      </xdr:spPr>
    </xdr:pic>
    <xdr:clientData/>
  </xdr:twoCellAnchor>
</xdr:wsDr>
</file>

<file path=xl/drawings/drawing40.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A9813634-D02D-4FEF-B924-437BE41AF91E}"/>
            </a:ext>
          </a:extLst>
        </xdr:cNvPr>
        <xdr:cNvSpPr/>
      </xdr:nvSpPr>
      <xdr:spPr>
        <a:xfrm>
          <a:off x="265872" y="84814"/>
          <a:ext cx="1259202" cy="394160"/>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FC5BD602-D1E6-4F94-95E1-E6A5D8FFD04D}"/>
            </a:ext>
          </a:extLst>
        </xdr:cNvPr>
        <xdr:cNvSpPr/>
      </xdr:nvSpPr>
      <xdr:spPr>
        <a:xfrm>
          <a:off x="1797739" y="72721"/>
          <a:ext cx="1585302" cy="40524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27D42AED-8F79-4A4E-AD2F-F9AB68158090}"/>
            </a:ext>
          </a:extLst>
        </xdr:cNvPr>
        <xdr:cNvSpPr/>
      </xdr:nvSpPr>
      <xdr:spPr>
        <a:xfrm>
          <a:off x="3467348" y="72721"/>
          <a:ext cx="1383882" cy="40524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15895070-025E-4B7B-8F33-BD67050BE82B}"/>
            </a:ext>
          </a:extLst>
        </xdr:cNvPr>
        <xdr:cNvSpPr/>
      </xdr:nvSpPr>
      <xdr:spPr>
        <a:xfrm>
          <a:off x="5270305" y="84814"/>
          <a:ext cx="1330470" cy="394160"/>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476250</xdr:colOff>
      <xdr:row>1</xdr:row>
      <xdr:rowOff>171450</xdr:rowOff>
    </xdr:from>
    <xdr:to>
      <xdr:col>2</xdr:col>
      <xdr:colOff>1095375</xdr:colOff>
      <xdr:row>3</xdr:row>
      <xdr:rowOff>335733</xdr:rowOff>
    </xdr:to>
    <xdr:pic>
      <xdr:nvPicPr>
        <xdr:cNvPr id="8" name="Imagen 7">
          <a:extLst>
            <a:ext uri="{FF2B5EF4-FFF2-40B4-BE49-F238E27FC236}">
              <a16:creationId xmlns:a16="http://schemas.microsoft.com/office/drawing/2014/main" id="{46A91C15-0B90-496C-A416-15E32D00B924}"/>
            </a:ext>
          </a:extLst>
        </xdr:cNvPr>
        <xdr:cNvPicPr>
          <a:picLocks noChangeAspect="1"/>
        </xdr:cNvPicPr>
      </xdr:nvPicPr>
      <xdr:blipFill>
        <a:blip xmlns:r="http://schemas.openxmlformats.org/officeDocument/2006/relationships" r:embed="rId5"/>
        <a:stretch>
          <a:fillRect/>
        </a:stretch>
      </xdr:blipFill>
      <xdr:spPr>
        <a:xfrm>
          <a:off x="476250" y="942975"/>
          <a:ext cx="2047875" cy="1059633"/>
        </a:xfrm>
        <a:prstGeom prst="rect">
          <a:avLst/>
        </a:prstGeom>
      </xdr:spPr>
    </xdr:pic>
    <xdr:clientData/>
  </xdr:twoCellAnchor>
</xdr:wsDr>
</file>

<file path=xl/drawings/drawing41.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3" name="Flecha: hacia la izquierda 2">
          <a:hlinkClick xmlns:r="http://schemas.openxmlformats.org/officeDocument/2006/relationships" r:id="rId1"/>
          <a:extLst>
            <a:ext uri="{FF2B5EF4-FFF2-40B4-BE49-F238E27FC236}">
              <a16:creationId xmlns:a16="http://schemas.microsoft.com/office/drawing/2014/main" id="{00000000-0008-0000-2700-000003000000}"/>
            </a:ext>
          </a:extLst>
        </xdr:cNvPr>
        <xdr:cNvSpPr/>
      </xdr:nvSpPr>
      <xdr:spPr>
        <a:xfrm>
          <a:off x="323022" y="107674"/>
          <a:ext cx="1156484" cy="484632"/>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4" name="Flecha: hacia la izquierda 3">
          <a:hlinkClick xmlns:r="http://schemas.openxmlformats.org/officeDocument/2006/relationships" r:id="rId2"/>
          <a:extLst>
            <a:ext uri="{FF2B5EF4-FFF2-40B4-BE49-F238E27FC236}">
              <a16:creationId xmlns:a16="http://schemas.microsoft.com/office/drawing/2014/main" id="{00000000-0008-0000-2700-000004000000}"/>
            </a:ext>
          </a:extLst>
        </xdr:cNvPr>
        <xdr:cNvSpPr/>
      </xdr:nvSpPr>
      <xdr:spPr>
        <a:xfrm>
          <a:off x="1826314" y="99391"/>
          <a:ext cx="1492112" cy="484632"/>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5" name="Flecha: hacia la izquierda 4">
          <a:hlinkClick xmlns:r="http://schemas.openxmlformats.org/officeDocument/2006/relationships" r:id="rId3"/>
          <a:extLst>
            <a:ext uri="{FF2B5EF4-FFF2-40B4-BE49-F238E27FC236}">
              <a16:creationId xmlns:a16="http://schemas.microsoft.com/office/drawing/2014/main" id="{00000000-0008-0000-2700-000005000000}"/>
            </a:ext>
          </a:extLst>
        </xdr:cNvPr>
        <xdr:cNvSpPr/>
      </xdr:nvSpPr>
      <xdr:spPr>
        <a:xfrm>
          <a:off x="3417818" y="99391"/>
          <a:ext cx="1326691" cy="484632"/>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6" name="Flecha: a la derecha con bandas 5">
          <a:hlinkClick xmlns:r="http://schemas.openxmlformats.org/officeDocument/2006/relationships" r:id="rId4"/>
          <a:extLst>
            <a:ext uri="{FF2B5EF4-FFF2-40B4-BE49-F238E27FC236}">
              <a16:creationId xmlns:a16="http://schemas.microsoft.com/office/drawing/2014/main" id="{00000000-0008-0000-2700-000006000000}"/>
            </a:ext>
          </a:extLst>
        </xdr:cNvPr>
        <xdr:cNvSpPr/>
      </xdr:nvSpPr>
      <xdr:spPr>
        <a:xfrm>
          <a:off x="5256970" y="107674"/>
          <a:ext cx="1208847" cy="484632"/>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485775</xdr:colOff>
      <xdr:row>1</xdr:row>
      <xdr:rowOff>152400</xdr:rowOff>
    </xdr:from>
    <xdr:to>
      <xdr:col>2</xdr:col>
      <xdr:colOff>1104900</xdr:colOff>
      <xdr:row>3</xdr:row>
      <xdr:rowOff>316683</xdr:rowOff>
    </xdr:to>
    <xdr:pic>
      <xdr:nvPicPr>
        <xdr:cNvPr id="8" name="Imagen 7">
          <a:extLst>
            <a:ext uri="{FF2B5EF4-FFF2-40B4-BE49-F238E27FC236}">
              <a16:creationId xmlns:a16="http://schemas.microsoft.com/office/drawing/2014/main" id="{98F00854-A9F8-4D9F-9574-722E9CCBF370}"/>
            </a:ext>
          </a:extLst>
        </xdr:cNvPr>
        <xdr:cNvPicPr>
          <a:picLocks noChangeAspect="1"/>
        </xdr:cNvPicPr>
      </xdr:nvPicPr>
      <xdr:blipFill>
        <a:blip xmlns:r="http://schemas.openxmlformats.org/officeDocument/2006/relationships" r:embed="rId5"/>
        <a:stretch>
          <a:fillRect/>
        </a:stretch>
      </xdr:blipFill>
      <xdr:spPr>
        <a:xfrm>
          <a:off x="485775" y="923925"/>
          <a:ext cx="2047875" cy="1059633"/>
        </a:xfrm>
        <a:prstGeom prst="rect">
          <a:avLst/>
        </a:prstGeom>
      </xdr:spPr>
    </xdr:pic>
    <xdr:clientData/>
  </xdr:twoCellAnchor>
</xdr:wsDr>
</file>

<file path=xl/drawings/drawing42.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3" name="Flecha: hacia la izquierda 2">
          <a:hlinkClick xmlns:r="http://schemas.openxmlformats.org/officeDocument/2006/relationships" r:id="rId1"/>
          <a:extLst>
            <a:ext uri="{FF2B5EF4-FFF2-40B4-BE49-F238E27FC236}">
              <a16:creationId xmlns:a16="http://schemas.microsoft.com/office/drawing/2014/main" id="{00000000-0008-0000-2800-000003000000}"/>
            </a:ext>
          </a:extLst>
        </xdr:cNvPr>
        <xdr:cNvSpPr/>
      </xdr:nvSpPr>
      <xdr:spPr>
        <a:xfrm>
          <a:off x="323022" y="107674"/>
          <a:ext cx="1156484" cy="484632"/>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4" name="Flecha: hacia la izquierda 3">
          <a:hlinkClick xmlns:r="http://schemas.openxmlformats.org/officeDocument/2006/relationships" r:id="rId2"/>
          <a:extLst>
            <a:ext uri="{FF2B5EF4-FFF2-40B4-BE49-F238E27FC236}">
              <a16:creationId xmlns:a16="http://schemas.microsoft.com/office/drawing/2014/main" id="{00000000-0008-0000-2800-000004000000}"/>
            </a:ext>
          </a:extLst>
        </xdr:cNvPr>
        <xdr:cNvSpPr/>
      </xdr:nvSpPr>
      <xdr:spPr>
        <a:xfrm>
          <a:off x="1826314" y="99391"/>
          <a:ext cx="1492112" cy="484632"/>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5" name="Flecha: hacia la izquierda 4">
          <a:hlinkClick xmlns:r="http://schemas.openxmlformats.org/officeDocument/2006/relationships" r:id="rId3"/>
          <a:extLst>
            <a:ext uri="{FF2B5EF4-FFF2-40B4-BE49-F238E27FC236}">
              <a16:creationId xmlns:a16="http://schemas.microsoft.com/office/drawing/2014/main" id="{00000000-0008-0000-2800-000005000000}"/>
            </a:ext>
          </a:extLst>
        </xdr:cNvPr>
        <xdr:cNvSpPr/>
      </xdr:nvSpPr>
      <xdr:spPr>
        <a:xfrm>
          <a:off x="3417818" y="99391"/>
          <a:ext cx="1326691" cy="484632"/>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6" name="Flecha: a la derecha con bandas 5">
          <a:hlinkClick xmlns:r="http://schemas.openxmlformats.org/officeDocument/2006/relationships" r:id="rId4"/>
          <a:extLst>
            <a:ext uri="{FF2B5EF4-FFF2-40B4-BE49-F238E27FC236}">
              <a16:creationId xmlns:a16="http://schemas.microsoft.com/office/drawing/2014/main" id="{00000000-0008-0000-2800-000006000000}"/>
            </a:ext>
          </a:extLst>
        </xdr:cNvPr>
        <xdr:cNvSpPr/>
      </xdr:nvSpPr>
      <xdr:spPr>
        <a:xfrm>
          <a:off x="5256970" y="107674"/>
          <a:ext cx="1208847" cy="484632"/>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533400</xdr:colOff>
      <xdr:row>1</xdr:row>
      <xdr:rowOff>123825</xdr:rowOff>
    </xdr:from>
    <xdr:to>
      <xdr:col>2</xdr:col>
      <xdr:colOff>1152525</xdr:colOff>
      <xdr:row>3</xdr:row>
      <xdr:rowOff>288108</xdr:rowOff>
    </xdr:to>
    <xdr:pic>
      <xdr:nvPicPr>
        <xdr:cNvPr id="8" name="Imagen 7">
          <a:extLst>
            <a:ext uri="{FF2B5EF4-FFF2-40B4-BE49-F238E27FC236}">
              <a16:creationId xmlns:a16="http://schemas.microsoft.com/office/drawing/2014/main" id="{F80AC7E3-3999-4B59-A1E6-E5C04E8DB52A}"/>
            </a:ext>
          </a:extLst>
        </xdr:cNvPr>
        <xdr:cNvPicPr>
          <a:picLocks noChangeAspect="1"/>
        </xdr:cNvPicPr>
      </xdr:nvPicPr>
      <xdr:blipFill>
        <a:blip xmlns:r="http://schemas.openxmlformats.org/officeDocument/2006/relationships" r:embed="rId5"/>
        <a:stretch>
          <a:fillRect/>
        </a:stretch>
      </xdr:blipFill>
      <xdr:spPr>
        <a:xfrm>
          <a:off x="533400" y="895350"/>
          <a:ext cx="2047875" cy="1059633"/>
        </a:xfrm>
        <a:prstGeom prst="rect">
          <a:avLst/>
        </a:prstGeom>
      </xdr:spPr>
    </xdr:pic>
    <xdr:clientData/>
  </xdr:twoCellAnchor>
</xdr:wsDr>
</file>

<file path=xl/drawings/drawing43.xml><?xml version="1.0" encoding="utf-8"?>
<xdr:wsDr xmlns:xdr="http://schemas.openxmlformats.org/drawingml/2006/spreadsheetDrawing" xmlns:a="http://schemas.openxmlformats.org/drawingml/2006/main">
  <xdr:twoCellAnchor>
    <xdr:from>
      <xdr:col>0</xdr:col>
      <xdr:colOff>323022</xdr:colOff>
      <xdr:row>0</xdr:row>
      <xdr:rowOff>101959</xdr:rowOff>
    </xdr:from>
    <xdr:to>
      <xdr:col>2</xdr:col>
      <xdr:colOff>62332</xdr:colOff>
      <xdr:row>1</xdr:row>
      <xdr:rowOff>6549</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AF46947F-73DC-4341-BACB-660A190ED119}"/>
            </a:ext>
          </a:extLst>
        </xdr:cNvPr>
        <xdr:cNvSpPr/>
      </xdr:nvSpPr>
      <xdr:spPr>
        <a:xfrm>
          <a:off x="326832" y="98149"/>
          <a:ext cx="1208065" cy="529430"/>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405184</xdr:colOff>
      <xdr:row>0</xdr:row>
      <xdr:rowOff>95581</xdr:rowOff>
    </xdr:from>
    <xdr:to>
      <xdr:col>3</xdr:col>
      <xdr:colOff>163552</xdr:colOff>
      <xdr:row>1</xdr:row>
      <xdr:rowOff>5961</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35E73828-1A13-42B6-A8D0-0FFC43C27356}"/>
            </a:ext>
          </a:extLst>
        </xdr:cNvPr>
        <xdr:cNvSpPr/>
      </xdr:nvSpPr>
      <xdr:spPr>
        <a:xfrm>
          <a:off x="1877749" y="91771"/>
          <a:ext cx="1535733" cy="535220"/>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274568</xdr:colOff>
      <xdr:row>0</xdr:row>
      <xdr:rowOff>95581</xdr:rowOff>
    </xdr:from>
    <xdr:to>
      <xdr:col>4</xdr:col>
      <xdr:colOff>197302</xdr:colOff>
      <xdr:row>1</xdr:row>
      <xdr:rowOff>5961</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0E137D71-9CCF-4FA6-8E87-B361FC9EA814}"/>
            </a:ext>
          </a:extLst>
        </xdr:cNvPr>
        <xdr:cNvSpPr/>
      </xdr:nvSpPr>
      <xdr:spPr>
        <a:xfrm>
          <a:off x="3524498" y="91771"/>
          <a:ext cx="1361009" cy="535220"/>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715450</xdr:colOff>
      <xdr:row>0</xdr:row>
      <xdr:rowOff>101959</xdr:rowOff>
    </xdr:from>
    <xdr:to>
      <xdr:col>6</xdr:col>
      <xdr:colOff>273962</xdr:colOff>
      <xdr:row>1</xdr:row>
      <xdr:rowOff>6549</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BCB93389-D466-4074-A51C-A8E5B639898B}"/>
            </a:ext>
          </a:extLst>
        </xdr:cNvPr>
        <xdr:cNvSpPr/>
      </xdr:nvSpPr>
      <xdr:spPr>
        <a:xfrm>
          <a:off x="5399845" y="98149"/>
          <a:ext cx="1257772" cy="529430"/>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514350</xdr:colOff>
      <xdr:row>1</xdr:row>
      <xdr:rowOff>123825</xdr:rowOff>
    </xdr:from>
    <xdr:to>
      <xdr:col>2</xdr:col>
      <xdr:colOff>1133475</xdr:colOff>
      <xdr:row>3</xdr:row>
      <xdr:rowOff>297633</xdr:rowOff>
    </xdr:to>
    <xdr:pic>
      <xdr:nvPicPr>
        <xdr:cNvPr id="8" name="Imagen 7">
          <a:extLst>
            <a:ext uri="{FF2B5EF4-FFF2-40B4-BE49-F238E27FC236}">
              <a16:creationId xmlns:a16="http://schemas.microsoft.com/office/drawing/2014/main" id="{4AFEC591-0ACB-4A84-B5CE-757D92AE4FB1}"/>
            </a:ext>
          </a:extLst>
        </xdr:cNvPr>
        <xdr:cNvPicPr>
          <a:picLocks noChangeAspect="1"/>
        </xdr:cNvPicPr>
      </xdr:nvPicPr>
      <xdr:blipFill>
        <a:blip xmlns:r="http://schemas.openxmlformats.org/officeDocument/2006/relationships" r:embed="rId5"/>
        <a:stretch>
          <a:fillRect/>
        </a:stretch>
      </xdr:blipFill>
      <xdr:spPr>
        <a:xfrm>
          <a:off x="514350" y="742950"/>
          <a:ext cx="2047875" cy="1059633"/>
        </a:xfrm>
        <a:prstGeom prst="rect">
          <a:avLst/>
        </a:prstGeom>
      </xdr:spPr>
    </xdr:pic>
    <xdr:clientData/>
  </xdr:twoCellAnchor>
</xdr:wsDr>
</file>

<file path=xl/drawings/drawing44.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41A87041-8F3E-474E-BAA8-86D3A79233A7}"/>
            </a:ext>
          </a:extLst>
        </xdr:cNvPr>
        <xdr:cNvSpPr/>
      </xdr:nvSpPr>
      <xdr:spPr>
        <a:xfrm>
          <a:off x="265872" y="82909"/>
          <a:ext cx="1209672" cy="392255"/>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5C470130-87BF-4206-A6D2-8120509C9BBF}"/>
            </a:ext>
          </a:extLst>
        </xdr:cNvPr>
        <xdr:cNvSpPr/>
      </xdr:nvSpPr>
      <xdr:spPr>
        <a:xfrm>
          <a:off x="1753924" y="72721"/>
          <a:ext cx="1530057" cy="40143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AE012353-262A-4185-A2DB-90A0A4D93004}"/>
            </a:ext>
          </a:extLst>
        </xdr:cNvPr>
        <xdr:cNvSpPr/>
      </xdr:nvSpPr>
      <xdr:spPr>
        <a:xfrm>
          <a:off x="3374003" y="72721"/>
          <a:ext cx="1341972" cy="40143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F22C0EE8-2EC7-4015-AC85-421EF9CC3276}"/>
            </a:ext>
          </a:extLst>
        </xdr:cNvPr>
        <xdr:cNvSpPr/>
      </xdr:nvSpPr>
      <xdr:spPr>
        <a:xfrm>
          <a:off x="5135050" y="82909"/>
          <a:ext cx="1286655" cy="392255"/>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504825</xdr:colOff>
      <xdr:row>1</xdr:row>
      <xdr:rowOff>161925</xdr:rowOff>
    </xdr:from>
    <xdr:to>
      <xdr:col>2</xdr:col>
      <xdr:colOff>1123950</xdr:colOff>
      <xdr:row>3</xdr:row>
      <xdr:rowOff>326208</xdr:rowOff>
    </xdr:to>
    <xdr:pic>
      <xdr:nvPicPr>
        <xdr:cNvPr id="8" name="Imagen 7">
          <a:extLst>
            <a:ext uri="{FF2B5EF4-FFF2-40B4-BE49-F238E27FC236}">
              <a16:creationId xmlns:a16="http://schemas.microsoft.com/office/drawing/2014/main" id="{38DF3DA6-14C7-4466-865C-501A1B2B6B5B}"/>
            </a:ext>
          </a:extLst>
        </xdr:cNvPr>
        <xdr:cNvPicPr>
          <a:picLocks noChangeAspect="1"/>
        </xdr:cNvPicPr>
      </xdr:nvPicPr>
      <xdr:blipFill>
        <a:blip xmlns:r="http://schemas.openxmlformats.org/officeDocument/2006/relationships" r:embed="rId5"/>
        <a:stretch>
          <a:fillRect/>
        </a:stretch>
      </xdr:blipFill>
      <xdr:spPr>
        <a:xfrm>
          <a:off x="504825" y="933450"/>
          <a:ext cx="2047875" cy="1059633"/>
        </a:xfrm>
        <a:prstGeom prst="rect">
          <a:avLst/>
        </a:prstGeom>
      </xdr:spPr>
    </xdr:pic>
    <xdr:clientData/>
  </xdr:twoCellAnchor>
</xdr:wsDr>
</file>

<file path=xl/drawings/drawing45.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9356367B-1815-470E-AEB6-54A947941432}"/>
            </a:ext>
          </a:extLst>
        </xdr:cNvPr>
        <xdr:cNvSpPr/>
      </xdr:nvSpPr>
      <xdr:spPr>
        <a:xfrm>
          <a:off x="265872" y="84814"/>
          <a:ext cx="1259202" cy="394160"/>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88AB675E-246E-4460-929E-C7BA887F0910}"/>
            </a:ext>
          </a:extLst>
        </xdr:cNvPr>
        <xdr:cNvSpPr/>
      </xdr:nvSpPr>
      <xdr:spPr>
        <a:xfrm>
          <a:off x="1797739" y="72721"/>
          <a:ext cx="1585302" cy="40524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33DB406A-5E51-49E6-8166-835E8063F02C}"/>
            </a:ext>
          </a:extLst>
        </xdr:cNvPr>
        <xdr:cNvSpPr/>
      </xdr:nvSpPr>
      <xdr:spPr>
        <a:xfrm>
          <a:off x="3467348" y="72721"/>
          <a:ext cx="1383882" cy="40524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2E726418-A192-4161-8ED6-834CBE493345}"/>
            </a:ext>
          </a:extLst>
        </xdr:cNvPr>
        <xdr:cNvSpPr/>
      </xdr:nvSpPr>
      <xdr:spPr>
        <a:xfrm>
          <a:off x="5270305" y="84814"/>
          <a:ext cx="1330470" cy="394160"/>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504825</xdr:colOff>
      <xdr:row>1</xdr:row>
      <xdr:rowOff>133350</xdr:rowOff>
    </xdr:from>
    <xdr:to>
      <xdr:col>2</xdr:col>
      <xdr:colOff>1123950</xdr:colOff>
      <xdr:row>3</xdr:row>
      <xdr:rowOff>297633</xdr:rowOff>
    </xdr:to>
    <xdr:pic>
      <xdr:nvPicPr>
        <xdr:cNvPr id="8" name="Imagen 7">
          <a:extLst>
            <a:ext uri="{FF2B5EF4-FFF2-40B4-BE49-F238E27FC236}">
              <a16:creationId xmlns:a16="http://schemas.microsoft.com/office/drawing/2014/main" id="{083ED93C-5BDC-416D-B511-9B3A803E0196}"/>
            </a:ext>
          </a:extLst>
        </xdr:cNvPr>
        <xdr:cNvPicPr>
          <a:picLocks noChangeAspect="1"/>
        </xdr:cNvPicPr>
      </xdr:nvPicPr>
      <xdr:blipFill>
        <a:blip xmlns:r="http://schemas.openxmlformats.org/officeDocument/2006/relationships" r:embed="rId5"/>
        <a:stretch>
          <a:fillRect/>
        </a:stretch>
      </xdr:blipFill>
      <xdr:spPr>
        <a:xfrm>
          <a:off x="504825" y="904875"/>
          <a:ext cx="2047875" cy="1059633"/>
        </a:xfrm>
        <a:prstGeom prst="rect">
          <a:avLst/>
        </a:prstGeom>
      </xdr:spPr>
    </xdr:pic>
    <xdr:clientData/>
  </xdr:twoCellAnchor>
</xdr:wsDr>
</file>

<file path=xl/drawings/drawing46.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F1C14A13-4443-4F54-A53B-6D27EF03C69A}"/>
            </a:ext>
          </a:extLst>
        </xdr:cNvPr>
        <xdr:cNvSpPr/>
      </xdr:nvSpPr>
      <xdr:spPr>
        <a:xfrm>
          <a:off x="265872" y="82909"/>
          <a:ext cx="1209672" cy="392255"/>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C7F95883-3C76-4EE4-9385-54BA3B756946}"/>
            </a:ext>
          </a:extLst>
        </xdr:cNvPr>
        <xdr:cNvSpPr/>
      </xdr:nvSpPr>
      <xdr:spPr>
        <a:xfrm>
          <a:off x="1753924" y="72721"/>
          <a:ext cx="1530057" cy="40143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1258AD76-D576-4B93-9DC9-5DB6190C53F1}"/>
            </a:ext>
          </a:extLst>
        </xdr:cNvPr>
        <xdr:cNvSpPr/>
      </xdr:nvSpPr>
      <xdr:spPr>
        <a:xfrm>
          <a:off x="3374003" y="72721"/>
          <a:ext cx="1341972" cy="40143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CE0AE7D5-90F0-4BE7-BCB0-40DFD55CA29D}"/>
            </a:ext>
          </a:extLst>
        </xdr:cNvPr>
        <xdr:cNvSpPr/>
      </xdr:nvSpPr>
      <xdr:spPr>
        <a:xfrm>
          <a:off x="5135050" y="82909"/>
          <a:ext cx="1286655" cy="392255"/>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152400</xdr:colOff>
      <xdr:row>1</xdr:row>
      <xdr:rowOff>95251</xdr:rowOff>
    </xdr:from>
    <xdr:to>
      <xdr:col>1</xdr:col>
      <xdr:colOff>755649</xdr:colOff>
      <xdr:row>3</xdr:row>
      <xdr:rowOff>278480</xdr:rowOff>
    </xdr:to>
    <xdr:pic>
      <xdr:nvPicPr>
        <xdr:cNvPr id="6" name="Imagen 5">
          <a:extLst>
            <a:ext uri="{FF2B5EF4-FFF2-40B4-BE49-F238E27FC236}">
              <a16:creationId xmlns:a16="http://schemas.microsoft.com/office/drawing/2014/main" id="{AF65F9CD-2CAB-465A-8EA9-D57BB2E4B5DE}"/>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52400" y="866776"/>
          <a:ext cx="1212849" cy="1078579"/>
        </a:xfrm>
        <a:prstGeom prst="rect">
          <a:avLst/>
        </a:prstGeom>
      </xdr:spPr>
    </xdr:pic>
    <xdr:clientData/>
  </xdr:twoCellAnchor>
  <xdr:twoCellAnchor editAs="oneCell">
    <xdr:from>
      <xdr:col>2</xdr:col>
      <xdr:colOff>209548</xdr:colOff>
      <xdr:row>1</xdr:row>
      <xdr:rowOff>47625</xdr:rowOff>
    </xdr:from>
    <xdr:to>
      <xdr:col>2</xdr:col>
      <xdr:colOff>1356359</xdr:colOff>
      <xdr:row>3</xdr:row>
      <xdr:rowOff>312934</xdr:rowOff>
    </xdr:to>
    <xdr:pic>
      <xdr:nvPicPr>
        <xdr:cNvPr id="7" name="Imagen 6">
          <a:extLst>
            <a:ext uri="{FF2B5EF4-FFF2-40B4-BE49-F238E27FC236}">
              <a16:creationId xmlns:a16="http://schemas.microsoft.com/office/drawing/2014/main" id="{3DDB2901-823B-47D6-8092-3058874A4DEF}"/>
            </a:ext>
          </a:extLst>
        </xdr:cNvPr>
        <xdr:cNvPicPr>
          <a:picLocks noChangeAspect="1"/>
        </xdr:cNvPicPr>
      </xdr:nvPicPr>
      <xdr:blipFill>
        <a:blip xmlns:r="http://schemas.openxmlformats.org/officeDocument/2006/relationships" r:embed="rId6"/>
        <a:stretch>
          <a:fillRect/>
        </a:stretch>
      </xdr:blipFill>
      <xdr:spPr>
        <a:xfrm>
          <a:off x="1638298" y="819150"/>
          <a:ext cx="1146811" cy="1160659"/>
        </a:xfrm>
        <a:prstGeom prst="rect">
          <a:avLst/>
        </a:prstGeom>
      </xdr:spPr>
    </xdr:pic>
    <xdr:clientData/>
  </xdr:twoCellAnchor>
</xdr:wsDr>
</file>

<file path=xl/drawings/drawing47.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DE88C2AE-5577-4A98-A39D-853C3107ADBF}"/>
            </a:ext>
          </a:extLst>
        </xdr:cNvPr>
        <xdr:cNvSpPr/>
      </xdr:nvSpPr>
      <xdr:spPr>
        <a:xfrm>
          <a:off x="265872" y="82909"/>
          <a:ext cx="1209672" cy="392255"/>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C5002019-D81E-4403-925E-D94D5A16BF18}"/>
            </a:ext>
          </a:extLst>
        </xdr:cNvPr>
        <xdr:cNvSpPr/>
      </xdr:nvSpPr>
      <xdr:spPr>
        <a:xfrm>
          <a:off x="1753924" y="72721"/>
          <a:ext cx="1530057" cy="40143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D3BF8154-94B1-495A-9819-8482F3563DC6}"/>
            </a:ext>
          </a:extLst>
        </xdr:cNvPr>
        <xdr:cNvSpPr/>
      </xdr:nvSpPr>
      <xdr:spPr>
        <a:xfrm>
          <a:off x="3374003" y="72721"/>
          <a:ext cx="1341972" cy="40143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D108540B-B5AF-484C-B5A5-8420825B3469}"/>
            </a:ext>
          </a:extLst>
        </xdr:cNvPr>
        <xdr:cNvSpPr/>
      </xdr:nvSpPr>
      <xdr:spPr>
        <a:xfrm>
          <a:off x="5135050" y="82909"/>
          <a:ext cx="1286655" cy="392255"/>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133350</xdr:colOff>
      <xdr:row>1</xdr:row>
      <xdr:rowOff>95250</xdr:rowOff>
    </xdr:from>
    <xdr:to>
      <xdr:col>1</xdr:col>
      <xdr:colOff>736599</xdr:colOff>
      <xdr:row>3</xdr:row>
      <xdr:rowOff>278479</xdr:rowOff>
    </xdr:to>
    <xdr:pic>
      <xdr:nvPicPr>
        <xdr:cNvPr id="6" name="Imagen 5">
          <a:extLst>
            <a:ext uri="{FF2B5EF4-FFF2-40B4-BE49-F238E27FC236}">
              <a16:creationId xmlns:a16="http://schemas.microsoft.com/office/drawing/2014/main" id="{69324598-679A-42B1-A84E-D96E37112B0D}"/>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33350" y="866775"/>
          <a:ext cx="1212849" cy="1078579"/>
        </a:xfrm>
        <a:prstGeom prst="rect">
          <a:avLst/>
        </a:prstGeom>
      </xdr:spPr>
    </xdr:pic>
    <xdr:clientData/>
  </xdr:twoCellAnchor>
  <xdr:twoCellAnchor editAs="oneCell">
    <xdr:from>
      <xdr:col>2</xdr:col>
      <xdr:colOff>247650</xdr:colOff>
      <xdr:row>1</xdr:row>
      <xdr:rowOff>76200</xdr:rowOff>
    </xdr:from>
    <xdr:to>
      <xdr:col>2</xdr:col>
      <xdr:colOff>1394461</xdr:colOff>
      <xdr:row>3</xdr:row>
      <xdr:rowOff>341509</xdr:rowOff>
    </xdr:to>
    <xdr:pic>
      <xdr:nvPicPr>
        <xdr:cNvPr id="7" name="Imagen 6">
          <a:extLst>
            <a:ext uri="{FF2B5EF4-FFF2-40B4-BE49-F238E27FC236}">
              <a16:creationId xmlns:a16="http://schemas.microsoft.com/office/drawing/2014/main" id="{7424BE8B-16AE-4F4F-8338-9E0BAA4D4BA0}"/>
            </a:ext>
          </a:extLst>
        </xdr:cNvPr>
        <xdr:cNvPicPr>
          <a:picLocks noChangeAspect="1"/>
        </xdr:cNvPicPr>
      </xdr:nvPicPr>
      <xdr:blipFill>
        <a:blip xmlns:r="http://schemas.openxmlformats.org/officeDocument/2006/relationships" r:embed="rId6"/>
        <a:stretch>
          <a:fillRect/>
        </a:stretch>
      </xdr:blipFill>
      <xdr:spPr>
        <a:xfrm>
          <a:off x="1676400" y="847725"/>
          <a:ext cx="1146811" cy="1160659"/>
        </a:xfrm>
        <a:prstGeom prst="rect">
          <a:avLst/>
        </a:prstGeom>
      </xdr:spPr>
    </xdr:pic>
    <xdr:clientData/>
  </xdr:twoCellAnchor>
</xdr:wsDr>
</file>

<file path=xl/drawings/drawing48.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FB1E0B3B-B3DB-4342-A8BB-F688BB71E64F}"/>
            </a:ext>
          </a:extLst>
        </xdr:cNvPr>
        <xdr:cNvSpPr/>
      </xdr:nvSpPr>
      <xdr:spPr>
        <a:xfrm>
          <a:off x="265872" y="82909"/>
          <a:ext cx="1209672" cy="392255"/>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956F5E7B-DBCD-4AF0-995D-DE1C476D7096}"/>
            </a:ext>
          </a:extLst>
        </xdr:cNvPr>
        <xdr:cNvSpPr/>
      </xdr:nvSpPr>
      <xdr:spPr>
        <a:xfrm>
          <a:off x="1753924" y="72721"/>
          <a:ext cx="1530057" cy="40143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3DB23266-A8C8-451D-B189-ECF76C485E10}"/>
            </a:ext>
          </a:extLst>
        </xdr:cNvPr>
        <xdr:cNvSpPr/>
      </xdr:nvSpPr>
      <xdr:spPr>
        <a:xfrm>
          <a:off x="3374003" y="72721"/>
          <a:ext cx="1341972" cy="40143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0F164F82-851B-4FB2-8A5C-5CECDE91E821}"/>
            </a:ext>
          </a:extLst>
        </xdr:cNvPr>
        <xdr:cNvSpPr/>
      </xdr:nvSpPr>
      <xdr:spPr>
        <a:xfrm>
          <a:off x="5135050" y="82909"/>
          <a:ext cx="1286655" cy="392255"/>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142875</xdr:colOff>
      <xdr:row>1</xdr:row>
      <xdr:rowOff>76200</xdr:rowOff>
    </xdr:from>
    <xdr:to>
      <xdr:col>1</xdr:col>
      <xdr:colOff>746124</xdr:colOff>
      <xdr:row>3</xdr:row>
      <xdr:rowOff>259429</xdr:rowOff>
    </xdr:to>
    <xdr:pic>
      <xdr:nvPicPr>
        <xdr:cNvPr id="6" name="Imagen 5">
          <a:extLst>
            <a:ext uri="{FF2B5EF4-FFF2-40B4-BE49-F238E27FC236}">
              <a16:creationId xmlns:a16="http://schemas.microsoft.com/office/drawing/2014/main" id="{F59BF025-A035-4080-8B7F-E0CDEEA55D6A}"/>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42875" y="847725"/>
          <a:ext cx="1212849" cy="1078579"/>
        </a:xfrm>
        <a:prstGeom prst="rect">
          <a:avLst/>
        </a:prstGeom>
      </xdr:spPr>
    </xdr:pic>
    <xdr:clientData/>
  </xdr:twoCellAnchor>
  <xdr:twoCellAnchor editAs="oneCell">
    <xdr:from>
      <xdr:col>2</xdr:col>
      <xdr:colOff>247650</xdr:colOff>
      <xdr:row>1</xdr:row>
      <xdr:rowOff>47625</xdr:rowOff>
    </xdr:from>
    <xdr:to>
      <xdr:col>2</xdr:col>
      <xdr:colOff>1394461</xdr:colOff>
      <xdr:row>3</xdr:row>
      <xdr:rowOff>312934</xdr:rowOff>
    </xdr:to>
    <xdr:pic>
      <xdr:nvPicPr>
        <xdr:cNvPr id="7" name="Imagen 6">
          <a:extLst>
            <a:ext uri="{FF2B5EF4-FFF2-40B4-BE49-F238E27FC236}">
              <a16:creationId xmlns:a16="http://schemas.microsoft.com/office/drawing/2014/main" id="{0965D672-37F0-4F25-BCE0-E7BCA7848811}"/>
            </a:ext>
          </a:extLst>
        </xdr:cNvPr>
        <xdr:cNvPicPr>
          <a:picLocks noChangeAspect="1"/>
        </xdr:cNvPicPr>
      </xdr:nvPicPr>
      <xdr:blipFill>
        <a:blip xmlns:r="http://schemas.openxmlformats.org/officeDocument/2006/relationships" r:embed="rId6"/>
        <a:stretch>
          <a:fillRect/>
        </a:stretch>
      </xdr:blipFill>
      <xdr:spPr>
        <a:xfrm>
          <a:off x="1676400" y="819150"/>
          <a:ext cx="1146811" cy="1160659"/>
        </a:xfrm>
        <a:prstGeom prst="rect">
          <a:avLst/>
        </a:prstGeom>
      </xdr:spPr>
    </xdr:pic>
    <xdr:clientData/>
  </xdr:twoCellAnchor>
</xdr:wsDr>
</file>

<file path=xl/drawings/drawing49.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850ECAF1-5198-4E22-B4E5-83AA0FE61072}"/>
            </a:ext>
          </a:extLst>
        </xdr:cNvPr>
        <xdr:cNvSpPr/>
      </xdr:nvSpPr>
      <xdr:spPr>
        <a:xfrm>
          <a:off x="265872" y="82909"/>
          <a:ext cx="1209672" cy="392255"/>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D02646C7-4E2B-42F2-8C34-8E4A9A371744}"/>
            </a:ext>
          </a:extLst>
        </xdr:cNvPr>
        <xdr:cNvSpPr/>
      </xdr:nvSpPr>
      <xdr:spPr>
        <a:xfrm>
          <a:off x="1753924" y="72721"/>
          <a:ext cx="1530057" cy="40143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70A0DF30-6DC3-4FEE-BB8E-D2D8ABF820BA}"/>
            </a:ext>
          </a:extLst>
        </xdr:cNvPr>
        <xdr:cNvSpPr/>
      </xdr:nvSpPr>
      <xdr:spPr>
        <a:xfrm>
          <a:off x="3374003" y="72721"/>
          <a:ext cx="1341972" cy="40143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BBFA573F-F65E-4556-8D41-F0C287D0B1C0}"/>
            </a:ext>
          </a:extLst>
        </xdr:cNvPr>
        <xdr:cNvSpPr/>
      </xdr:nvSpPr>
      <xdr:spPr>
        <a:xfrm>
          <a:off x="5135050" y="82909"/>
          <a:ext cx="1286655" cy="392255"/>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142875</xdr:colOff>
      <xdr:row>1</xdr:row>
      <xdr:rowOff>76200</xdr:rowOff>
    </xdr:from>
    <xdr:to>
      <xdr:col>1</xdr:col>
      <xdr:colOff>746124</xdr:colOff>
      <xdr:row>3</xdr:row>
      <xdr:rowOff>259429</xdr:rowOff>
    </xdr:to>
    <xdr:pic>
      <xdr:nvPicPr>
        <xdr:cNvPr id="6" name="Imagen 5">
          <a:extLst>
            <a:ext uri="{FF2B5EF4-FFF2-40B4-BE49-F238E27FC236}">
              <a16:creationId xmlns:a16="http://schemas.microsoft.com/office/drawing/2014/main" id="{E436B78A-F91C-49B5-8464-7BBAF27DD3E7}"/>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42875" y="847725"/>
          <a:ext cx="1212849" cy="1078579"/>
        </a:xfrm>
        <a:prstGeom prst="rect">
          <a:avLst/>
        </a:prstGeom>
      </xdr:spPr>
    </xdr:pic>
    <xdr:clientData/>
  </xdr:twoCellAnchor>
  <xdr:twoCellAnchor editAs="oneCell">
    <xdr:from>
      <xdr:col>2</xdr:col>
      <xdr:colOff>247650</xdr:colOff>
      <xdr:row>1</xdr:row>
      <xdr:rowOff>47625</xdr:rowOff>
    </xdr:from>
    <xdr:to>
      <xdr:col>2</xdr:col>
      <xdr:colOff>1394461</xdr:colOff>
      <xdr:row>3</xdr:row>
      <xdr:rowOff>312934</xdr:rowOff>
    </xdr:to>
    <xdr:pic>
      <xdr:nvPicPr>
        <xdr:cNvPr id="7" name="Imagen 6">
          <a:extLst>
            <a:ext uri="{FF2B5EF4-FFF2-40B4-BE49-F238E27FC236}">
              <a16:creationId xmlns:a16="http://schemas.microsoft.com/office/drawing/2014/main" id="{CC513069-081E-4EC7-B022-821574048557}"/>
            </a:ext>
          </a:extLst>
        </xdr:cNvPr>
        <xdr:cNvPicPr>
          <a:picLocks noChangeAspect="1"/>
        </xdr:cNvPicPr>
      </xdr:nvPicPr>
      <xdr:blipFill>
        <a:blip xmlns:r="http://schemas.openxmlformats.org/officeDocument/2006/relationships" r:embed="rId6"/>
        <a:stretch>
          <a:fillRect/>
        </a:stretch>
      </xdr:blipFill>
      <xdr:spPr>
        <a:xfrm>
          <a:off x="1676400" y="819150"/>
          <a:ext cx="1146811" cy="1160659"/>
        </a:xfrm>
        <a:prstGeom prst="rect">
          <a:avLst/>
        </a:prstGeom>
      </xdr:spPr>
    </xdr:pic>
    <xdr:clientData/>
  </xdr:twoCellAnchor>
</xdr:wsDr>
</file>

<file path=xl/drawings/drawing50.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8B7C1575-487C-4E51-AE57-234C2973B1EB}"/>
            </a:ext>
          </a:extLst>
        </xdr:cNvPr>
        <xdr:cNvSpPr/>
      </xdr:nvSpPr>
      <xdr:spPr>
        <a:xfrm>
          <a:off x="265872" y="82909"/>
          <a:ext cx="1209672" cy="392255"/>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563A62E7-CCFC-45F1-B0A3-AD960359CCD0}"/>
            </a:ext>
          </a:extLst>
        </xdr:cNvPr>
        <xdr:cNvSpPr/>
      </xdr:nvSpPr>
      <xdr:spPr>
        <a:xfrm>
          <a:off x="1753924" y="72721"/>
          <a:ext cx="1530057" cy="40143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3A319D5D-367D-4EF4-8114-DCCD34B67B9B}"/>
            </a:ext>
          </a:extLst>
        </xdr:cNvPr>
        <xdr:cNvSpPr/>
      </xdr:nvSpPr>
      <xdr:spPr>
        <a:xfrm>
          <a:off x="3374003" y="72721"/>
          <a:ext cx="1341972" cy="40143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A613E511-4FF0-44B1-8487-E35586148E0F}"/>
            </a:ext>
          </a:extLst>
        </xdr:cNvPr>
        <xdr:cNvSpPr/>
      </xdr:nvSpPr>
      <xdr:spPr>
        <a:xfrm>
          <a:off x="5135050" y="82909"/>
          <a:ext cx="1286655" cy="392255"/>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114300</xdr:colOff>
      <xdr:row>1</xdr:row>
      <xdr:rowOff>123825</xdr:rowOff>
    </xdr:from>
    <xdr:to>
      <xdr:col>1</xdr:col>
      <xdr:colOff>717549</xdr:colOff>
      <xdr:row>3</xdr:row>
      <xdr:rowOff>307054</xdr:rowOff>
    </xdr:to>
    <xdr:pic>
      <xdr:nvPicPr>
        <xdr:cNvPr id="6" name="Imagen 5">
          <a:extLst>
            <a:ext uri="{FF2B5EF4-FFF2-40B4-BE49-F238E27FC236}">
              <a16:creationId xmlns:a16="http://schemas.microsoft.com/office/drawing/2014/main" id="{24DEF794-C5E0-4109-9E3B-97C38B3652A6}"/>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14300" y="895350"/>
          <a:ext cx="1212849" cy="1078579"/>
        </a:xfrm>
        <a:prstGeom prst="rect">
          <a:avLst/>
        </a:prstGeom>
      </xdr:spPr>
    </xdr:pic>
    <xdr:clientData/>
  </xdr:twoCellAnchor>
  <xdr:twoCellAnchor editAs="oneCell">
    <xdr:from>
      <xdr:col>2</xdr:col>
      <xdr:colOff>323850</xdr:colOff>
      <xdr:row>1</xdr:row>
      <xdr:rowOff>57150</xdr:rowOff>
    </xdr:from>
    <xdr:to>
      <xdr:col>2</xdr:col>
      <xdr:colOff>1470661</xdr:colOff>
      <xdr:row>3</xdr:row>
      <xdr:rowOff>322459</xdr:rowOff>
    </xdr:to>
    <xdr:pic>
      <xdr:nvPicPr>
        <xdr:cNvPr id="7" name="Imagen 6">
          <a:extLst>
            <a:ext uri="{FF2B5EF4-FFF2-40B4-BE49-F238E27FC236}">
              <a16:creationId xmlns:a16="http://schemas.microsoft.com/office/drawing/2014/main" id="{7CD3EC08-706A-4EF5-AA08-B857753B3605}"/>
            </a:ext>
          </a:extLst>
        </xdr:cNvPr>
        <xdr:cNvPicPr>
          <a:picLocks noChangeAspect="1"/>
        </xdr:cNvPicPr>
      </xdr:nvPicPr>
      <xdr:blipFill>
        <a:blip xmlns:r="http://schemas.openxmlformats.org/officeDocument/2006/relationships" r:embed="rId6"/>
        <a:stretch>
          <a:fillRect/>
        </a:stretch>
      </xdr:blipFill>
      <xdr:spPr>
        <a:xfrm>
          <a:off x="1752600" y="828675"/>
          <a:ext cx="1146811" cy="1160659"/>
        </a:xfrm>
        <a:prstGeom prst="rect">
          <a:avLst/>
        </a:prstGeom>
      </xdr:spPr>
    </xdr:pic>
    <xdr:clientData/>
  </xdr:twoCellAnchor>
</xdr:wsDr>
</file>

<file path=xl/drawings/drawing51.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8772E7D6-9D78-4FDA-9776-A013F660BB22}"/>
            </a:ext>
          </a:extLst>
        </xdr:cNvPr>
        <xdr:cNvSpPr/>
      </xdr:nvSpPr>
      <xdr:spPr>
        <a:xfrm>
          <a:off x="265872" y="82909"/>
          <a:ext cx="1209672" cy="392255"/>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A6F7F521-CA76-48F8-A45C-2D047CAB2241}"/>
            </a:ext>
          </a:extLst>
        </xdr:cNvPr>
        <xdr:cNvSpPr/>
      </xdr:nvSpPr>
      <xdr:spPr>
        <a:xfrm>
          <a:off x="1753924" y="72721"/>
          <a:ext cx="1530057" cy="40143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F96A913B-8990-4DAA-AB06-FA3420C715F8}"/>
            </a:ext>
          </a:extLst>
        </xdr:cNvPr>
        <xdr:cNvSpPr/>
      </xdr:nvSpPr>
      <xdr:spPr>
        <a:xfrm>
          <a:off x="3374003" y="72721"/>
          <a:ext cx="1341972" cy="40143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E408ED25-52E7-4CA6-9734-BCFC1DA71784}"/>
            </a:ext>
          </a:extLst>
        </xdr:cNvPr>
        <xdr:cNvSpPr/>
      </xdr:nvSpPr>
      <xdr:spPr>
        <a:xfrm>
          <a:off x="5135050" y="82909"/>
          <a:ext cx="1286655" cy="392255"/>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152400</xdr:colOff>
      <xdr:row>1</xdr:row>
      <xdr:rowOff>114300</xdr:rowOff>
    </xdr:from>
    <xdr:to>
      <xdr:col>1</xdr:col>
      <xdr:colOff>755649</xdr:colOff>
      <xdr:row>3</xdr:row>
      <xdr:rowOff>297529</xdr:rowOff>
    </xdr:to>
    <xdr:pic>
      <xdr:nvPicPr>
        <xdr:cNvPr id="6" name="Imagen 5">
          <a:extLst>
            <a:ext uri="{FF2B5EF4-FFF2-40B4-BE49-F238E27FC236}">
              <a16:creationId xmlns:a16="http://schemas.microsoft.com/office/drawing/2014/main" id="{9AE763C2-10EE-4B0D-BC6F-103EE2B0CD51}"/>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52400" y="885825"/>
          <a:ext cx="1212849" cy="1078579"/>
        </a:xfrm>
        <a:prstGeom prst="rect">
          <a:avLst/>
        </a:prstGeom>
      </xdr:spPr>
    </xdr:pic>
    <xdr:clientData/>
  </xdr:twoCellAnchor>
  <xdr:twoCellAnchor editAs="oneCell">
    <xdr:from>
      <xdr:col>2</xdr:col>
      <xdr:colOff>257175</xdr:colOff>
      <xdr:row>1</xdr:row>
      <xdr:rowOff>66675</xdr:rowOff>
    </xdr:from>
    <xdr:to>
      <xdr:col>2</xdr:col>
      <xdr:colOff>1403986</xdr:colOff>
      <xdr:row>3</xdr:row>
      <xdr:rowOff>331984</xdr:rowOff>
    </xdr:to>
    <xdr:pic>
      <xdr:nvPicPr>
        <xdr:cNvPr id="7" name="Imagen 6">
          <a:extLst>
            <a:ext uri="{FF2B5EF4-FFF2-40B4-BE49-F238E27FC236}">
              <a16:creationId xmlns:a16="http://schemas.microsoft.com/office/drawing/2014/main" id="{2A173BAF-B266-425A-9466-7B6FECF2D99B}"/>
            </a:ext>
          </a:extLst>
        </xdr:cNvPr>
        <xdr:cNvPicPr>
          <a:picLocks noChangeAspect="1"/>
        </xdr:cNvPicPr>
      </xdr:nvPicPr>
      <xdr:blipFill>
        <a:blip xmlns:r="http://schemas.openxmlformats.org/officeDocument/2006/relationships" r:embed="rId6"/>
        <a:stretch>
          <a:fillRect/>
        </a:stretch>
      </xdr:blipFill>
      <xdr:spPr>
        <a:xfrm>
          <a:off x="1685925" y="838200"/>
          <a:ext cx="1146811" cy="1160659"/>
        </a:xfrm>
        <a:prstGeom prst="rect">
          <a:avLst/>
        </a:prstGeom>
      </xdr:spPr>
    </xdr:pic>
    <xdr:clientData/>
  </xdr:twoCellAnchor>
</xdr:wsDr>
</file>

<file path=xl/drawings/drawing52.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97213E89-797F-4FA5-923B-B3155A60AC44}"/>
            </a:ext>
          </a:extLst>
        </xdr:cNvPr>
        <xdr:cNvSpPr/>
      </xdr:nvSpPr>
      <xdr:spPr>
        <a:xfrm>
          <a:off x="265872" y="82909"/>
          <a:ext cx="1209672" cy="392255"/>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969C8C41-1BE4-47A3-A027-E8DDD4C3BC08}"/>
            </a:ext>
          </a:extLst>
        </xdr:cNvPr>
        <xdr:cNvSpPr/>
      </xdr:nvSpPr>
      <xdr:spPr>
        <a:xfrm>
          <a:off x="1753924" y="72721"/>
          <a:ext cx="1530057" cy="40143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0FC017D7-B808-4C9E-A3A2-18B01B125E4A}"/>
            </a:ext>
          </a:extLst>
        </xdr:cNvPr>
        <xdr:cNvSpPr/>
      </xdr:nvSpPr>
      <xdr:spPr>
        <a:xfrm>
          <a:off x="3374003" y="72721"/>
          <a:ext cx="1341972" cy="40143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B3C639BD-5D57-4F06-A369-72F32750DDA6}"/>
            </a:ext>
          </a:extLst>
        </xdr:cNvPr>
        <xdr:cNvSpPr/>
      </xdr:nvSpPr>
      <xdr:spPr>
        <a:xfrm>
          <a:off x="5135050" y="82909"/>
          <a:ext cx="1286655" cy="392255"/>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142875</xdr:colOff>
      <xdr:row>1</xdr:row>
      <xdr:rowOff>76200</xdr:rowOff>
    </xdr:from>
    <xdr:to>
      <xdr:col>1</xdr:col>
      <xdr:colOff>746124</xdr:colOff>
      <xdr:row>3</xdr:row>
      <xdr:rowOff>259429</xdr:rowOff>
    </xdr:to>
    <xdr:pic>
      <xdr:nvPicPr>
        <xdr:cNvPr id="6" name="Imagen 5">
          <a:extLst>
            <a:ext uri="{FF2B5EF4-FFF2-40B4-BE49-F238E27FC236}">
              <a16:creationId xmlns:a16="http://schemas.microsoft.com/office/drawing/2014/main" id="{49D9F1B9-6A73-4933-9CCE-736DE28432F6}"/>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42875" y="847725"/>
          <a:ext cx="1212849" cy="1078579"/>
        </a:xfrm>
        <a:prstGeom prst="rect">
          <a:avLst/>
        </a:prstGeom>
      </xdr:spPr>
    </xdr:pic>
    <xdr:clientData/>
  </xdr:twoCellAnchor>
  <xdr:twoCellAnchor editAs="oneCell">
    <xdr:from>
      <xdr:col>2</xdr:col>
      <xdr:colOff>247650</xdr:colOff>
      <xdr:row>1</xdr:row>
      <xdr:rowOff>47625</xdr:rowOff>
    </xdr:from>
    <xdr:to>
      <xdr:col>2</xdr:col>
      <xdr:colOff>1394461</xdr:colOff>
      <xdr:row>3</xdr:row>
      <xdr:rowOff>312934</xdr:rowOff>
    </xdr:to>
    <xdr:pic>
      <xdr:nvPicPr>
        <xdr:cNvPr id="7" name="Imagen 6">
          <a:extLst>
            <a:ext uri="{FF2B5EF4-FFF2-40B4-BE49-F238E27FC236}">
              <a16:creationId xmlns:a16="http://schemas.microsoft.com/office/drawing/2014/main" id="{E1400B9A-B476-42EB-9129-75B8CB847BAF}"/>
            </a:ext>
          </a:extLst>
        </xdr:cNvPr>
        <xdr:cNvPicPr>
          <a:picLocks noChangeAspect="1"/>
        </xdr:cNvPicPr>
      </xdr:nvPicPr>
      <xdr:blipFill>
        <a:blip xmlns:r="http://schemas.openxmlformats.org/officeDocument/2006/relationships" r:embed="rId6"/>
        <a:stretch>
          <a:fillRect/>
        </a:stretch>
      </xdr:blipFill>
      <xdr:spPr>
        <a:xfrm>
          <a:off x="1676400" y="819150"/>
          <a:ext cx="1146811" cy="1160659"/>
        </a:xfrm>
        <a:prstGeom prst="rect">
          <a:avLst/>
        </a:prstGeom>
      </xdr:spPr>
    </xdr:pic>
    <xdr:clientData/>
  </xdr:twoCellAnchor>
</xdr:wsDr>
</file>

<file path=xl/drawings/drawing53.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FC4F8130-E724-4449-8107-EBA888A962F5}"/>
            </a:ext>
          </a:extLst>
        </xdr:cNvPr>
        <xdr:cNvSpPr/>
      </xdr:nvSpPr>
      <xdr:spPr>
        <a:xfrm>
          <a:off x="265872" y="82909"/>
          <a:ext cx="1209672" cy="392255"/>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957A13EA-DB72-4EAD-B9E9-EF92618D36D0}"/>
            </a:ext>
          </a:extLst>
        </xdr:cNvPr>
        <xdr:cNvSpPr/>
      </xdr:nvSpPr>
      <xdr:spPr>
        <a:xfrm>
          <a:off x="1753924" y="72721"/>
          <a:ext cx="1530057" cy="40143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A107FECD-0308-4DD9-ADC0-F8FA449E9FA5}"/>
            </a:ext>
          </a:extLst>
        </xdr:cNvPr>
        <xdr:cNvSpPr/>
      </xdr:nvSpPr>
      <xdr:spPr>
        <a:xfrm>
          <a:off x="3374003" y="72721"/>
          <a:ext cx="1341972" cy="40143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7C69DB72-4D3A-4B32-9B52-E4DDA1F86B04}"/>
            </a:ext>
          </a:extLst>
        </xdr:cNvPr>
        <xdr:cNvSpPr/>
      </xdr:nvSpPr>
      <xdr:spPr>
        <a:xfrm>
          <a:off x="5135050" y="82909"/>
          <a:ext cx="1286655" cy="392255"/>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142875</xdr:colOff>
      <xdr:row>1</xdr:row>
      <xdr:rowOff>76200</xdr:rowOff>
    </xdr:from>
    <xdr:to>
      <xdr:col>1</xdr:col>
      <xdr:colOff>746124</xdr:colOff>
      <xdr:row>3</xdr:row>
      <xdr:rowOff>259429</xdr:rowOff>
    </xdr:to>
    <xdr:pic>
      <xdr:nvPicPr>
        <xdr:cNvPr id="6" name="Imagen 5">
          <a:extLst>
            <a:ext uri="{FF2B5EF4-FFF2-40B4-BE49-F238E27FC236}">
              <a16:creationId xmlns:a16="http://schemas.microsoft.com/office/drawing/2014/main" id="{EE7869A4-4F5B-46E8-B9AA-A7EBB8D3B64A}"/>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42875" y="847725"/>
          <a:ext cx="1212849" cy="1078579"/>
        </a:xfrm>
        <a:prstGeom prst="rect">
          <a:avLst/>
        </a:prstGeom>
      </xdr:spPr>
    </xdr:pic>
    <xdr:clientData/>
  </xdr:twoCellAnchor>
  <xdr:twoCellAnchor editAs="oneCell">
    <xdr:from>
      <xdr:col>2</xdr:col>
      <xdr:colOff>247650</xdr:colOff>
      <xdr:row>1</xdr:row>
      <xdr:rowOff>47625</xdr:rowOff>
    </xdr:from>
    <xdr:to>
      <xdr:col>2</xdr:col>
      <xdr:colOff>1394461</xdr:colOff>
      <xdr:row>3</xdr:row>
      <xdr:rowOff>312934</xdr:rowOff>
    </xdr:to>
    <xdr:pic>
      <xdr:nvPicPr>
        <xdr:cNvPr id="7" name="Imagen 6">
          <a:extLst>
            <a:ext uri="{FF2B5EF4-FFF2-40B4-BE49-F238E27FC236}">
              <a16:creationId xmlns:a16="http://schemas.microsoft.com/office/drawing/2014/main" id="{10009006-095C-4537-A90D-ED1735521B61}"/>
            </a:ext>
          </a:extLst>
        </xdr:cNvPr>
        <xdr:cNvPicPr>
          <a:picLocks noChangeAspect="1"/>
        </xdr:cNvPicPr>
      </xdr:nvPicPr>
      <xdr:blipFill>
        <a:blip xmlns:r="http://schemas.openxmlformats.org/officeDocument/2006/relationships" r:embed="rId6"/>
        <a:stretch>
          <a:fillRect/>
        </a:stretch>
      </xdr:blipFill>
      <xdr:spPr>
        <a:xfrm>
          <a:off x="1676400" y="819150"/>
          <a:ext cx="1146811" cy="1160659"/>
        </a:xfrm>
        <a:prstGeom prst="rect">
          <a:avLst/>
        </a:prstGeom>
      </xdr:spPr>
    </xdr:pic>
    <xdr:clientData/>
  </xdr:twoCellAnchor>
</xdr:wsDr>
</file>

<file path=xl/drawings/drawing54.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DF527BEF-883D-4BCA-AB22-8FD35829E223}"/>
            </a:ext>
          </a:extLst>
        </xdr:cNvPr>
        <xdr:cNvSpPr/>
      </xdr:nvSpPr>
      <xdr:spPr>
        <a:xfrm>
          <a:off x="265872" y="82909"/>
          <a:ext cx="1209672" cy="392255"/>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9C0027F0-7806-4150-9D2A-6ABFD447C579}"/>
            </a:ext>
          </a:extLst>
        </xdr:cNvPr>
        <xdr:cNvSpPr/>
      </xdr:nvSpPr>
      <xdr:spPr>
        <a:xfrm>
          <a:off x="1753924" y="72721"/>
          <a:ext cx="1530057" cy="40143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F6CE68BB-2B40-4649-A1EE-113BF608F301}"/>
            </a:ext>
          </a:extLst>
        </xdr:cNvPr>
        <xdr:cNvSpPr/>
      </xdr:nvSpPr>
      <xdr:spPr>
        <a:xfrm>
          <a:off x="3374003" y="72721"/>
          <a:ext cx="1341972" cy="40143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54475D33-720C-48F7-B2D6-02388444DEC7}"/>
            </a:ext>
          </a:extLst>
        </xdr:cNvPr>
        <xdr:cNvSpPr/>
      </xdr:nvSpPr>
      <xdr:spPr>
        <a:xfrm>
          <a:off x="5135050" y="82909"/>
          <a:ext cx="1286655" cy="392255"/>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152400</xdr:colOff>
      <xdr:row>1</xdr:row>
      <xdr:rowOff>95251</xdr:rowOff>
    </xdr:from>
    <xdr:to>
      <xdr:col>1</xdr:col>
      <xdr:colOff>755649</xdr:colOff>
      <xdr:row>3</xdr:row>
      <xdr:rowOff>278480</xdr:rowOff>
    </xdr:to>
    <xdr:pic>
      <xdr:nvPicPr>
        <xdr:cNvPr id="6" name="Imagen 5">
          <a:extLst>
            <a:ext uri="{FF2B5EF4-FFF2-40B4-BE49-F238E27FC236}">
              <a16:creationId xmlns:a16="http://schemas.microsoft.com/office/drawing/2014/main" id="{5209B1FF-2A28-4076-B693-FC3C1453977D}"/>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52400" y="866776"/>
          <a:ext cx="1212849" cy="1078579"/>
        </a:xfrm>
        <a:prstGeom prst="rect">
          <a:avLst/>
        </a:prstGeom>
      </xdr:spPr>
    </xdr:pic>
    <xdr:clientData/>
  </xdr:twoCellAnchor>
  <xdr:twoCellAnchor editAs="oneCell">
    <xdr:from>
      <xdr:col>2</xdr:col>
      <xdr:colOff>209548</xdr:colOff>
      <xdr:row>1</xdr:row>
      <xdr:rowOff>47625</xdr:rowOff>
    </xdr:from>
    <xdr:to>
      <xdr:col>2</xdr:col>
      <xdr:colOff>1356359</xdr:colOff>
      <xdr:row>3</xdr:row>
      <xdr:rowOff>312934</xdr:rowOff>
    </xdr:to>
    <xdr:pic>
      <xdr:nvPicPr>
        <xdr:cNvPr id="7" name="Imagen 6">
          <a:extLst>
            <a:ext uri="{FF2B5EF4-FFF2-40B4-BE49-F238E27FC236}">
              <a16:creationId xmlns:a16="http://schemas.microsoft.com/office/drawing/2014/main" id="{A6CF7D08-0129-4A7D-9BD8-58B55AB41AF3}"/>
            </a:ext>
          </a:extLst>
        </xdr:cNvPr>
        <xdr:cNvPicPr>
          <a:picLocks noChangeAspect="1"/>
        </xdr:cNvPicPr>
      </xdr:nvPicPr>
      <xdr:blipFill>
        <a:blip xmlns:r="http://schemas.openxmlformats.org/officeDocument/2006/relationships" r:embed="rId6"/>
        <a:stretch>
          <a:fillRect/>
        </a:stretch>
      </xdr:blipFill>
      <xdr:spPr>
        <a:xfrm>
          <a:off x="1638298" y="819150"/>
          <a:ext cx="1146811" cy="1160659"/>
        </a:xfrm>
        <a:prstGeom prst="rect">
          <a:avLst/>
        </a:prstGeom>
      </xdr:spPr>
    </xdr:pic>
    <xdr:clientData/>
  </xdr:twoCellAnchor>
</xdr:wsDr>
</file>

<file path=xl/drawings/drawing55.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7F6F006A-5D25-49B6-B979-B34628BF57D4}"/>
            </a:ext>
          </a:extLst>
        </xdr:cNvPr>
        <xdr:cNvSpPr/>
      </xdr:nvSpPr>
      <xdr:spPr>
        <a:xfrm>
          <a:off x="265872" y="82909"/>
          <a:ext cx="1209672" cy="392255"/>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91F20B47-9A04-45D5-9829-C018F1A28004}"/>
            </a:ext>
          </a:extLst>
        </xdr:cNvPr>
        <xdr:cNvSpPr/>
      </xdr:nvSpPr>
      <xdr:spPr>
        <a:xfrm>
          <a:off x="1753924" y="72721"/>
          <a:ext cx="1530057" cy="40143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B138973F-2378-479E-9A88-E89BBB78CC9E}"/>
            </a:ext>
          </a:extLst>
        </xdr:cNvPr>
        <xdr:cNvSpPr/>
      </xdr:nvSpPr>
      <xdr:spPr>
        <a:xfrm>
          <a:off x="3374003" y="72721"/>
          <a:ext cx="1341972" cy="40143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5961F964-9DED-4BD3-A4C6-B9A978035241}"/>
            </a:ext>
          </a:extLst>
        </xdr:cNvPr>
        <xdr:cNvSpPr/>
      </xdr:nvSpPr>
      <xdr:spPr>
        <a:xfrm>
          <a:off x="5135050" y="82909"/>
          <a:ext cx="1286655" cy="392255"/>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133350</xdr:colOff>
      <xdr:row>1</xdr:row>
      <xdr:rowOff>95250</xdr:rowOff>
    </xdr:from>
    <xdr:to>
      <xdr:col>1</xdr:col>
      <xdr:colOff>736599</xdr:colOff>
      <xdr:row>3</xdr:row>
      <xdr:rowOff>278479</xdr:rowOff>
    </xdr:to>
    <xdr:pic>
      <xdr:nvPicPr>
        <xdr:cNvPr id="6" name="Imagen 5">
          <a:extLst>
            <a:ext uri="{FF2B5EF4-FFF2-40B4-BE49-F238E27FC236}">
              <a16:creationId xmlns:a16="http://schemas.microsoft.com/office/drawing/2014/main" id="{CBCB9F6E-E74A-4A39-B880-D03A3EF17FCD}"/>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33350" y="866775"/>
          <a:ext cx="1212849" cy="1078579"/>
        </a:xfrm>
        <a:prstGeom prst="rect">
          <a:avLst/>
        </a:prstGeom>
      </xdr:spPr>
    </xdr:pic>
    <xdr:clientData/>
  </xdr:twoCellAnchor>
  <xdr:twoCellAnchor editAs="oneCell">
    <xdr:from>
      <xdr:col>2</xdr:col>
      <xdr:colOff>247650</xdr:colOff>
      <xdr:row>1</xdr:row>
      <xdr:rowOff>76200</xdr:rowOff>
    </xdr:from>
    <xdr:to>
      <xdr:col>2</xdr:col>
      <xdr:colOff>1394461</xdr:colOff>
      <xdr:row>3</xdr:row>
      <xdr:rowOff>341509</xdr:rowOff>
    </xdr:to>
    <xdr:pic>
      <xdr:nvPicPr>
        <xdr:cNvPr id="7" name="Imagen 6">
          <a:extLst>
            <a:ext uri="{FF2B5EF4-FFF2-40B4-BE49-F238E27FC236}">
              <a16:creationId xmlns:a16="http://schemas.microsoft.com/office/drawing/2014/main" id="{8F88B807-3D0D-4FEF-9919-312290DF092E}"/>
            </a:ext>
          </a:extLst>
        </xdr:cNvPr>
        <xdr:cNvPicPr>
          <a:picLocks noChangeAspect="1"/>
        </xdr:cNvPicPr>
      </xdr:nvPicPr>
      <xdr:blipFill>
        <a:blip xmlns:r="http://schemas.openxmlformats.org/officeDocument/2006/relationships" r:embed="rId6"/>
        <a:stretch>
          <a:fillRect/>
        </a:stretch>
      </xdr:blipFill>
      <xdr:spPr>
        <a:xfrm>
          <a:off x="1676400" y="847725"/>
          <a:ext cx="1146811" cy="1160659"/>
        </a:xfrm>
        <a:prstGeom prst="rect">
          <a:avLst/>
        </a:prstGeom>
      </xdr:spPr>
    </xdr:pic>
    <xdr:clientData/>
  </xdr:twoCellAnchor>
</xdr:wsDr>
</file>

<file path=xl/drawings/drawing56.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FFE4C738-7FB9-450D-97D0-3D54367E0CF6}"/>
            </a:ext>
          </a:extLst>
        </xdr:cNvPr>
        <xdr:cNvSpPr/>
      </xdr:nvSpPr>
      <xdr:spPr>
        <a:xfrm>
          <a:off x="265872" y="82909"/>
          <a:ext cx="1209672" cy="392255"/>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238001F8-3B6B-4D8F-A29C-15777EE81784}"/>
            </a:ext>
          </a:extLst>
        </xdr:cNvPr>
        <xdr:cNvSpPr/>
      </xdr:nvSpPr>
      <xdr:spPr>
        <a:xfrm>
          <a:off x="1753924" y="72721"/>
          <a:ext cx="1530057" cy="40143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5AA213B7-6E02-4A6C-BC63-6D446FF5F3B1}"/>
            </a:ext>
          </a:extLst>
        </xdr:cNvPr>
        <xdr:cNvSpPr/>
      </xdr:nvSpPr>
      <xdr:spPr>
        <a:xfrm>
          <a:off x="3374003" y="72721"/>
          <a:ext cx="1341972" cy="40143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45BFF014-430F-419A-AFB2-AB4CA1F927CE}"/>
            </a:ext>
          </a:extLst>
        </xdr:cNvPr>
        <xdr:cNvSpPr/>
      </xdr:nvSpPr>
      <xdr:spPr>
        <a:xfrm>
          <a:off x="5135050" y="82909"/>
          <a:ext cx="1286655" cy="392255"/>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142875</xdr:colOff>
      <xdr:row>1</xdr:row>
      <xdr:rowOff>76200</xdr:rowOff>
    </xdr:from>
    <xdr:to>
      <xdr:col>1</xdr:col>
      <xdr:colOff>746124</xdr:colOff>
      <xdr:row>3</xdr:row>
      <xdr:rowOff>259429</xdr:rowOff>
    </xdr:to>
    <xdr:pic>
      <xdr:nvPicPr>
        <xdr:cNvPr id="6" name="Imagen 5">
          <a:extLst>
            <a:ext uri="{FF2B5EF4-FFF2-40B4-BE49-F238E27FC236}">
              <a16:creationId xmlns:a16="http://schemas.microsoft.com/office/drawing/2014/main" id="{819C2C91-3EA5-4811-889B-F35825A8DAF5}"/>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42875" y="847725"/>
          <a:ext cx="1212849" cy="1078579"/>
        </a:xfrm>
        <a:prstGeom prst="rect">
          <a:avLst/>
        </a:prstGeom>
      </xdr:spPr>
    </xdr:pic>
    <xdr:clientData/>
  </xdr:twoCellAnchor>
  <xdr:twoCellAnchor editAs="oneCell">
    <xdr:from>
      <xdr:col>2</xdr:col>
      <xdr:colOff>247650</xdr:colOff>
      <xdr:row>1</xdr:row>
      <xdr:rowOff>47625</xdr:rowOff>
    </xdr:from>
    <xdr:to>
      <xdr:col>2</xdr:col>
      <xdr:colOff>1394461</xdr:colOff>
      <xdr:row>3</xdr:row>
      <xdr:rowOff>312934</xdr:rowOff>
    </xdr:to>
    <xdr:pic>
      <xdr:nvPicPr>
        <xdr:cNvPr id="7" name="Imagen 6">
          <a:extLst>
            <a:ext uri="{FF2B5EF4-FFF2-40B4-BE49-F238E27FC236}">
              <a16:creationId xmlns:a16="http://schemas.microsoft.com/office/drawing/2014/main" id="{0502AED6-4D66-47BA-94A0-203209A89C17}"/>
            </a:ext>
          </a:extLst>
        </xdr:cNvPr>
        <xdr:cNvPicPr>
          <a:picLocks noChangeAspect="1"/>
        </xdr:cNvPicPr>
      </xdr:nvPicPr>
      <xdr:blipFill>
        <a:blip xmlns:r="http://schemas.openxmlformats.org/officeDocument/2006/relationships" r:embed="rId6"/>
        <a:stretch>
          <a:fillRect/>
        </a:stretch>
      </xdr:blipFill>
      <xdr:spPr>
        <a:xfrm>
          <a:off x="1676400" y="819150"/>
          <a:ext cx="1146811" cy="1160659"/>
        </a:xfrm>
        <a:prstGeom prst="rect">
          <a:avLst/>
        </a:prstGeom>
      </xdr:spPr>
    </xdr:pic>
    <xdr:clientData/>
  </xdr:twoCellAnchor>
</xdr:wsDr>
</file>

<file path=xl/drawings/drawing57.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5B4F4F65-9710-41ED-BE12-3AC2ABCCD8BB}"/>
            </a:ext>
          </a:extLst>
        </xdr:cNvPr>
        <xdr:cNvSpPr/>
      </xdr:nvSpPr>
      <xdr:spPr>
        <a:xfrm>
          <a:off x="265872" y="82909"/>
          <a:ext cx="1209672" cy="392255"/>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CB70FED5-D2DA-4C6B-BDBC-717ED9018034}"/>
            </a:ext>
          </a:extLst>
        </xdr:cNvPr>
        <xdr:cNvSpPr/>
      </xdr:nvSpPr>
      <xdr:spPr>
        <a:xfrm>
          <a:off x="1753924" y="72721"/>
          <a:ext cx="1530057" cy="40143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33305BE1-ED12-45BC-A35D-DAF6260A8A25}"/>
            </a:ext>
          </a:extLst>
        </xdr:cNvPr>
        <xdr:cNvSpPr/>
      </xdr:nvSpPr>
      <xdr:spPr>
        <a:xfrm>
          <a:off x="3374003" y="72721"/>
          <a:ext cx="1341972" cy="40143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51FE602C-3915-42D4-9CE8-0018CBCA2E8D}"/>
            </a:ext>
          </a:extLst>
        </xdr:cNvPr>
        <xdr:cNvSpPr/>
      </xdr:nvSpPr>
      <xdr:spPr>
        <a:xfrm>
          <a:off x="5135050" y="82909"/>
          <a:ext cx="1286655" cy="392255"/>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142875</xdr:colOff>
      <xdr:row>1</xdr:row>
      <xdr:rowOff>76200</xdr:rowOff>
    </xdr:from>
    <xdr:to>
      <xdr:col>1</xdr:col>
      <xdr:colOff>746124</xdr:colOff>
      <xdr:row>3</xdr:row>
      <xdr:rowOff>259429</xdr:rowOff>
    </xdr:to>
    <xdr:pic>
      <xdr:nvPicPr>
        <xdr:cNvPr id="6" name="Imagen 5">
          <a:extLst>
            <a:ext uri="{FF2B5EF4-FFF2-40B4-BE49-F238E27FC236}">
              <a16:creationId xmlns:a16="http://schemas.microsoft.com/office/drawing/2014/main" id="{0684094E-7B39-41A7-B606-86CB1F0B21E5}"/>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42875" y="847725"/>
          <a:ext cx="1212849" cy="1078579"/>
        </a:xfrm>
        <a:prstGeom prst="rect">
          <a:avLst/>
        </a:prstGeom>
      </xdr:spPr>
    </xdr:pic>
    <xdr:clientData/>
  </xdr:twoCellAnchor>
  <xdr:twoCellAnchor editAs="oneCell">
    <xdr:from>
      <xdr:col>2</xdr:col>
      <xdr:colOff>247650</xdr:colOff>
      <xdr:row>1</xdr:row>
      <xdr:rowOff>47625</xdr:rowOff>
    </xdr:from>
    <xdr:to>
      <xdr:col>2</xdr:col>
      <xdr:colOff>1394461</xdr:colOff>
      <xdr:row>3</xdr:row>
      <xdr:rowOff>312934</xdr:rowOff>
    </xdr:to>
    <xdr:pic>
      <xdr:nvPicPr>
        <xdr:cNvPr id="7" name="Imagen 6">
          <a:extLst>
            <a:ext uri="{FF2B5EF4-FFF2-40B4-BE49-F238E27FC236}">
              <a16:creationId xmlns:a16="http://schemas.microsoft.com/office/drawing/2014/main" id="{F4C20957-69C2-4401-A4EF-5A3209456E44}"/>
            </a:ext>
          </a:extLst>
        </xdr:cNvPr>
        <xdr:cNvPicPr>
          <a:picLocks noChangeAspect="1"/>
        </xdr:cNvPicPr>
      </xdr:nvPicPr>
      <xdr:blipFill>
        <a:blip xmlns:r="http://schemas.openxmlformats.org/officeDocument/2006/relationships" r:embed="rId6"/>
        <a:stretch>
          <a:fillRect/>
        </a:stretch>
      </xdr:blipFill>
      <xdr:spPr>
        <a:xfrm>
          <a:off x="1676400" y="819150"/>
          <a:ext cx="1146811" cy="1160659"/>
        </a:xfrm>
        <a:prstGeom prst="rect">
          <a:avLst/>
        </a:prstGeom>
      </xdr:spPr>
    </xdr:pic>
    <xdr:clientData/>
  </xdr:twoCellAnchor>
</xdr:wsDr>
</file>

<file path=xl/drawings/drawing58.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78CABD33-D963-4742-AA53-1C70D92E4C83}"/>
            </a:ext>
          </a:extLst>
        </xdr:cNvPr>
        <xdr:cNvSpPr/>
      </xdr:nvSpPr>
      <xdr:spPr>
        <a:xfrm>
          <a:off x="265872" y="82909"/>
          <a:ext cx="1209672" cy="392255"/>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60C81AE8-D488-4394-96DD-09EBCB23643C}"/>
            </a:ext>
          </a:extLst>
        </xdr:cNvPr>
        <xdr:cNvSpPr/>
      </xdr:nvSpPr>
      <xdr:spPr>
        <a:xfrm>
          <a:off x="1753924" y="72721"/>
          <a:ext cx="1530057" cy="40143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EDBF0EFA-B47B-4698-B181-D5A404217A8E}"/>
            </a:ext>
          </a:extLst>
        </xdr:cNvPr>
        <xdr:cNvSpPr/>
      </xdr:nvSpPr>
      <xdr:spPr>
        <a:xfrm>
          <a:off x="3374003" y="72721"/>
          <a:ext cx="1341972" cy="40143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C4011D69-A3F3-499C-BCF9-96071DEF9E7C}"/>
            </a:ext>
          </a:extLst>
        </xdr:cNvPr>
        <xdr:cNvSpPr/>
      </xdr:nvSpPr>
      <xdr:spPr>
        <a:xfrm>
          <a:off x="5135050" y="82909"/>
          <a:ext cx="1286655" cy="392255"/>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142875</xdr:colOff>
      <xdr:row>1</xdr:row>
      <xdr:rowOff>76200</xdr:rowOff>
    </xdr:from>
    <xdr:to>
      <xdr:col>1</xdr:col>
      <xdr:colOff>746124</xdr:colOff>
      <xdr:row>3</xdr:row>
      <xdr:rowOff>259429</xdr:rowOff>
    </xdr:to>
    <xdr:pic>
      <xdr:nvPicPr>
        <xdr:cNvPr id="6" name="Imagen 5">
          <a:extLst>
            <a:ext uri="{FF2B5EF4-FFF2-40B4-BE49-F238E27FC236}">
              <a16:creationId xmlns:a16="http://schemas.microsoft.com/office/drawing/2014/main" id="{45DAF421-AC91-4541-8165-52A3C9A0F792}"/>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42875" y="847725"/>
          <a:ext cx="1212849" cy="1078579"/>
        </a:xfrm>
        <a:prstGeom prst="rect">
          <a:avLst/>
        </a:prstGeom>
      </xdr:spPr>
    </xdr:pic>
    <xdr:clientData/>
  </xdr:twoCellAnchor>
  <xdr:twoCellAnchor editAs="oneCell">
    <xdr:from>
      <xdr:col>2</xdr:col>
      <xdr:colOff>247650</xdr:colOff>
      <xdr:row>1</xdr:row>
      <xdr:rowOff>47625</xdr:rowOff>
    </xdr:from>
    <xdr:to>
      <xdr:col>2</xdr:col>
      <xdr:colOff>1394461</xdr:colOff>
      <xdr:row>3</xdr:row>
      <xdr:rowOff>312934</xdr:rowOff>
    </xdr:to>
    <xdr:pic>
      <xdr:nvPicPr>
        <xdr:cNvPr id="7" name="Imagen 6">
          <a:extLst>
            <a:ext uri="{FF2B5EF4-FFF2-40B4-BE49-F238E27FC236}">
              <a16:creationId xmlns:a16="http://schemas.microsoft.com/office/drawing/2014/main" id="{7EE46219-E31D-424F-A62B-C3A37E50E232}"/>
            </a:ext>
          </a:extLst>
        </xdr:cNvPr>
        <xdr:cNvPicPr>
          <a:picLocks noChangeAspect="1"/>
        </xdr:cNvPicPr>
      </xdr:nvPicPr>
      <xdr:blipFill>
        <a:blip xmlns:r="http://schemas.openxmlformats.org/officeDocument/2006/relationships" r:embed="rId6"/>
        <a:stretch>
          <a:fillRect/>
        </a:stretch>
      </xdr:blipFill>
      <xdr:spPr>
        <a:xfrm>
          <a:off x="1676400" y="819150"/>
          <a:ext cx="1146811" cy="1160659"/>
        </a:xfrm>
        <a:prstGeom prst="rect">
          <a:avLst/>
        </a:prstGeom>
      </xdr:spPr>
    </xdr:pic>
    <xdr:clientData/>
  </xdr:twoCellAnchor>
</xdr:wsDr>
</file>

<file path=xl/drawings/drawing59.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BA4D8160-5DAF-4392-9DFE-682A1D2D8C98}"/>
            </a:ext>
          </a:extLst>
        </xdr:cNvPr>
        <xdr:cNvSpPr/>
      </xdr:nvSpPr>
      <xdr:spPr>
        <a:xfrm>
          <a:off x="265872" y="82909"/>
          <a:ext cx="1209672" cy="392255"/>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03D32F46-B8ED-4D58-9F5B-88E91D0B2267}"/>
            </a:ext>
          </a:extLst>
        </xdr:cNvPr>
        <xdr:cNvSpPr/>
      </xdr:nvSpPr>
      <xdr:spPr>
        <a:xfrm>
          <a:off x="1753924" y="72721"/>
          <a:ext cx="1530057" cy="40143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CD18BBFD-E931-4B1C-9981-3DF388CB8AA6}"/>
            </a:ext>
          </a:extLst>
        </xdr:cNvPr>
        <xdr:cNvSpPr/>
      </xdr:nvSpPr>
      <xdr:spPr>
        <a:xfrm>
          <a:off x="3374003" y="72721"/>
          <a:ext cx="1341972" cy="40143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C7E5A249-34E3-4AA5-89C5-270CF37E9616}"/>
            </a:ext>
          </a:extLst>
        </xdr:cNvPr>
        <xdr:cNvSpPr/>
      </xdr:nvSpPr>
      <xdr:spPr>
        <a:xfrm>
          <a:off x="5135050" y="82909"/>
          <a:ext cx="1286655" cy="392255"/>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142875</xdr:colOff>
      <xdr:row>1</xdr:row>
      <xdr:rowOff>76200</xdr:rowOff>
    </xdr:from>
    <xdr:to>
      <xdr:col>1</xdr:col>
      <xdr:colOff>746124</xdr:colOff>
      <xdr:row>3</xdr:row>
      <xdr:rowOff>259429</xdr:rowOff>
    </xdr:to>
    <xdr:pic>
      <xdr:nvPicPr>
        <xdr:cNvPr id="6" name="Imagen 5">
          <a:extLst>
            <a:ext uri="{FF2B5EF4-FFF2-40B4-BE49-F238E27FC236}">
              <a16:creationId xmlns:a16="http://schemas.microsoft.com/office/drawing/2014/main" id="{30C9D5E6-03C0-474D-B6A0-9DFC6BBDD80F}"/>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42875" y="847725"/>
          <a:ext cx="1212849" cy="1078579"/>
        </a:xfrm>
        <a:prstGeom prst="rect">
          <a:avLst/>
        </a:prstGeom>
      </xdr:spPr>
    </xdr:pic>
    <xdr:clientData/>
  </xdr:twoCellAnchor>
  <xdr:twoCellAnchor editAs="oneCell">
    <xdr:from>
      <xdr:col>2</xdr:col>
      <xdr:colOff>247650</xdr:colOff>
      <xdr:row>1</xdr:row>
      <xdr:rowOff>47625</xdr:rowOff>
    </xdr:from>
    <xdr:to>
      <xdr:col>2</xdr:col>
      <xdr:colOff>1394461</xdr:colOff>
      <xdr:row>3</xdr:row>
      <xdr:rowOff>312934</xdr:rowOff>
    </xdr:to>
    <xdr:pic>
      <xdr:nvPicPr>
        <xdr:cNvPr id="7" name="Imagen 6">
          <a:extLst>
            <a:ext uri="{FF2B5EF4-FFF2-40B4-BE49-F238E27FC236}">
              <a16:creationId xmlns:a16="http://schemas.microsoft.com/office/drawing/2014/main" id="{9D679425-7FF6-4448-9AC1-1C8A5165D880}"/>
            </a:ext>
          </a:extLst>
        </xdr:cNvPr>
        <xdr:cNvPicPr>
          <a:picLocks noChangeAspect="1"/>
        </xdr:cNvPicPr>
      </xdr:nvPicPr>
      <xdr:blipFill>
        <a:blip xmlns:r="http://schemas.openxmlformats.org/officeDocument/2006/relationships" r:embed="rId6"/>
        <a:stretch>
          <a:fillRect/>
        </a:stretch>
      </xdr:blipFill>
      <xdr:spPr>
        <a:xfrm>
          <a:off x="1676400" y="819150"/>
          <a:ext cx="1146811" cy="1160659"/>
        </a:xfrm>
        <a:prstGeom prst="rect">
          <a:avLst/>
        </a:prstGeom>
      </xdr:spPr>
    </xdr:pic>
    <xdr:clientData/>
  </xdr:twoCellAnchor>
</xdr:wsDr>
</file>

<file path=xl/drawings/drawing60.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213F4440-BAA1-4C6B-9829-09F4CA7C373E}"/>
            </a:ext>
          </a:extLst>
        </xdr:cNvPr>
        <xdr:cNvSpPr/>
      </xdr:nvSpPr>
      <xdr:spPr>
        <a:xfrm>
          <a:off x="265872" y="82909"/>
          <a:ext cx="1209672" cy="392255"/>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CAC143B9-59F0-4456-95E7-70A88F442482}"/>
            </a:ext>
          </a:extLst>
        </xdr:cNvPr>
        <xdr:cNvSpPr/>
      </xdr:nvSpPr>
      <xdr:spPr>
        <a:xfrm>
          <a:off x="1753924" y="72721"/>
          <a:ext cx="1530057" cy="40143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1D48D640-81F3-4D60-BC92-DD05BF32027D}"/>
            </a:ext>
          </a:extLst>
        </xdr:cNvPr>
        <xdr:cNvSpPr/>
      </xdr:nvSpPr>
      <xdr:spPr>
        <a:xfrm>
          <a:off x="3374003" y="72721"/>
          <a:ext cx="1341972" cy="40143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C09462A9-08FC-43B1-92BB-4695E61F1FDB}"/>
            </a:ext>
          </a:extLst>
        </xdr:cNvPr>
        <xdr:cNvSpPr/>
      </xdr:nvSpPr>
      <xdr:spPr>
        <a:xfrm>
          <a:off x="5135050" y="82909"/>
          <a:ext cx="1286655" cy="392255"/>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142875</xdr:colOff>
      <xdr:row>1</xdr:row>
      <xdr:rowOff>76200</xdr:rowOff>
    </xdr:from>
    <xdr:to>
      <xdr:col>1</xdr:col>
      <xdr:colOff>746124</xdr:colOff>
      <xdr:row>3</xdr:row>
      <xdr:rowOff>259429</xdr:rowOff>
    </xdr:to>
    <xdr:pic>
      <xdr:nvPicPr>
        <xdr:cNvPr id="6" name="Imagen 5">
          <a:extLst>
            <a:ext uri="{FF2B5EF4-FFF2-40B4-BE49-F238E27FC236}">
              <a16:creationId xmlns:a16="http://schemas.microsoft.com/office/drawing/2014/main" id="{60660E2A-C9E4-4240-9782-EF90C99744E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42875" y="847725"/>
          <a:ext cx="1212849" cy="1078579"/>
        </a:xfrm>
        <a:prstGeom prst="rect">
          <a:avLst/>
        </a:prstGeom>
      </xdr:spPr>
    </xdr:pic>
    <xdr:clientData/>
  </xdr:twoCellAnchor>
  <xdr:twoCellAnchor editAs="oneCell">
    <xdr:from>
      <xdr:col>2</xdr:col>
      <xdr:colOff>247650</xdr:colOff>
      <xdr:row>1</xdr:row>
      <xdr:rowOff>47625</xdr:rowOff>
    </xdr:from>
    <xdr:to>
      <xdr:col>2</xdr:col>
      <xdr:colOff>1394461</xdr:colOff>
      <xdr:row>3</xdr:row>
      <xdr:rowOff>312934</xdr:rowOff>
    </xdr:to>
    <xdr:pic>
      <xdr:nvPicPr>
        <xdr:cNvPr id="7" name="Imagen 6">
          <a:extLst>
            <a:ext uri="{FF2B5EF4-FFF2-40B4-BE49-F238E27FC236}">
              <a16:creationId xmlns:a16="http://schemas.microsoft.com/office/drawing/2014/main" id="{160D0F1E-52C5-471C-A5BE-B53492FA53D8}"/>
            </a:ext>
          </a:extLst>
        </xdr:cNvPr>
        <xdr:cNvPicPr>
          <a:picLocks noChangeAspect="1"/>
        </xdr:cNvPicPr>
      </xdr:nvPicPr>
      <xdr:blipFill>
        <a:blip xmlns:r="http://schemas.openxmlformats.org/officeDocument/2006/relationships" r:embed="rId6"/>
        <a:stretch>
          <a:fillRect/>
        </a:stretch>
      </xdr:blipFill>
      <xdr:spPr>
        <a:xfrm>
          <a:off x="1676400" y="819150"/>
          <a:ext cx="1146811" cy="1160659"/>
        </a:xfrm>
        <a:prstGeom prst="rect">
          <a:avLst/>
        </a:prstGeom>
      </xdr:spPr>
    </xdr:pic>
    <xdr:clientData/>
  </xdr:twoCellAnchor>
</xdr:wsDr>
</file>

<file path=xl/drawings/drawing61.xml><?xml version="1.0" encoding="utf-8"?>
<xdr:wsDr xmlns:xdr="http://schemas.openxmlformats.org/drawingml/2006/spreadsheetDrawing" xmlns:a="http://schemas.openxmlformats.org/drawingml/2006/main">
  <xdr:twoCellAnchor>
    <xdr:from>
      <xdr:col>0</xdr:col>
      <xdr:colOff>498282</xdr:colOff>
      <xdr:row>0</xdr:row>
      <xdr:rowOff>155299</xdr:rowOff>
    </xdr:from>
    <xdr:to>
      <xdr:col>2</xdr:col>
      <xdr:colOff>100576</xdr:colOff>
      <xdr:row>1</xdr:row>
      <xdr:rowOff>7053</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0E78BE64-11E2-46F3-9F96-AB374DC6CB28}"/>
            </a:ext>
          </a:extLst>
        </xdr:cNvPr>
        <xdr:cNvSpPr/>
      </xdr:nvSpPr>
      <xdr:spPr>
        <a:xfrm>
          <a:off x="498282" y="155299"/>
          <a:ext cx="1031044" cy="470879"/>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633784</xdr:colOff>
      <xdr:row>0</xdr:row>
      <xdr:rowOff>148921</xdr:rowOff>
    </xdr:from>
    <xdr:to>
      <xdr:col>3</xdr:col>
      <xdr:colOff>247132</xdr:colOff>
      <xdr:row>1</xdr:row>
      <xdr:rowOff>5877</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87DC7032-9AD5-4D57-B4FB-12AC1E270935}"/>
            </a:ext>
          </a:extLst>
        </xdr:cNvPr>
        <xdr:cNvSpPr/>
      </xdr:nvSpPr>
      <xdr:spPr>
        <a:xfrm>
          <a:off x="2062534" y="148921"/>
          <a:ext cx="1337373" cy="476081"/>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426968</xdr:colOff>
      <xdr:row>0</xdr:row>
      <xdr:rowOff>148921</xdr:rowOff>
    </xdr:from>
    <xdr:to>
      <xdr:col>4</xdr:col>
      <xdr:colOff>304096</xdr:colOff>
      <xdr:row>1</xdr:row>
      <xdr:rowOff>5877</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B81A7364-4675-4086-A311-D7158ECB9D12}"/>
            </a:ext>
          </a:extLst>
        </xdr:cNvPr>
        <xdr:cNvSpPr/>
      </xdr:nvSpPr>
      <xdr:spPr>
        <a:xfrm>
          <a:off x="3579743" y="148921"/>
          <a:ext cx="1277303" cy="476081"/>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890710</xdr:colOff>
      <xdr:row>0</xdr:row>
      <xdr:rowOff>155299</xdr:rowOff>
    </xdr:from>
    <xdr:to>
      <xdr:col>6</xdr:col>
      <xdr:colOff>426269</xdr:colOff>
      <xdr:row>1</xdr:row>
      <xdr:rowOff>7053</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D5EFACE6-B733-4927-AAD8-1F49BDA42ACA}"/>
            </a:ext>
          </a:extLst>
        </xdr:cNvPr>
        <xdr:cNvSpPr/>
      </xdr:nvSpPr>
      <xdr:spPr>
        <a:xfrm>
          <a:off x="5415085" y="155299"/>
          <a:ext cx="1211959" cy="470879"/>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152401</xdr:colOff>
      <xdr:row>1</xdr:row>
      <xdr:rowOff>57151</xdr:rowOff>
    </xdr:from>
    <xdr:to>
      <xdr:col>1</xdr:col>
      <xdr:colOff>571501</xdr:colOff>
      <xdr:row>3</xdr:row>
      <xdr:rowOff>254384</xdr:rowOff>
    </xdr:to>
    <xdr:pic>
      <xdr:nvPicPr>
        <xdr:cNvPr id="6" name="Imagen 5">
          <a:extLst>
            <a:ext uri="{FF2B5EF4-FFF2-40B4-BE49-F238E27FC236}">
              <a16:creationId xmlns:a16="http://schemas.microsoft.com/office/drawing/2014/main" id="{1711278E-5E84-419C-BC58-4FAE49EB2C52}"/>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52401" y="676276"/>
          <a:ext cx="1028700" cy="921133"/>
        </a:xfrm>
        <a:prstGeom prst="rect">
          <a:avLst/>
        </a:prstGeom>
      </xdr:spPr>
    </xdr:pic>
    <xdr:clientData/>
  </xdr:twoCellAnchor>
  <xdr:twoCellAnchor editAs="oneCell">
    <xdr:from>
      <xdr:col>2</xdr:col>
      <xdr:colOff>209549</xdr:colOff>
      <xdr:row>1</xdr:row>
      <xdr:rowOff>24766</xdr:rowOff>
    </xdr:from>
    <xdr:to>
      <xdr:col>2</xdr:col>
      <xdr:colOff>1172170</xdr:colOff>
      <xdr:row>3</xdr:row>
      <xdr:rowOff>285751</xdr:rowOff>
    </xdr:to>
    <xdr:pic>
      <xdr:nvPicPr>
        <xdr:cNvPr id="7" name="Imagen 6">
          <a:extLst>
            <a:ext uri="{FF2B5EF4-FFF2-40B4-BE49-F238E27FC236}">
              <a16:creationId xmlns:a16="http://schemas.microsoft.com/office/drawing/2014/main" id="{A04BBE2A-D2D5-456F-922F-55AAE70AC7BB}"/>
            </a:ext>
          </a:extLst>
        </xdr:cNvPr>
        <xdr:cNvPicPr>
          <a:picLocks noChangeAspect="1"/>
        </xdr:cNvPicPr>
      </xdr:nvPicPr>
      <xdr:blipFill>
        <a:blip xmlns:r="http://schemas.openxmlformats.org/officeDocument/2006/relationships" r:embed="rId6"/>
        <a:stretch>
          <a:fillRect/>
        </a:stretch>
      </xdr:blipFill>
      <xdr:spPr>
        <a:xfrm>
          <a:off x="1638299" y="643891"/>
          <a:ext cx="962621" cy="984885"/>
        </a:xfrm>
        <a:prstGeom prst="rect">
          <a:avLst/>
        </a:prstGeom>
      </xdr:spPr>
    </xdr:pic>
    <xdr:clientData/>
  </xdr:twoCellAnchor>
</xdr:wsDr>
</file>

<file path=xl/drawings/drawing62.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2F2CC0B0-C1F6-45DB-9B35-34A33FD7D4C3}"/>
            </a:ext>
          </a:extLst>
        </xdr:cNvPr>
        <xdr:cNvSpPr/>
      </xdr:nvSpPr>
      <xdr:spPr>
        <a:xfrm>
          <a:off x="265872" y="82909"/>
          <a:ext cx="1209672" cy="392255"/>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C15FE71B-E739-43AB-BF38-B2CD400E3E81}"/>
            </a:ext>
          </a:extLst>
        </xdr:cNvPr>
        <xdr:cNvSpPr/>
      </xdr:nvSpPr>
      <xdr:spPr>
        <a:xfrm>
          <a:off x="1753924" y="72721"/>
          <a:ext cx="1530057" cy="40143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24554459-04E8-49D9-A25A-5B11ED927E7E}"/>
            </a:ext>
          </a:extLst>
        </xdr:cNvPr>
        <xdr:cNvSpPr/>
      </xdr:nvSpPr>
      <xdr:spPr>
        <a:xfrm>
          <a:off x="3374003" y="72721"/>
          <a:ext cx="1341972" cy="40143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5D949D3D-C989-4D64-B2BE-61EAF3434890}"/>
            </a:ext>
          </a:extLst>
        </xdr:cNvPr>
        <xdr:cNvSpPr/>
      </xdr:nvSpPr>
      <xdr:spPr>
        <a:xfrm>
          <a:off x="5135050" y="82909"/>
          <a:ext cx="1286655" cy="392255"/>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152400</xdr:colOff>
      <xdr:row>1</xdr:row>
      <xdr:rowOff>95251</xdr:rowOff>
    </xdr:from>
    <xdr:to>
      <xdr:col>1</xdr:col>
      <xdr:colOff>755649</xdr:colOff>
      <xdr:row>3</xdr:row>
      <xdr:rowOff>278480</xdr:rowOff>
    </xdr:to>
    <xdr:pic>
      <xdr:nvPicPr>
        <xdr:cNvPr id="6" name="Imagen 5">
          <a:extLst>
            <a:ext uri="{FF2B5EF4-FFF2-40B4-BE49-F238E27FC236}">
              <a16:creationId xmlns:a16="http://schemas.microsoft.com/office/drawing/2014/main" id="{021FBD73-BA21-486D-ADDF-0DA6D2304174}"/>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52400" y="866776"/>
          <a:ext cx="1212849" cy="1078579"/>
        </a:xfrm>
        <a:prstGeom prst="rect">
          <a:avLst/>
        </a:prstGeom>
      </xdr:spPr>
    </xdr:pic>
    <xdr:clientData/>
  </xdr:twoCellAnchor>
  <xdr:twoCellAnchor editAs="oneCell">
    <xdr:from>
      <xdr:col>2</xdr:col>
      <xdr:colOff>209548</xdr:colOff>
      <xdr:row>1</xdr:row>
      <xdr:rowOff>47625</xdr:rowOff>
    </xdr:from>
    <xdr:to>
      <xdr:col>2</xdr:col>
      <xdr:colOff>1356359</xdr:colOff>
      <xdr:row>3</xdr:row>
      <xdr:rowOff>312934</xdr:rowOff>
    </xdr:to>
    <xdr:pic>
      <xdr:nvPicPr>
        <xdr:cNvPr id="7" name="Imagen 6">
          <a:extLst>
            <a:ext uri="{FF2B5EF4-FFF2-40B4-BE49-F238E27FC236}">
              <a16:creationId xmlns:a16="http://schemas.microsoft.com/office/drawing/2014/main" id="{C82D6306-1080-4D7C-83F2-617701825352}"/>
            </a:ext>
          </a:extLst>
        </xdr:cNvPr>
        <xdr:cNvPicPr>
          <a:picLocks noChangeAspect="1"/>
        </xdr:cNvPicPr>
      </xdr:nvPicPr>
      <xdr:blipFill>
        <a:blip xmlns:r="http://schemas.openxmlformats.org/officeDocument/2006/relationships" r:embed="rId6"/>
        <a:stretch>
          <a:fillRect/>
        </a:stretch>
      </xdr:blipFill>
      <xdr:spPr>
        <a:xfrm>
          <a:off x="1638298" y="819150"/>
          <a:ext cx="1146811" cy="1160659"/>
        </a:xfrm>
        <a:prstGeom prst="rect">
          <a:avLst/>
        </a:prstGeom>
      </xdr:spPr>
    </xdr:pic>
    <xdr:clientData/>
  </xdr:twoCellAnchor>
</xdr:wsDr>
</file>

<file path=xl/drawings/drawing63.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859A48C1-154B-4280-AFAC-72997981A4F6}"/>
            </a:ext>
          </a:extLst>
        </xdr:cNvPr>
        <xdr:cNvSpPr/>
      </xdr:nvSpPr>
      <xdr:spPr>
        <a:xfrm>
          <a:off x="265872" y="82909"/>
          <a:ext cx="1209672" cy="392255"/>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135FC381-F5E3-47B2-BFA9-E69D829A82C3}"/>
            </a:ext>
          </a:extLst>
        </xdr:cNvPr>
        <xdr:cNvSpPr/>
      </xdr:nvSpPr>
      <xdr:spPr>
        <a:xfrm>
          <a:off x="1753924" y="72721"/>
          <a:ext cx="1530057" cy="40143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E7FA546A-C58C-402F-AEEA-650727B5E82A}"/>
            </a:ext>
          </a:extLst>
        </xdr:cNvPr>
        <xdr:cNvSpPr/>
      </xdr:nvSpPr>
      <xdr:spPr>
        <a:xfrm>
          <a:off x="3374003" y="72721"/>
          <a:ext cx="1341972" cy="40143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973C4E99-2644-443B-8215-58F3076997F0}"/>
            </a:ext>
          </a:extLst>
        </xdr:cNvPr>
        <xdr:cNvSpPr/>
      </xdr:nvSpPr>
      <xdr:spPr>
        <a:xfrm>
          <a:off x="5135050" y="82909"/>
          <a:ext cx="1286655" cy="392255"/>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133350</xdr:colOff>
      <xdr:row>1</xdr:row>
      <xdr:rowOff>95250</xdr:rowOff>
    </xdr:from>
    <xdr:to>
      <xdr:col>1</xdr:col>
      <xdr:colOff>736599</xdr:colOff>
      <xdr:row>3</xdr:row>
      <xdr:rowOff>278479</xdr:rowOff>
    </xdr:to>
    <xdr:pic>
      <xdr:nvPicPr>
        <xdr:cNvPr id="6" name="Imagen 5">
          <a:extLst>
            <a:ext uri="{FF2B5EF4-FFF2-40B4-BE49-F238E27FC236}">
              <a16:creationId xmlns:a16="http://schemas.microsoft.com/office/drawing/2014/main" id="{1E6F2F4D-B445-45B6-B0DA-978B2BDCD8B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33350" y="866775"/>
          <a:ext cx="1212849" cy="1078579"/>
        </a:xfrm>
        <a:prstGeom prst="rect">
          <a:avLst/>
        </a:prstGeom>
      </xdr:spPr>
    </xdr:pic>
    <xdr:clientData/>
  </xdr:twoCellAnchor>
  <xdr:twoCellAnchor editAs="oneCell">
    <xdr:from>
      <xdr:col>2</xdr:col>
      <xdr:colOff>247650</xdr:colOff>
      <xdr:row>1</xdr:row>
      <xdr:rowOff>76200</xdr:rowOff>
    </xdr:from>
    <xdr:to>
      <xdr:col>2</xdr:col>
      <xdr:colOff>1394461</xdr:colOff>
      <xdr:row>3</xdr:row>
      <xdr:rowOff>341509</xdr:rowOff>
    </xdr:to>
    <xdr:pic>
      <xdr:nvPicPr>
        <xdr:cNvPr id="7" name="Imagen 6">
          <a:extLst>
            <a:ext uri="{FF2B5EF4-FFF2-40B4-BE49-F238E27FC236}">
              <a16:creationId xmlns:a16="http://schemas.microsoft.com/office/drawing/2014/main" id="{9C824652-4231-4C00-9BCF-B8953DF45557}"/>
            </a:ext>
          </a:extLst>
        </xdr:cNvPr>
        <xdr:cNvPicPr>
          <a:picLocks noChangeAspect="1"/>
        </xdr:cNvPicPr>
      </xdr:nvPicPr>
      <xdr:blipFill>
        <a:blip xmlns:r="http://schemas.openxmlformats.org/officeDocument/2006/relationships" r:embed="rId6"/>
        <a:stretch>
          <a:fillRect/>
        </a:stretch>
      </xdr:blipFill>
      <xdr:spPr>
        <a:xfrm>
          <a:off x="1676400" y="847725"/>
          <a:ext cx="1146811" cy="1160659"/>
        </a:xfrm>
        <a:prstGeom prst="rect">
          <a:avLst/>
        </a:prstGeom>
      </xdr:spPr>
    </xdr:pic>
    <xdr:clientData/>
  </xdr:twoCellAnchor>
</xdr:wsDr>
</file>

<file path=xl/drawings/drawing64.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6F27D631-20A8-46B3-8510-3D11B5CDC048}"/>
            </a:ext>
          </a:extLst>
        </xdr:cNvPr>
        <xdr:cNvSpPr/>
      </xdr:nvSpPr>
      <xdr:spPr>
        <a:xfrm>
          <a:off x="265872" y="82909"/>
          <a:ext cx="1209672" cy="392255"/>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C3A2E589-B46B-4599-BF50-15C3BC25CE4B}"/>
            </a:ext>
          </a:extLst>
        </xdr:cNvPr>
        <xdr:cNvSpPr/>
      </xdr:nvSpPr>
      <xdr:spPr>
        <a:xfrm>
          <a:off x="1753924" y="72721"/>
          <a:ext cx="1530057" cy="40143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7D134288-FA67-4611-B1F3-AEB9C5CB2AC0}"/>
            </a:ext>
          </a:extLst>
        </xdr:cNvPr>
        <xdr:cNvSpPr/>
      </xdr:nvSpPr>
      <xdr:spPr>
        <a:xfrm>
          <a:off x="3374003" y="72721"/>
          <a:ext cx="1341972" cy="40143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4BB43C15-61C5-4C01-8FE5-C5C51B760C8D}"/>
            </a:ext>
          </a:extLst>
        </xdr:cNvPr>
        <xdr:cNvSpPr/>
      </xdr:nvSpPr>
      <xdr:spPr>
        <a:xfrm>
          <a:off x="5135050" y="82909"/>
          <a:ext cx="1286655" cy="392255"/>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142875</xdr:colOff>
      <xdr:row>1</xdr:row>
      <xdr:rowOff>76200</xdr:rowOff>
    </xdr:from>
    <xdr:to>
      <xdr:col>1</xdr:col>
      <xdr:colOff>746124</xdr:colOff>
      <xdr:row>3</xdr:row>
      <xdr:rowOff>259429</xdr:rowOff>
    </xdr:to>
    <xdr:pic>
      <xdr:nvPicPr>
        <xdr:cNvPr id="6" name="Imagen 5">
          <a:extLst>
            <a:ext uri="{FF2B5EF4-FFF2-40B4-BE49-F238E27FC236}">
              <a16:creationId xmlns:a16="http://schemas.microsoft.com/office/drawing/2014/main" id="{300CCFF1-82A9-456C-BA6C-92E888E6D0F6}"/>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42875" y="847725"/>
          <a:ext cx="1212849" cy="1078579"/>
        </a:xfrm>
        <a:prstGeom prst="rect">
          <a:avLst/>
        </a:prstGeom>
      </xdr:spPr>
    </xdr:pic>
    <xdr:clientData/>
  </xdr:twoCellAnchor>
  <xdr:twoCellAnchor editAs="oneCell">
    <xdr:from>
      <xdr:col>2</xdr:col>
      <xdr:colOff>247650</xdr:colOff>
      <xdr:row>1</xdr:row>
      <xdr:rowOff>47625</xdr:rowOff>
    </xdr:from>
    <xdr:to>
      <xdr:col>2</xdr:col>
      <xdr:colOff>1394461</xdr:colOff>
      <xdr:row>3</xdr:row>
      <xdr:rowOff>312934</xdr:rowOff>
    </xdr:to>
    <xdr:pic>
      <xdr:nvPicPr>
        <xdr:cNvPr id="7" name="Imagen 6">
          <a:extLst>
            <a:ext uri="{FF2B5EF4-FFF2-40B4-BE49-F238E27FC236}">
              <a16:creationId xmlns:a16="http://schemas.microsoft.com/office/drawing/2014/main" id="{C3113D38-8D02-4AFF-9700-1AC7B45D0ECE}"/>
            </a:ext>
          </a:extLst>
        </xdr:cNvPr>
        <xdr:cNvPicPr>
          <a:picLocks noChangeAspect="1"/>
        </xdr:cNvPicPr>
      </xdr:nvPicPr>
      <xdr:blipFill>
        <a:blip xmlns:r="http://schemas.openxmlformats.org/officeDocument/2006/relationships" r:embed="rId6"/>
        <a:stretch>
          <a:fillRect/>
        </a:stretch>
      </xdr:blipFill>
      <xdr:spPr>
        <a:xfrm>
          <a:off x="1676400" y="819150"/>
          <a:ext cx="1146811" cy="1160659"/>
        </a:xfrm>
        <a:prstGeom prst="rect">
          <a:avLst/>
        </a:prstGeom>
      </xdr:spPr>
    </xdr:pic>
    <xdr:clientData/>
  </xdr:twoCellAnchor>
</xdr:wsDr>
</file>

<file path=xl/drawings/drawing65.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3B4E5B7B-E634-4484-81D1-2DE0FD11A94A}"/>
            </a:ext>
          </a:extLst>
        </xdr:cNvPr>
        <xdr:cNvSpPr/>
      </xdr:nvSpPr>
      <xdr:spPr>
        <a:xfrm>
          <a:off x="265872" y="82909"/>
          <a:ext cx="1209672" cy="392255"/>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B7638271-FA1D-4D67-A5D5-B9126CFF63D8}"/>
            </a:ext>
          </a:extLst>
        </xdr:cNvPr>
        <xdr:cNvSpPr/>
      </xdr:nvSpPr>
      <xdr:spPr>
        <a:xfrm>
          <a:off x="1753924" y="72721"/>
          <a:ext cx="1530057" cy="40143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4024A231-4089-486E-BEE1-14F97675B2A7}"/>
            </a:ext>
          </a:extLst>
        </xdr:cNvPr>
        <xdr:cNvSpPr/>
      </xdr:nvSpPr>
      <xdr:spPr>
        <a:xfrm>
          <a:off x="3374003" y="72721"/>
          <a:ext cx="1341972" cy="40143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B04B7792-57D6-4BFE-9119-5180F6DC983A}"/>
            </a:ext>
          </a:extLst>
        </xdr:cNvPr>
        <xdr:cNvSpPr/>
      </xdr:nvSpPr>
      <xdr:spPr>
        <a:xfrm>
          <a:off x="5135050" y="82909"/>
          <a:ext cx="1286655" cy="392255"/>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142875</xdr:colOff>
      <xdr:row>1</xdr:row>
      <xdr:rowOff>76200</xdr:rowOff>
    </xdr:from>
    <xdr:to>
      <xdr:col>1</xdr:col>
      <xdr:colOff>746124</xdr:colOff>
      <xdr:row>3</xdr:row>
      <xdr:rowOff>259429</xdr:rowOff>
    </xdr:to>
    <xdr:pic>
      <xdr:nvPicPr>
        <xdr:cNvPr id="6" name="Imagen 5">
          <a:extLst>
            <a:ext uri="{FF2B5EF4-FFF2-40B4-BE49-F238E27FC236}">
              <a16:creationId xmlns:a16="http://schemas.microsoft.com/office/drawing/2014/main" id="{84FB059A-0DC5-4802-842D-8C121F24ABAD}"/>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42875" y="847725"/>
          <a:ext cx="1212849" cy="1078579"/>
        </a:xfrm>
        <a:prstGeom prst="rect">
          <a:avLst/>
        </a:prstGeom>
      </xdr:spPr>
    </xdr:pic>
    <xdr:clientData/>
  </xdr:twoCellAnchor>
  <xdr:twoCellAnchor editAs="oneCell">
    <xdr:from>
      <xdr:col>2</xdr:col>
      <xdr:colOff>247650</xdr:colOff>
      <xdr:row>1</xdr:row>
      <xdr:rowOff>47625</xdr:rowOff>
    </xdr:from>
    <xdr:to>
      <xdr:col>2</xdr:col>
      <xdr:colOff>1394461</xdr:colOff>
      <xdr:row>3</xdr:row>
      <xdr:rowOff>312934</xdr:rowOff>
    </xdr:to>
    <xdr:pic>
      <xdr:nvPicPr>
        <xdr:cNvPr id="7" name="Imagen 6">
          <a:extLst>
            <a:ext uri="{FF2B5EF4-FFF2-40B4-BE49-F238E27FC236}">
              <a16:creationId xmlns:a16="http://schemas.microsoft.com/office/drawing/2014/main" id="{DF0E1E45-3588-4470-955A-27272F4978B5}"/>
            </a:ext>
          </a:extLst>
        </xdr:cNvPr>
        <xdr:cNvPicPr>
          <a:picLocks noChangeAspect="1"/>
        </xdr:cNvPicPr>
      </xdr:nvPicPr>
      <xdr:blipFill>
        <a:blip xmlns:r="http://schemas.openxmlformats.org/officeDocument/2006/relationships" r:embed="rId6"/>
        <a:stretch>
          <a:fillRect/>
        </a:stretch>
      </xdr:blipFill>
      <xdr:spPr>
        <a:xfrm>
          <a:off x="1676400" y="819150"/>
          <a:ext cx="1146811" cy="1160659"/>
        </a:xfrm>
        <a:prstGeom prst="rect">
          <a:avLst/>
        </a:prstGeom>
      </xdr:spPr>
    </xdr:pic>
    <xdr:clientData/>
  </xdr:twoCellAnchor>
</xdr:wsDr>
</file>

<file path=xl/drawings/drawing66.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88C1742D-D8B2-494B-A6B7-3CFA569CB69A}"/>
            </a:ext>
          </a:extLst>
        </xdr:cNvPr>
        <xdr:cNvSpPr/>
      </xdr:nvSpPr>
      <xdr:spPr>
        <a:xfrm>
          <a:off x="265872" y="82909"/>
          <a:ext cx="1209672" cy="392255"/>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8ED5506D-A51C-4AC2-A379-8B7E04534CE9}"/>
            </a:ext>
          </a:extLst>
        </xdr:cNvPr>
        <xdr:cNvSpPr/>
      </xdr:nvSpPr>
      <xdr:spPr>
        <a:xfrm>
          <a:off x="1753924" y="72721"/>
          <a:ext cx="1530057" cy="40143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B4D3F146-AF61-4A31-9237-06B9D4DC0C5C}"/>
            </a:ext>
          </a:extLst>
        </xdr:cNvPr>
        <xdr:cNvSpPr/>
      </xdr:nvSpPr>
      <xdr:spPr>
        <a:xfrm>
          <a:off x="3374003" y="72721"/>
          <a:ext cx="1341972" cy="40143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FCA12F73-667D-43C9-8F8F-9E793056C665}"/>
            </a:ext>
          </a:extLst>
        </xdr:cNvPr>
        <xdr:cNvSpPr/>
      </xdr:nvSpPr>
      <xdr:spPr>
        <a:xfrm>
          <a:off x="5135050" y="82909"/>
          <a:ext cx="1286655" cy="392255"/>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142875</xdr:colOff>
      <xdr:row>1</xdr:row>
      <xdr:rowOff>76200</xdr:rowOff>
    </xdr:from>
    <xdr:to>
      <xdr:col>1</xdr:col>
      <xdr:colOff>746124</xdr:colOff>
      <xdr:row>3</xdr:row>
      <xdr:rowOff>259429</xdr:rowOff>
    </xdr:to>
    <xdr:pic>
      <xdr:nvPicPr>
        <xdr:cNvPr id="6" name="Imagen 5">
          <a:extLst>
            <a:ext uri="{FF2B5EF4-FFF2-40B4-BE49-F238E27FC236}">
              <a16:creationId xmlns:a16="http://schemas.microsoft.com/office/drawing/2014/main" id="{B0519022-72BF-43B1-BCD7-C0030AD180BF}"/>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42875" y="847725"/>
          <a:ext cx="1212849" cy="1078579"/>
        </a:xfrm>
        <a:prstGeom prst="rect">
          <a:avLst/>
        </a:prstGeom>
      </xdr:spPr>
    </xdr:pic>
    <xdr:clientData/>
  </xdr:twoCellAnchor>
  <xdr:twoCellAnchor editAs="oneCell">
    <xdr:from>
      <xdr:col>2</xdr:col>
      <xdr:colOff>247650</xdr:colOff>
      <xdr:row>1</xdr:row>
      <xdr:rowOff>47625</xdr:rowOff>
    </xdr:from>
    <xdr:to>
      <xdr:col>2</xdr:col>
      <xdr:colOff>1394461</xdr:colOff>
      <xdr:row>3</xdr:row>
      <xdr:rowOff>312934</xdr:rowOff>
    </xdr:to>
    <xdr:pic>
      <xdr:nvPicPr>
        <xdr:cNvPr id="7" name="Imagen 6">
          <a:extLst>
            <a:ext uri="{FF2B5EF4-FFF2-40B4-BE49-F238E27FC236}">
              <a16:creationId xmlns:a16="http://schemas.microsoft.com/office/drawing/2014/main" id="{5A1C7030-24E8-4F23-B60B-9664F6B104C8}"/>
            </a:ext>
          </a:extLst>
        </xdr:cNvPr>
        <xdr:cNvPicPr>
          <a:picLocks noChangeAspect="1"/>
        </xdr:cNvPicPr>
      </xdr:nvPicPr>
      <xdr:blipFill>
        <a:blip xmlns:r="http://schemas.openxmlformats.org/officeDocument/2006/relationships" r:embed="rId6"/>
        <a:stretch>
          <a:fillRect/>
        </a:stretch>
      </xdr:blipFill>
      <xdr:spPr>
        <a:xfrm>
          <a:off x="1676400" y="819150"/>
          <a:ext cx="1146811" cy="1160659"/>
        </a:xfrm>
        <a:prstGeom prst="rect">
          <a:avLst/>
        </a:prstGeom>
      </xdr:spPr>
    </xdr:pic>
    <xdr:clientData/>
  </xdr:twoCellAnchor>
</xdr:wsDr>
</file>

<file path=xl/drawings/drawing67.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32F2AD30-BE7F-46E5-932C-E6C1E88535E2}"/>
            </a:ext>
          </a:extLst>
        </xdr:cNvPr>
        <xdr:cNvSpPr/>
      </xdr:nvSpPr>
      <xdr:spPr>
        <a:xfrm>
          <a:off x="265872" y="82909"/>
          <a:ext cx="1209672" cy="392255"/>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B3D379CD-B5EE-46C0-9EAB-3F4CFBF25CBB}"/>
            </a:ext>
          </a:extLst>
        </xdr:cNvPr>
        <xdr:cNvSpPr/>
      </xdr:nvSpPr>
      <xdr:spPr>
        <a:xfrm>
          <a:off x="1753924" y="72721"/>
          <a:ext cx="1530057" cy="40143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F265E7A1-EE23-4054-B8DD-70894A1E1E8B}"/>
            </a:ext>
          </a:extLst>
        </xdr:cNvPr>
        <xdr:cNvSpPr/>
      </xdr:nvSpPr>
      <xdr:spPr>
        <a:xfrm>
          <a:off x="3374003" y="72721"/>
          <a:ext cx="1341972" cy="40143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AA661F03-C14D-47E9-A919-4016E8B272E5}"/>
            </a:ext>
          </a:extLst>
        </xdr:cNvPr>
        <xdr:cNvSpPr/>
      </xdr:nvSpPr>
      <xdr:spPr>
        <a:xfrm>
          <a:off x="5135050" y="82909"/>
          <a:ext cx="1286655" cy="392255"/>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142875</xdr:colOff>
      <xdr:row>1</xdr:row>
      <xdr:rowOff>76200</xdr:rowOff>
    </xdr:from>
    <xdr:to>
      <xdr:col>1</xdr:col>
      <xdr:colOff>746124</xdr:colOff>
      <xdr:row>3</xdr:row>
      <xdr:rowOff>259429</xdr:rowOff>
    </xdr:to>
    <xdr:pic>
      <xdr:nvPicPr>
        <xdr:cNvPr id="6" name="Imagen 5">
          <a:extLst>
            <a:ext uri="{FF2B5EF4-FFF2-40B4-BE49-F238E27FC236}">
              <a16:creationId xmlns:a16="http://schemas.microsoft.com/office/drawing/2014/main" id="{0C48B417-FF15-4061-952C-1A1F2F6D8CC3}"/>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42875" y="847725"/>
          <a:ext cx="1212849" cy="1078579"/>
        </a:xfrm>
        <a:prstGeom prst="rect">
          <a:avLst/>
        </a:prstGeom>
      </xdr:spPr>
    </xdr:pic>
    <xdr:clientData/>
  </xdr:twoCellAnchor>
  <xdr:twoCellAnchor editAs="oneCell">
    <xdr:from>
      <xdr:col>2</xdr:col>
      <xdr:colOff>247650</xdr:colOff>
      <xdr:row>1</xdr:row>
      <xdr:rowOff>47625</xdr:rowOff>
    </xdr:from>
    <xdr:to>
      <xdr:col>2</xdr:col>
      <xdr:colOff>1394461</xdr:colOff>
      <xdr:row>3</xdr:row>
      <xdr:rowOff>312934</xdr:rowOff>
    </xdr:to>
    <xdr:pic>
      <xdr:nvPicPr>
        <xdr:cNvPr id="7" name="Imagen 6">
          <a:extLst>
            <a:ext uri="{FF2B5EF4-FFF2-40B4-BE49-F238E27FC236}">
              <a16:creationId xmlns:a16="http://schemas.microsoft.com/office/drawing/2014/main" id="{C95C70E7-EC59-4924-8411-337DB9B1C264}"/>
            </a:ext>
          </a:extLst>
        </xdr:cNvPr>
        <xdr:cNvPicPr>
          <a:picLocks noChangeAspect="1"/>
        </xdr:cNvPicPr>
      </xdr:nvPicPr>
      <xdr:blipFill>
        <a:blip xmlns:r="http://schemas.openxmlformats.org/officeDocument/2006/relationships" r:embed="rId6"/>
        <a:stretch>
          <a:fillRect/>
        </a:stretch>
      </xdr:blipFill>
      <xdr:spPr>
        <a:xfrm>
          <a:off x="1676400" y="819150"/>
          <a:ext cx="1146811" cy="1160659"/>
        </a:xfrm>
        <a:prstGeom prst="rect">
          <a:avLst/>
        </a:prstGeom>
      </xdr:spPr>
    </xdr:pic>
    <xdr:clientData/>
  </xdr:twoCellAnchor>
</xdr:wsDr>
</file>

<file path=xl/drawings/drawing68.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69CB4757-A952-4D42-8A38-8E71ABD3819C}"/>
            </a:ext>
          </a:extLst>
        </xdr:cNvPr>
        <xdr:cNvSpPr/>
      </xdr:nvSpPr>
      <xdr:spPr>
        <a:xfrm>
          <a:off x="265872" y="82909"/>
          <a:ext cx="1209672" cy="392255"/>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0D7EAA26-80F6-40B4-98F4-5372F477A186}"/>
            </a:ext>
          </a:extLst>
        </xdr:cNvPr>
        <xdr:cNvSpPr/>
      </xdr:nvSpPr>
      <xdr:spPr>
        <a:xfrm>
          <a:off x="1753924" y="72721"/>
          <a:ext cx="1530057" cy="40143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6044A5B2-99B2-4693-89BD-A800873E5A30}"/>
            </a:ext>
          </a:extLst>
        </xdr:cNvPr>
        <xdr:cNvSpPr/>
      </xdr:nvSpPr>
      <xdr:spPr>
        <a:xfrm>
          <a:off x="3374003" y="72721"/>
          <a:ext cx="1341972" cy="40143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B1DEBF56-0F68-4919-B740-94DE3D1BFDB6}"/>
            </a:ext>
          </a:extLst>
        </xdr:cNvPr>
        <xdr:cNvSpPr/>
      </xdr:nvSpPr>
      <xdr:spPr>
        <a:xfrm>
          <a:off x="5135050" y="82909"/>
          <a:ext cx="1286655" cy="392255"/>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142875</xdr:colOff>
      <xdr:row>1</xdr:row>
      <xdr:rowOff>76200</xdr:rowOff>
    </xdr:from>
    <xdr:to>
      <xdr:col>1</xdr:col>
      <xdr:colOff>746124</xdr:colOff>
      <xdr:row>3</xdr:row>
      <xdr:rowOff>259429</xdr:rowOff>
    </xdr:to>
    <xdr:pic>
      <xdr:nvPicPr>
        <xdr:cNvPr id="6" name="Imagen 5">
          <a:extLst>
            <a:ext uri="{FF2B5EF4-FFF2-40B4-BE49-F238E27FC236}">
              <a16:creationId xmlns:a16="http://schemas.microsoft.com/office/drawing/2014/main" id="{92DC8282-1997-4530-B2B2-D071E9817329}"/>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42875" y="847725"/>
          <a:ext cx="1212849" cy="1078579"/>
        </a:xfrm>
        <a:prstGeom prst="rect">
          <a:avLst/>
        </a:prstGeom>
      </xdr:spPr>
    </xdr:pic>
    <xdr:clientData/>
  </xdr:twoCellAnchor>
  <xdr:twoCellAnchor editAs="oneCell">
    <xdr:from>
      <xdr:col>2</xdr:col>
      <xdr:colOff>247650</xdr:colOff>
      <xdr:row>1</xdr:row>
      <xdr:rowOff>47625</xdr:rowOff>
    </xdr:from>
    <xdr:to>
      <xdr:col>2</xdr:col>
      <xdr:colOff>1394461</xdr:colOff>
      <xdr:row>3</xdr:row>
      <xdr:rowOff>312934</xdr:rowOff>
    </xdr:to>
    <xdr:pic>
      <xdr:nvPicPr>
        <xdr:cNvPr id="7" name="Imagen 6">
          <a:extLst>
            <a:ext uri="{FF2B5EF4-FFF2-40B4-BE49-F238E27FC236}">
              <a16:creationId xmlns:a16="http://schemas.microsoft.com/office/drawing/2014/main" id="{653C9F17-B183-491B-AEA9-E8560D3D8FA1}"/>
            </a:ext>
          </a:extLst>
        </xdr:cNvPr>
        <xdr:cNvPicPr>
          <a:picLocks noChangeAspect="1"/>
        </xdr:cNvPicPr>
      </xdr:nvPicPr>
      <xdr:blipFill>
        <a:blip xmlns:r="http://schemas.openxmlformats.org/officeDocument/2006/relationships" r:embed="rId6"/>
        <a:stretch>
          <a:fillRect/>
        </a:stretch>
      </xdr:blipFill>
      <xdr:spPr>
        <a:xfrm>
          <a:off x="1676400" y="819150"/>
          <a:ext cx="1146811" cy="1160659"/>
        </a:xfrm>
        <a:prstGeom prst="rect">
          <a:avLst/>
        </a:prstGeom>
      </xdr:spPr>
    </xdr:pic>
    <xdr:clientData/>
  </xdr:twoCellAnchor>
</xdr:wsDr>
</file>

<file path=xl/drawings/drawing69.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C5760417-9945-4168-BCB5-D937696BE0EB}"/>
            </a:ext>
          </a:extLst>
        </xdr:cNvPr>
        <xdr:cNvSpPr/>
      </xdr:nvSpPr>
      <xdr:spPr>
        <a:xfrm>
          <a:off x="265872" y="82909"/>
          <a:ext cx="1209672" cy="392255"/>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3177B3E7-57E0-4934-9B32-884BCAB73665}"/>
            </a:ext>
          </a:extLst>
        </xdr:cNvPr>
        <xdr:cNvSpPr/>
      </xdr:nvSpPr>
      <xdr:spPr>
        <a:xfrm>
          <a:off x="1753924" y="72721"/>
          <a:ext cx="1530057" cy="40143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1525652D-F14D-4D70-97F4-98F7BB3039A3}"/>
            </a:ext>
          </a:extLst>
        </xdr:cNvPr>
        <xdr:cNvSpPr/>
      </xdr:nvSpPr>
      <xdr:spPr>
        <a:xfrm>
          <a:off x="3374003" y="72721"/>
          <a:ext cx="1341972" cy="40143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305DCCDC-594B-4F5B-AEF4-EBB1671C0E63}"/>
            </a:ext>
          </a:extLst>
        </xdr:cNvPr>
        <xdr:cNvSpPr/>
      </xdr:nvSpPr>
      <xdr:spPr>
        <a:xfrm>
          <a:off x="5135050" y="82909"/>
          <a:ext cx="1286655" cy="392255"/>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142875</xdr:colOff>
      <xdr:row>1</xdr:row>
      <xdr:rowOff>76200</xdr:rowOff>
    </xdr:from>
    <xdr:to>
      <xdr:col>1</xdr:col>
      <xdr:colOff>746124</xdr:colOff>
      <xdr:row>3</xdr:row>
      <xdr:rowOff>259429</xdr:rowOff>
    </xdr:to>
    <xdr:pic>
      <xdr:nvPicPr>
        <xdr:cNvPr id="6" name="Imagen 5">
          <a:extLst>
            <a:ext uri="{FF2B5EF4-FFF2-40B4-BE49-F238E27FC236}">
              <a16:creationId xmlns:a16="http://schemas.microsoft.com/office/drawing/2014/main" id="{1BFD020E-05EE-4EE1-B95A-CE08C8F86BEA}"/>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42875" y="847725"/>
          <a:ext cx="1212849" cy="1078579"/>
        </a:xfrm>
        <a:prstGeom prst="rect">
          <a:avLst/>
        </a:prstGeom>
      </xdr:spPr>
    </xdr:pic>
    <xdr:clientData/>
  </xdr:twoCellAnchor>
  <xdr:twoCellAnchor editAs="oneCell">
    <xdr:from>
      <xdr:col>2</xdr:col>
      <xdr:colOff>247650</xdr:colOff>
      <xdr:row>1</xdr:row>
      <xdr:rowOff>47625</xdr:rowOff>
    </xdr:from>
    <xdr:to>
      <xdr:col>2</xdr:col>
      <xdr:colOff>1394461</xdr:colOff>
      <xdr:row>3</xdr:row>
      <xdr:rowOff>312934</xdr:rowOff>
    </xdr:to>
    <xdr:pic>
      <xdr:nvPicPr>
        <xdr:cNvPr id="7" name="Imagen 6">
          <a:extLst>
            <a:ext uri="{FF2B5EF4-FFF2-40B4-BE49-F238E27FC236}">
              <a16:creationId xmlns:a16="http://schemas.microsoft.com/office/drawing/2014/main" id="{69054B38-5628-4194-9679-C4B84A55BDCB}"/>
            </a:ext>
          </a:extLst>
        </xdr:cNvPr>
        <xdr:cNvPicPr>
          <a:picLocks noChangeAspect="1"/>
        </xdr:cNvPicPr>
      </xdr:nvPicPr>
      <xdr:blipFill>
        <a:blip xmlns:r="http://schemas.openxmlformats.org/officeDocument/2006/relationships" r:embed="rId6"/>
        <a:stretch>
          <a:fillRect/>
        </a:stretch>
      </xdr:blipFill>
      <xdr:spPr>
        <a:xfrm>
          <a:off x="1676400" y="819150"/>
          <a:ext cx="1146811" cy="1160659"/>
        </a:xfrm>
        <a:prstGeom prst="rect">
          <a:avLst/>
        </a:prstGeom>
      </xdr:spPr>
    </xdr:pic>
    <xdr:clientData/>
  </xdr:twoCellAnchor>
</xdr:wsDr>
</file>

<file path=xl/drawings/drawing70.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CBDC5909-CB58-47C8-97E1-93B53A2C94E4}"/>
            </a:ext>
          </a:extLst>
        </xdr:cNvPr>
        <xdr:cNvSpPr/>
      </xdr:nvSpPr>
      <xdr:spPr>
        <a:xfrm>
          <a:off x="265872" y="82909"/>
          <a:ext cx="1209672" cy="392255"/>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32552FBC-46A3-4D82-8E03-01CF3648690D}"/>
            </a:ext>
          </a:extLst>
        </xdr:cNvPr>
        <xdr:cNvSpPr/>
      </xdr:nvSpPr>
      <xdr:spPr>
        <a:xfrm>
          <a:off x="1753924" y="72721"/>
          <a:ext cx="1530057" cy="40143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A7B54464-6795-4087-8343-B9581EE7C109}"/>
            </a:ext>
          </a:extLst>
        </xdr:cNvPr>
        <xdr:cNvSpPr/>
      </xdr:nvSpPr>
      <xdr:spPr>
        <a:xfrm>
          <a:off x="3374003" y="72721"/>
          <a:ext cx="1341972" cy="40143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AF14255E-0BE5-4F5F-B1ED-DCAC3374010D}"/>
            </a:ext>
          </a:extLst>
        </xdr:cNvPr>
        <xdr:cNvSpPr/>
      </xdr:nvSpPr>
      <xdr:spPr>
        <a:xfrm>
          <a:off x="5135050" y="82909"/>
          <a:ext cx="1286655" cy="392255"/>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142875</xdr:colOff>
      <xdr:row>1</xdr:row>
      <xdr:rowOff>76200</xdr:rowOff>
    </xdr:from>
    <xdr:to>
      <xdr:col>1</xdr:col>
      <xdr:colOff>746124</xdr:colOff>
      <xdr:row>3</xdr:row>
      <xdr:rowOff>259429</xdr:rowOff>
    </xdr:to>
    <xdr:pic>
      <xdr:nvPicPr>
        <xdr:cNvPr id="6" name="Imagen 5">
          <a:extLst>
            <a:ext uri="{FF2B5EF4-FFF2-40B4-BE49-F238E27FC236}">
              <a16:creationId xmlns:a16="http://schemas.microsoft.com/office/drawing/2014/main" id="{4E1CDBF8-252C-433D-AD53-DFE96F9A3F83}"/>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42875" y="847725"/>
          <a:ext cx="1212849" cy="1078579"/>
        </a:xfrm>
        <a:prstGeom prst="rect">
          <a:avLst/>
        </a:prstGeom>
      </xdr:spPr>
    </xdr:pic>
    <xdr:clientData/>
  </xdr:twoCellAnchor>
  <xdr:twoCellAnchor editAs="oneCell">
    <xdr:from>
      <xdr:col>2</xdr:col>
      <xdr:colOff>247650</xdr:colOff>
      <xdr:row>1</xdr:row>
      <xdr:rowOff>47625</xdr:rowOff>
    </xdr:from>
    <xdr:to>
      <xdr:col>2</xdr:col>
      <xdr:colOff>1394461</xdr:colOff>
      <xdr:row>3</xdr:row>
      <xdr:rowOff>312934</xdr:rowOff>
    </xdr:to>
    <xdr:pic>
      <xdr:nvPicPr>
        <xdr:cNvPr id="7" name="Imagen 6">
          <a:extLst>
            <a:ext uri="{FF2B5EF4-FFF2-40B4-BE49-F238E27FC236}">
              <a16:creationId xmlns:a16="http://schemas.microsoft.com/office/drawing/2014/main" id="{251B88EA-5284-4F91-B09D-9F1D982996C9}"/>
            </a:ext>
          </a:extLst>
        </xdr:cNvPr>
        <xdr:cNvPicPr>
          <a:picLocks noChangeAspect="1"/>
        </xdr:cNvPicPr>
      </xdr:nvPicPr>
      <xdr:blipFill>
        <a:blip xmlns:r="http://schemas.openxmlformats.org/officeDocument/2006/relationships" r:embed="rId6"/>
        <a:stretch>
          <a:fillRect/>
        </a:stretch>
      </xdr:blipFill>
      <xdr:spPr>
        <a:xfrm>
          <a:off x="1676400" y="819150"/>
          <a:ext cx="1146811" cy="1160659"/>
        </a:xfrm>
        <a:prstGeom prst="rect">
          <a:avLst/>
        </a:prstGeom>
      </xdr:spPr>
    </xdr:pic>
    <xdr:clientData/>
  </xdr:twoCellAnchor>
</xdr:wsDr>
</file>

<file path=xl/drawings/drawing71.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9409405D-4D51-4E19-8C2F-1A2218912586}"/>
            </a:ext>
          </a:extLst>
        </xdr:cNvPr>
        <xdr:cNvSpPr/>
      </xdr:nvSpPr>
      <xdr:spPr>
        <a:xfrm>
          <a:off x="265872" y="82909"/>
          <a:ext cx="1209672" cy="392255"/>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DE119531-B227-4241-8199-015428C50352}"/>
            </a:ext>
          </a:extLst>
        </xdr:cNvPr>
        <xdr:cNvSpPr/>
      </xdr:nvSpPr>
      <xdr:spPr>
        <a:xfrm>
          <a:off x="1753924" y="72721"/>
          <a:ext cx="1530057" cy="40143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9D28CC74-B9EF-4674-BD6B-ADC550D885D9}"/>
            </a:ext>
          </a:extLst>
        </xdr:cNvPr>
        <xdr:cNvSpPr/>
      </xdr:nvSpPr>
      <xdr:spPr>
        <a:xfrm>
          <a:off x="3374003" y="72721"/>
          <a:ext cx="1341972" cy="40143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BB195376-F52C-4AB1-B267-0A401AB4D8A1}"/>
            </a:ext>
          </a:extLst>
        </xdr:cNvPr>
        <xdr:cNvSpPr/>
      </xdr:nvSpPr>
      <xdr:spPr>
        <a:xfrm>
          <a:off x="5135050" y="82909"/>
          <a:ext cx="1286655" cy="392255"/>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114300</xdr:colOff>
      <xdr:row>1</xdr:row>
      <xdr:rowOff>95250</xdr:rowOff>
    </xdr:from>
    <xdr:to>
      <xdr:col>1</xdr:col>
      <xdr:colOff>717549</xdr:colOff>
      <xdr:row>3</xdr:row>
      <xdr:rowOff>278479</xdr:rowOff>
    </xdr:to>
    <xdr:pic>
      <xdr:nvPicPr>
        <xdr:cNvPr id="6" name="Imagen 5">
          <a:extLst>
            <a:ext uri="{FF2B5EF4-FFF2-40B4-BE49-F238E27FC236}">
              <a16:creationId xmlns:a16="http://schemas.microsoft.com/office/drawing/2014/main" id="{D21AEC8C-ACEE-425E-B338-8AE08CF1A3CC}"/>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14300" y="866775"/>
          <a:ext cx="1212849" cy="1078579"/>
        </a:xfrm>
        <a:prstGeom prst="rect">
          <a:avLst/>
        </a:prstGeom>
      </xdr:spPr>
    </xdr:pic>
    <xdr:clientData/>
  </xdr:twoCellAnchor>
  <xdr:twoCellAnchor editAs="oneCell">
    <xdr:from>
      <xdr:col>2</xdr:col>
      <xdr:colOff>238125</xdr:colOff>
      <xdr:row>1</xdr:row>
      <xdr:rowOff>47625</xdr:rowOff>
    </xdr:from>
    <xdr:to>
      <xdr:col>2</xdr:col>
      <xdr:colOff>1384936</xdr:colOff>
      <xdr:row>3</xdr:row>
      <xdr:rowOff>312934</xdr:rowOff>
    </xdr:to>
    <xdr:pic>
      <xdr:nvPicPr>
        <xdr:cNvPr id="7" name="Imagen 6">
          <a:extLst>
            <a:ext uri="{FF2B5EF4-FFF2-40B4-BE49-F238E27FC236}">
              <a16:creationId xmlns:a16="http://schemas.microsoft.com/office/drawing/2014/main" id="{591C0C58-A59D-4464-AC93-108141A9AA9C}"/>
            </a:ext>
          </a:extLst>
        </xdr:cNvPr>
        <xdr:cNvPicPr>
          <a:picLocks noChangeAspect="1"/>
        </xdr:cNvPicPr>
      </xdr:nvPicPr>
      <xdr:blipFill>
        <a:blip xmlns:r="http://schemas.openxmlformats.org/officeDocument/2006/relationships" r:embed="rId6"/>
        <a:stretch>
          <a:fillRect/>
        </a:stretch>
      </xdr:blipFill>
      <xdr:spPr>
        <a:xfrm>
          <a:off x="1666875" y="819150"/>
          <a:ext cx="1146811" cy="1160659"/>
        </a:xfrm>
        <a:prstGeom prst="rect">
          <a:avLst/>
        </a:prstGeom>
      </xdr:spPr>
    </xdr:pic>
    <xdr:clientData/>
  </xdr:twoCellAnchor>
</xdr:wsDr>
</file>

<file path=xl/drawings/drawing72.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F3AA0A41-852D-422D-85EE-D987166E9B7F}"/>
            </a:ext>
          </a:extLst>
        </xdr:cNvPr>
        <xdr:cNvSpPr/>
      </xdr:nvSpPr>
      <xdr:spPr>
        <a:xfrm>
          <a:off x="265872" y="82909"/>
          <a:ext cx="1209672" cy="392255"/>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769D1E64-0FEC-47DF-9CFA-1ADA3E3749BA}"/>
            </a:ext>
          </a:extLst>
        </xdr:cNvPr>
        <xdr:cNvSpPr/>
      </xdr:nvSpPr>
      <xdr:spPr>
        <a:xfrm>
          <a:off x="1753924" y="72721"/>
          <a:ext cx="1530057" cy="40143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75E77D0E-35A9-4A58-903A-ABEC2CD0E768}"/>
            </a:ext>
          </a:extLst>
        </xdr:cNvPr>
        <xdr:cNvSpPr/>
      </xdr:nvSpPr>
      <xdr:spPr>
        <a:xfrm>
          <a:off x="3374003" y="72721"/>
          <a:ext cx="1341972" cy="40143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6B278063-16E2-4A92-B010-A9C3FD5ABC17}"/>
            </a:ext>
          </a:extLst>
        </xdr:cNvPr>
        <xdr:cNvSpPr/>
      </xdr:nvSpPr>
      <xdr:spPr>
        <a:xfrm>
          <a:off x="5135050" y="82909"/>
          <a:ext cx="1286655" cy="392255"/>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152400</xdr:colOff>
      <xdr:row>1</xdr:row>
      <xdr:rowOff>114300</xdr:rowOff>
    </xdr:from>
    <xdr:to>
      <xdr:col>1</xdr:col>
      <xdr:colOff>755649</xdr:colOff>
      <xdr:row>3</xdr:row>
      <xdr:rowOff>297529</xdr:rowOff>
    </xdr:to>
    <xdr:pic>
      <xdr:nvPicPr>
        <xdr:cNvPr id="6" name="Imagen 5">
          <a:extLst>
            <a:ext uri="{FF2B5EF4-FFF2-40B4-BE49-F238E27FC236}">
              <a16:creationId xmlns:a16="http://schemas.microsoft.com/office/drawing/2014/main" id="{D8816AD2-2859-4575-88B7-18C42F45291D}"/>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52400" y="885825"/>
          <a:ext cx="1212849" cy="1078579"/>
        </a:xfrm>
        <a:prstGeom prst="rect">
          <a:avLst/>
        </a:prstGeom>
      </xdr:spPr>
    </xdr:pic>
    <xdr:clientData/>
  </xdr:twoCellAnchor>
  <xdr:twoCellAnchor editAs="oneCell">
    <xdr:from>
      <xdr:col>2</xdr:col>
      <xdr:colOff>219075</xdr:colOff>
      <xdr:row>1</xdr:row>
      <xdr:rowOff>85725</xdr:rowOff>
    </xdr:from>
    <xdr:to>
      <xdr:col>2</xdr:col>
      <xdr:colOff>1365886</xdr:colOff>
      <xdr:row>3</xdr:row>
      <xdr:rowOff>351034</xdr:rowOff>
    </xdr:to>
    <xdr:pic>
      <xdr:nvPicPr>
        <xdr:cNvPr id="7" name="Imagen 6">
          <a:extLst>
            <a:ext uri="{FF2B5EF4-FFF2-40B4-BE49-F238E27FC236}">
              <a16:creationId xmlns:a16="http://schemas.microsoft.com/office/drawing/2014/main" id="{AD8E7546-60DA-42BA-A833-EE5892833030}"/>
            </a:ext>
          </a:extLst>
        </xdr:cNvPr>
        <xdr:cNvPicPr>
          <a:picLocks noChangeAspect="1"/>
        </xdr:cNvPicPr>
      </xdr:nvPicPr>
      <xdr:blipFill>
        <a:blip xmlns:r="http://schemas.openxmlformats.org/officeDocument/2006/relationships" r:embed="rId6"/>
        <a:stretch>
          <a:fillRect/>
        </a:stretch>
      </xdr:blipFill>
      <xdr:spPr>
        <a:xfrm>
          <a:off x="1647825" y="857250"/>
          <a:ext cx="1146811" cy="1160659"/>
        </a:xfrm>
        <a:prstGeom prst="rect">
          <a:avLst/>
        </a:prstGeom>
      </xdr:spPr>
    </xdr:pic>
    <xdr:clientData/>
  </xdr:twoCellAnchor>
</xdr:wsDr>
</file>

<file path=xl/drawings/drawing73.xml><?xml version="1.0" encoding="utf-8"?>
<xdr:wsDr xmlns:xdr="http://schemas.openxmlformats.org/drawingml/2006/spreadsheetDrawing" xmlns:a="http://schemas.openxmlformats.org/drawingml/2006/main">
  <xdr:twoCellAnchor>
    <xdr:from>
      <xdr:col>0</xdr:col>
      <xdr:colOff>498282</xdr:colOff>
      <xdr:row>0</xdr:row>
      <xdr:rowOff>155299</xdr:rowOff>
    </xdr:from>
    <xdr:to>
      <xdr:col>2</xdr:col>
      <xdr:colOff>100576</xdr:colOff>
      <xdr:row>1</xdr:row>
      <xdr:rowOff>7053</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7EE92CCE-7EE2-4B2C-A506-8A6BD489F849}"/>
            </a:ext>
          </a:extLst>
        </xdr:cNvPr>
        <xdr:cNvSpPr/>
      </xdr:nvSpPr>
      <xdr:spPr>
        <a:xfrm>
          <a:off x="498282" y="155299"/>
          <a:ext cx="1031044" cy="470879"/>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633784</xdr:colOff>
      <xdr:row>0</xdr:row>
      <xdr:rowOff>148921</xdr:rowOff>
    </xdr:from>
    <xdr:to>
      <xdr:col>3</xdr:col>
      <xdr:colOff>247132</xdr:colOff>
      <xdr:row>1</xdr:row>
      <xdr:rowOff>5877</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3232FE37-95CF-458E-BACE-FD0B79E1CCD3}"/>
            </a:ext>
          </a:extLst>
        </xdr:cNvPr>
        <xdr:cNvSpPr/>
      </xdr:nvSpPr>
      <xdr:spPr>
        <a:xfrm>
          <a:off x="2062534" y="148921"/>
          <a:ext cx="1337373" cy="476081"/>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426968</xdr:colOff>
      <xdr:row>0</xdr:row>
      <xdr:rowOff>148921</xdr:rowOff>
    </xdr:from>
    <xdr:to>
      <xdr:col>4</xdr:col>
      <xdr:colOff>304096</xdr:colOff>
      <xdr:row>1</xdr:row>
      <xdr:rowOff>5877</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14545B51-8E04-459E-B5D2-D980188EE9FF}"/>
            </a:ext>
          </a:extLst>
        </xdr:cNvPr>
        <xdr:cNvSpPr/>
      </xdr:nvSpPr>
      <xdr:spPr>
        <a:xfrm>
          <a:off x="3579743" y="148921"/>
          <a:ext cx="1277303" cy="476081"/>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890710</xdr:colOff>
      <xdr:row>0</xdr:row>
      <xdr:rowOff>155299</xdr:rowOff>
    </xdr:from>
    <xdr:to>
      <xdr:col>6</xdr:col>
      <xdr:colOff>426269</xdr:colOff>
      <xdr:row>1</xdr:row>
      <xdr:rowOff>7053</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F8694233-DD94-4E86-8BCD-FD35ADC3FAD4}"/>
            </a:ext>
          </a:extLst>
        </xdr:cNvPr>
        <xdr:cNvSpPr/>
      </xdr:nvSpPr>
      <xdr:spPr>
        <a:xfrm>
          <a:off x="5415085" y="155299"/>
          <a:ext cx="1211959" cy="470879"/>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152401</xdr:colOff>
      <xdr:row>1</xdr:row>
      <xdr:rowOff>57151</xdr:rowOff>
    </xdr:from>
    <xdr:to>
      <xdr:col>1</xdr:col>
      <xdr:colOff>571501</xdr:colOff>
      <xdr:row>3</xdr:row>
      <xdr:rowOff>254384</xdr:rowOff>
    </xdr:to>
    <xdr:pic>
      <xdr:nvPicPr>
        <xdr:cNvPr id="6" name="Imagen 5">
          <a:extLst>
            <a:ext uri="{FF2B5EF4-FFF2-40B4-BE49-F238E27FC236}">
              <a16:creationId xmlns:a16="http://schemas.microsoft.com/office/drawing/2014/main" id="{7E985F5A-73C7-4A56-92CE-48614ACF73CA}"/>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52401" y="676276"/>
          <a:ext cx="1028700" cy="921133"/>
        </a:xfrm>
        <a:prstGeom prst="rect">
          <a:avLst/>
        </a:prstGeom>
      </xdr:spPr>
    </xdr:pic>
    <xdr:clientData/>
  </xdr:twoCellAnchor>
  <xdr:twoCellAnchor editAs="oneCell">
    <xdr:from>
      <xdr:col>2</xdr:col>
      <xdr:colOff>209549</xdr:colOff>
      <xdr:row>1</xdr:row>
      <xdr:rowOff>24766</xdr:rowOff>
    </xdr:from>
    <xdr:to>
      <xdr:col>2</xdr:col>
      <xdr:colOff>1172170</xdr:colOff>
      <xdr:row>3</xdr:row>
      <xdr:rowOff>285751</xdr:rowOff>
    </xdr:to>
    <xdr:pic>
      <xdr:nvPicPr>
        <xdr:cNvPr id="7" name="Imagen 6">
          <a:extLst>
            <a:ext uri="{FF2B5EF4-FFF2-40B4-BE49-F238E27FC236}">
              <a16:creationId xmlns:a16="http://schemas.microsoft.com/office/drawing/2014/main" id="{F5732FE7-5731-421D-8424-41888FE68A93}"/>
            </a:ext>
          </a:extLst>
        </xdr:cNvPr>
        <xdr:cNvPicPr>
          <a:picLocks noChangeAspect="1"/>
        </xdr:cNvPicPr>
      </xdr:nvPicPr>
      <xdr:blipFill>
        <a:blip xmlns:r="http://schemas.openxmlformats.org/officeDocument/2006/relationships" r:embed="rId6"/>
        <a:stretch>
          <a:fillRect/>
        </a:stretch>
      </xdr:blipFill>
      <xdr:spPr>
        <a:xfrm>
          <a:off x="1638299" y="643891"/>
          <a:ext cx="962621" cy="984885"/>
        </a:xfrm>
        <a:prstGeom prst="rect">
          <a:avLst/>
        </a:prstGeom>
      </xdr:spPr>
    </xdr:pic>
    <xdr:clientData/>
  </xdr:twoCellAnchor>
</xdr:wsDr>
</file>

<file path=xl/drawings/drawing74.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7200A746-D570-48E2-B743-4446A7E678FC}"/>
            </a:ext>
          </a:extLst>
        </xdr:cNvPr>
        <xdr:cNvSpPr/>
      </xdr:nvSpPr>
      <xdr:spPr>
        <a:xfrm>
          <a:off x="265872" y="82909"/>
          <a:ext cx="1209672" cy="392255"/>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19B8C622-3ED0-4E24-BDC6-20E8E8AEC5B9}"/>
            </a:ext>
          </a:extLst>
        </xdr:cNvPr>
        <xdr:cNvSpPr/>
      </xdr:nvSpPr>
      <xdr:spPr>
        <a:xfrm>
          <a:off x="1753924" y="72721"/>
          <a:ext cx="1530057" cy="40143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2BB473A7-A27C-4DC1-A8FE-A6FC9ECC3521}"/>
            </a:ext>
          </a:extLst>
        </xdr:cNvPr>
        <xdr:cNvSpPr/>
      </xdr:nvSpPr>
      <xdr:spPr>
        <a:xfrm>
          <a:off x="3374003" y="72721"/>
          <a:ext cx="1341972" cy="40143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D9DE7E15-4614-427F-BBB2-2E84E977810E}"/>
            </a:ext>
          </a:extLst>
        </xdr:cNvPr>
        <xdr:cNvSpPr/>
      </xdr:nvSpPr>
      <xdr:spPr>
        <a:xfrm>
          <a:off x="5135050" y="82909"/>
          <a:ext cx="1286655" cy="392255"/>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152400</xdr:colOff>
      <xdr:row>1</xdr:row>
      <xdr:rowOff>95251</xdr:rowOff>
    </xdr:from>
    <xdr:to>
      <xdr:col>1</xdr:col>
      <xdr:colOff>755649</xdr:colOff>
      <xdr:row>3</xdr:row>
      <xdr:rowOff>278480</xdr:rowOff>
    </xdr:to>
    <xdr:pic>
      <xdr:nvPicPr>
        <xdr:cNvPr id="6" name="Imagen 5">
          <a:extLst>
            <a:ext uri="{FF2B5EF4-FFF2-40B4-BE49-F238E27FC236}">
              <a16:creationId xmlns:a16="http://schemas.microsoft.com/office/drawing/2014/main" id="{419CAD7F-7C10-4ACC-A414-008600D5274B}"/>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52400" y="866776"/>
          <a:ext cx="1212849" cy="1078579"/>
        </a:xfrm>
        <a:prstGeom prst="rect">
          <a:avLst/>
        </a:prstGeom>
      </xdr:spPr>
    </xdr:pic>
    <xdr:clientData/>
  </xdr:twoCellAnchor>
  <xdr:twoCellAnchor editAs="oneCell">
    <xdr:from>
      <xdr:col>2</xdr:col>
      <xdr:colOff>209548</xdr:colOff>
      <xdr:row>1</xdr:row>
      <xdr:rowOff>47625</xdr:rowOff>
    </xdr:from>
    <xdr:to>
      <xdr:col>2</xdr:col>
      <xdr:colOff>1356359</xdr:colOff>
      <xdr:row>3</xdr:row>
      <xdr:rowOff>312934</xdr:rowOff>
    </xdr:to>
    <xdr:pic>
      <xdr:nvPicPr>
        <xdr:cNvPr id="7" name="Imagen 6">
          <a:extLst>
            <a:ext uri="{FF2B5EF4-FFF2-40B4-BE49-F238E27FC236}">
              <a16:creationId xmlns:a16="http://schemas.microsoft.com/office/drawing/2014/main" id="{B6B53725-9043-43EF-94D8-A8ECEBED0DFD}"/>
            </a:ext>
          </a:extLst>
        </xdr:cNvPr>
        <xdr:cNvPicPr>
          <a:picLocks noChangeAspect="1"/>
        </xdr:cNvPicPr>
      </xdr:nvPicPr>
      <xdr:blipFill>
        <a:blip xmlns:r="http://schemas.openxmlformats.org/officeDocument/2006/relationships" r:embed="rId6"/>
        <a:stretch>
          <a:fillRect/>
        </a:stretch>
      </xdr:blipFill>
      <xdr:spPr>
        <a:xfrm>
          <a:off x="1638298" y="819150"/>
          <a:ext cx="1146811" cy="1160659"/>
        </a:xfrm>
        <a:prstGeom prst="rect">
          <a:avLst/>
        </a:prstGeom>
      </xdr:spPr>
    </xdr:pic>
    <xdr:clientData/>
  </xdr:twoCellAnchor>
</xdr:wsDr>
</file>

<file path=xl/drawings/drawing75.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ED349A82-50EA-4E8A-8615-3EA4714BA963}"/>
            </a:ext>
          </a:extLst>
        </xdr:cNvPr>
        <xdr:cNvSpPr/>
      </xdr:nvSpPr>
      <xdr:spPr>
        <a:xfrm>
          <a:off x="265872" y="82909"/>
          <a:ext cx="1209672" cy="392255"/>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4309F520-8C1D-4848-BDA5-2190C7E441E7}"/>
            </a:ext>
          </a:extLst>
        </xdr:cNvPr>
        <xdr:cNvSpPr/>
      </xdr:nvSpPr>
      <xdr:spPr>
        <a:xfrm>
          <a:off x="1753924" y="72721"/>
          <a:ext cx="1530057" cy="40143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3FC183B6-5284-4192-AF9A-07F254A6D42F}"/>
            </a:ext>
          </a:extLst>
        </xdr:cNvPr>
        <xdr:cNvSpPr/>
      </xdr:nvSpPr>
      <xdr:spPr>
        <a:xfrm>
          <a:off x="3374003" y="72721"/>
          <a:ext cx="1341972" cy="40143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09230073-8140-4E8A-AF74-86564E23799B}"/>
            </a:ext>
          </a:extLst>
        </xdr:cNvPr>
        <xdr:cNvSpPr/>
      </xdr:nvSpPr>
      <xdr:spPr>
        <a:xfrm>
          <a:off x="5135050" y="82909"/>
          <a:ext cx="1286655" cy="392255"/>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133350</xdr:colOff>
      <xdr:row>1</xdr:row>
      <xdr:rowOff>95250</xdr:rowOff>
    </xdr:from>
    <xdr:to>
      <xdr:col>1</xdr:col>
      <xdr:colOff>736599</xdr:colOff>
      <xdr:row>3</xdr:row>
      <xdr:rowOff>278479</xdr:rowOff>
    </xdr:to>
    <xdr:pic>
      <xdr:nvPicPr>
        <xdr:cNvPr id="6" name="Imagen 5">
          <a:extLst>
            <a:ext uri="{FF2B5EF4-FFF2-40B4-BE49-F238E27FC236}">
              <a16:creationId xmlns:a16="http://schemas.microsoft.com/office/drawing/2014/main" id="{50AED7EF-A3EF-42F6-B480-5BBFDC53F9FB}"/>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33350" y="866775"/>
          <a:ext cx="1212849" cy="1078579"/>
        </a:xfrm>
        <a:prstGeom prst="rect">
          <a:avLst/>
        </a:prstGeom>
      </xdr:spPr>
    </xdr:pic>
    <xdr:clientData/>
  </xdr:twoCellAnchor>
  <xdr:twoCellAnchor editAs="oneCell">
    <xdr:from>
      <xdr:col>2</xdr:col>
      <xdr:colOff>247650</xdr:colOff>
      <xdr:row>1</xdr:row>
      <xdr:rowOff>76200</xdr:rowOff>
    </xdr:from>
    <xdr:to>
      <xdr:col>2</xdr:col>
      <xdr:colOff>1394461</xdr:colOff>
      <xdr:row>3</xdr:row>
      <xdr:rowOff>341509</xdr:rowOff>
    </xdr:to>
    <xdr:pic>
      <xdr:nvPicPr>
        <xdr:cNvPr id="7" name="Imagen 6">
          <a:extLst>
            <a:ext uri="{FF2B5EF4-FFF2-40B4-BE49-F238E27FC236}">
              <a16:creationId xmlns:a16="http://schemas.microsoft.com/office/drawing/2014/main" id="{7510FECC-9D06-44E7-8D6B-E041D1FC6848}"/>
            </a:ext>
          </a:extLst>
        </xdr:cNvPr>
        <xdr:cNvPicPr>
          <a:picLocks noChangeAspect="1"/>
        </xdr:cNvPicPr>
      </xdr:nvPicPr>
      <xdr:blipFill>
        <a:blip xmlns:r="http://schemas.openxmlformats.org/officeDocument/2006/relationships" r:embed="rId6"/>
        <a:stretch>
          <a:fillRect/>
        </a:stretch>
      </xdr:blipFill>
      <xdr:spPr>
        <a:xfrm>
          <a:off x="1676400" y="847725"/>
          <a:ext cx="1146811" cy="1160659"/>
        </a:xfrm>
        <a:prstGeom prst="rect">
          <a:avLst/>
        </a:prstGeom>
      </xdr:spPr>
    </xdr:pic>
    <xdr:clientData/>
  </xdr:twoCellAnchor>
</xdr:wsDr>
</file>

<file path=xl/drawings/drawing76.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56FBFE47-B718-4309-B83A-F396FE78E737}"/>
            </a:ext>
          </a:extLst>
        </xdr:cNvPr>
        <xdr:cNvSpPr/>
      </xdr:nvSpPr>
      <xdr:spPr>
        <a:xfrm>
          <a:off x="265872" y="82909"/>
          <a:ext cx="1209672" cy="392255"/>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258B4471-932D-45B7-849D-FDE99EBB6001}"/>
            </a:ext>
          </a:extLst>
        </xdr:cNvPr>
        <xdr:cNvSpPr/>
      </xdr:nvSpPr>
      <xdr:spPr>
        <a:xfrm>
          <a:off x="1753924" y="72721"/>
          <a:ext cx="1530057" cy="40143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0DE06D84-D770-4797-8275-9D62350C20C8}"/>
            </a:ext>
          </a:extLst>
        </xdr:cNvPr>
        <xdr:cNvSpPr/>
      </xdr:nvSpPr>
      <xdr:spPr>
        <a:xfrm>
          <a:off x="3374003" y="72721"/>
          <a:ext cx="1341972" cy="40143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B52FF84D-11D2-4BCB-8AD5-F80844E447E6}"/>
            </a:ext>
          </a:extLst>
        </xdr:cNvPr>
        <xdr:cNvSpPr/>
      </xdr:nvSpPr>
      <xdr:spPr>
        <a:xfrm>
          <a:off x="5135050" y="82909"/>
          <a:ext cx="1286655" cy="392255"/>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142875</xdr:colOff>
      <xdr:row>1</xdr:row>
      <xdr:rowOff>76200</xdr:rowOff>
    </xdr:from>
    <xdr:to>
      <xdr:col>1</xdr:col>
      <xdr:colOff>746124</xdr:colOff>
      <xdr:row>3</xdr:row>
      <xdr:rowOff>259429</xdr:rowOff>
    </xdr:to>
    <xdr:pic>
      <xdr:nvPicPr>
        <xdr:cNvPr id="6" name="Imagen 5">
          <a:extLst>
            <a:ext uri="{FF2B5EF4-FFF2-40B4-BE49-F238E27FC236}">
              <a16:creationId xmlns:a16="http://schemas.microsoft.com/office/drawing/2014/main" id="{7F9EC707-FDE0-43BC-A311-35514BDCF0C5}"/>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42875" y="847725"/>
          <a:ext cx="1212849" cy="1078579"/>
        </a:xfrm>
        <a:prstGeom prst="rect">
          <a:avLst/>
        </a:prstGeom>
      </xdr:spPr>
    </xdr:pic>
    <xdr:clientData/>
  </xdr:twoCellAnchor>
  <xdr:twoCellAnchor editAs="oneCell">
    <xdr:from>
      <xdr:col>2</xdr:col>
      <xdr:colOff>247650</xdr:colOff>
      <xdr:row>1</xdr:row>
      <xdr:rowOff>47625</xdr:rowOff>
    </xdr:from>
    <xdr:to>
      <xdr:col>2</xdr:col>
      <xdr:colOff>1394461</xdr:colOff>
      <xdr:row>3</xdr:row>
      <xdr:rowOff>312934</xdr:rowOff>
    </xdr:to>
    <xdr:pic>
      <xdr:nvPicPr>
        <xdr:cNvPr id="7" name="Imagen 6">
          <a:extLst>
            <a:ext uri="{FF2B5EF4-FFF2-40B4-BE49-F238E27FC236}">
              <a16:creationId xmlns:a16="http://schemas.microsoft.com/office/drawing/2014/main" id="{25733A83-ADF6-45BF-84E0-8F768AA2A33C}"/>
            </a:ext>
          </a:extLst>
        </xdr:cNvPr>
        <xdr:cNvPicPr>
          <a:picLocks noChangeAspect="1"/>
        </xdr:cNvPicPr>
      </xdr:nvPicPr>
      <xdr:blipFill>
        <a:blip xmlns:r="http://schemas.openxmlformats.org/officeDocument/2006/relationships" r:embed="rId6"/>
        <a:stretch>
          <a:fillRect/>
        </a:stretch>
      </xdr:blipFill>
      <xdr:spPr>
        <a:xfrm>
          <a:off x="1676400" y="819150"/>
          <a:ext cx="1146811" cy="1160659"/>
        </a:xfrm>
        <a:prstGeom prst="rect">
          <a:avLst/>
        </a:prstGeom>
      </xdr:spPr>
    </xdr:pic>
    <xdr:clientData/>
  </xdr:twoCellAnchor>
</xdr:wsDr>
</file>

<file path=xl/drawings/drawing77.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BF75080D-AF6C-4640-BBEC-68EA7687D887}"/>
            </a:ext>
          </a:extLst>
        </xdr:cNvPr>
        <xdr:cNvSpPr/>
      </xdr:nvSpPr>
      <xdr:spPr>
        <a:xfrm>
          <a:off x="265872" y="82909"/>
          <a:ext cx="1209672" cy="392255"/>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37AA458A-5E50-45E6-8118-AE4FDDCBA37C}"/>
            </a:ext>
          </a:extLst>
        </xdr:cNvPr>
        <xdr:cNvSpPr/>
      </xdr:nvSpPr>
      <xdr:spPr>
        <a:xfrm>
          <a:off x="1753924" y="72721"/>
          <a:ext cx="1530057" cy="40143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74565C07-0B33-496F-98CD-1E1A6EEBB29C}"/>
            </a:ext>
          </a:extLst>
        </xdr:cNvPr>
        <xdr:cNvSpPr/>
      </xdr:nvSpPr>
      <xdr:spPr>
        <a:xfrm>
          <a:off x="3374003" y="72721"/>
          <a:ext cx="1341972" cy="40143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CB83FFB0-C273-4739-9826-644F83D9BE06}"/>
            </a:ext>
          </a:extLst>
        </xdr:cNvPr>
        <xdr:cNvSpPr/>
      </xdr:nvSpPr>
      <xdr:spPr>
        <a:xfrm>
          <a:off x="5135050" y="82909"/>
          <a:ext cx="1286655" cy="392255"/>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142875</xdr:colOff>
      <xdr:row>1</xdr:row>
      <xdr:rowOff>76200</xdr:rowOff>
    </xdr:from>
    <xdr:to>
      <xdr:col>1</xdr:col>
      <xdr:colOff>746124</xdr:colOff>
      <xdr:row>3</xdr:row>
      <xdr:rowOff>259429</xdr:rowOff>
    </xdr:to>
    <xdr:pic>
      <xdr:nvPicPr>
        <xdr:cNvPr id="6" name="Imagen 5">
          <a:extLst>
            <a:ext uri="{FF2B5EF4-FFF2-40B4-BE49-F238E27FC236}">
              <a16:creationId xmlns:a16="http://schemas.microsoft.com/office/drawing/2014/main" id="{E8420C1C-AF31-4377-A7FA-3B34B7AA9FE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42875" y="847725"/>
          <a:ext cx="1212849" cy="1078579"/>
        </a:xfrm>
        <a:prstGeom prst="rect">
          <a:avLst/>
        </a:prstGeom>
      </xdr:spPr>
    </xdr:pic>
    <xdr:clientData/>
  </xdr:twoCellAnchor>
  <xdr:twoCellAnchor editAs="oneCell">
    <xdr:from>
      <xdr:col>2</xdr:col>
      <xdr:colOff>247650</xdr:colOff>
      <xdr:row>1</xdr:row>
      <xdr:rowOff>47625</xdr:rowOff>
    </xdr:from>
    <xdr:to>
      <xdr:col>2</xdr:col>
      <xdr:colOff>1394461</xdr:colOff>
      <xdr:row>3</xdr:row>
      <xdr:rowOff>312934</xdr:rowOff>
    </xdr:to>
    <xdr:pic>
      <xdr:nvPicPr>
        <xdr:cNvPr id="7" name="Imagen 6">
          <a:extLst>
            <a:ext uri="{FF2B5EF4-FFF2-40B4-BE49-F238E27FC236}">
              <a16:creationId xmlns:a16="http://schemas.microsoft.com/office/drawing/2014/main" id="{BDEB8B84-C5CA-4CA8-BBCB-E6E930D55787}"/>
            </a:ext>
          </a:extLst>
        </xdr:cNvPr>
        <xdr:cNvPicPr>
          <a:picLocks noChangeAspect="1"/>
        </xdr:cNvPicPr>
      </xdr:nvPicPr>
      <xdr:blipFill>
        <a:blip xmlns:r="http://schemas.openxmlformats.org/officeDocument/2006/relationships" r:embed="rId6"/>
        <a:stretch>
          <a:fillRect/>
        </a:stretch>
      </xdr:blipFill>
      <xdr:spPr>
        <a:xfrm>
          <a:off x="1676400" y="819150"/>
          <a:ext cx="1146811" cy="1160659"/>
        </a:xfrm>
        <a:prstGeom prst="rect">
          <a:avLst/>
        </a:prstGeom>
      </xdr:spPr>
    </xdr:pic>
    <xdr:clientData/>
  </xdr:twoCellAnchor>
</xdr:wsDr>
</file>

<file path=xl/drawings/drawing78.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D704F27D-F2CA-47F6-AA02-3C943C2DAADF}"/>
            </a:ext>
          </a:extLst>
        </xdr:cNvPr>
        <xdr:cNvSpPr/>
      </xdr:nvSpPr>
      <xdr:spPr>
        <a:xfrm>
          <a:off x="265872" y="82909"/>
          <a:ext cx="1209672" cy="392255"/>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FE19A548-C2D7-4AEF-A728-7244C4C33B7C}"/>
            </a:ext>
          </a:extLst>
        </xdr:cNvPr>
        <xdr:cNvSpPr/>
      </xdr:nvSpPr>
      <xdr:spPr>
        <a:xfrm>
          <a:off x="1753924" y="72721"/>
          <a:ext cx="1530057" cy="40143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4244F2FB-3C4E-4081-B8E7-B2FFDAB1852E}"/>
            </a:ext>
          </a:extLst>
        </xdr:cNvPr>
        <xdr:cNvSpPr/>
      </xdr:nvSpPr>
      <xdr:spPr>
        <a:xfrm>
          <a:off x="3374003" y="72721"/>
          <a:ext cx="1341972" cy="40143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3A858A60-0FAF-48BF-BF18-03812CB30DAE}"/>
            </a:ext>
          </a:extLst>
        </xdr:cNvPr>
        <xdr:cNvSpPr/>
      </xdr:nvSpPr>
      <xdr:spPr>
        <a:xfrm>
          <a:off x="5135050" y="82909"/>
          <a:ext cx="1286655" cy="392255"/>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142875</xdr:colOff>
      <xdr:row>1</xdr:row>
      <xdr:rowOff>76200</xdr:rowOff>
    </xdr:from>
    <xdr:to>
      <xdr:col>1</xdr:col>
      <xdr:colOff>746124</xdr:colOff>
      <xdr:row>3</xdr:row>
      <xdr:rowOff>259429</xdr:rowOff>
    </xdr:to>
    <xdr:pic>
      <xdr:nvPicPr>
        <xdr:cNvPr id="6" name="Imagen 5">
          <a:extLst>
            <a:ext uri="{FF2B5EF4-FFF2-40B4-BE49-F238E27FC236}">
              <a16:creationId xmlns:a16="http://schemas.microsoft.com/office/drawing/2014/main" id="{A71CEF9C-9E2A-4304-9E7A-04B28C4783AC}"/>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42875" y="847725"/>
          <a:ext cx="1212849" cy="1078579"/>
        </a:xfrm>
        <a:prstGeom prst="rect">
          <a:avLst/>
        </a:prstGeom>
      </xdr:spPr>
    </xdr:pic>
    <xdr:clientData/>
  </xdr:twoCellAnchor>
  <xdr:twoCellAnchor editAs="oneCell">
    <xdr:from>
      <xdr:col>2</xdr:col>
      <xdr:colOff>247650</xdr:colOff>
      <xdr:row>1</xdr:row>
      <xdr:rowOff>47625</xdr:rowOff>
    </xdr:from>
    <xdr:to>
      <xdr:col>2</xdr:col>
      <xdr:colOff>1394461</xdr:colOff>
      <xdr:row>3</xdr:row>
      <xdr:rowOff>312934</xdr:rowOff>
    </xdr:to>
    <xdr:pic>
      <xdr:nvPicPr>
        <xdr:cNvPr id="7" name="Imagen 6">
          <a:extLst>
            <a:ext uri="{FF2B5EF4-FFF2-40B4-BE49-F238E27FC236}">
              <a16:creationId xmlns:a16="http://schemas.microsoft.com/office/drawing/2014/main" id="{EF019FD1-DAB2-4FF4-A891-6F33CD1C9EFF}"/>
            </a:ext>
          </a:extLst>
        </xdr:cNvPr>
        <xdr:cNvPicPr>
          <a:picLocks noChangeAspect="1"/>
        </xdr:cNvPicPr>
      </xdr:nvPicPr>
      <xdr:blipFill>
        <a:blip xmlns:r="http://schemas.openxmlformats.org/officeDocument/2006/relationships" r:embed="rId6"/>
        <a:stretch>
          <a:fillRect/>
        </a:stretch>
      </xdr:blipFill>
      <xdr:spPr>
        <a:xfrm>
          <a:off x="1676400" y="819150"/>
          <a:ext cx="1146811" cy="1160659"/>
        </a:xfrm>
        <a:prstGeom prst="rect">
          <a:avLst/>
        </a:prstGeom>
      </xdr:spPr>
    </xdr:pic>
    <xdr:clientData/>
  </xdr:twoCellAnchor>
</xdr:wsDr>
</file>

<file path=xl/drawings/drawing79.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4ECBEF90-F152-4644-B873-82ADA6171E95}"/>
            </a:ext>
          </a:extLst>
        </xdr:cNvPr>
        <xdr:cNvSpPr/>
      </xdr:nvSpPr>
      <xdr:spPr>
        <a:xfrm>
          <a:off x="265872" y="82909"/>
          <a:ext cx="1209672" cy="392255"/>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5F34A12A-A569-4FC5-B6E1-14197EB29187}"/>
            </a:ext>
          </a:extLst>
        </xdr:cNvPr>
        <xdr:cNvSpPr/>
      </xdr:nvSpPr>
      <xdr:spPr>
        <a:xfrm>
          <a:off x="1753924" y="72721"/>
          <a:ext cx="1530057" cy="40143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7503B47F-67C2-473E-8BED-03BA60B46762}"/>
            </a:ext>
          </a:extLst>
        </xdr:cNvPr>
        <xdr:cNvSpPr/>
      </xdr:nvSpPr>
      <xdr:spPr>
        <a:xfrm>
          <a:off x="3374003" y="72721"/>
          <a:ext cx="1341972" cy="40143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8AEAC248-CFF5-4A6C-9FA2-90CF283148A2}"/>
            </a:ext>
          </a:extLst>
        </xdr:cNvPr>
        <xdr:cNvSpPr/>
      </xdr:nvSpPr>
      <xdr:spPr>
        <a:xfrm>
          <a:off x="5135050" y="82909"/>
          <a:ext cx="1286655" cy="392255"/>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142875</xdr:colOff>
      <xdr:row>1</xdr:row>
      <xdr:rowOff>76200</xdr:rowOff>
    </xdr:from>
    <xdr:to>
      <xdr:col>1</xdr:col>
      <xdr:colOff>746124</xdr:colOff>
      <xdr:row>3</xdr:row>
      <xdr:rowOff>259429</xdr:rowOff>
    </xdr:to>
    <xdr:pic>
      <xdr:nvPicPr>
        <xdr:cNvPr id="6" name="Imagen 5">
          <a:extLst>
            <a:ext uri="{FF2B5EF4-FFF2-40B4-BE49-F238E27FC236}">
              <a16:creationId xmlns:a16="http://schemas.microsoft.com/office/drawing/2014/main" id="{8E8DC2D5-1ABB-49B9-B360-A3476CF8B7B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42875" y="847725"/>
          <a:ext cx="1212849" cy="1078579"/>
        </a:xfrm>
        <a:prstGeom prst="rect">
          <a:avLst/>
        </a:prstGeom>
      </xdr:spPr>
    </xdr:pic>
    <xdr:clientData/>
  </xdr:twoCellAnchor>
  <xdr:twoCellAnchor editAs="oneCell">
    <xdr:from>
      <xdr:col>2</xdr:col>
      <xdr:colOff>247650</xdr:colOff>
      <xdr:row>1</xdr:row>
      <xdr:rowOff>47625</xdr:rowOff>
    </xdr:from>
    <xdr:to>
      <xdr:col>2</xdr:col>
      <xdr:colOff>1394461</xdr:colOff>
      <xdr:row>3</xdr:row>
      <xdr:rowOff>312934</xdr:rowOff>
    </xdr:to>
    <xdr:pic>
      <xdr:nvPicPr>
        <xdr:cNvPr id="7" name="Imagen 6">
          <a:extLst>
            <a:ext uri="{FF2B5EF4-FFF2-40B4-BE49-F238E27FC236}">
              <a16:creationId xmlns:a16="http://schemas.microsoft.com/office/drawing/2014/main" id="{4C7A0E65-A496-4E85-BF0B-4A1B57D0257E}"/>
            </a:ext>
          </a:extLst>
        </xdr:cNvPr>
        <xdr:cNvPicPr>
          <a:picLocks noChangeAspect="1"/>
        </xdr:cNvPicPr>
      </xdr:nvPicPr>
      <xdr:blipFill>
        <a:blip xmlns:r="http://schemas.openxmlformats.org/officeDocument/2006/relationships" r:embed="rId6"/>
        <a:stretch>
          <a:fillRect/>
        </a:stretch>
      </xdr:blipFill>
      <xdr:spPr>
        <a:xfrm>
          <a:off x="1676400" y="819150"/>
          <a:ext cx="1146811" cy="1160659"/>
        </a:xfrm>
        <a:prstGeom prst="rect">
          <a:avLst/>
        </a:prstGeom>
      </xdr:spPr>
    </xdr:pic>
    <xdr:clientData/>
  </xdr:twoCellAnchor>
</xdr:wsDr>
</file>

<file path=xl/drawings/drawing80.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DC3DEDF7-8F6E-44DD-9530-D0E965407267}"/>
            </a:ext>
          </a:extLst>
        </xdr:cNvPr>
        <xdr:cNvSpPr/>
      </xdr:nvSpPr>
      <xdr:spPr>
        <a:xfrm>
          <a:off x="265872" y="82909"/>
          <a:ext cx="1209672" cy="392255"/>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FCA55BCE-6A5B-4565-A5A9-034B363CF2A6}"/>
            </a:ext>
          </a:extLst>
        </xdr:cNvPr>
        <xdr:cNvSpPr/>
      </xdr:nvSpPr>
      <xdr:spPr>
        <a:xfrm>
          <a:off x="1753924" y="72721"/>
          <a:ext cx="1530057" cy="40143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880EC898-CBE9-423F-8954-CB07C9A94141}"/>
            </a:ext>
          </a:extLst>
        </xdr:cNvPr>
        <xdr:cNvSpPr/>
      </xdr:nvSpPr>
      <xdr:spPr>
        <a:xfrm>
          <a:off x="3374003" y="72721"/>
          <a:ext cx="1341972" cy="40143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ED014C6B-21B0-4F95-B582-AD99D717E5D6}"/>
            </a:ext>
          </a:extLst>
        </xdr:cNvPr>
        <xdr:cNvSpPr/>
      </xdr:nvSpPr>
      <xdr:spPr>
        <a:xfrm>
          <a:off x="5135050" y="82909"/>
          <a:ext cx="1286655" cy="392255"/>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114300</xdr:colOff>
      <xdr:row>1</xdr:row>
      <xdr:rowOff>95250</xdr:rowOff>
    </xdr:from>
    <xdr:to>
      <xdr:col>1</xdr:col>
      <xdr:colOff>717549</xdr:colOff>
      <xdr:row>3</xdr:row>
      <xdr:rowOff>278479</xdr:rowOff>
    </xdr:to>
    <xdr:pic>
      <xdr:nvPicPr>
        <xdr:cNvPr id="6" name="Imagen 5">
          <a:extLst>
            <a:ext uri="{FF2B5EF4-FFF2-40B4-BE49-F238E27FC236}">
              <a16:creationId xmlns:a16="http://schemas.microsoft.com/office/drawing/2014/main" id="{45380723-7E28-44A1-BDB8-528AAE367E35}"/>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14300" y="866775"/>
          <a:ext cx="1212849" cy="1078579"/>
        </a:xfrm>
        <a:prstGeom prst="rect">
          <a:avLst/>
        </a:prstGeom>
      </xdr:spPr>
    </xdr:pic>
    <xdr:clientData/>
  </xdr:twoCellAnchor>
  <xdr:twoCellAnchor editAs="oneCell">
    <xdr:from>
      <xdr:col>2</xdr:col>
      <xdr:colOff>238125</xdr:colOff>
      <xdr:row>1</xdr:row>
      <xdr:rowOff>47625</xdr:rowOff>
    </xdr:from>
    <xdr:to>
      <xdr:col>2</xdr:col>
      <xdr:colOff>1384936</xdr:colOff>
      <xdr:row>3</xdr:row>
      <xdr:rowOff>312934</xdr:rowOff>
    </xdr:to>
    <xdr:pic>
      <xdr:nvPicPr>
        <xdr:cNvPr id="7" name="Imagen 6">
          <a:extLst>
            <a:ext uri="{FF2B5EF4-FFF2-40B4-BE49-F238E27FC236}">
              <a16:creationId xmlns:a16="http://schemas.microsoft.com/office/drawing/2014/main" id="{06220401-DDFB-4260-8EC4-5C49BE6BE69F}"/>
            </a:ext>
          </a:extLst>
        </xdr:cNvPr>
        <xdr:cNvPicPr>
          <a:picLocks noChangeAspect="1"/>
        </xdr:cNvPicPr>
      </xdr:nvPicPr>
      <xdr:blipFill>
        <a:blip xmlns:r="http://schemas.openxmlformats.org/officeDocument/2006/relationships" r:embed="rId6"/>
        <a:stretch>
          <a:fillRect/>
        </a:stretch>
      </xdr:blipFill>
      <xdr:spPr>
        <a:xfrm>
          <a:off x="1666875" y="819150"/>
          <a:ext cx="1146811" cy="1160659"/>
        </a:xfrm>
        <a:prstGeom prst="rect">
          <a:avLst/>
        </a:prstGeom>
      </xdr:spPr>
    </xdr:pic>
    <xdr:clientData/>
  </xdr:twoCellAnchor>
</xdr:wsDr>
</file>

<file path=xl/drawings/drawing81.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41A6E932-415D-4C3B-941F-C043014EB196}"/>
            </a:ext>
          </a:extLst>
        </xdr:cNvPr>
        <xdr:cNvSpPr/>
      </xdr:nvSpPr>
      <xdr:spPr>
        <a:xfrm>
          <a:off x="265872" y="82909"/>
          <a:ext cx="1209672" cy="392255"/>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CFEDA874-B6BB-4D53-9BCE-2752FA2CBFEF}"/>
            </a:ext>
          </a:extLst>
        </xdr:cNvPr>
        <xdr:cNvSpPr/>
      </xdr:nvSpPr>
      <xdr:spPr>
        <a:xfrm>
          <a:off x="1753924" y="72721"/>
          <a:ext cx="1530057" cy="40143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73AA8A67-7C32-4893-8D2B-DC86F69AE903}"/>
            </a:ext>
          </a:extLst>
        </xdr:cNvPr>
        <xdr:cNvSpPr/>
      </xdr:nvSpPr>
      <xdr:spPr>
        <a:xfrm>
          <a:off x="3374003" y="72721"/>
          <a:ext cx="1341972" cy="40143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513C82CE-B5FF-42C8-BE4F-9041DD794920}"/>
            </a:ext>
          </a:extLst>
        </xdr:cNvPr>
        <xdr:cNvSpPr/>
      </xdr:nvSpPr>
      <xdr:spPr>
        <a:xfrm>
          <a:off x="5135050" y="82909"/>
          <a:ext cx="1286655" cy="392255"/>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114300</xdr:colOff>
      <xdr:row>1</xdr:row>
      <xdr:rowOff>95250</xdr:rowOff>
    </xdr:from>
    <xdr:to>
      <xdr:col>1</xdr:col>
      <xdr:colOff>717549</xdr:colOff>
      <xdr:row>3</xdr:row>
      <xdr:rowOff>278479</xdr:rowOff>
    </xdr:to>
    <xdr:pic>
      <xdr:nvPicPr>
        <xdr:cNvPr id="6" name="Imagen 5">
          <a:extLst>
            <a:ext uri="{FF2B5EF4-FFF2-40B4-BE49-F238E27FC236}">
              <a16:creationId xmlns:a16="http://schemas.microsoft.com/office/drawing/2014/main" id="{4BFA09EE-6972-41F6-B6DA-D312B4421C5D}"/>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14300" y="866775"/>
          <a:ext cx="1212849" cy="1078579"/>
        </a:xfrm>
        <a:prstGeom prst="rect">
          <a:avLst/>
        </a:prstGeom>
      </xdr:spPr>
    </xdr:pic>
    <xdr:clientData/>
  </xdr:twoCellAnchor>
  <xdr:twoCellAnchor editAs="oneCell">
    <xdr:from>
      <xdr:col>2</xdr:col>
      <xdr:colOff>238125</xdr:colOff>
      <xdr:row>1</xdr:row>
      <xdr:rowOff>47625</xdr:rowOff>
    </xdr:from>
    <xdr:to>
      <xdr:col>2</xdr:col>
      <xdr:colOff>1384936</xdr:colOff>
      <xdr:row>3</xdr:row>
      <xdr:rowOff>312934</xdr:rowOff>
    </xdr:to>
    <xdr:pic>
      <xdr:nvPicPr>
        <xdr:cNvPr id="7" name="Imagen 6">
          <a:extLst>
            <a:ext uri="{FF2B5EF4-FFF2-40B4-BE49-F238E27FC236}">
              <a16:creationId xmlns:a16="http://schemas.microsoft.com/office/drawing/2014/main" id="{0981D055-585A-4C1D-80FC-0EB7A9CFF019}"/>
            </a:ext>
          </a:extLst>
        </xdr:cNvPr>
        <xdr:cNvPicPr>
          <a:picLocks noChangeAspect="1"/>
        </xdr:cNvPicPr>
      </xdr:nvPicPr>
      <xdr:blipFill>
        <a:blip xmlns:r="http://schemas.openxmlformats.org/officeDocument/2006/relationships" r:embed="rId6"/>
        <a:stretch>
          <a:fillRect/>
        </a:stretch>
      </xdr:blipFill>
      <xdr:spPr>
        <a:xfrm>
          <a:off x="1666875" y="819150"/>
          <a:ext cx="1146811" cy="1160659"/>
        </a:xfrm>
        <a:prstGeom prst="rect">
          <a:avLst/>
        </a:prstGeom>
      </xdr:spPr>
    </xdr:pic>
    <xdr:clientData/>
  </xdr:twoCellAnchor>
</xdr:wsDr>
</file>

<file path=xl/drawings/drawing82.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6C4A2E2F-5E7E-4FC3-9B91-D3991E3AE627}"/>
            </a:ext>
          </a:extLst>
        </xdr:cNvPr>
        <xdr:cNvSpPr/>
      </xdr:nvSpPr>
      <xdr:spPr>
        <a:xfrm>
          <a:off x="265872" y="82909"/>
          <a:ext cx="1209672" cy="392255"/>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C99B5D25-0507-436F-B60F-7974BF58FFCF}"/>
            </a:ext>
          </a:extLst>
        </xdr:cNvPr>
        <xdr:cNvSpPr/>
      </xdr:nvSpPr>
      <xdr:spPr>
        <a:xfrm>
          <a:off x="1753924" y="72721"/>
          <a:ext cx="1530057" cy="40143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6C32A602-1F37-4320-BF45-20073D835C8B}"/>
            </a:ext>
          </a:extLst>
        </xdr:cNvPr>
        <xdr:cNvSpPr/>
      </xdr:nvSpPr>
      <xdr:spPr>
        <a:xfrm>
          <a:off x="3374003" y="72721"/>
          <a:ext cx="1341972" cy="40143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3B15D2C9-06F8-4BF6-85F1-BA36CD5B116B}"/>
            </a:ext>
          </a:extLst>
        </xdr:cNvPr>
        <xdr:cNvSpPr/>
      </xdr:nvSpPr>
      <xdr:spPr>
        <a:xfrm>
          <a:off x="5135050" y="82909"/>
          <a:ext cx="1286655" cy="392255"/>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114300</xdr:colOff>
      <xdr:row>1</xdr:row>
      <xdr:rowOff>95250</xdr:rowOff>
    </xdr:from>
    <xdr:to>
      <xdr:col>1</xdr:col>
      <xdr:colOff>717549</xdr:colOff>
      <xdr:row>3</xdr:row>
      <xdr:rowOff>278479</xdr:rowOff>
    </xdr:to>
    <xdr:pic>
      <xdr:nvPicPr>
        <xdr:cNvPr id="6" name="Imagen 5">
          <a:extLst>
            <a:ext uri="{FF2B5EF4-FFF2-40B4-BE49-F238E27FC236}">
              <a16:creationId xmlns:a16="http://schemas.microsoft.com/office/drawing/2014/main" id="{9CB238DD-AA86-496D-A52E-38873F580A56}"/>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14300" y="866775"/>
          <a:ext cx="1212849" cy="1078579"/>
        </a:xfrm>
        <a:prstGeom prst="rect">
          <a:avLst/>
        </a:prstGeom>
      </xdr:spPr>
    </xdr:pic>
    <xdr:clientData/>
  </xdr:twoCellAnchor>
  <xdr:twoCellAnchor editAs="oneCell">
    <xdr:from>
      <xdr:col>2</xdr:col>
      <xdr:colOff>238125</xdr:colOff>
      <xdr:row>1</xdr:row>
      <xdr:rowOff>47625</xdr:rowOff>
    </xdr:from>
    <xdr:to>
      <xdr:col>2</xdr:col>
      <xdr:colOff>1384936</xdr:colOff>
      <xdr:row>3</xdr:row>
      <xdr:rowOff>312934</xdr:rowOff>
    </xdr:to>
    <xdr:pic>
      <xdr:nvPicPr>
        <xdr:cNvPr id="7" name="Imagen 6">
          <a:extLst>
            <a:ext uri="{FF2B5EF4-FFF2-40B4-BE49-F238E27FC236}">
              <a16:creationId xmlns:a16="http://schemas.microsoft.com/office/drawing/2014/main" id="{8C0F0162-3C22-4201-8503-A6FAA711F232}"/>
            </a:ext>
          </a:extLst>
        </xdr:cNvPr>
        <xdr:cNvPicPr>
          <a:picLocks noChangeAspect="1"/>
        </xdr:cNvPicPr>
      </xdr:nvPicPr>
      <xdr:blipFill>
        <a:blip xmlns:r="http://schemas.openxmlformats.org/officeDocument/2006/relationships" r:embed="rId6"/>
        <a:stretch>
          <a:fillRect/>
        </a:stretch>
      </xdr:blipFill>
      <xdr:spPr>
        <a:xfrm>
          <a:off x="1666875" y="819150"/>
          <a:ext cx="1146811" cy="1160659"/>
        </a:xfrm>
        <a:prstGeom prst="rect">
          <a:avLst/>
        </a:prstGeom>
      </xdr:spPr>
    </xdr:pic>
    <xdr:clientData/>
  </xdr:twoCellAnchor>
</xdr:wsDr>
</file>

<file path=xl/drawings/drawing83.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36808969-28FB-4570-84AD-70A01498F2C2}"/>
            </a:ext>
          </a:extLst>
        </xdr:cNvPr>
        <xdr:cNvSpPr/>
      </xdr:nvSpPr>
      <xdr:spPr>
        <a:xfrm>
          <a:off x="265872" y="82909"/>
          <a:ext cx="1209672" cy="392255"/>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5C916519-8A7B-4E1A-A501-2F3CBDAE58D1}"/>
            </a:ext>
          </a:extLst>
        </xdr:cNvPr>
        <xdr:cNvSpPr/>
      </xdr:nvSpPr>
      <xdr:spPr>
        <a:xfrm>
          <a:off x="1753924" y="72721"/>
          <a:ext cx="1530057" cy="40143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94F3329D-5475-417C-8036-AA3AE2E3B5EA}"/>
            </a:ext>
          </a:extLst>
        </xdr:cNvPr>
        <xdr:cNvSpPr/>
      </xdr:nvSpPr>
      <xdr:spPr>
        <a:xfrm>
          <a:off x="3374003" y="72721"/>
          <a:ext cx="1341972" cy="40143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462B0B96-A9CF-4EDF-B2BC-B6C38A68D85A}"/>
            </a:ext>
          </a:extLst>
        </xdr:cNvPr>
        <xdr:cNvSpPr/>
      </xdr:nvSpPr>
      <xdr:spPr>
        <a:xfrm>
          <a:off x="5135050" y="82909"/>
          <a:ext cx="1286655" cy="392255"/>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114300</xdr:colOff>
      <xdr:row>1</xdr:row>
      <xdr:rowOff>95250</xdr:rowOff>
    </xdr:from>
    <xdr:to>
      <xdr:col>1</xdr:col>
      <xdr:colOff>717549</xdr:colOff>
      <xdr:row>3</xdr:row>
      <xdr:rowOff>278479</xdr:rowOff>
    </xdr:to>
    <xdr:pic>
      <xdr:nvPicPr>
        <xdr:cNvPr id="6" name="Imagen 5">
          <a:extLst>
            <a:ext uri="{FF2B5EF4-FFF2-40B4-BE49-F238E27FC236}">
              <a16:creationId xmlns:a16="http://schemas.microsoft.com/office/drawing/2014/main" id="{013F007E-697E-495C-9987-AFF4F81B3EE6}"/>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14300" y="866775"/>
          <a:ext cx="1212849" cy="1078579"/>
        </a:xfrm>
        <a:prstGeom prst="rect">
          <a:avLst/>
        </a:prstGeom>
      </xdr:spPr>
    </xdr:pic>
    <xdr:clientData/>
  </xdr:twoCellAnchor>
  <xdr:twoCellAnchor editAs="oneCell">
    <xdr:from>
      <xdr:col>2</xdr:col>
      <xdr:colOff>238125</xdr:colOff>
      <xdr:row>1</xdr:row>
      <xdr:rowOff>47625</xdr:rowOff>
    </xdr:from>
    <xdr:to>
      <xdr:col>2</xdr:col>
      <xdr:colOff>1384936</xdr:colOff>
      <xdr:row>3</xdr:row>
      <xdr:rowOff>312934</xdr:rowOff>
    </xdr:to>
    <xdr:pic>
      <xdr:nvPicPr>
        <xdr:cNvPr id="7" name="Imagen 6">
          <a:extLst>
            <a:ext uri="{FF2B5EF4-FFF2-40B4-BE49-F238E27FC236}">
              <a16:creationId xmlns:a16="http://schemas.microsoft.com/office/drawing/2014/main" id="{2783F672-3668-4D6B-8F2E-9B66082C805C}"/>
            </a:ext>
          </a:extLst>
        </xdr:cNvPr>
        <xdr:cNvPicPr>
          <a:picLocks noChangeAspect="1"/>
        </xdr:cNvPicPr>
      </xdr:nvPicPr>
      <xdr:blipFill>
        <a:blip xmlns:r="http://schemas.openxmlformats.org/officeDocument/2006/relationships" r:embed="rId6"/>
        <a:stretch>
          <a:fillRect/>
        </a:stretch>
      </xdr:blipFill>
      <xdr:spPr>
        <a:xfrm>
          <a:off x="1666875" y="819150"/>
          <a:ext cx="1146811" cy="1160659"/>
        </a:xfrm>
        <a:prstGeom prst="rect">
          <a:avLst/>
        </a:prstGeom>
      </xdr:spPr>
    </xdr:pic>
    <xdr:clientData/>
  </xdr:twoCellAnchor>
</xdr:wsDr>
</file>

<file path=xl/drawings/drawing84.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BB05FD6A-693E-43C4-8B85-56046109743C}"/>
            </a:ext>
          </a:extLst>
        </xdr:cNvPr>
        <xdr:cNvSpPr/>
      </xdr:nvSpPr>
      <xdr:spPr>
        <a:xfrm>
          <a:off x="265872" y="82909"/>
          <a:ext cx="1209672" cy="392255"/>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D378DB56-A78E-461A-990D-DFB370939544}"/>
            </a:ext>
          </a:extLst>
        </xdr:cNvPr>
        <xdr:cNvSpPr/>
      </xdr:nvSpPr>
      <xdr:spPr>
        <a:xfrm>
          <a:off x="1753924" y="72721"/>
          <a:ext cx="1530057" cy="40143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87764C24-8C58-48B0-9360-BB71EC3DD995}"/>
            </a:ext>
          </a:extLst>
        </xdr:cNvPr>
        <xdr:cNvSpPr/>
      </xdr:nvSpPr>
      <xdr:spPr>
        <a:xfrm>
          <a:off x="3374003" y="72721"/>
          <a:ext cx="1341972" cy="40143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94AE19CF-6064-4687-B922-6EBABF540834}"/>
            </a:ext>
          </a:extLst>
        </xdr:cNvPr>
        <xdr:cNvSpPr/>
      </xdr:nvSpPr>
      <xdr:spPr>
        <a:xfrm>
          <a:off x="5135050" y="82909"/>
          <a:ext cx="1286655" cy="392255"/>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114300</xdr:colOff>
      <xdr:row>1</xdr:row>
      <xdr:rowOff>95250</xdr:rowOff>
    </xdr:from>
    <xdr:to>
      <xdr:col>1</xdr:col>
      <xdr:colOff>717549</xdr:colOff>
      <xdr:row>3</xdr:row>
      <xdr:rowOff>278479</xdr:rowOff>
    </xdr:to>
    <xdr:pic>
      <xdr:nvPicPr>
        <xdr:cNvPr id="6" name="Imagen 5">
          <a:extLst>
            <a:ext uri="{FF2B5EF4-FFF2-40B4-BE49-F238E27FC236}">
              <a16:creationId xmlns:a16="http://schemas.microsoft.com/office/drawing/2014/main" id="{A6C19865-0FA9-41BD-A3A6-A1D53FAD007B}"/>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14300" y="866775"/>
          <a:ext cx="1212849" cy="1078579"/>
        </a:xfrm>
        <a:prstGeom prst="rect">
          <a:avLst/>
        </a:prstGeom>
      </xdr:spPr>
    </xdr:pic>
    <xdr:clientData/>
  </xdr:twoCellAnchor>
  <xdr:twoCellAnchor editAs="oneCell">
    <xdr:from>
      <xdr:col>2</xdr:col>
      <xdr:colOff>238125</xdr:colOff>
      <xdr:row>1</xdr:row>
      <xdr:rowOff>47625</xdr:rowOff>
    </xdr:from>
    <xdr:to>
      <xdr:col>2</xdr:col>
      <xdr:colOff>1384936</xdr:colOff>
      <xdr:row>3</xdr:row>
      <xdr:rowOff>312934</xdr:rowOff>
    </xdr:to>
    <xdr:pic>
      <xdr:nvPicPr>
        <xdr:cNvPr id="7" name="Imagen 6">
          <a:extLst>
            <a:ext uri="{FF2B5EF4-FFF2-40B4-BE49-F238E27FC236}">
              <a16:creationId xmlns:a16="http://schemas.microsoft.com/office/drawing/2014/main" id="{0020377F-7494-4920-B751-A73318EFC526}"/>
            </a:ext>
          </a:extLst>
        </xdr:cNvPr>
        <xdr:cNvPicPr>
          <a:picLocks noChangeAspect="1"/>
        </xdr:cNvPicPr>
      </xdr:nvPicPr>
      <xdr:blipFill>
        <a:blip xmlns:r="http://schemas.openxmlformats.org/officeDocument/2006/relationships" r:embed="rId6"/>
        <a:stretch>
          <a:fillRect/>
        </a:stretch>
      </xdr:blipFill>
      <xdr:spPr>
        <a:xfrm>
          <a:off x="1666875" y="819150"/>
          <a:ext cx="1146811" cy="1160659"/>
        </a:xfrm>
        <a:prstGeom prst="rect">
          <a:avLst/>
        </a:prstGeom>
      </xdr:spPr>
    </xdr:pic>
    <xdr:clientData/>
  </xdr:twoCellAnchor>
</xdr:wsDr>
</file>

<file path=xl/drawings/drawing85.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23091971-5B5C-4749-9832-0044867B72E2}"/>
            </a:ext>
          </a:extLst>
        </xdr:cNvPr>
        <xdr:cNvSpPr/>
      </xdr:nvSpPr>
      <xdr:spPr>
        <a:xfrm>
          <a:off x="265872" y="82909"/>
          <a:ext cx="1209672" cy="392255"/>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C266DFF3-14A5-45BB-9C65-DE09947572EA}"/>
            </a:ext>
          </a:extLst>
        </xdr:cNvPr>
        <xdr:cNvSpPr/>
      </xdr:nvSpPr>
      <xdr:spPr>
        <a:xfrm>
          <a:off x="1753924" y="72721"/>
          <a:ext cx="1530057" cy="40143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AEC96959-414E-4907-8C90-9D278A902719}"/>
            </a:ext>
          </a:extLst>
        </xdr:cNvPr>
        <xdr:cNvSpPr/>
      </xdr:nvSpPr>
      <xdr:spPr>
        <a:xfrm>
          <a:off x="3374003" y="72721"/>
          <a:ext cx="1341972" cy="40143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7BE89738-0C2B-40E0-93EE-43AD700E1952}"/>
            </a:ext>
          </a:extLst>
        </xdr:cNvPr>
        <xdr:cNvSpPr/>
      </xdr:nvSpPr>
      <xdr:spPr>
        <a:xfrm>
          <a:off x="5135050" y="82909"/>
          <a:ext cx="1286655" cy="392255"/>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114300</xdr:colOff>
      <xdr:row>1</xdr:row>
      <xdr:rowOff>95250</xdr:rowOff>
    </xdr:from>
    <xdr:to>
      <xdr:col>1</xdr:col>
      <xdr:colOff>717549</xdr:colOff>
      <xdr:row>3</xdr:row>
      <xdr:rowOff>278479</xdr:rowOff>
    </xdr:to>
    <xdr:pic>
      <xdr:nvPicPr>
        <xdr:cNvPr id="6" name="Imagen 5">
          <a:extLst>
            <a:ext uri="{FF2B5EF4-FFF2-40B4-BE49-F238E27FC236}">
              <a16:creationId xmlns:a16="http://schemas.microsoft.com/office/drawing/2014/main" id="{C9FDDEE6-DBC0-4419-8C3E-027E0ABFB46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14300" y="866775"/>
          <a:ext cx="1212849" cy="1078579"/>
        </a:xfrm>
        <a:prstGeom prst="rect">
          <a:avLst/>
        </a:prstGeom>
      </xdr:spPr>
    </xdr:pic>
    <xdr:clientData/>
  </xdr:twoCellAnchor>
  <xdr:twoCellAnchor editAs="oneCell">
    <xdr:from>
      <xdr:col>2</xdr:col>
      <xdr:colOff>238125</xdr:colOff>
      <xdr:row>1</xdr:row>
      <xdr:rowOff>47625</xdr:rowOff>
    </xdr:from>
    <xdr:to>
      <xdr:col>2</xdr:col>
      <xdr:colOff>1384936</xdr:colOff>
      <xdr:row>3</xdr:row>
      <xdr:rowOff>312934</xdr:rowOff>
    </xdr:to>
    <xdr:pic>
      <xdr:nvPicPr>
        <xdr:cNvPr id="7" name="Imagen 6">
          <a:extLst>
            <a:ext uri="{FF2B5EF4-FFF2-40B4-BE49-F238E27FC236}">
              <a16:creationId xmlns:a16="http://schemas.microsoft.com/office/drawing/2014/main" id="{789A1FF6-0830-4F16-8D04-9DE20D628818}"/>
            </a:ext>
          </a:extLst>
        </xdr:cNvPr>
        <xdr:cNvPicPr>
          <a:picLocks noChangeAspect="1"/>
        </xdr:cNvPicPr>
      </xdr:nvPicPr>
      <xdr:blipFill>
        <a:blip xmlns:r="http://schemas.openxmlformats.org/officeDocument/2006/relationships" r:embed="rId6"/>
        <a:stretch>
          <a:fillRect/>
        </a:stretch>
      </xdr:blipFill>
      <xdr:spPr>
        <a:xfrm>
          <a:off x="1666875" y="819150"/>
          <a:ext cx="1146811" cy="1160659"/>
        </a:xfrm>
        <a:prstGeom prst="rect">
          <a:avLst/>
        </a:prstGeom>
      </xdr:spPr>
    </xdr:pic>
    <xdr:clientData/>
  </xdr:twoCellAnchor>
</xdr:wsDr>
</file>

<file path=xl/drawings/drawing86.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77397B12-A05D-4E7D-9493-8A2CEA6827D3}"/>
            </a:ext>
          </a:extLst>
        </xdr:cNvPr>
        <xdr:cNvSpPr/>
      </xdr:nvSpPr>
      <xdr:spPr>
        <a:xfrm>
          <a:off x="265872" y="82909"/>
          <a:ext cx="1209672" cy="392255"/>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CEA8B791-76C5-4D4C-BCAF-D114D41498D0}"/>
            </a:ext>
          </a:extLst>
        </xdr:cNvPr>
        <xdr:cNvSpPr/>
      </xdr:nvSpPr>
      <xdr:spPr>
        <a:xfrm>
          <a:off x="1753924" y="72721"/>
          <a:ext cx="1530057" cy="40143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4E4ABB9E-A4B8-44CE-A57D-34AF7FA8708F}"/>
            </a:ext>
          </a:extLst>
        </xdr:cNvPr>
        <xdr:cNvSpPr/>
      </xdr:nvSpPr>
      <xdr:spPr>
        <a:xfrm>
          <a:off x="3374003" y="72721"/>
          <a:ext cx="1341972" cy="40143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2BC70CDD-CE5A-4744-91BE-B82EC5A330B9}"/>
            </a:ext>
          </a:extLst>
        </xdr:cNvPr>
        <xdr:cNvSpPr/>
      </xdr:nvSpPr>
      <xdr:spPr>
        <a:xfrm>
          <a:off x="5135050" y="82909"/>
          <a:ext cx="1286655" cy="392255"/>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114300</xdr:colOff>
      <xdr:row>1</xdr:row>
      <xdr:rowOff>95250</xdr:rowOff>
    </xdr:from>
    <xdr:to>
      <xdr:col>1</xdr:col>
      <xdr:colOff>717549</xdr:colOff>
      <xdr:row>3</xdr:row>
      <xdr:rowOff>278479</xdr:rowOff>
    </xdr:to>
    <xdr:pic>
      <xdr:nvPicPr>
        <xdr:cNvPr id="6" name="Imagen 5">
          <a:extLst>
            <a:ext uri="{FF2B5EF4-FFF2-40B4-BE49-F238E27FC236}">
              <a16:creationId xmlns:a16="http://schemas.microsoft.com/office/drawing/2014/main" id="{A166582E-E9A5-422C-8FEB-5AB3D0250707}"/>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14300" y="866775"/>
          <a:ext cx="1212849" cy="1078579"/>
        </a:xfrm>
        <a:prstGeom prst="rect">
          <a:avLst/>
        </a:prstGeom>
      </xdr:spPr>
    </xdr:pic>
    <xdr:clientData/>
  </xdr:twoCellAnchor>
  <xdr:twoCellAnchor editAs="oneCell">
    <xdr:from>
      <xdr:col>2</xdr:col>
      <xdr:colOff>238125</xdr:colOff>
      <xdr:row>1</xdr:row>
      <xdr:rowOff>47625</xdr:rowOff>
    </xdr:from>
    <xdr:to>
      <xdr:col>2</xdr:col>
      <xdr:colOff>1384936</xdr:colOff>
      <xdr:row>3</xdr:row>
      <xdr:rowOff>312934</xdr:rowOff>
    </xdr:to>
    <xdr:pic>
      <xdr:nvPicPr>
        <xdr:cNvPr id="7" name="Imagen 6">
          <a:extLst>
            <a:ext uri="{FF2B5EF4-FFF2-40B4-BE49-F238E27FC236}">
              <a16:creationId xmlns:a16="http://schemas.microsoft.com/office/drawing/2014/main" id="{FE701FF2-ABA3-4E2D-BD58-3B68936E3AEF}"/>
            </a:ext>
          </a:extLst>
        </xdr:cNvPr>
        <xdr:cNvPicPr>
          <a:picLocks noChangeAspect="1"/>
        </xdr:cNvPicPr>
      </xdr:nvPicPr>
      <xdr:blipFill>
        <a:blip xmlns:r="http://schemas.openxmlformats.org/officeDocument/2006/relationships" r:embed="rId6"/>
        <a:stretch>
          <a:fillRect/>
        </a:stretch>
      </xdr:blipFill>
      <xdr:spPr>
        <a:xfrm>
          <a:off x="1666875" y="819150"/>
          <a:ext cx="1146811" cy="1160659"/>
        </a:xfrm>
        <a:prstGeom prst="rect">
          <a:avLst/>
        </a:prstGeom>
      </xdr:spPr>
    </xdr:pic>
    <xdr:clientData/>
  </xdr:twoCellAnchor>
</xdr:wsDr>
</file>

<file path=xl/drawings/drawing87.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4268C35C-F60C-4EF0-A986-DED67DBC4709}"/>
            </a:ext>
          </a:extLst>
        </xdr:cNvPr>
        <xdr:cNvSpPr/>
      </xdr:nvSpPr>
      <xdr:spPr>
        <a:xfrm>
          <a:off x="265872" y="82909"/>
          <a:ext cx="1209672" cy="392255"/>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0B3071EF-A9AC-4A7D-B5E5-7C81E7B1E80A}"/>
            </a:ext>
          </a:extLst>
        </xdr:cNvPr>
        <xdr:cNvSpPr/>
      </xdr:nvSpPr>
      <xdr:spPr>
        <a:xfrm>
          <a:off x="1753924" y="72721"/>
          <a:ext cx="1530057" cy="40143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2AAEAEB3-C0D6-42AC-A4AF-99C72BCB3A19}"/>
            </a:ext>
          </a:extLst>
        </xdr:cNvPr>
        <xdr:cNvSpPr/>
      </xdr:nvSpPr>
      <xdr:spPr>
        <a:xfrm>
          <a:off x="3374003" y="72721"/>
          <a:ext cx="1341972" cy="40143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0EAD575B-D8C6-4A94-ACFC-2E5BEC34D9F1}"/>
            </a:ext>
          </a:extLst>
        </xdr:cNvPr>
        <xdr:cNvSpPr/>
      </xdr:nvSpPr>
      <xdr:spPr>
        <a:xfrm>
          <a:off x="5135050" y="82909"/>
          <a:ext cx="1286655" cy="392255"/>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114300</xdr:colOff>
      <xdr:row>1</xdr:row>
      <xdr:rowOff>95250</xdr:rowOff>
    </xdr:from>
    <xdr:to>
      <xdr:col>1</xdr:col>
      <xdr:colOff>717549</xdr:colOff>
      <xdr:row>3</xdr:row>
      <xdr:rowOff>278479</xdr:rowOff>
    </xdr:to>
    <xdr:pic>
      <xdr:nvPicPr>
        <xdr:cNvPr id="6" name="Imagen 5">
          <a:extLst>
            <a:ext uri="{FF2B5EF4-FFF2-40B4-BE49-F238E27FC236}">
              <a16:creationId xmlns:a16="http://schemas.microsoft.com/office/drawing/2014/main" id="{29AB95C8-F13E-4B09-B2AA-09669362AD25}"/>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14300" y="866775"/>
          <a:ext cx="1212849" cy="1078579"/>
        </a:xfrm>
        <a:prstGeom prst="rect">
          <a:avLst/>
        </a:prstGeom>
      </xdr:spPr>
    </xdr:pic>
    <xdr:clientData/>
  </xdr:twoCellAnchor>
  <xdr:twoCellAnchor editAs="oneCell">
    <xdr:from>
      <xdr:col>2</xdr:col>
      <xdr:colOff>238125</xdr:colOff>
      <xdr:row>1</xdr:row>
      <xdr:rowOff>47625</xdr:rowOff>
    </xdr:from>
    <xdr:to>
      <xdr:col>2</xdr:col>
      <xdr:colOff>1384936</xdr:colOff>
      <xdr:row>3</xdr:row>
      <xdr:rowOff>312934</xdr:rowOff>
    </xdr:to>
    <xdr:pic>
      <xdr:nvPicPr>
        <xdr:cNvPr id="7" name="Imagen 6">
          <a:extLst>
            <a:ext uri="{FF2B5EF4-FFF2-40B4-BE49-F238E27FC236}">
              <a16:creationId xmlns:a16="http://schemas.microsoft.com/office/drawing/2014/main" id="{70908B3F-4BBB-4FC9-A23E-068B463B5BE0}"/>
            </a:ext>
          </a:extLst>
        </xdr:cNvPr>
        <xdr:cNvPicPr>
          <a:picLocks noChangeAspect="1"/>
        </xdr:cNvPicPr>
      </xdr:nvPicPr>
      <xdr:blipFill>
        <a:blip xmlns:r="http://schemas.openxmlformats.org/officeDocument/2006/relationships" r:embed="rId6"/>
        <a:stretch>
          <a:fillRect/>
        </a:stretch>
      </xdr:blipFill>
      <xdr:spPr>
        <a:xfrm>
          <a:off x="1666875" y="819150"/>
          <a:ext cx="1146811" cy="1160659"/>
        </a:xfrm>
        <a:prstGeom prst="rect">
          <a:avLst/>
        </a:prstGeom>
      </xdr:spPr>
    </xdr:pic>
    <xdr:clientData/>
  </xdr:twoCellAnchor>
</xdr:wsDr>
</file>

<file path=xl/drawings/drawing88.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7ABDF9F4-882F-4DC4-AB1B-3B37F4D9BDCD}"/>
            </a:ext>
          </a:extLst>
        </xdr:cNvPr>
        <xdr:cNvSpPr/>
      </xdr:nvSpPr>
      <xdr:spPr>
        <a:xfrm>
          <a:off x="265872" y="82909"/>
          <a:ext cx="1209672" cy="392255"/>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0B6ABD37-5AF2-4BBA-BBAD-BBBAF0E1922D}"/>
            </a:ext>
          </a:extLst>
        </xdr:cNvPr>
        <xdr:cNvSpPr/>
      </xdr:nvSpPr>
      <xdr:spPr>
        <a:xfrm>
          <a:off x="1753924" y="72721"/>
          <a:ext cx="1530057" cy="40143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AAF66C4C-7496-4FAF-8C4E-98559F295484}"/>
            </a:ext>
          </a:extLst>
        </xdr:cNvPr>
        <xdr:cNvSpPr/>
      </xdr:nvSpPr>
      <xdr:spPr>
        <a:xfrm>
          <a:off x="3374003" y="72721"/>
          <a:ext cx="1341972" cy="40143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B46CD3DB-4826-485B-B9F4-FB4C32BE063D}"/>
            </a:ext>
          </a:extLst>
        </xdr:cNvPr>
        <xdr:cNvSpPr/>
      </xdr:nvSpPr>
      <xdr:spPr>
        <a:xfrm>
          <a:off x="5135050" y="82909"/>
          <a:ext cx="1286655" cy="392255"/>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152400</xdr:colOff>
      <xdr:row>1</xdr:row>
      <xdr:rowOff>114300</xdr:rowOff>
    </xdr:from>
    <xdr:to>
      <xdr:col>1</xdr:col>
      <xdr:colOff>755649</xdr:colOff>
      <xdr:row>3</xdr:row>
      <xdr:rowOff>297529</xdr:rowOff>
    </xdr:to>
    <xdr:pic>
      <xdr:nvPicPr>
        <xdr:cNvPr id="6" name="Imagen 5">
          <a:extLst>
            <a:ext uri="{FF2B5EF4-FFF2-40B4-BE49-F238E27FC236}">
              <a16:creationId xmlns:a16="http://schemas.microsoft.com/office/drawing/2014/main" id="{726216E2-AE75-428F-B4BB-267FB7A6D93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52400" y="885825"/>
          <a:ext cx="1212849" cy="1078579"/>
        </a:xfrm>
        <a:prstGeom prst="rect">
          <a:avLst/>
        </a:prstGeom>
      </xdr:spPr>
    </xdr:pic>
    <xdr:clientData/>
  </xdr:twoCellAnchor>
  <xdr:twoCellAnchor editAs="oneCell">
    <xdr:from>
      <xdr:col>2</xdr:col>
      <xdr:colOff>219075</xdr:colOff>
      <xdr:row>1</xdr:row>
      <xdr:rowOff>85725</xdr:rowOff>
    </xdr:from>
    <xdr:to>
      <xdr:col>2</xdr:col>
      <xdr:colOff>1365886</xdr:colOff>
      <xdr:row>3</xdr:row>
      <xdr:rowOff>351034</xdr:rowOff>
    </xdr:to>
    <xdr:pic>
      <xdr:nvPicPr>
        <xdr:cNvPr id="7" name="Imagen 6">
          <a:extLst>
            <a:ext uri="{FF2B5EF4-FFF2-40B4-BE49-F238E27FC236}">
              <a16:creationId xmlns:a16="http://schemas.microsoft.com/office/drawing/2014/main" id="{A10634D8-0729-498A-873B-1170D7954EEB}"/>
            </a:ext>
          </a:extLst>
        </xdr:cNvPr>
        <xdr:cNvPicPr>
          <a:picLocks noChangeAspect="1"/>
        </xdr:cNvPicPr>
      </xdr:nvPicPr>
      <xdr:blipFill>
        <a:blip xmlns:r="http://schemas.openxmlformats.org/officeDocument/2006/relationships" r:embed="rId6"/>
        <a:stretch>
          <a:fillRect/>
        </a:stretch>
      </xdr:blipFill>
      <xdr:spPr>
        <a:xfrm>
          <a:off x="1647825" y="857250"/>
          <a:ext cx="1146811" cy="1160659"/>
        </a:xfrm>
        <a:prstGeom prst="rect">
          <a:avLst/>
        </a:prstGeom>
      </xdr:spPr>
    </xdr:pic>
    <xdr:clientData/>
  </xdr:twoCellAnchor>
</xdr:wsDr>
</file>

<file path=xl/drawings/drawing89.xml><?xml version="1.0" encoding="utf-8"?>
<xdr:wsDr xmlns:xdr="http://schemas.openxmlformats.org/drawingml/2006/spreadsheetDrawing" xmlns:a="http://schemas.openxmlformats.org/drawingml/2006/main">
  <xdr:twoCellAnchor>
    <xdr:from>
      <xdr:col>0</xdr:col>
      <xdr:colOff>498282</xdr:colOff>
      <xdr:row>0</xdr:row>
      <xdr:rowOff>155299</xdr:rowOff>
    </xdr:from>
    <xdr:to>
      <xdr:col>2</xdr:col>
      <xdr:colOff>100576</xdr:colOff>
      <xdr:row>1</xdr:row>
      <xdr:rowOff>7053</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4AB872F7-7164-403E-9C6E-2CC7950879E2}"/>
            </a:ext>
          </a:extLst>
        </xdr:cNvPr>
        <xdr:cNvSpPr/>
      </xdr:nvSpPr>
      <xdr:spPr>
        <a:xfrm>
          <a:off x="498282" y="155299"/>
          <a:ext cx="1031044" cy="470879"/>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633784</xdr:colOff>
      <xdr:row>0</xdr:row>
      <xdr:rowOff>148921</xdr:rowOff>
    </xdr:from>
    <xdr:to>
      <xdr:col>3</xdr:col>
      <xdr:colOff>247132</xdr:colOff>
      <xdr:row>1</xdr:row>
      <xdr:rowOff>5877</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EFE25C98-C1CA-4420-B2CF-6EA13DE24D1F}"/>
            </a:ext>
          </a:extLst>
        </xdr:cNvPr>
        <xdr:cNvSpPr/>
      </xdr:nvSpPr>
      <xdr:spPr>
        <a:xfrm>
          <a:off x="2062534" y="148921"/>
          <a:ext cx="1337373" cy="476081"/>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426968</xdr:colOff>
      <xdr:row>0</xdr:row>
      <xdr:rowOff>148921</xdr:rowOff>
    </xdr:from>
    <xdr:to>
      <xdr:col>4</xdr:col>
      <xdr:colOff>304096</xdr:colOff>
      <xdr:row>1</xdr:row>
      <xdr:rowOff>5877</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35642ABC-6355-4534-AAAD-E5A837A620F4}"/>
            </a:ext>
          </a:extLst>
        </xdr:cNvPr>
        <xdr:cNvSpPr/>
      </xdr:nvSpPr>
      <xdr:spPr>
        <a:xfrm>
          <a:off x="3579743" y="148921"/>
          <a:ext cx="1277303" cy="476081"/>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890710</xdr:colOff>
      <xdr:row>0</xdr:row>
      <xdr:rowOff>155299</xdr:rowOff>
    </xdr:from>
    <xdr:to>
      <xdr:col>6</xdr:col>
      <xdr:colOff>426269</xdr:colOff>
      <xdr:row>1</xdr:row>
      <xdr:rowOff>7053</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DDB908DD-5248-4B76-A0D2-395FDA130303}"/>
            </a:ext>
          </a:extLst>
        </xdr:cNvPr>
        <xdr:cNvSpPr/>
      </xdr:nvSpPr>
      <xdr:spPr>
        <a:xfrm>
          <a:off x="5415085" y="155299"/>
          <a:ext cx="1211959" cy="470879"/>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152401</xdr:colOff>
      <xdr:row>1</xdr:row>
      <xdr:rowOff>57151</xdr:rowOff>
    </xdr:from>
    <xdr:to>
      <xdr:col>1</xdr:col>
      <xdr:colOff>571501</xdr:colOff>
      <xdr:row>3</xdr:row>
      <xdr:rowOff>254384</xdr:rowOff>
    </xdr:to>
    <xdr:pic>
      <xdr:nvPicPr>
        <xdr:cNvPr id="6" name="Imagen 5">
          <a:extLst>
            <a:ext uri="{FF2B5EF4-FFF2-40B4-BE49-F238E27FC236}">
              <a16:creationId xmlns:a16="http://schemas.microsoft.com/office/drawing/2014/main" id="{746D9F54-EC4E-4A17-9D26-8D36A0F2A0BD}"/>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52401" y="676276"/>
          <a:ext cx="1028700" cy="921133"/>
        </a:xfrm>
        <a:prstGeom prst="rect">
          <a:avLst/>
        </a:prstGeom>
      </xdr:spPr>
    </xdr:pic>
    <xdr:clientData/>
  </xdr:twoCellAnchor>
  <xdr:twoCellAnchor editAs="oneCell">
    <xdr:from>
      <xdr:col>2</xdr:col>
      <xdr:colOff>209549</xdr:colOff>
      <xdr:row>1</xdr:row>
      <xdr:rowOff>24766</xdr:rowOff>
    </xdr:from>
    <xdr:to>
      <xdr:col>2</xdr:col>
      <xdr:colOff>1172170</xdr:colOff>
      <xdr:row>3</xdr:row>
      <xdr:rowOff>285751</xdr:rowOff>
    </xdr:to>
    <xdr:pic>
      <xdr:nvPicPr>
        <xdr:cNvPr id="7" name="Imagen 6">
          <a:extLst>
            <a:ext uri="{FF2B5EF4-FFF2-40B4-BE49-F238E27FC236}">
              <a16:creationId xmlns:a16="http://schemas.microsoft.com/office/drawing/2014/main" id="{49A211E2-A14A-4D45-996C-CAA3AC287E8C}"/>
            </a:ext>
          </a:extLst>
        </xdr:cNvPr>
        <xdr:cNvPicPr>
          <a:picLocks noChangeAspect="1"/>
        </xdr:cNvPicPr>
      </xdr:nvPicPr>
      <xdr:blipFill>
        <a:blip xmlns:r="http://schemas.openxmlformats.org/officeDocument/2006/relationships" r:embed="rId6"/>
        <a:stretch>
          <a:fillRect/>
        </a:stretch>
      </xdr:blipFill>
      <xdr:spPr>
        <a:xfrm>
          <a:off x="1638299" y="643891"/>
          <a:ext cx="962621" cy="984885"/>
        </a:xfrm>
        <a:prstGeom prst="rect">
          <a:avLst/>
        </a:prstGeom>
      </xdr:spPr>
    </xdr:pic>
    <xdr:clientData/>
  </xdr:twoCellAnchor>
</xdr:wsDr>
</file>

<file path=xl/drawings/drawing90.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A227AEB7-B122-4E13-92A8-7FE9B73ADB41}"/>
            </a:ext>
          </a:extLst>
        </xdr:cNvPr>
        <xdr:cNvSpPr/>
      </xdr:nvSpPr>
      <xdr:spPr>
        <a:xfrm>
          <a:off x="265872" y="82909"/>
          <a:ext cx="1209672" cy="392255"/>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0322EDF9-B20F-4B80-ADBD-3EA77B3A2998}"/>
            </a:ext>
          </a:extLst>
        </xdr:cNvPr>
        <xdr:cNvSpPr/>
      </xdr:nvSpPr>
      <xdr:spPr>
        <a:xfrm>
          <a:off x="1753924" y="72721"/>
          <a:ext cx="1530057" cy="40143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06362362-7AE0-4C38-AF20-A0B736FEFDD1}"/>
            </a:ext>
          </a:extLst>
        </xdr:cNvPr>
        <xdr:cNvSpPr/>
      </xdr:nvSpPr>
      <xdr:spPr>
        <a:xfrm>
          <a:off x="3374003" y="72721"/>
          <a:ext cx="1341972" cy="40143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8BDEAAF1-931E-4A56-B4EF-33097E2F96AC}"/>
            </a:ext>
          </a:extLst>
        </xdr:cNvPr>
        <xdr:cNvSpPr/>
      </xdr:nvSpPr>
      <xdr:spPr>
        <a:xfrm>
          <a:off x="5135050" y="82909"/>
          <a:ext cx="1286655" cy="392255"/>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152400</xdr:colOff>
      <xdr:row>1</xdr:row>
      <xdr:rowOff>95251</xdr:rowOff>
    </xdr:from>
    <xdr:to>
      <xdr:col>1</xdr:col>
      <xdr:colOff>755649</xdr:colOff>
      <xdr:row>3</xdr:row>
      <xdr:rowOff>278480</xdr:rowOff>
    </xdr:to>
    <xdr:pic>
      <xdr:nvPicPr>
        <xdr:cNvPr id="6" name="Imagen 5">
          <a:extLst>
            <a:ext uri="{FF2B5EF4-FFF2-40B4-BE49-F238E27FC236}">
              <a16:creationId xmlns:a16="http://schemas.microsoft.com/office/drawing/2014/main" id="{DD66002D-6639-4C8A-AF74-8512AC88BCCC}"/>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52400" y="866776"/>
          <a:ext cx="1212849" cy="1078579"/>
        </a:xfrm>
        <a:prstGeom prst="rect">
          <a:avLst/>
        </a:prstGeom>
      </xdr:spPr>
    </xdr:pic>
    <xdr:clientData/>
  </xdr:twoCellAnchor>
  <xdr:twoCellAnchor editAs="oneCell">
    <xdr:from>
      <xdr:col>2</xdr:col>
      <xdr:colOff>209548</xdr:colOff>
      <xdr:row>1</xdr:row>
      <xdr:rowOff>47625</xdr:rowOff>
    </xdr:from>
    <xdr:to>
      <xdr:col>2</xdr:col>
      <xdr:colOff>1356359</xdr:colOff>
      <xdr:row>3</xdr:row>
      <xdr:rowOff>312934</xdr:rowOff>
    </xdr:to>
    <xdr:pic>
      <xdr:nvPicPr>
        <xdr:cNvPr id="7" name="Imagen 6">
          <a:extLst>
            <a:ext uri="{FF2B5EF4-FFF2-40B4-BE49-F238E27FC236}">
              <a16:creationId xmlns:a16="http://schemas.microsoft.com/office/drawing/2014/main" id="{F28FC89D-62BF-453A-A63C-7DF747F5783A}"/>
            </a:ext>
          </a:extLst>
        </xdr:cNvPr>
        <xdr:cNvPicPr>
          <a:picLocks noChangeAspect="1"/>
        </xdr:cNvPicPr>
      </xdr:nvPicPr>
      <xdr:blipFill>
        <a:blip xmlns:r="http://schemas.openxmlformats.org/officeDocument/2006/relationships" r:embed="rId6"/>
        <a:stretch>
          <a:fillRect/>
        </a:stretch>
      </xdr:blipFill>
      <xdr:spPr>
        <a:xfrm>
          <a:off x="1638298" y="819150"/>
          <a:ext cx="1146811" cy="1160659"/>
        </a:xfrm>
        <a:prstGeom prst="rect">
          <a:avLst/>
        </a:prstGeom>
      </xdr:spPr>
    </xdr:pic>
    <xdr:clientData/>
  </xdr:twoCellAnchor>
</xdr:wsDr>
</file>

<file path=xl/drawings/drawing91.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CAC4951A-771B-4F89-A059-5B6B230DD4CC}"/>
            </a:ext>
          </a:extLst>
        </xdr:cNvPr>
        <xdr:cNvSpPr/>
      </xdr:nvSpPr>
      <xdr:spPr>
        <a:xfrm>
          <a:off x="265872" y="82909"/>
          <a:ext cx="1209672" cy="392255"/>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E90E1404-B82A-44E5-A038-58D1E568BE11}"/>
            </a:ext>
          </a:extLst>
        </xdr:cNvPr>
        <xdr:cNvSpPr/>
      </xdr:nvSpPr>
      <xdr:spPr>
        <a:xfrm>
          <a:off x="1753924" y="72721"/>
          <a:ext cx="1530057" cy="40143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F52BDA22-D007-4032-9FFA-412A292ACD58}"/>
            </a:ext>
          </a:extLst>
        </xdr:cNvPr>
        <xdr:cNvSpPr/>
      </xdr:nvSpPr>
      <xdr:spPr>
        <a:xfrm>
          <a:off x="3374003" y="72721"/>
          <a:ext cx="1341972" cy="40143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5B8683A1-7DC1-4A97-86F4-190E1D84A69A}"/>
            </a:ext>
          </a:extLst>
        </xdr:cNvPr>
        <xdr:cNvSpPr/>
      </xdr:nvSpPr>
      <xdr:spPr>
        <a:xfrm>
          <a:off x="5135050" y="82909"/>
          <a:ext cx="1286655" cy="392255"/>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133350</xdr:colOff>
      <xdr:row>1</xdr:row>
      <xdr:rowOff>95250</xdr:rowOff>
    </xdr:from>
    <xdr:to>
      <xdr:col>1</xdr:col>
      <xdr:colOff>736599</xdr:colOff>
      <xdr:row>3</xdr:row>
      <xdr:rowOff>278479</xdr:rowOff>
    </xdr:to>
    <xdr:pic>
      <xdr:nvPicPr>
        <xdr:cNvPr id="6" name="Imagen 5">
          <a:extLst>
            <a:ext uri="{FF2B5EF4-FFF2-40B4-BE49-F238E27FC236}">
              <a16:creationId xmlns:a16="http://schemas.microsoft.com/office/drawing/2014/main" id="{76D427E4-70CB-453E-B56B-7A18C16FDD6C}"/>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33350" y="866775"/>
          <a:ext cx="1212849" cy="1078579"/>
        </a:xfrm>
        <a:prstGeom prst="rect">
          <a:avLst/>
        </a:prstGeom>
      </xdr:spPr>
    </xdr:pic>
    <xdr:clientData/>
  </xdr:twoCellAnchor>
  <xdr:twoCellAnchor editAs="oneCell">
    <xdr:from>
      <xdr:col>2</xdr:col>
      <xdr:colOff>247650</xdr:colOff>
      <xdr:row>1</xdr:row>
      <xdr:rowOff>76200</xdr:rowOff>
    </xdr:from>
    <xdr:to>
      <xdr:col>2</xdr:col>
      <xdr:colOff>1394461</xdr:colOff>
      <xdr:row>3</xdr:row>
      <xdr:rowOff>341509</xdr:rowOff>
    </xdr:to>
    <xdr:pic>
      <xdr:nvPicPr>
        <xdr:cNvPr id="7" name="Imagen 6">
          <a:extLst>
            <a:ext uri="{FF2B5EF4-FFF2-40B4-BE49-F238E27FC236}">
              <a16:creationId xmlns:a16="http://schemas.microsoft.com/office/drawing/2014/main" id="{A79CBE9F-F73D-49AD-A711-652E918DE020}"/>
            </a:ext>
          </a:extLst>
        </xdr:cNvPr>
        <xdr:cNvPicPr>
          <a:picLocks noChangeAspect="1"/>
        </xdr:cNvPicPr>
      </xdr:nvPicPr>
      <xdr:blipFill>
        <a:blip xmlns:r="http://schemas.openxmlformats.org/officeDocument/2006/relationships" r:embed="rId6"/>
        <a:stretch>
          <a:fillRect/>
        </a:stretch>
      </xdr:blipFill>
      <xdr:spPr>
        <a:xfrm>
          <a:off x="1676400" y="847725"/>
          <a:ext cx="1146811" cy="1160659"/>
        </a:xfrm>
        <a:prstGeom prst="rect">
          <a:avLst/>
        </a:prstGeom>
      </xdr:spPr>
    </xdr:pic>
    <xdr:clientData/>
  </xdr:twoCellAnchor>
</xdr:wsDr>
</file>

<file path=xl/drawings/drawing92.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49DA9232-A208-4DBF-9303-0CD829A6A206}"/>
            </a:ext>
          </a:extLst>
        </xdr:cNvPr>
        <xdr:cNvSpPr/>
      </xdr:nvSpPr>
      <xdr:spPr>
        <a:xfrm>
          <a:off x="265872" y="82909"/>
          <a:ext cx="1209672" cy="392255"/>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DD7060AB-838E-4312-B1C4-944F47DB77E0}"/>
            </a:ext>
          </a:extLst>
        </xdr:cNvPr>
        <xdr:cNvSpPr/>
      </xdr:nvSpPr>
      <xdr:spPr>
        <a:xfrm>
          <a:off x="1753924" y="72721"/>
          <a:ext cx="1530057" cy="40143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28ABDAD3-CE77-45B7-9A16-9479FCD0ECDB}"/>
            </a:ext>
          </a:extLst>
        </xdr:cNvPr>
        <xdr:cNvSpPr/>
      </xdr:nvSpPr>
      <xdr:spPr>
        <a:xfrm>
          <a:off x="3374003" y="72721"/>
          <a:ext cx="1341972" cy="40143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E5DB27E5-28CF-4C4E-A306-7E828459A748}"/>
            </a:ext>
          </a:extLst>
        </xdr:cNvPr>
        <xdr:cNvSpPr/>
      </xdr:nvSpPr>
      <xdr:spPr>
        <a:xfrm>
          <a:off x="5135050" y="82909"/>
          <a:ext cx="1286655" cy="392255"/>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142875</xdr:colOff>
      <xdr:row>1</xdr:row>
      <xdr:rowOff>76200</xdr:rowOff>
    </xdr:from>
    <xdr:to>
      <xdr:col>1</xdr:col>
      <xdr:colOff>746124</xdr:colOff>
      <xdr:row>3</xdr:row>
      <xdr:rowOff>259429</xdr:rowOff>
    </xdr:to>
    <xdr:pic>
      <xdr:nvPicPr>
        <xdr:cNvPr id="6" name="Imagen 5">
          <a:extLst>
            <a:ext uri="{FF2B5EF4-FFF2-40B4-BE49-F238E27FC236}">
              <a16:creationId xmlns:a16="http://schemas.microsoft.com/office/drawing/2014/main" id="{B4E97039-25BC-4B85-87DE-3212B0831147}"/>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42875" y="847725"/>
          <a:ext cx="1212849" cy="1078579"/>
        </a:xfrm>
        <a:prstGeom prst="rect">
          <a:avLst/>
        </a:prstGeom>
      </xdr:spPr>
    </xdr:pic>
    <xdr:clientData/>
  </xdr:twoCellAnchor>
  <xdr:twoCellAnchor editAs="oneCell">
    <xdr:from>
      <xdr:col>2</xdr:col>
      <xdr:colOff>247650</xdr:colOff>
      <xdr:row>1</xdr:row>
      <xdr:rowOff>47625</xdr:rowOff>
    </xdr:from>
    <xdr:to>
      <xdr:col>2</xdr:col>
      <xdr:colOff>1394461</xdr:colOff>
      <xdr:row>3</xdr:row>
      <xdr:rowOff>312934</xdr:rowOff>
    </xdr:to>
    <xdr:pic>
      <xdr:nvPicPr>
        <xdr:cNvPr id="7" name="Imagen 6">
          <a:extLst>
            <a:ext uri="{FF2B5EF4-FFF2-40B4-BE49-F238E27FC236}">
              <a16:creationId xmlns:a16="http://schemas.microsoft.com/office/drawing/2014/main" id="{08B8F8C9-95FC-4070-8D7D-910E4F3C2297}"/>
            </a:ext>
          </a:extLst>
        </xdr:cNvPr>
        <xdr:cNvPicPr>
          <a:picLocks noChangeAspect="1"/>
        </xdr:cNvPicPr>
      </xdr:nvPicPr>
      <xdr:blipFill>
        <a:blip xmlns:r="http://schemas.openxmlformats.org/officeDocument/2006/relationships" r:embed="rId6"/>
        <a:stretch>
          <a:fillRect/>
        </a:stretch>
      </xdr:blipFill>
      <xdr:spPr>
        <a:xfrm>
          <a:off x="1676400" y="819150"/>
          <a:ext cx="1146811" cy="1160659"/>
        </a:xfrm>
        <a:prstGeom prst="rect">
          <a:avLst/>
        </a:prstGeom>
      </xdr:spPr>
    </xdr:pic>
    <xdr:clientData/>
  </xdr:twoCellAnchor>
</xdr:wsDr>
</file>

<file path=xl/drawings/drawing93.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05297A1D-826C-49A8-900D-CAA1F8DF450F}"/>
            </a:ext>
          </a:extLst>
        </xdr:cNvPr>
        <xdr:cNvSpPr/>
      </xdr:nvSpPr>
      <xdr:spPr>
        <a:xfrm>
          <a:off x="265872" y="82909"/>
          <a:ext cx="1209672" cy="392255"/>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210F2D40-D695-40F9-8023-07FA059633EA}"/>
            </a:ext>
          </a:extLst>
        </xdr:cNvPr>
        <xdr:cNvSpPr/>
      </xdr:nvSpPr>
      <xdr:spPr>
        <a:xfrm>
          <a:off x="1753924" y="72721"/>
          <a:ext cx="1530057" cy="40143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A76742D5-1248-4D6B-9115-4E013DED350E}"/>
            </a:ext>
          </a:extLst>
        </xdr:cNvPr>
        <xdr:cNvSpPr/>
      </xdr:nvSpPr>
      <xdr:spPr>
        <a:xfrm>
          <a:off x="3374003" y="72721"/>
          <a:ext cx="1341972" cy="40143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83AD1C7F-F91C-4200-AA43-BD151D624332}"/>
            </a:ext>
          </a:extLst>
        </xdr:cNvPr>
        <xdr:cNvSpPr/>
      </xdr:nvSpPr>
      <xdr:spPr>
        <a:xfrm>
          <a:off x="5135050" y="82909"/>
          <a:ext cx="1286655" cy="392255"/>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142875</xdr:colOff>
      <xdr:row>1</xdr:row>
      <xdr:rowOff>76200</xdr:rowOff>
    </xdr:from>
    <xdr:to>
      <xdr:col>1</xdr:col>
      <xdr:colOff>746124</xdr:colOff>
      <xdr:row>3</xdr:row>
      <xdr:rowOff>259429</xdr:rowOff>
    </xdr:to>
    <xdr:pic>
      <xdr:nvPicPr>
        <xdr:cNvPr id="6" name="Imagen 5">
          <a:extLst>
            <a:ext uri="{FF2B5EF4-FFF2-40B4-BE49-F238E27FC236}">
              <a16:creationId xmlns:a16="http://schemas.microsoft.com/office/drawing/2014/main" id="{6FB6A0EF-0698-4A02-B6B1-8883395E1577}"/>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42875" y="847725"/>
          <a:ext cx="1212849" cy="1078579"/>
        </a:xfrm>
        <a:prstGeom prst="rect">
          <a:avLst/>
        </a:prstGeom>
      </xdr:spPr>
    </xdr:pic>
    <xdr:clientData/>
  </xdr:twoCellAnchor>
  <xdr:twoCellAnchor editAs="oneCell">
    <xdr:from>
      <xdr:col>2</xdr:col>
      <xdr:colOff>247650</xdr:colOff>
      <xdr:row>1</xdr:row>
      <xdr:rowOff>47625</xdr:rowOff>
    </xdr:from>
    <xdr:to>
      <xdr:col>2</xdr:col>
      <xdr:colOff>1394461</xdr:colOff>
      <xdr:row>3</xdr:row>
      <xdr:rowOff>312934</xdr:rowOff>
    </xdr:to>
    <xdr:pic>
      <xdr:nvPicPr>
        <xdr:cNvPr id="7" name="Imagen 6">
          <a:extLst>
            <a:ext uri="{FF2B5EF4-FFF2-40B4-BE49-F238E27FC236}">
              <a16:creationId xmlns:a16="http://schemas.microsoft.com/office/drawing/2014/main" id="{3EF9A6B0-EE98-46A3-96D5-4D3FBA8DFF0A}"/>
            </a:ext>
          </a:extLst>
        </xdr:cNvPr>
        <xdr:cNvPicPr>
          <a:picLocks noChangeAspect="1"/>
        </xdr:cNvPicPr>
      </xdr:nvPicPr>
      <xdr:blipFill>
        <a:blip xmlns:r="http://schemas.openxmlformats.org/officeDocument/2006/relationships" r:embed="rId6"/>
        <a:stretch>
          <a:fillRect/>
        </a:stretch>
      </xdr:blipFill>
      <xdr:spPr>
        <a:xfrm>
          <a:off x="1676400" y="819150"/>
          <a:ext cx="1146811" cy="1160659"/>
        </a:xfrm>
        <a:prstGeom prst="rect">
          <a:avLst/>
        </a:prstGeom>
      </xdr:spPr>
    </xdr:pic>
    <xdr:clientData/>
  </xdr:twoCellAnchor>
</xdr:wsDr>
</file>

<file path=xl/drawings/drawing94.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308D333B-3AF3-4B58-B8DC-27380F76ED8B}"/>
            </a:ext>
          </a:extLst>
        </xdr:cNvPr>
        <xdr:cNvSpPr/>
      </xdr:nvSpPr>
      <xdr:spPr>
        <a:xfrm>
          <a:off x="265872" y="82909"/>
          <a:ext cx="1209672" cy="392255"/>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510557BD-6819-4980-8A59-2D3B9AFAADE6}"/>
            </a:ext>
          </a:extLst>
        </xdr:cNvPr>
        <xdr:cNvSpPr/>
      </xdr:nvSpPr>
      <xdr:spPr>
        <a:xfrm>
          <a:off x="1753924" y="72721"/>
          <a:ext cx="1530057" cy="40143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79275BCD-769D-4478-A4C5-E09A8B537CA4}"/>
            </a:ext>
          </a:extLst>
        </xdr:cNvPr>
        <xdr:cNvSpPr/>
      </xdr:nvSpPr>
      <xdr:spPr>
        <a:xfrm>
          <a:off x="3374003" y="72721"/>
          <a:ext cx="1341972" cy="40143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2E2961A4-AF62-4E87-90F6-D936EB78D815}"/>
            </a:ext>
          </a:extLst>
        </xdr:cNvPr>
        <xdr:cNvSpPr/>
      </xdr:nvSpPr>
      <xdr:spPr>
        <a:xfrm>
          <a:off x="5135050" y="82909"/>
          <a:ext cx="1286655" cy="392255"/>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142875</xdr:colOff>
      <xdr:row>1</xdr:row>
      <xdr:rowOff>76200</xdr:rowOff>
    </xdr:from>
    <xdr:to>
      <xdr:col>1</xdr:col>
      <xdr:colOff>746124</xdr:colOff>
      <xdr:row>3</xdr:row>
      <xdr:rowOff>259429</xdr:rowOff>
    </xdr:to>
    <xdr:pic>
      <xdr:nvPicPr>
        <xdr:cNvPr id="6" name="Imagen 5">
          <a:extLst>
            <a:ext uri="{FF2B5EF4-FFF2-40B4-BE49-F238E27FC236}">
              <a16:creationId xmlns:a16="http://schemas.microsoft.com/office/drawing/2014/main" id="{C490CE56-14BB-49D6-A452-9E761B935EB6}"/>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42875" y="847725"/>
          <a:ext cx="1212849" cy="1078579"/>
        </a:xfrm>
        <a:prstGeom prst="rect">
          <a:avLst/>
        </a:prstGeom>
      </xdr:spPr>
    </xdr:pic>
    <xdr:clientData/>
  </xdr:twoCellAnchor>
  <xdr:twoCellAnchor editAs="oneCell">
    <xdr:from>
      <xdr:col>2</xdr:col>
      <xdr:colOff>247650</xdr:colOff>
      <xdr:row>1</xdr:row>
      <xdr:rowOff>47625</xdr:rowOff>
    </xdr:from>
    <xdr:to>
      <xdr:col>2</xdr:col>
      <xdr:colOff>1394461</xdr:colOff>
      <xdr:row>3</xdr:row>
      <xdr:rowOff>312934</xdr:rowOff>
    </xdr:to>
    <xdr:pic>
      <xdr:nvPicPr>
        <xdr:cNvPr id="7" name="Imagen 6">
          <a:extLst>
            <a:ext uri="{FF2B5EF4-FFF2-40B4-BE49-F238E27FC236}">
              <a16:creationId xmlns:a16="http://schemas.microsoft.com/office/drawing/2014/main" id="{75E885FB-10DC-4208-8F62-32422BE85B0D}"/>
            </a:ext>
          </a:extLst>
        </xdr:cNvPr>
        <xdr:cNvPicPr>
          <a:picLocks noChangeAspect="1"/>
        </xdr:cNvPicPr>
      </xdr:nvPicPr>
      <xdr:blipFill>
        <a:blip xmlns:r="http://schemas.openxmlformats.org/officeDocument/2006/relationships" r:embed="rId6"/>
        <a:stretch>
          <a:fillRect/>
        </a:stretch>
      </xdr:blipFill>
      <xdr:spPr>
        <a:xfrm>
          <a:off x="1676400" y="819150"/>
          <a:ext cx="1146811" cy="1160659"/>
        </a:xfrm>
        <a:prstGeom prst="rect">
          <a:avLst/>
        </a:prstGeom>
      </xdr:spPr>
    </xdr:pic>
    <xdr:clientData/>
  </xdr:twoCellAnchor>
</xdr:wsDr>
</file>

<file path=xl/drawings/drawing95.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8F601D94-5D95-4164-A9AE-4071B71E0243}"/>
            </a:ext>
          </a:extLst>
        </xdr:cNvPr>
        <xdr:cNvSpPr/>
      </xdr:nvSpPr>
      <xdr:spPr>
        <a:xfrm>
          <a:off x="265872" y="82909"/>
          <a:ext cx="1209672" cy="392255"/>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6EDE811D-FCD5-4A69-8EF9-C03B10D51FA0}"/>
            </a:ext>
          </a:extLst>
        </xdr:cNvPr>
        <xdr:cNvSpPr/>
      </xdr:nvSpPr>
      <xdr:spPr>
        <a:xfrm>
          <a:off x="1753924" y="72721"/>
          <a:ext cx="1530057" cy="40143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838114FF-03E9-41A9-8654-FA5C1DAEFEDC}"/>
            </a:ext>
          </a:extLst>
        </xdr:cNvPr>
        <xdr:cNvSpPr/>
      </xdr:nvSpPr>
      <xdr:spPr>
        <a:xfrm>
          <a:off x="3374003" y="72721"/>
          <a:ext cx="1341972" cy="40143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6AD1F9E6-C7BE-491B-AD5E-FFE636298FB8}"/>
            </a:ext>
          </a:extLst>
        </xdr:cNvPr>
        <xdr:cNvSpPr/>
      </xdr:nvSpPr>
      <xdr:spPr>
        <a:xfrm>
          <a:off x="5135050" y="82909"/>
          <a:ext cx="1286655" cy="392255"/>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152400</xdr:colOff>
      <xdr:row>1</xdr:row>
      <xdr:rowOff>95251</xdr:rowOff>
    </xdr:from>
    <xdr:to>
      <xdr:col>1</xdr:col>
      <xdr:colOff>755649</xdr:colOff>
      <xdr:row>3</xdr:row>
      <xdr:rowOff>278480</xdr:rowOff>
    </xdr:to>
    <xdr:pic>
      <xdr:nvPicPr>
        <xdr:cNvPr id="6" name="Imagen 5">
          <a:extLst>
            <a:ext uri="{FF2B5EF4-FFF2-40B4-BE49-F238E27FC236}">
              <a16:creationId xmlns:a16="http://schemas.microsoft.com/office/drawing/2014/main" id="{E7DD07E1-844F-4FDA-9002-9FA9762EF4A9}"/>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52400" y="866776"/>
          <a:ext cx="1212849" cy="1078579"/>
        </a:xfrm>
        <a:prstGeom prst="rect">
          <a:avLst/>
        </a:prstGeom>
      </xdr:spPr>
    </xdr:pic>
    <xdr:clientData/>
  </xdr:twoCellAnchor>
  <xdr:twoCellAnchor editAs="oneCell">
    <xdr:from>
      <xdr:col>2</xdr:col>
      <xdr:colOff>209548</xdr:colOff>
      <xdr:row>1</xdr:row>
      <xdr:rowOff>47625</xdr:rowOff>
    </xdr:from>
    <xdr:to>
      <xdr:col>2</xdr:col>
      <xdr:colOff>1356359</xdr:colOff>
      <xdr:row>3</xdr:row>
      <xdr:rowOff>312934</xdr:rowOff>
    </xdr:to>
    <xdr:pic>
      <xdr:nvPicPr>
        <xdr:cNvPr id="7" name="Imagen 6">
          <a:extLst>
            <a:ext uri="{FF2B5EF4-FFF2-40B4-BE49-F238E27FC236}">
              <a16:creationId xmlns:a16="http://schemas.microsoft.com/office/drawing/2014/main" id="{30BD48CF-5E0C-4917-89FC-4CB54B77D8D7}"/>
            </a:ext>
          </a:extLst>
        </xdr:cNvPr>
        <xdr:cNvPicPr>
          <a:picLocks noChangeAspect="1"/>
        </xdr:cNvPicPr>
      </xdr:nvPicPr>
      <xdr:blipFill>
        <a:blip xmlns:r="http://schemas.openxmlformats.org/officeDocument/2006/relationships" r:embed="rId6"/>
        <a:stretch>
          <a:fillRect/>
        </a:stretch>
      </xdr:blipFill>
      <xdr:spPr>
        <a:xfrm>
          <a:off x="1638298" y="819150"/>
          <a:ext cx="1146811" cy="1160659"/>
        </a:xfrm>
        <a:prstGeom prst="rect">
          <a:avLst/>
        </a:prstGeom>
      </xdr:spPr>
    </xdr:pic>
    <xdr:clientData/>
  </xdr:twoCellAnchor>
</xdr:wsDr>
</file>

<file path=xl/drawings/drawing96.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125F909D-3971-4A85-A696-17513F1EB269}"/>
            </a:ext>
          </a:extLst>
        </xdr:cNvPr>
        <xdr:cNvSpPr/>
      </xdr:nvSpPr>
      <xdr:spPr>
        <a:xfrm>
          <a:off x="265872" y="82909"/>
          <a:ext cx="1209672" cy="392255"/>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A8E83605-78B2-4A69-A1DC-0FE828AA5D3A}"/>
            </a:ext>
          </a:extLst>
        </xdr:cNvPr>
        <xdr:cNvSpPr/>
      </xdr:nvSpPr>
      <xdr:spPr>
        <a:xfrm>
          <a:off x="1753924" y="72721"/>
          <a:ext cx="1530057" cy="40143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5BC3A20A-F3BA-47A3-AE6E-4B12149C0D41}"/>
            </a:ext>
          </a:extLst>
        </xdr:cNvPr>
        <xdr:cNvSpPr/>
      </xdr:nvSpPr>
      <xdr:spPr>
        <a:xfrm>
          <a:off x="3374003" y="72721"/>
          <a:ext cx="1341972" cy="40143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F6441C32-8A7F-4B45-9DCD-6F69431A9857}"/>
            </a:ext>
          </a:extLst>
        </xdr:cNvPr>
        <xdr:cNvSpPr/>
      </xdr:nvSpPr>
      <xdr:spPr>
        <a:xfrm>
          <a:off x="5135050" y="82909"/>
          <a:ext cx="1286655" cy="392255"/>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152400</xdr:colOff>
      <xdr:row>1</xdr:row>
      <xdr:rowOff>95251</xdr:rowOff>
    </xdr:from>
    <xdr:to>
      <xdr:col>1</xdr:col>
      <xdr:colOff>755649</xdr:colOff>
      <xdr:row>3</xdr:row>
      <xdr:rowOff>278480</xdr:rowOff>
    </xdr:to>
    <xdr:pic>
      <xdr:nvPicPr>
        <xdr:cNvPr id="6" name="Imagen 5">
          <a:extLst>
            <a:ext uri="{FF2B5EF4-FFF2-40B4-BE49-F238E27FC236}">
              <a16:creationId xmlns:a16="http://schemas.microsoft.com/office/drawing/2014/main" id="{43D428A2-5645-4B9E-9DAF-766051889556}"/>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52400" y="866776"/>
          <a:ext cx="1212849" cy="1078579"/>
        </a:xfrm>
        <a:prstGeom prst="rect">
          <a:avLst/>
        </a:prstGeom>
      </xdr:spPr>
    </xdr:pic>
    <xdr:clientData/>
  </xdr:twoCellAnchor>
  <xdr:twoCellAnchor editAs="oneCell">
    <xdr:from>
      <xdr:col>2</xdr:col>
      <xdr:colOff>209548</xdr:colOff>
      <xdr:row>1</xdr:row>
      <xdr:rowOff>47625</xdr:rowOff>
    </xdr:from>
    <xdr:to>
      <xdr:col>2</xdr:col>
      <xdr:colOff>1356359</xdr:colOff>
      <xdr:row>3</xdr:row>
      <xdr:rowOff>312934</xdr:rowOff>
    </xdr:to>
    <xdr:pic>
      <xdr:nvPicPr>
        <xdr:cNvPr id="7" name="Imagen 6">
          <a:extLst>
            <a:ext uri="{FF2B5EF4-FFF2-40B4-BE49-F238E27FC236}">
              <a16:creationId xmlns:a16="http://schemas.microsoft.com/office/drawing/2014/main" id="{C56F9478-081D-4323-82EE-67AC7B722FFB}"/>
            </a:ext>
          </a:extLst>
        </xdr:cNvPr>
        <xdr:cNvPicPr>
          <a:picLocks noChangeAspect="1"/>
        </xdr:cNvPicPr>
      </xdr:nvPicPr>
      <xdr:blipFill>
        <a:blip xmlns:r="http://schemas.openxmlformats.org/officeDocument/2006/relationships" r:embed="rId6"/>
        <a:stretch>
          <a:fillRect/>
        </a:stretch>
      </xdr:blipFill>
      <xdr:spPr>
        <a:xfrm>
          <a:off x="1638298" y="819150"/>
          <a:ext cx="1146811" cy="1160659"/>
        </a:xfrm>
        <a:prstGeom prst="rect">
          <a:avLst/>
        </a:prstGeom>
      </xdr:spPr>
    </xdr:pic>
    <xdr:clientData/>
  </xdr:twoCellAnchor>
</xdr:wsDr>
</file>

<file path=xl/drawings/drawing97.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273B592E-64EF-49D7-B371-800852657A9B}"/>
            </a:ext>
          </a:extLst>
        </xdr:cNvPr>
        <xdr:cNvSpPr/>
      </xdr:nvSpPr>
      <xdr:spPr>
        <a:xfrm>
          <a:off x="265872" y="82909"/>
          <a:ext cx="1209672" cy="392255"/>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A81E1A7C-B668-4695-8247-AF8FDE0B5D87}"/>
            </a:ext>
          </a:extLst>
        </xdr:cNvPr>
        <xdr:cNvSpPr/>
      </xdr:nvSpPr>
      <xdr:spPr>
        <a:xfrm>
          <a:off x="1753924" y="72721"/>
          <a:ext cx="1530057" cy="40143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21587888-2BB4-47DA-BD97-BEB42FE515D0}"/>
            </a:ext>
          </a:extLst>
        </xdr:cNvPr>
        <xdr:cNvSpPr/>
      </xdr:nvSpPr>
      <xdr:spPr>
        <a:xfrm>
          <a:off x="3374003" y="72721"/>
          <a:ext cx="1341972" cy="40143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E666EDCC-DE07-4612-8980-EBC0913A102C}"/>
            </a:ext>
          </a:extLst>
        </xdr:cNvPr>
        <xdr:cNvSpPr/>
      </xdr:nvSpPr>
      <xdr:spPr>
        <a:xfrm>
          <a:off x="5135050" y="82909"/>
          <a:ext cx="1286655" cy="392255"/>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152400</xdr:colOff>
      <xdr:row>1</xdr:row>
      <xdr:rowOff>95251</xdr:rowOff>
    </xdr:from>
    <xdr:to>
      <xdr:col>1</xdr:col>
      <xdr:colOff>755649</xdr:colOff>
      <xdr:row>3</xdr:row>
      <xdr:rowOff>278480</xdr:rowOff>
    </xdr:to>
    <xdr:pic>
      <xdr:nvPicPr>
        <xdr:cNvPr id="6" name="Imagen 5">
          <a:extLst>
            <a:ext uri="{FF2B5EF4-FFF2-40B4-BE49-F238E27FC236}">
              <a16:creationId xmlns:a16="http://schemas.microsoft.com/office/drawing/2014/main" id="{41872985-3EB8-41FF-A375-0DFB08713B04}"/>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52400" y="866776"/>
          <a:ext cx="1212849" cy="1078579"/>
        </a:xfrm>
        <a:prstGeom prst="rect">
          <a:avLst/>
        </a:prstGeom>
      </xdr:spPr>
    </xdr:pic>
    <xdr:clientData/>
  </xdr:twoCellAnchor>
  <xdr:twoCellAnchor editAs="oneCell">
    <xdr:from>
      <xdr:col>2</xdr:col>
      <xdr:colOff>209548</xdr:colOff>
      <xdr:row>1</xdr:row>
      <xdr:rowOff>47625</xdr:rowOff>
    </xdr:from>
    <xdr:to>
      <xdr:col>2</xdr:col>
      <xdr:colOff>1356359</xdr:colOff>
      <xdr:row>3</xdr:row>
      <xdr:rowOff>312934</xdr:rowOff>
    </xdr:to>
    <xdr:pic>
      <xdr:nvPicPr>
        <xdr:cNvPr id="7" name="Imagen 6">
          <a:extLst>
            <a:ext uri="{FF2B5EF4-FFF2-40B4-BE49-F238E27FC236}">
              <a16:creationId xmlns:a16="http://schemas.microsoft.com/office/drawing/2014/main" id="{38710A19-DD9E-4137-9C3C-265D22F6B20E}"/>
            </a:ext>
          </a:extLst>
        </xdr:cNvPr>
        <xdr:cNvPicPr>
          <a:picLocks noChangeAspect="1"/>
        </xdr:cNvPicPr>
      </xdr:nvPicPr>
      <xdr:blipFill>
        <a:blip xmlns:r="http://schemas.openxmlformats.org/officeDocument/2006/relationships" r:embed="rId6"/>
        <a:stretch>
          <a:fillRect/>
        </a:stretch>
      </xdr:blipFill>
      <xdr:spPr>
        <a:xfrm>
          <a:off x="1638298" y="819150"/>
          <a:ext cx="1146811" cy="1160659"/>
        </a:xfrm>
        <a:prstGeom prst="rect">
          <a:avLst/>
        </a:prstGeom>
      </xdr:spPr>
    </xdr:pic>
    <xdr:clientData/>
  </xdr:twoCellAnchor>
</xdr:wsDr>
</file>

<file path=xl/drawings/drawing98.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3D38FFEF-ED66-4B29-A6AB-C9BAEE68504D}"/>
            </a:ext>
          </a:extLst>
        </xdr:cNvPr>
        <xdr:cNvSpPr/>
      </xdr:nvSpPr>
      <xdr:spPr>
        <a:xfrm>
          <a:off x="265872" y="82909"/>
          <a:ext cx="1209672" cy="392255"/>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FD53BF0E-0063-4F66-8BE3-7DCA3E3FE652}"/>
            </a:ext>
          </a:extLst>
        </xdr:cNvPr>
        <xdr:cNvSpPr/>
      </xdr:nvSpPr>
      <xdr:spPr>
        <a:xfrm>
          <a:off x="1753924" y="72721"/>
          <a:ext cx="1530057" cy="40143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E8E0F0FE-C59C-45E6-8C52-3E8D44EE4DF1}"/>
            </a:ext>
          </a:extLst>
        </xdr:cNvPr>
        <xdr:cNvSpPr/>
      </xdr:nvSpPr>
      <xdr:spPr>
        <a:xfrm>
          <a:off x="3374003" y="72721"/>
          <a:ext cx="1341972" cy="40143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CC602012-9ABB-4E26-B7A2-3AD53FDFF0E9}"/>
            </a:ext>
          </a:extLst>
        </xdr:cNvPr>
        <xdr:cNvSpPr/>
      </xdr:nvSpPr>
      <xdr:spPr>
        <a:xfrm>
          <a:off x="5135050" y="82909"/>
          <a:ext cx="1286655" cy="392255"/>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114300</xdr:colOff>
      <xdr:row>1</xdr:row>
      <xdr:rowOff>95250</xdr:rowOff>
    </xdr:from>
    <xdr:to>
      <xdr:col>1</xdr:col>
      <xdr:colOff>717549</xdr:colOff>
      <xdr:row>3</xdr:row>
      <xdr:rowOff>278479</xdr:rowOff>
    </xdr:to>
    <xdr:pic>
      <xdr:nvPicPr>
        <xdr:cNvPr id="6" name="Imagen 5">
          <a:extLst>
            <a:ext uri="{FF2B5EF4-FFF2-40B4-BE49-F238E27FC236}">
              <a16:creationId xmlns:a16="http://schemas.microsoft.com/office/drawing/2014/main" id="{D5342648-2032-425E-A3F5-607EFC6033E8}"/>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14300" y="866775"/>
          <a:ext cx="1212849" cy="1078579"/>
        </a:xfrm>
        <a:prstGeom prst="rect">
          <a:avLst/>
        </a:prstGeom>
      </xdr:spPr>
    </xdr:pic>
    <xdr:clientData/>
  </xdr:twoCellAnchor>
  <xdr:twoCellAnchor editAs="oneCell">
    <xdr:from>
      <xdr:col>2</xdr:col>
      <xdr:colOff>238125</xdr:colOff>
      <xdr:row>1</xdr:row>
      <xdr:rowOff>47625</xdr:rowOff>
    </xdr:from>
    <xdr:to>
      <xdr:col>2</xdr:col>
      <xdr:colOff>1384936</xdr:colOff>
      <xdr:row>3</xdr:row>
      <xdr:rowOff>312934</xdr:rowOff>
    </xdr:to>
    <xdr:pic>
      <xdr:nvPicPr>
        <xdr:cNvPr id="7" name="Imagen 6">
          <a:extLst>
            <a:ext uri="{FF2B5EF4-FFF2-40B4-BE49-F238E27FC236}">
              <a16:creationId xmlns:a16="http://schemas.microsoft.com/office/drawing/2014/main" id="{0BF42C6C-6328-45BF-8017-696CD21753C3}"/>
            </a:ext>
          </a:extLst>
        </xdr:cNvPr>
        <xdr:cNvPicPr>
          <a:picLocks noChangeAspect="1"/>
        </xdr:cNvPicPr>
      </xdr:nvPicPr>
      <xdr:blipFill>
        <a:blip xmlns:r="http://schemas.openxmlformats.org/officeDocument/2006/relationships" r:embed="rId6"/>
        <a:stretch>
          <a:fillRect/>
        </a:stretch>
      </xdr:blipFill>
      <xdr:spPr>
        <a:xfrm>
          <a:off x="1666875" y="819150"/>
          <a:ext cx="1146811" cy="1160659"/>
        </a:xfrm>
        <a:prstGeom prst="rect">
          <a:avLst/>
        </a:prstGeom>
      </xdr:spPr>
    </xdr:pic>
    <xdr:clientData/>
  </xdr:twoCellAnchor>
</xdr:wsDr>
</file>

<file path=xl/drawings/drawing99.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61C18AEA-E827-4F2D-90AF-65A53EB3B222}"/>
            </a:ext>
          </a:extLst>
        </xdr:cNvPr>
        <xdr:cNvSpPr/>
      </xdr:nvSpPr>
      <xdr:spPr>
        <a:xfrm>
          <a:off x="265872" y="82909"/>
          <a:ext cx="1209672" cy="392255"/>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4AE68B93-A2D3-449B-A624-E78533F3E155}"/>
            </a:ext>
          </a:extLst>
        </xdr:cNvPr>
        <xdr:cNvSpPr/>
      </xdr:nvSpPr>
      <xdr:spPr>
        <a:xfrm>
          <a:off x="1753924" y="72721"/>
          <a:ext cx="1530057" cy="40143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2B01128C-C2E1-400F-99C0-C5EE67FACDE9}"/>
            </a:ext>
          </a:extLst>
        </xdr:cNvPr>
        <xdr:cNvSpPr/>
      </xdr:nvSpPr>
      <xdr:spPr>
        <a:xfrm>
          <a:off x="3374003" y="72721"/>
          <a:ext cx="1341972" cy="40143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606B68E0-3F08-43D3-8316-2367322E5711}"/>
            </a:ext>
          </a:extLst>
        </xdr:cNvPr>
        <xdr:cNvSpPr/>
      </xdr:nvSpPr>
      <xdr:spPr>
        <a:xfrm>
          <a:off x="5135050" y="82909"/>
          <a:ext cx="1286655" cy="392255"/>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114300</xdr:colOff>
      <xdr:row>1</xdr:row>
      <xdr:rowOff>95250</xdr:rowOff>
    </xdr:from>
    <xdr:to>
      <xdr:col>1</xdr:col>
      <xdr:colOff>717549</xdr:colOff>
      <xdr:row>3</xdr:row>
      <xdr:rowOff>278479</xdr:rowOff>
    </xdr:to>
    <xdr:pic>
      <xdr:nvPicPr>
        <xdr:cNvPr id="6" name="Imagen 5">
          <a:extLst>
            <a:ext uri="{FF2B5EF4-FFF2-40B4-BE49-F238E27FC236}">
              <a16:creationId xmlns:a16="http://schemas.microsoft.com/office/drawing/2014/main" id="{0BC4E914-C82B-43E4-813D-9BFC1BC239E3}"/>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14300" y="866775"/>
          <a:ext cx="1212849" cy="1078579"/>
        </a:xfrm>
        <a:prstGeom prst="rect">
          <a:avLst/>
        </a:prstGeom>
      </xdr:spPr>
    </xdr:pic>
    <xdr:clientData/>
  </xdr:twoCellAnchor>
  <xdr:twoCellAnchor editAs="oneCell">
    <xdr:from>
      <xdr:col>2</xdr:col>
      <xdr:colOff>238125</xdr:colOff>
      <xdr:row>1</xdr:row>
      <xdr:rowOff>47625</xdr:rowOff>
    </xdr:from>
    <xdr:to>
      <xdr:col>2</xdr:col>
      <xdr:colOff>1384936</xdr:colOff>
      <xdr:row>3</xdr:row>
      <xdr:rowOff>312934</xdr:rowOff>
    </xdr:to>
    <xdr:pic>
      <xdr:nvPicPr>
        <xdr:cNvPr id="7" name="Imagen 6">
          <a:extLst>
            <a:ext uri="{FF2B5EF4-FFF2-40B4-BE49-F238E27FC236}">
              <a16:creationId xmlns:a16="http://schemas.microsoft.com/office/drawing/2014/main" id="{3BC3C6ED-8AE4-4379-8395-EFD0876839E5}"/>
            </a:ext>
          </a:extLst>
        </xdr:cNvPr>
        <xdr:cNvPicPr>
          <a:picLocks noChangeAspect="1"/>
        </xdr:cNvPicPr>
      </xdr:nvPicPr>
      <xdr:blipFill>
        <a:blip xmlns:r="http://schemas.openxmlformats.org/officeDocument/2006/relationships" r:embed="rId6"/>
        <a:stretch>
          <a:fillRect/>
        </a:stretch>
      </xdr:blipFill>
      <xdr:spPr>
        <a:xfrm>
          <a:off x="1666875" y="819150"/>
          <a:ext cx="1146811" cy="1160659"/>
        </a:xfrm>
        <a:prstGeom prst="rect">
          <a:avLst/>
        </a:prstGeom>
      </xdr:spPr>
    </xdr:pic>
    <xdr:clientData/>
  </xdr:twoCellAnchor>
</xdr:wsDr>
</file>

<file path=xl/drawings/drawing100.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A9EF8CD0-E2FC-4D2F-9344-E5D4A179A30B}"/>
            </a:ext>
          </a:extLst>
        </xdr:cNvPr>
        <xdr:cNvSpPr/>
      </xdr:nvSpPr>
      <xdr:spPr>
        <a:xfrm>
          <a:off x="265872" y="82909"/>
          <a:ext cx="1209672" cy="392255"/>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A71F68B6-67B2-4D04-9B7A-B1DAFA83C31E}"/>
            </a:ext>
          </a:extLst>
        </xdr:cNvPr>
        <xdr:cNvSpPr/>
      </xdr:nvSpPr>
      <xdr:spPr>
        <a:xfrm>
          <a:off x="1753924" y="72721"/>
          <a:ext cx="1530057" cy="40143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B019F24F-DEEC-4317-B728-74107E5D042A}"/>
            </a:ext>
          </a:extLst>
        </xdr:cNvPr>
        <xdr:cNvSpPr/>
      </xdr:nvSpPr>
      <xdr:spPr>
        <a:xfrm>
          <a:off x="3374003" y="72721"/>
          <a:ext cx="1341972" cy="40143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E827FE16-30A3-4FEE-9D42-85C3F73EE896}"/>
            </a:ext>
          </a:extLst>
        </xdr:cNvPr>
        <xdr:cNvSpPr/>
      </xdr:nvSpPr>
      <xdr:spPr>
        <a:xfrm>
          <a:off x="5135050" y="82909"/>
          <a:ext cx="1286655" cy="392255"/>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114300</xdr:colOff>
      <xdr:row>1</xdr:row>
      <xdr:rowOff>95250</xdr:rowOff>
    </xdr:from>
    <xdr:to>
      <xdr:col>1</xdr:col>
      <xdr:colOff>717549</xdr:colOff>
      <xdr:row>3</xdr:row>
      <xdr:rowOff>278479</xdr:rowOff>
    </xdr:to>
    <xdr:pic>
      <xdr:nvPicPr>
        <xdr:cNvPr id="6" name="Imagen 5">
          <a:extLst>
            <a:ext uri="{FF2B5EF4-FFF2-40B4-BE49-F238E27FC236}">
              <a16:creationId xmlns:a16="http://schemas.microsoft.com/office/drawing/2014/main" id="{EDB32021-028E-49BE-987D-B23574FF141A}"/>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14300" y="866775"/>
          <a:ext cx="1212849" cy="1078579"/>
        </a:xfrm>
        <a:prstGeom prst="rect">
          <a:avLst/>
        </a:prstGeom>
      </xdr:spPr>
    </xdr:pic>
    <xdr:clientData/>
  </xdr:twoCellAnchor>
  <xdr:twoCellAnchor editAs="oneCell">
    <xdr:from>
      <xdr:col>2</xdr:col>
      <xdr:colOff>238125</xdr:colOff>
      <xdr:row>1</xdr:row>
      <xdr:rowOff>47625</xdr:rowOff>
    </xdr:from>
    <xdr:to>
      <xdr:col>2</xdr:col>
      <xdr:colOff>1384936</xdr:colOff>
      <xdr:row>3</xdr:row>
      <xdr:rowOff>312934</xdr:rowOff>
    </xdr:to>
    <xdr:pic>
      <xdr:nvPicPr>
        <xdr:cNvPr id="7" name="Imagen 6">
          <a:extLst>
            <a:ext uri="{FF2B5EF4-FFF2-40B4-BE49-F238E27FC236}">
              <a16:creationId xmlns:a16="http://schemas.microsoft.com/office/drawing/2014/main" id="{CC3B7398-7BF8-4E14-BC76-E24A4D985E2D}"/>
            </a:ext>
          </a:extLst>
        </xdr:cNvPr>
        <xdr:cNvPicPr>
          <a:picLocks noChangeAspect="1"/>
        </xdr:cNvPicPr>
      </xdr:nvPicPr>
      <xdr:blipFill>
        <a:blip xmlns:r="http://schemas.openxmlformats.org/officeDocument/2006/relationships" r:embed="rId6"/>
        <a:stretch>
          <a:fillRect/>
        </a:stretch>
      </xdr:blipFill>
      <xdr:spPr>
        <a:xfrm>
          <a:off x="1666875" y="819150"/>
          <a:ext cx="1146811" cy="1160659"/>
        </a:xfrm>
        <a:prstGeom prst="rect">
          <a:avLst/>
        </a:prstGeom>
      </xdr:spPr>
    </xdr:pic>
    <xdr:clientData/>
  </xdr:twoCellAnchor>
</xdr:wsDr>
</file>

<file path=xl/drawings/drawing101.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FA290320-3926-4086-A4AB-22B0C0EB52C7}"/>
            </a:ext>
          </a:extLst>
        </xdr:cNvPr>
        <xdr:cNvSpPr/>
      </xdr:nvSpPr>
      <xdr:spPr>
        <a:xfrm>
          <a:off x="265872" y="82909"/>
          <a:ext cx="1209672" cy="392255"/>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1BAC180C-E5E7-44E3-BADE-0AF35D6433A6}"/>
            </a:ext>
          </a:extLst>
        </xdr:cNvPr>
        <xdr:cNvSpPr/>
      </xdr:nvSpPr>
      <xdr:spPr>
        <a:xfrm>
          <a:off x="1753924" y="72721"/>
          <a:ext cx="1530057" cy="40143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F75D5A71-A8ED-4D1C-9EF7-F1B0C8B98509}"/>
            </a:ext>
          </a:extLst>
        </xdr:cNvPr>
        <xdr:cNvSpPr/>
      </xdr:nvSpPr>
      <xdr:spPr>
        <a:xfrm>
          <a:off x="3374003" y="72721"/>
          <a:ext cx="1341972" cy="40143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0826623B-3FDE-40AE-900B-12414432D429}"/>
            </a:ext>
          </a:extLst>
        </xdr:cNvPr>
        <xdr:cNvSpPr/>
      </xdr:nvSpPr>
      <xdr:spPr>
        <a:xfrm>
          <a:off x="5135050" y="82909"/>
          <a:ext cx="1286655" cy="392255"/>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152400</xdr:colOff>
      <xdr:row>1</xdr:row>
      <xdr:rowOff>95251</xdr:rowOff>
    </xdr:from>
    <xdr:to>
      <xdr:col>1</xdr:col>
      <xdr:colOff>755649</xdr:colOff>
      <xdr:row>3</xdr:row>
      <xdr:rowOff>278480</xdr:rowOff>
    </xdr:to>
    <xdr:pic>
      <xdr:nvPicPr>
        <xdr:cNvPr id="6" name="Imagen 5">
          <a:extLst>
            <a:ext uri="{FF2B5EF4-FFF2-40B4-BE49-F238E27FC236}">
              <a16:creationId xmlns:a16="http://schemas.microsoft.com/office/drawing/2014/main" id="{508D8A0C-02BE-41C8-A294-D2432DDC98B9}"/>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52400" y="866776"/>
          <a:ext cx="1212849" cy="1078579"/>
        </a:xfrm>
        <a:prstGeom prst="rect">
          <a:avLst/>
        </a:prstGeom>
      </xdr:spPr>
    </xdr:pic>
    <xdr:clientData/>
  </xdr:twoCellAnchor>
  <xdr:twoCellAnchor editAs="oneCell">
    <xdr:from>
      <xdr:col>2</xdr:col>
      <xdr:colOff>209548</xdr:colOff>
      <xdr:row>1</xdr:row>
      <xdr:rowOff>47625</xdr:rowOff>
    </xdr:from>
    <xdr:to>
      <xdr:col>2</xdr:col>
      <xdr:colOff>1356359</xdr:colOff>
      <xdr:row>3</xdr:row>
      <xdr:rowOff>312934</xdr:rowOff>
    </xdr:to>
    <xdr:pic>
      <xdr:nvPicPr>
        <xdr:cNvPr id="7" name="Imagen 6">
          <a:extLst>
            <a:ext uri="{FF2B5EF4-FFF2-40B4-BE49-F238E27FC236}">
              <a16:creationId xmlns:a16="http://schemas.microsoft.com/office/drawing/2014/main" id="{0900C836-5162-424B-A484-3C519A1A29CA}"/>
            </a:ext>
          </a:extLst>
        </xdr:cNvPr>
        <xdr:cNvPicPr>
          <a:picLocks noChangeAspect="1"/>
        </xdr:cNvPicPr>
      </xdr:nvPicPr>
      <xdr:blipFill>
        <a:blip xmlns:r="http://schemas.openxmlformats.org/officeDocument/2006/relationships" r:embed="rId6"/>
        <a:stretch>
          <a:fillRect/>
        </a:stretch>
      </xdr:blipFill>
      <xdr:spPr>
        <a:xfrm>
          <a:off x="1638298" y="819150"/>
          <a:ext cx="1146811" cy="1160659"/>
        </a:xfrm>
        <a:prstGeom prst="rect">
          <a:avLst/>
        </a:prstGeom>
      </xdr:spPr>
    </xdr:pic>
    <xdr:clientData/>
  </xdr:twoCellAnchor>
</xdr:wsDr>
</file>

<file path=xl/drawings/drawing102.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3652CD83-F392-4E1A-92E0-8CCF331B8E04}"/>
            </a:ext>
          </a:extLst>
        </xdr:cNvPr>
        <xdr:cNvSpPr/>
      </xdr:nvSpPr>
      <xdr:spPr>
        <a:xfrm>
          <a:off x="265872" y="82909"/>
          <a:ext cx="1209672" cy="392255"/>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3F09F79A-2DE3-4F4C-BE26-213FD1A96F03}"/>
            </a:ext>
          </a:extLst>
        </xdr:cNvPr>
        <xdr:cNvSpPr/>
      </xdr:nvSpPr>
      <xdr:spPr>
        <a:xfrm>
          <a:off x="1753924" y="72721"/>
          <a:ext cx="1530057" cy="40143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B732CB2F-60D5-488C-8775-ACD6F4C4FE5B}"/>
            </a:ext>
          </a:extLst>
        </xdr:cNvPr>
        <xdr:cNvSpPr/>
      </xdr:nvSpPr>
      <xdr:spPr>
        <a:xfrm>
          <a:off x="3374003" y="72721"/>
          <a:ext cx="1341972" cy="40143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377A828A-D417-4043-8961-9BC8C6112832}"/>
            </a:ext>
          </a:extLst>
        </xdr:cNvPr>
        <xdr:cNvSpPr/>
      </xdr:nvSpPr>
      <xdr:spPr>
        <a:xfrm>
          <a:off x="5135050" y="82909"/>
          <a:ext cx="1286655" cy="392255"/>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114300</xdr:colOff>
      <xdr:row>1</xdr:row>
      <xdr:rowOff>95250</xdr:rowOff>
    </xdr:from>
    <xdr:to>
      <xdr:col>1</xdr:col>
      <xdr:colOff>717549</xdr:colOff>
      <xdr:row>3</xdr:row>
      <xdr:rowOff>278479</xdr:rowOff>
    </xdr:to>
    <xdr:pic>
      <xdr:nvPicPr>
        <xdr:cNvPr id="6" name="Imagen 5">
          <a:extLst>
            <a:ext uri="{FF2B5EF4-FFF2-40B4-BE49-F238E27FC236}">
              <a16:creationId xmlns:a16="http://schemas.microsoft.com/office/drawing/2014/main" id="{EAF22A87-300B-4D89-AE25-323253A88711}"/>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14300" y="866775"/>
          <a:ext cx="1212849" cy="1078579"/>
        </a:xfrm>
        <a:prstGeom prst="rect">
          <a:avLst/>
        </a:prstGeom>
      </xdr:spPr>
    </xdr:pic>
    <xdr:clientData/>
  </xdr:twoCellAnchor>
  <xdr:twoCellAnchor editAs="oneCell">
    <xdr:from>
      <xdr:col>2</xdr:col>
      <xdr:colOff>238125</xdr:colOff>
      <xdr:row>1</xdr:row>
      <xdr:rowOff>47625</xdr:rowOff>
    </xdr:from>
    <xdr:to>
      <xdr:col>2</xdr:col>
      <xdr:colOff>1384936</xdr:colOff>
      <xdr:row>3</xdr:row>
      <xdr:rowOff>312934</xdr:rowOff>
    </xdr:to>
    <xdr:pic>
      <xdr:nvPicPr>
        <xdr:cNvPr id="7" name="Imagen 6">
          <a:extLst>
            <a:ext uri="{FF2B5EF4-FFF2-40B4-BE49-F238E27FC236}">
              <a16:creationId xmlns:a16="http://schemas.microsoft.com/office/drawing/2014/main" id="{9BC8FF00-A3D1-44A4-B4B9-70036D4036B5}"/>
            </a:ext>
          </a:extLst>
        </xdr:cNvPr>
        <xdr:cNvPicPr>
          <a:picLocks noChangeAspect="1"/>
        </xdr:cNvPicPr>
      </xdr:nvPicPr>
      <xdr:blipFill>
        <a:blip xmlns:r="http://schemas.openxmlformats.org/officeDocument/2006/relationships" r:embed="rId6"/>
        <a:stretch>
          <a:fillRect/>
        </a:stretch>
      </xdr:blipFill>
      <xdr:spPr>
        <a:xfrm>
          <a:off x="1666875" y="819150"/>
          <a:ext cx="1146811" cy="1160659"/>
        </a:xfrm>
        <a:prstGeom prst="rect">
          <a:avLst/>
        </a:prstGeom>
      </xdr:spPr>
    </xdr:pic>
    <xdr:clientData/>
  </xdr:twoCellAnchor>
</xdr:wsDr>
</file>

<file path=xl/drawings/drawing103.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CE5B3BDC-801F-484C-B3C3-8E541D60F861}"/>
            </a:ext>
          </a:extLst>
        </xdr:cNvPr>
        <xdr:cNvSpPr/>
      </xdr:nvSpPr>
      <xdr:spPr>
        <a:xfrm>
          <a:off x="265872" y="82909"/>
          <a:ext cx="1209672" cy="392255"/>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92C2565F-9A40-4E3F-9389-55CFC39FF30A}"/>
            </a:ext>
          </a:extLst>
        </xdr:cNvPr>
        <xdr:cNvSpPr/>
      </xdr:nvSpPr>
      <xdr:spPr>
        <a:xfrm>
          <a:off x="1753924" y="72721"/>
          <a:ext cx="1530057" cy="40143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57AB3C6C-552B-4CBB-825E-9AD315984669}"/>
            </a:ext>
          </a:extLst>
        </xdr:cNvPr>
        <xdr:cNvSpPr/>
      </xdr:nvSpPr>
      <xdr:spPr>
        <a:xfrm>
          <a:off x="3374003" y="72721"/>
          <a:ext cx="1341972" cy="40143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BB053610-F00A-4BCD-B300-F2F57702D61B}"/>
            </a:ext>
          </a:extLst>
        </xdr:cNvPr>
        <xdr:cNvSpPr/>
      </xdr:nvSpPr>
      <xdr:spPr>
        <a:xfrm>
          <a:off x="5135050" y="82909"/>
          <a:ext cx="1286655" cy="392255"/>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152400</xdr:colOff>
      <xdr:row>1</xdr:row>
      <xdr:rowOff>95251</xdr:rowOff>
    </xdr:from>
    <xdr:to>
      <xdr:col>1</xdr:col>
      <xdr:colOff>755649</xdr:colOff>
      <xdr:row>3</xdr:row>
      <xdr:rowOff>278480</xdr:rowOff>
    </xdr:to>
    <xdr:pic>
      <xdr:nvPicPr>
        <xdr:cNvPr id="6" name="Imagen 5">
          <a:extLst>
            <a:ext uri="{FF2B5EF4-FFF2-40B4-BE49-F238E27FC236}">
              <a16:creationId xmlns:a16="http://schemas.microsoft.com/office/drawing/2014/main" id="{E013D0BC-6BB6-42E7-A66E-9AB915DEB28B}"/>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52400" y="866776"/>
          <a:ext cx="1212849" cy="1078579"/>
        </a:xfrm>
        <a:prstGeom prst="rect">
          <a:avLst/>
        </a:prstGeom>
      </xdr:spPr>
    </xdr:pic>
    <xdr:clientData/>
  </xdr:twoCellAnchor>
  <xdr:twoCellAnchor editAs="oneCell">
    <xdr:from>
      <xdr:col>2</xdr:col>
      <xdr:colOff>209548</xdr:colOff>
      <xdr:row>1</xdr:row>
      <xdr:rowOff>47625</xdr:rowOff>
    </xdr:from>
    <xdr:to>
      <xdr:col>2</xdr:col>
      <xdr:colOff>1356359</xdr:colOff>
      <xdr:row>3</xdr:row>
      <xdr:rowOff>312934</xdr:rowOff>
    </xdr:to>
    <xdr:pic>
      <xdr:nvPicPr>
        <xdr:cNvPr id="7" name="Imagen 6">
          <a:extLst>
            <a:ext uri="{FF2B5EF4-FFF2-40B4-BE49-F238E27FC236}">
              <a16:creationId xmlns:a16="http://schemas.microsoft.com/office/drawing/2014/main" id="{BB675FF0-3B99-4AAD-8DAD-E129F5089E70}"/>
            </a:ext>
          </a:extLst>
        </xdr:cNvPr>
        <xdr:cNvPicPr>
          <a:picLocks noChangeAspect="1"/>
        </xdr:cNvPicPr>
      </xdr:nvPicPr>
      <xdr:blipFill>
        <a:blip xmlns:r="http://schemas.openxmlformats.org/officeDocument/2006/relationships" r:embed="rId6"/>
        <a:stretch>
          <a:fillRect/>
        </a:stretch>
      </xdr:blipFill>
      <xdr:spPr>
        <a:xfrm>
          <a:off x="1638298" y="819150"/>
          <a:ext cx="1146811" cy="1160659"/>
        </a:xfrm>
        <a:prstGeom prst="rect">
          <a:avLst/>
        </a:prstGeom>
      </xdr:spPr>
    </xdr:pic>
    <xdr:clientData/>
  </xdr:twoCellAnchor>
</xdr:wsDr>
</file>

<file path=xl/drawings/drawing104.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95B7B3DC-8650-4CB9-9D58-8C92F57D685C}"/>
            </a:ext>
          </a:extLst>
        </xdr:cNvPr>
        <xdr:cNvSpPr/>
      </xdr:nvSpPr>
      <xdr:spPr>
        <a:xfrm>
          <a:off x="265872" y="82909"/>
          <a:ext cx="1209672" cy="392255"/>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40650E65-CF47-49DE-BB01-20B29EF6E521}"/>
            </a:ext>
          </a:extLst>
        </xdr:cNvPr>
        <xdr:cNvSpPr/>
      </xdr:nvSpPr>
      <xdr:spPr>
        <a:xfrm>
          <a:off x="1753924" y="72721"/>
          <a:ext cx="1530057" cy="40143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F7605C27-52F0-4736-9C6B-190DC334B76C}"/>
            </a:ext>
          </a:extLst>
        </xdr:cNvPr>
        <xdr:cNvSpPr/>
      </xdr:nvSpPr>
      <xdr:spPr>
        <a:xfrm>
          <a:off x="3374003" y="72721"/>
          <a:ext cx="1341972" cy="40143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8A3C9E9A-A3E4-4ECC-BB04-A4831B044A89}"/>
            </a:ext>
          </a:extLst>
        </xdr:cNvPr>
        <xdr:cNvSpPr/>
      </xdr:nvSpPr>
      <xdr:spPr>
        <a:xfrm>
          <a:off x="5135050" y="82909"/>
          <a:ext cx="1286655" cy="392255"/>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142875</xdr:colOff>
      <xdr:row>1</xdr:row>
      <xdr:rowOff>76200</xdr:rowOff>
    </xdr:from>
    <xdr:to>
      <xdr:col>1</xdr:col>
      <xdr:colOff>746124</xdr:colOff>
      <xdr:row>3</xdr:row>
      <xdr:rowOff>259429</xdr:rowOff>
    </xdr:to>
    <xdr:pic>
      <xdr:nvPicPr>
        <xdr:cNvPr id="6" name="Imagen 5">
          <a:extLst>
            <a:ext uri="{FF2B5EF4-FFF2-40B4-BE49-F238E27FC236}">
              <a16:creationId xmlns:a16="http://schemas.microsoft.com/office/drawing/2014/main" id="{AC9C63B6-9D0C-4DF4-9C58-6473D552DFFA}"/>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42875" y="847725"/>
          <a:ext cx="1212849" cy="1078579"/>
        </a:xfrm>
        <a:prstGeom prst="rect">
          <a:avLst/>
        </a:prstGeom>
      </xdr:spPr>
    </xdr:pic>
    <xdr:clientData/>
  </xdr:twoCellAnchor>
  <xdr:twoCellAnchor editAs="oneCell">
    <xdr:from>
      <xdr:col>2</xdr:col>
      <xdr:colOff>247650</xdr:colOff>
      <xdr:row>1</xdr:row>
      <xdr:rowOff>47625</xdr:rowOff>
    </xdr:from>
    <xdr:to>
      <xdr:col>2</xdr:col>
      <xdr:colOff>1394461</xdr:colOff>
      <xdr:row>3</xdr:row>
      <xdr:rowOff>312934</xdr:rowOff>
    </xdr:to>
    <xdr:pic>
      <xdr:nvPicPr>
        <xdr:cNvPr id="7" name="Imagen 6">
          <a:extLst>
            <a:ext uri="{FF2B5EF4-FFF2-40B4-BE49-F238E27FC236}">
              <a16:creationId xmlns:a16="http://schemas.microsoft.com/office/drawing/2014/main" id="{8D561182-9C05-432A-921C-CB98FC1FFEB7}"/>
            </a:ext>
          </a:extLst>
        </xdr:cNvPr>
        <xdr:cNvPicPr>
          <a:picLocks noChangeAspect="1"/>
        </xdr:cNvPicPr>
      </xdr:nvPicPr>
      <xdr:blipFill>
        <a:blip xmlns:r="http://schemas.openxmlformats.org/officeDocument/2006/relationships" r:embed="rId6"/>
        <a:stretch>
          <a:fillRect/>
        </a:stretch>
      </xdr:blipFill>
      <xdr:spPr>
        <a:xfrm>
          <a:off x="1676400" y="819150"/>
          <a:ext cx="1146811" cy="1160659"/>
        </a:xfrm>
        <a:prstGeom prst="rect">
          <a:avLst/>
        </a:prstGeom>
      </xdr:spPr>
    </xdr:pic>
    <xdr:clientData/>
  </xdr:twoCellAnchor>
</xdr:wsDr>
</file>

<file path=xl/drawings/drawing105.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84E2F623-2343-4CEA-AAFD-E84D923134FB}"/>
            </a:ext>
          </a:extLst>
        </xdr:cNvPr>
        <xdr:cNvSpPr/>
      </xdr:nvSpPr>
      <xdr:spPr>
        <a:xfrm>
          <a:off x="265872" y="82909"/>
          <a:ext cx="1209672" cy="392255"/>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553A2168-A8E4-410A-BF13-1454798BE2A2}"/>
            </a:ext>
          </a:extLst>
        </xdr:cNvPr>
        <xdr:cNvSpPr/>
      </xdr:nvSpPr>
      <xdr:spPr>
        <a:xfrm>
          <a:off x="1753924" y="72721"/>
          <a:ext cx="1530057" cy="40143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C5EB98C3-CDF0-43FB-9EA4-61E0E1FFFE5B}"/>
            </a:ext>
          </a:extLst>
        </xdr:cNvPr>
        <xdr:cNvSpPr/>
      </xdr:nvSpPr>
      <xdr:spPr>
        <a:xfrm>
          <a:off x="3374003" y="72721"/>
          <a:ext cx="1341972" cy="40143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2BF49914-ADD1-4AAB-B94C-F7D265A9F831}"/>
            </a:ext>
          </a:extLst>
        </xdr:cNvPr>
        <xdr:cNvSpPr/>
      </xdr:nvSpPr>
      <xdr:spPr>
        <a:xfrm>
          <a:off x="5135050" y="82909"/>
          <a:ext cx="1286655" cy="392255"/>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142875</xdr:colOff>
      <xdr:row>1</xdr:row>
      <xdr:rowOff>76200</xdr:rowOff>
    </xdr:from>
    <xdr:to>
      <xdr:col>1</xdr:col>
      <xdr:colOff>746124</xdr:colOff>
      <xdr:row>3</xdr:row>
      <xdr:rowOff>259429</xdr:rowOff>
    </xdr:to>
    <xdr:pic>
      <xdr:nvPicPr>
        <xdr:cNvPr id="6" name="Imagen 5">
          <a:extLst>
            <a:ext uri="{FF2B5EF4-FFF2-40B4-BE49-F238E27FC236}">
              <a16:creationId xmlns:a16="http://schemas.microsoft.com/office/drawing/2014/main" id="{D3A90B08-4303-46F7-86F2-3BB7163292E8}"/>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42875" y="847725"/>
          <a:ext cx="1212849" cy="1078579"/>
        </a:xfrm>
        <a:prstGeom prst="rect">
          <a:avLst/>
        </a:prstGeom>
      </xdr:spPr>
    </xdr:pic>
    <xdr:clientData/>
  </xdr:twoCellAnchor>
  <xdr:twoCellAnchor editAs="oneCell">
    <xdr:from>
      <xdr:col>2</xdr:col>
      <xdr:colOff>247650</xdr:colOff>
      <xdr:row>1</xdr:row>
      <xdr:rowOff>47625</xdr:rowOff>
    </xdr:from>
    <xdr:to>
      <xdr:col>2</xdr:col>
      <xdr:colOff>1394461</xdr:colOff>
      <xdr:row>3</xdr:row>
      <xdr:rowOff>312934</xdr:rowOff>
    </xdr:to>
    <xdr:pic>
      <xdr:nvPicPr>
        <xdr:cNvPr id="7" name="Imagen 6">
          <a:extLst>
            <a:ext uri="{FF2B5EF4-FFF2-40B4-BE49-F238E27FC236}">
              <a16:creationId xmlns:a16="http://schemas.microsoft.com/office/drawing/2014/main" id="{9B0337FD-EFCA-4FED-8818-C34A2A20C04E}"/>
            </a:ext>
          </a:extLst>
        </xdr:cNvPr>
        <xdr:cNvPicPr>
          <a:picLocks noChangeAspect="1"/>
        </xdr:cNvPicPr>
      </xdr:nvPicPr>
      <xdr:blipFill>
        <a:blip xmlns:r="http://schemas.openxmlformats.org/officeDocument/2006/relationships" r:embed="rId6"/>
        <a:stretch>
          <a:fillRect/>
        </a:stretch>
      </xdr:blipFill>
      <xdr:spPr>
        <a:xfrm>
          <a:off x="1676400" y="819150"/>
          <a:ext cx="1146811" cy="1160659"/>
        </a:xfrm>
        <a:prstGeom prst="rect">
          <a:avLst/>
        </a:prstGeom>
      </xdr:spPr>
    </xdr:pic>
    <xdr:clientData/>
  </xdr:twoCellAnchor>
</xdr:wsDr>
</file>

<file path=xl/drawings/drawing106.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6C37A878-7810-4DFD-814D-E98ACA402C8D}"/>
            </a:ext>
          </a:extLst>
        </xdr:cNvPr>
        <xdr:cNvSpPr/>
      </xdr:nvSpPr>
      <xdr:spPr>
        <a:xfrm>
          <a:off x="265872" y="82909"/>
          <a:ext cx="1209672" cy="392255"/>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24029F57-5267-4A91-9A43-C8D975C5981A}"/>
            </a:ext>
          </a:extLst>
        </xdr:cNvPr>
        <xdr:cNvSpPr/>
      </xdr:nvSpPr>
      <xdr:spPr>
        <a:xfrm>
          <a:off x="1753924" y="72721"/>
          <a:ext cx="1530057" cy="40143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057649E2-1B09-4F43-ACB9-B36651677B6F}"/>
            </a:ext>
          </a:extLst>
        </xdr:cNvPr>
        <xdr:cNvSpPr/>
      </xdr:nvSpPr>
      <xdr:spPr>
        <a:xfrm>
          <a:off x="3374003" y="72721"/>
          <a:ext cx="1341972" cy="40143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C03246AD-CE4C-40C5-AB25-9CEDD36F00A5}"/>
            </a:ext>
          </a:extLst>
        </xdr:cNvPr>
        <xdr:cNvSpPr/>
      </xdr:nvSpPr>
      <xdr:spPr>
        <a:xfrm>
          <a:off x="5135050" y="82909"/>
          <a:ext cx="1286655" cy="392255"/>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142875</xdr:colOff>
      <xdr:row>1</xdr:row>
      <xdr:rowOff>76200</xdr:rowOff>
    </xdr:from>
    <xdr:to>
      <xdr:col>1</xdr:col>
      <xdr:colOff>746124</xdr:colOff>
      <xdr:row>3</xdr:row>
      <xdr:rowOff>259429</xdr:rowOff>
    </xdr:to>
    <xdr:pic>
      <xdr:nvPicPr>
        <xdr:cNvPr id="6" name="Imagen 5">
          <a:extLst>
            <a:ext uri="{FF2B5EF4-FFF2-40B4-BE49-F238E27FC236}">
              <a16:creationId xmlns:a16="http://schemas.microsoft.com/office/drawing/2014/main" id="{233C7718-5C8C-4002-A1F8-3F22C663CA39}"/>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42875" y="847725"/>
          <a:ext cx="1212849" cy="1078579"/>
        </a:xfrm>
        <a:prstGeom prst="rect">
          <a:avLst/>
        </a:prstGeom>
      </xdr:spPr>
    </xdr:pic>
    <xdr:clientData/>
  </xdr:twoCellAnchor>
  <xdr:twoCellAnchor editAs="oneCell">
    <xdr:from>
      <xdr:col>2</xdr:col>
      <xdr:colOff>247650</xdr:colOff>
      <xdr:row>1</xdr:row>
      <xdr:rowOff>47625</xdr:rowOff>
    </xdr:from>
    <xdr:to>
      <xdr:col>2</xdr:col>
      <xdr:colOff>1394461</xdr:colOff>
      <xdr:row>3</xdr:row>
      <xdr:rowOff>312934</xdr:rowOff>
    </xdr:to>
    <xdr:pic>
      <xdr:nvPicPr>
        <xdr:cNvPr id="7" name="Imagen 6">
          <a:extLst>
            <a:ext uri="{FF2B5EF4-FFF2-40B4-BE49-F238E27FC236}">
              <a16:creationId xmlns:a16="http://schemas.microsoft.com/office/drawing/2014/main" id="{3F277545-4F19-4E49-8EAA-77E9DB65B3CA}"/>
            </a:ext>
          </a:extLst>
        </xdr:cNvPr>
        <xdr:cNvPicPr>
          <a:picLocks noChangeAspect="1"/>
        </xdr:cNvPicPr>
      </xdr:nvPicPr>
      <xdr:blipFill>
        <a:blip xmlns:r="http://schemas.openxmlformats.org/officeDocument/2006/relationships" r:embed="rId6"/>
        <a:stretch>
          <a:fillRect/>
        </a:stretch>
      </xdr:blipFill>
      <xdr:spPr>
        <a:xfrm>
          <a:off x="1676400" y="819150"/>
          <a:ext cx="1146811" cy="1160659"/>
        </a:xfrm>
        <a:prstGeom prst="rect">
          <a:avLst/>
        </a:prstGeom>
      </xdr:spPr>
    </xdr:pic>
    <xdr:clientData/>
  </xdr:twoCellAnchor>
</xdr:wsDr>
</file>

<file path=xl/drawings/drawing107.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46FB7812-3BCD-44C4-AF5C-7C18079440A4}"/>
            </a:ext>
          </a:extLst>
        </xdr:cNvPr>
        <xdr:cNvSpPr/>
      </xdr:nvSpPr>
      <xdr:spPr>
        <a:xfrm>
          <a:off x="265872" y="82909"/>
          <a:ext cx="1209672" cy="392255"/>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A84BFF94-3F3F-4842-BAB2-AF0FE1F76F8A}"/>
            </a:ext>
          </a:extLst>
        </xdr:cNvPr>
        <xdr:cNvSpPr/>
      </xdr:nvSpPr>
      <xdr:spPr>
        <a:xfrm>
          <a:off x="1753924" y="72721"/>
          <a:ext cx="1530057" cy="40143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03C3EC08-80CF-46FF-B6DE-EA43EB8C6E1E}"/>
            </a:ext>
          </a:extLst>
        </xdr:cNvPr>
        <xdr:cNvSpPr/>
      </xdr:nvSpPr>
      <xdr:spPr>
        <a:xfrm>
          <a:off x="3374003" y="72721"/>
          <a:ext cx="1341972" cy="40143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3716A1DA-3FE8-4A40-9BC7-6C6DF6A7749F}"/>
            </a:ext>
          </a:extLst>
        </xdr:cNvPr>
        <xdr:cNvSpPr/>
      </xdr:nvSpPr>
      <xdr:spPr>
        <a:xfrm>
          <a:off x="5135050" y="82909"/>
          <a:ext cx="1286655" cy="392255"/>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142875</xdr:colOff>
      <xdr:row>1</xdr:row>
      <xdr:rowOff>76200</xdr:rowOff>
    </xdr:from>
    <xdr:to>
      <xdr:col>1</xdr:col>
      <xdr:colOff>746124</xdr:colOff>
      <xdr:row>3</xdr:row>
      <xdr:rowOff>259429</xdr:rowOff>
    </xdr:to>
    <xdr:pic>
      <xdr:nvPicPr>
        <xdr:cNvPr id="6" name="Imagen 5">
          <a:extLst>
            <a:ext uri="{FF2B5EF4-FFF2-40B4-BE49-F238E27FC236}">
              <a16:creationId xmlns:a16="http://schemas.microsoft.com/office/drawing/2014/main" id="{2D70F7D2-FF1B-4B48-AD27-8A3EBBB437B4}"/>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42875" y="847725"/>
          <a:ext cx="1212849" cy="1078579"/>
        </a:xfrm>
        <a:prstGeom prst="rect">
          <a:avLst/>
        </a:prstGeom>
      </xdr:spPr>
    </xdr:pic>
    <xdr:clientData/>
  </xdr:twoCellAnchor>
  <xdr:twoCellAnchor editAs="oneCell">
    <xdr:from>
      <xdr:col>2</xdr:col>
      <xdr:colOff>247650</xdr:colOff>
      <xdr:row>1</xdr:row>
      <xdr:rowOff>47625</xdr:rowOff>
    </xdr:from>
    <xdr:to>
      <xdr:col>2</xdr:col>
      <xdr:colOff>1394461</xdr:colOff>
      <xdr:row>3</xdr:row>
      <xdr:rowOff>312934</xdr:rowOff>
    </xdr:to>
    <xdr:pic>
      <xdr:nvPicPr>
        <xdr:cNvPr id="7" name="Imagen 6">
          <a:extLst>
            <a:ext uri="{FF2B5EF4-FFF2-40B4-BE49-F238E27FC236}">
              <a16:creationId xmlns:a16="http://schemas.microsoft.com/office/drawing/2014/main" id="{B8874301-2FBC-4DCA-9294-ACE09B46D28F}"/>
            </a:ext>
          </a:extLst>
        </xdr:cNvPr>
        <xdr:cNvPicPr>
          <a:picLocks noChangeAspect="1"/>
        </xdr:cNvPicPr>
      </xdr:nvPicPr>
      <xdr:blipFill>
        <a:blip xmlns:r="http://schemas.openxmlformats.org/officeDocument/2006/relationships" r:embed="rId6"/>
        <a:stretch>
          <a:fillRect/>
        </a:stretch>
      </xdr:blipFill>
      <xdr:spPr>
        <a:xfrm>
          <a:off x="1676400" y="819150"/>
          <a:ext cx="1146811" cy="1160659"/>
        </a:xfrm>
        <a:prstGeom prst="rect">
          <a:avLst/>
        </a:prstGeom>
      </xdr:spPr>
    </xdr:pic>
    <xdr:clientData/>
  </xdr:twoCellAnchor>
</xdr:wsDr>
</file>

<file path=xl/drawings/drawing108.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F9538D0A-FA3D-4D2D-8A00-2C3786B496AC}"/>
            </a:ext>
          </a:extLst>
        </xdr:cNvPr>
        <xdr:cNvSpPr/>
      </xdr:nvSpPr>
      <xdr:spPr>
        <a:xfrm>
          <a:off x="265872" y="82909"/>
          <a:ext cx="1209672" cy="392255"/>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CB7F87AA-CF21-44BB-BBE9-95DA6ED6C132}"/>
            </a:ext>
          </a:extLst>
        </xdr:cNvPr>
        <xdr:cNvSpPr/>
      </xdr:nvSpPr>
      <xdr:spPr>
        <a:xfrm>
          <a:off x="1753924" y="72721"/>
          <a:ext cx="1530057" cy="40143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2AC0FBCF-D92E-4483-B35E-33A380B691DD}"/>
            </a:ext>
          </a:extLst>
        </xdr:cNvPr>
        <xdr:cNvSpPr/>
      </xdr:nvSpPr>
      <xdr:spPr>
        <a:xfrm>
          <a:off x="3374003" y="72721"/>
          <a:ext cx="1341972" cy="40143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38BEB8FE-1612-41D4-ADE1-B0B97BD6EF17}"/>
            </a:ext>
          </a:extLst>
        </xdr:cNvPr>
        <xdr:cNvSpPr/>
      </xdr:nvSpPr>
      <xdr:spPr>
        <a:xfrm>
          <a:off x="5135050" y="82909"/>
          <a:ext cx="1286655" cy="392255"/>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142875</xdr:colOff>
      <xdr:row>1</xdr:row>
      <xdr:rowOff>76200</xdr:rowOff>
    </xdr:from>
    <xdr:to>
      <xdr:col>1</xdr:col>
      <xdr:colOff>746124</xdr:colOff>
      <xdr:row>3</xdr:row>
      <xdr:rowOff>259429</xdr:rowOff>
    </xdr:to>
    <xdr:pic>
      <xdr:nvPicPr>
        <xdr:cNvPr id="6" name="Imagen 5">
          <a:extLst>
            <a:ext uri="{FF2B5EF4-FFF2-40B4-BE49-F238E27FC236}">
              <a16:creationId xmlns:a16="http://schemas.microsoft.com/office/drawing/2014/main" id="{48C43731-F7ED-4E71-8CF4-F9C7B387FB3F}"/>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42875" y="847725"/>
          <a:ext cx="1212849" cy="1078579"/>
        </a:xfrm>
        <a:prstGeom prst="rect">
          <a:avLst/>
        </a:prstGeom>
      </xdr:spPr>
    </xdr:pic>
    <xdr:clientData/>
  </xdr:twoCellAnchor>
  <xdr:twoCellAnchor editAs="oneCell">
    <xdr:from>
      <xdr:col>2</xdr:col>
      <xdr:colOff>247650</xdr:colOff>
      <xdr:row>1</xdr:row>
      <xdr:rowOff>47625</xdr:rowOff>
    </xdr:from>
    <xdr:to>
      <xdr:col>2</xdr:col>
      <xdr:colOff>1394461</xdr:colOff>
      <xdr:row>3</xdr:row>
      <xdr:rowOff>312934</xdr:rowOff>
    </xdr:to>
    <xdr:pic>
      <xdr:nvPicPr>
        <xdr:cNvPr id="7" name="Imagen 6">
          <a:extLst>
            <a:ext uri="{FF2B5EF4-FFF2-40B4-BE49-F238E27FC236}">
              <a16:creationId xmlns:a16="http://schemas.microsoft.com/office/drawing/2014/main" id="{09C0953F-7ED8-4EBF-AA94-A44BA3114179}"/>
            </a:ext>
          </a:extLst>
        </xdr:cNvPr>
        <xdr:cNvPicPr>
          <a:picLocks noChangeAspect="1"/>
        </xdr:cNvPicPr>
      </xdr:nvPicPr>
      <xdr:blipFill>
        <a:blip xmlns:r="http://schemas.openxmlformats.org/officeDocument/2006/relationships" r:embed="rId6"/>
        <a:stretch>
          <a:fillRect/>
        </a:stretch>
      </xdr:blipFill>
      <xdr:spPr>
        <a:xfrm>
          <a:off x="1676400" y="819150"/>
          <a:ext cx="1146811" cy="1160659"/>
        </a:xfrm>
        <a:prstGeom prst="rect">
          <a:avLst/>
        </a:prstGeom>
      </xdr:spPr>
    </xdr:pic>
    <xdr:clientData/>
  </xdr:twoCellAnchor>
</xdr:wsDr>
</file>

<file path=xl/drawings/drawing109.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838FAA55-51A0-46F8-A89D-EFBAEDD3EFF8}"/>
            </a:ext>
          </a:extLst>
        </xdr:cNvPr>
        <xdr:cNvSpPr/>
      </xdr:nvSpPr>
      <xdr:spPr>
        <a:xfrm>
          <a:off x="265872" y="82909"/>
          <a:ext cx="1209672" cy="392255"/>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10A412DB-DC55-4834-B007-B7DA9DBEC7EC}"/>
            </a:ext>
          </a:extLst>
        </xdr:cNvPr>
        <xdr:cNvSpPr/>
      </xdr:nvSpPr>
      <xdr:spPr>
        <a:xfrm>
          <a:off x="1753924" y="72721"/>
          <a:ext cx="1530057" cy="40143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81A2F766-D5B3-4D28-B6A2-3EC1B745176B}"/>
            </a:ext>
          </a:extLst>
        </xdr:cNvPr>
        <xdr:cNvSpPr/>
      </xdr:nvSpPr>
      <xdr:spPr>
        <a:xfrm>
          <a:off x="3374003" y="72721"/>
          <a:ext cx="1341972" cy="40143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3CB481BB-061C-4F1B-A3E7-5BD740DEB86A}"/>
            </a:ext>
          </a:extLst>
        </xdr:cNvPr>
        <xdr:cNvSpPr/>
      </xdr:nvSpPr>
      <xdr:spPr>
        <a:xfrm>
          <a:off x="5135050" y="82909"/>
          <a:ext cx="1286655" cy="392255"/>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142875</xdr:colOff>
      <xdr:row>1</xdr:row>
      <xdr:rowOff>76200</xdr:rowOff>
    </xdr:from>
    <xdr:to>
      <xdr:col>1</xdr:col>
      <xdr:colOff>746124</xdr:colOff>
      <xdr:row>3</xdr:row>
      <xdr:rowOff>259429</xdr:rowOff>
    </xdr:to>
    <xdr:pic>
      <xdr:nvPicPr>
        <xdr:cNvPr id="6" name="Imagen 5">
          <a:extLst>
            <a:ext uri="{FF2B5EF4-FFF2-40B4-BE49-F238E27FC236}">
              <a16:creationId xmlns:a16="http://schemas.microsoft.com/office/drawing/2014/main" id="{C61724C8-6BF4-4D99-9B75-A94567AB006C}"/>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42875" y="847725"/>
          <a:ext cx="1212849" cy="1078579"/>
        </a:xfrm>
        <a:prstGeom prst="rect">
          <a:avLst/>
        </a:prstGeom>
      </xdr:spPr>
    </xdr:pic>
    <xdr:clientData/>
  </xdr:twoCellAnchor>
  <xdr:twoCellAnchor editAs="oneCell">
    <xdr:from>
      <xdr:col>2</xdr:col>
      <xdr:colOff>247650</xdr:colOff>
      <xdr:row>1</xdr:row>
      <xdr:rowOff>47625</xdr:rowOff>
    </xdr:from>
    <xdr:to>
      <xdr:col>2</xdr:col>
      <xdr:colOff>1394461</xdr:colOff>
      <xdr:row>3</xdr:row>
      <xdr:rowOff>312934</xdr:rowOff>
    </xdr:to>
    <xdr:pic>
      <xdr:nvPicPr>
        <xdr:cNvPr id="7" name="Imagen 6">
          <a:extLst>
            <a:ext uri="{FF2B5EF4-FFF2-40B4-BE49-F238E27FC236}">
              <a16:creationId xmlns:a16="http://schemas.microsoft.com/office/drawing/2014/main" id="{CC0F02BB-F3F0-424D-A3F6-A252C6F2F42F}"/>
            </a:ext>
          </a:extLst>
        </xdr:cNvPr>
        <xdr:cNvPicPr>
          <a:picLocks noChangeAspect="1"/>
        </xdr:cNvPicPr>
      </xdr:nvPicPr>
      <xdr:blipFill>
        <a:blip xmlns:r="http://schemas.openxmlformats.org/officeDocument/2006/relationships" r:embed="rId6"/>
        <a:stretch>
          <a:fillRect/>
        </a:stretch>
      </xdr:blipFill>
      <xdr:spPr>
        <a:xfrm>
          <a:off x="1676400" y="819150"/>
          <a:ext cx="1146811" cy="1160659"/>
        </a:xfrm>
        <a:prstGeom prst="rect">
          <a:avLst/>
        </a:prstGeom>
      </xdr:spPr>
    </xdr:pic>
    <xdr:clientData/>
  </xdr:twoCellAnchor>
</xdr:wsDr>
</file>

<file path=xl/drawings/drawing110.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70B6B62C-FF05-47D1-9FE2-77AC699EBAD6}"/>
            </a:ext>
          </a:extLst>
        </xdr:cNvPr>
        <xdr:cNvSpPr/>
      </xdr:nvSpPr>
      <xdr:spPr>
        <a:xfrm>
          <a:off x="265872" y="82909"/>
          <a:ext cx="1209672" cy="392255"/>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9F772403-F96A-40CB-9CD2-7C7F6BCC5ACF}"/>
            </a:ext>
          </a:extLst>
        </xdr:cNvPr>
        <xdr:cNvSpPr/>
      </xdr:nvSpPr>
      <xdr:spPr>
        <a:xfrm>
          <a:off x="1753924" y="72721"/>
          <a:ext cx="1530057" cy="40143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8068E765-4443-4BF5-AA5F-5DF5E55B7110}"/>
            </a:ext>
          </a:extLst>
        </xdr:cNvPr>
        <xdr:cNvSpPr/>
      </xdr:nvSpPr>
      <xdr:spPr>
        <a:xfrm>
          <a:off x="3374003" y="72721"/>
          <a:ext cx="1341972" cy="40143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11870442-C132-43D0-AA38-289F098D369B}"/>
            </a:ext>
          </a:extLst>
        </xdr:cNvPr>
        <xdr:cNvSpPr/>
      </xdr:nvSpPr>
      <xdr:spPr>
        <a:xfrm>
          <a:off x="5135050" y="82909"/>
          <a:ext cx="1286655" cy="392255"/>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142875</xdr:colOff>
      <xdr:row>1</xdr:row>
      <xdr:rowOff>76200</xdr:rowOff>
    </xdr:from>
    <xdr:to>
      <xdr:col>1</xdr:col>
      <xdr:colOff>746124</xdr:colOff>
      <xdr:row>3</xdr:row>
      <xdr:rowOff>259429</xdr:rowOff>
    </xdr:to>
    <xdr:pic>
      <xdr:nvPicPr>
        <xdr:cNvPr id="6" name="Imagen 5">
          <a:extLst>
            <a:ext uri="{FF2B5EF4-FFF2-40B4-BE49-F238E27FC236}">
              <a16:creationId xmlns:a16="http://schemas.microsoft.com/office/drawing/2014/main" id="{689F8DAB-A002-4EBF-A161-5418CD2B9802}"/>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42875" y="847725"/>
          <a:ext cx="1212849" cy="1078579"/>
        </a:xfrm>
        <a:prstGeom prst="rect">
          <a:avLst/>
        </a:prstGeom>
      </xdr:spPr>
    </xdr:pic>
    <xdr:clientData/>
  </xdr:twoCellAnchor>
  <xdr:twoCellAnchor editAs="oneCell">
    <xdr:from>
      <xdr:col>2</xdr:col>
      <xdr:colOff>247650</xdr:colOff>
      <xdr:row>1</xdr:row>
      <xdr:rowOff>47625</xdr:rowOff>
    </xdr:from>
    <xdr:to>
      <xdr:col>2</xdr:col>
      <xdr:colOff>1394461</xdr:colOff>
      <xdr:row>3</xdr:row>
      <xdr:rowOff>312934</xdr:rowOff>
    </xdr:to>
    <xdr:pic>
      <xdr:nvPicPr>
        <xdr:cNvPr id="7" name="Imagen 6">
          <a:extLst>
            <a:ext uri="{FF2B5EF4-FFF2-40B4-BE49-F238E27FC236}">
              <a16:creationId xmlns:a16="http://schemas.microsoft.com/office/drawing/2014/main" id="{C24D6225-50B4-4C8C-9549-9317D36EEF31}"/>
            </a:ext>
          </a:extLst>
        </xdr:cNvPr>
        <xdr:cNvPicPr>
          <a:picLocks noChangeAspect="1"/>
        </xdr:cNvPicPr>
      </xdr:nvPicPr>
      <xdr:blipFill>
        <a:blip xmlns:r="http://schemas.openxmlformats.org/officeDocument/2006/relationships" r:embed="rId6"/>
        <a:stretch>
          <a:fillRect/>
        </a:stretch>
      </xdr:blipFill>
      <xdr:spPr>
        <a:xfrm>
          <a:off x="1676400" y="819150"/>
          <a:ext cx="1146811" cy="1160659"/>
        </a:xfrm>
        <a:prstGeom prst="rect">
          <a:avLst/>
        </a:prstGeom>
      </xdr:spPr>
    </xdr:pic>
    <xdr:clientData/>
  </xdr:twoCellAnchor>
</xdr:wsDr>
</file>

<file path=xl/drawings/drawing111.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B9DDF967-73DA-4BE3-A949-DA65F6DA2B20}"/>
            </a:ext>
          </a:extLst>
        </xdr:cNvPr>
        <xdr:cNvSpPr/>
      </xdr:nvSpPr>
      <xdr:spPr>
        <a:xfrm>
          <a:off x="265872" y="82909"/>
          <a:ext cx="1209672" cy="392255"/>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ECECB0A3-31C3-4990-A7A2-19BA249EE780}"/>
            </a:ext>
          </a:extLst>
        </xdr:cNvPr>
        <xdr:cNvSpPr/>
      </xdr:nvSpPr>
      <xdr:spPr>
        <a:xfrm>
          <a:off x="1753924" y="72721"/>
          <a:ext cx="1530057" cy="40143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B293245B-0113-4BE7-A8CB-EC3AFBA4FCA6}"/>
            </a:ext>
          </a:extLst>
        </xdr:cNvPr>
        <xdr:cNvSpPr/>
      </xdr:nvSpPr>
      <xdr:spPr>
        <a:xfrm>
          <a:off x="3374003" y="72721"/>
          <a:ext cx="1341972" cy="40143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14AD580F-DA50-4F9A-AA3B-E6C3DFBCF3A4}"/>
            </a:ext>
          </a:extLst>
        </xdr:cNvPr>
        <xdr:cNvSpPr/>
      </xdr:nvSpPr>
      <xdr:spPr>
        <a:xfrm>
          <a:off x="5135050" y="82909"/>
          <a:ext cx="1286655" cy="392255"/>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152400</xdr:colOff>
      <xdr:row>1</xdr:row>
      <xdr:rowOff>114300</xdr:rowOff>
    </xdr:from>
    <xdr:to>
      <xdr:col>1</xdr:col>
      <xdr:colOff>755649</xdr:colOff>
      <xdr:row>3</xdr:row>
      <xdr:rowOff>297529</xdr:rowOff>
    </xdr:to>
    <xdr:pic>
      <xdr:nvPicPr>
        <xdr:cNvPr id="6" name="Imagen 5">
          <a:extLst>
            <a:ext uri="{FF2B5EF4-FFF2-40B4-BE49-F238E27FC236}">
              <a16:creationId xmlns:a16="http://schemas.microsoft.com/office/drawing/2014/main" id="{DC898551-278E-4873-93D3-CC222DCC13E3}"/>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52400" y="885825"/>
          <a:ext cx="1212849" cy="1078579"/>
        </a:xfrm>
        <a:prstGeom prst="rect">
          <a:avLst/>
        </a:prstGeom>
      </xdr:spPr>
    </xdr:pic>
    <xdr:clientData/>
  </xdr:twoCellAnchor>
  <xdr:twoCellAnchor editAs="oneCell">
    <xdr:from>
      <xdr:col>2</xdr:col>
      <xdr:colOff>219075</xdr:colOff>
      <xdr:row>1</xdr:row>
      <xdr:rowOff>85725</xdr:rowOff>
    </xdr:from>
    <xdr:to>
      <xdr:col>2</xdr:col>
      <xdr:colOff>1365886</xdr:colOff>
      <xdr:row>3</xdr:row>
      <xdr:rowOff>351034</xdr:rowOff>
    </xdr:to>
    <xdr:pic>
      <xdr:nvPicPr>
        <xdr:cNvPr id="7" name="Imagen 6">
          <a:extLst>
            <a:ext uri="{FF2B5EF4-FFF2-40B4-BE49-F238E27FC236}">
              <a16:creationId xmlns:a16="http://schemas.microsoft.com/office/drawing/2014/main" id="{A4D4C50A-AD6C-4B5D-99D7-FAFAB641351E}"/>
            </a:ext>
          </a:extLst>
        </xdr:cNvPr>
        <xdr:cNvPicPr>
          <a:picLocks noChangeAspect="1"/>
        </xdr:cNvPicPr>
      </xdr:nvPicPr>
      <xdr:blipFill>
        <a:blip xmlns:r="http://schemas.openxmlformats.org/officeDocument/2006/relationships" r:embed="rId6"/>
        <a:stretch>
          <a:fillRect/>
        </a:stretch>
      </xdr:blipFill>
      <xdr:spPr>
        <a:xfrm>
          <a:off x="1647825" y="857250"/>
          <a:ext cx="1146811" cy="1160659"/>
        </a:xfrm>
        <a:prstGeom prst="rect">
          <a:avLst/>
        </a:prstGeom>
      </xdr:spPr>
    </xdr:pic>
    <xdr:clientData/>
  </xdr:twoCellAnchor>
</xdr:wsDr>
</file>

<file path=xl/drawings/drawing112.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4F7ED126-0607-4AB5-85DC-2E229380C198}"/>
            </a:ext>
          </a:extLst>
        </xdr:cNvPr>
        <xdr:cNvSpPr/>
      </xdr:nvSpPr>
      <xdr:spPr>
        <a:xfrm>
          <a:off x="265872" y="82909"/>
          <a:ext cx="1209672" cy="392255"/>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B05F4D50-0686-4847-87D9-9022A05B1AB2}"/>
            </a:ext>
          </a:extLst>
        </xdr:cNvPr>
        <xdr:cNvSpPr/>
      </xdr:nvSpPr>
      <xdr:spPr>
        <a:xfrm>
          <a:off x="1753924" y="72721"/>
          <a:ext cx="1530057" cy="40143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F35FF8C7-FD76-4211-8CCD-828D0EA0AC25}"/>
            </a:ext>
          </a:extLst>
        </xdr:cNvPr>
        <xdr:cNvSpPr/>
      </xdr:nvSpPr>
      <xdr:spPr>
        <a:xfrm>
          <a:off x="3374003" y="72721"/>
          <a:ext cx="1341972" cy="40143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306C2C39-0A71-4092-AB57-512321683F0F}"/>
            </a:ext>
          </a:extLst>
        </xdr:cNvPr>
        <xdr:cNvSpPr/>
      </xdr:nvSpPr>
      <xdr:spPr>
        <a:xfrm>
          <a:off x="5135050" y="82909"/>
          <a:ext cx="1286655" cy="392255"/>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152400</xdr:colOff>
      <xdr:row>1</xdr:row>
      <xdr:rowOff>95251</xdr:rowOff>
    </xdr:from>
    <xdr:to>
      <xdr:col>1</xdr:col>
      <xdr:colOff>755649</xdr:colOff>
      <xdr:row>3</xdr:row>
      <xdr:rowOff>278480</xdr:rowOff>
    </xdr:to>
    <xdr:pic>
      <xdr:nvPicPr>
        <xdr:cNvPr id="6" name="Imagen 5">
          <a:extLst>
            <a:ext uri="{FF2B5EF4-FFF2-40B4-BE49-F238E27FC236}">
              <a16:creationId xmlns:a16="http://schemas.microsoft.com/office/drawing/2014/main" id="{907B5717-2D38-43AA-9512-7DD93EB6666E}"/>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52400" y="866776"/>
          <a:ext cx="1212849" cy="1078579"/>
        </a:xfrm>
        <a:prstGeom prst="rect">
          <a:avLst/>
        </a:prstGeom>
      </xdr:spPr>
    </xdr:pic>
    <xdr:clientData/>
  </xdr:twoCellAnchor>
  <xdr:twoCellAnchor editAs="oneCell">
    <xdr:from>
      <xdr:col>2</xdr:col>
      <xdr:colOff>209548</xdr:colOff>
      <xdr:row>1</xdr:row>
      <xdr:rowOff>47625</xdr:rowOff>
    </xdr:from>
    <xdr:to>
      <xdr:col>2</xdr:col>
      <xdr:colOff>1356359</xdr:colOff>
      <xdr:row>3</xdr:row>
      <xdr:rowOff>312934</xdr:rowOff>
    </xdr:to>
    <xdr:pic>
      <xdr:nvPicPr>
        <xdr:cNvPr id="7" name="Imagen 6">
          <a:extLst>
            <a:ext uri="{FF2B5EF4-FFF2-40B4-BE49-F238E27FC236}">
              <a16:creationId xmlns:a16="http://schemas.microsoft.com/office/drawing/2014/main" id="{FF3DE2BC-1E75-4976-AEF2-969547C3FA71}"/>
            </a:ext>
          </a:extLst>
        </xdr:cNvPr>
        <xdr:cNvPicPr>
          <a:picLocks noChangeAspect="1"/>
        </xdr:cNvPicPr>
      </xdr:nvPicPr>
      <xdr:blipFill>
        <a:blip xmlns:r="http://schemas.openxmlformats.org/officeDocument/2006/relationships" r:embed="rId6"/>
        <a:stretch>
          <a:fillRect/>
        </a:stretch>
      </xdr:blipFill>
      <xdr:spPr>
        <a:xfrm>
          <a:off x="1638298" y="819150"/>
          <a:ext cx="1146811" cy="1160659"/>
        </a:xfrm>
        <a:prstGeom prst="rect">
          <a:avLst/>
        </a:prstGeom>
      </xdr:spPr>
    </xdr:pic>
    <xdr:clientData/>
  </xdr:twoCellAnchor>
</xdr:wsDr>
</file>

<file path=xl/drawings/drawing113.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2B43DD24-F22B-45CD-93D8-F665A65783FC}"/>
            </a:ext>
          </a:extLst>
        </xdr:cNvPr>
        <xdr:cNvSpPr/>
      </xdr:nvSpPr>
      <xdr:spPr>
        <a:xfrm>
          <a:off x="265872" y="82909"/>
          <a:ext cx="1209672" cy="392255"/>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0A8A0810-FF63-457F-A63B-EAD6438B6935}"/>
            </a:ext>
          </a:extLst>
        </xdr:cNvPr>
        <xdr:cNvSpPr/>
      </xdr:nvSpPr>
      <xdr:spPr>
        <a:xfrm>
          <a:off x="1753924" y="72721"/>
          <a:ext cx="1530057" cy="40143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56305C3D-4DB0-4C17-A0A6-67E0DF5CF933}"/>
            </a:ext>
          </a:extLst>
        </xdr:cNvPr>
        <xdr:cNvSpPr/>
      </xdr:nvSpPr>
      <xdr:spPr>
        <a:xfrm>
          <a:off x="3374003" y="72721"/>
          <a:ext cx="1341972" cy="40143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96FE40D7-8A8F-4455-8762-1848B4A0B164}"/>
            </a:ext>
          </a:extLst>
        </xdr:cNvPr>
        <xdr:cNvSpPr/>
      </xdr:nvSpPr>
      <xdr:spPr>
        <a:xfrm>
          <a:off x="5135050" y="82909"/>
          <a:ext cx="1286655" cy="392255"/>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133350</xdr:colOff>
      <xdr:row>1</xdr:row>
      <xdr:rowOff>95250</xdr:rowOff>
    </xdr:from>
    <xdr:to>
      <xdr:col>1</xdr:col>
      <xdr:colOff>736599</xdr:colOff>
      <xdr:row>3</xdr:row>
      <xdr:rowOff>278479</xdr:rowOff>
    </xdr:to>
    <xdr:pic>
      <xdr:nvPicPr>
        <xdr:cNvPr id="6" name="Imagen 5">
          <a:extLst>
            <a:ext uri="{FF2B5EF4-FFF2-40B4-BE49-F238E27FC236}">
              <a16:creationId xmlns:a16="http://schemas.microsoft.com/office/drawing/2014/main" id="{DD1E333B-30BD-47F6-9FE6-2B255240A662}"/>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33350" y="866775"/>
          <a:ext cx="1212849" cy="1078579"/>
        </a:xfrm>
        <a:prstGeom prst="rect">
          <a:avLst/>
        </a:prstGeom>
      </xdr:spPr>
    </xdr:pic>
    <xdr:clientData/>
  </xdr:twoCellAnchor>
  <xdr:twoCellAnchor editAs="oneCell">
    <xdr:from>
      <xdr:col>2</xdr:col>
      <xdr:colOff>247650</xdr:colOff>
      <xdr:row>1</xdr:row>
      <xdr:rowOff>76200</xdr:rowOff>
    </xdr:from>
    <xdr:to>
      <xdr:col>2</xdr:col>
      <xdr:colOff>1394461</xdr:colOff>
      <xdr:row>3</xdr:row>
      <xdr:rowOff>341509</xdr:rowOff>
    </xdr:to>
    <xdr:pic>
      <xdr:nvPicPr>
        <xdr:cNvPr id="7" name="Imagen 6">
          <a:extLst>
            <a:ext uri="{FF2B5EF4-FFF2-40B4-BE49-F238E27FC236}">
              <a16:creationId xmlns:a16="http://schemas.microsoft.com/office/drawing/2014/main" id="{CAED88EE-9131-4BB5-B2B5-976190A4DE44}"/>
            </a:ext>
          </a:extLst>
        </xdr:cNvPr>
        <xdr:cNvPicPr>
          <a:picLocks noChangeAspect="1"/>
        </xdr:cNvPicPr>
      </xdr:nvPicPr>
      <xdr:blipFill>
        <a:blip xmlns:r="http://schemas.openxmlformats.org/officeDocument/2006/relationships" r:embed="rId6"/>
        <a:stretch>
          <a:fillRect/>
        </a:stretch>
      </xdr:blipFill>
      <xdr:spPr>
        <a:xfrm>
          <a:off x="1676400" y="847725"/>
          <a:ext cx="1146811" cy="1160659"/>
        </a:xfrm>
        <a:prstGeom prst="rect">
          <a:avLst/>
        </a:prstGeom>
      </xdr:spPr>
    </xdr:pic>
    <xdr:clientData/>
  </xdr:twoCellAnchor>
</xdr:wsDr>
</file>

<file path=xl/drawings/drawing114.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A1F1CF97-576C-4C86-9AE0-F920522692AF}"/>
            </a:ext>
          </a:extLst>
        </xdr:cNvPr>
        <xdr:cNvSpPr/>
      </xdr:nvSpPr>
      <xdr:spPr>
        <a:xfrm>
          <a:off x="265872" y="82909"/>
          <a:ext cx="1209672" cy="392255"/>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51EC6B5C-C5F6-4FA4-A17D-FD772ABDA812}"/>
            </a:ext>
          </a:extLst>
        </xdr:cNvPr>
        <xdr:cNvSpPr/>
      </xdr:nvSpPr>
      <xdr:spPr>
        <a:xfrm>
          <a:off x="1753924" y="72721"/>
          <a:ext cx="1530057" cy="40143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C592A9AA-C97D-4CA1-A0C1-E9F82A8DD4A5}"/>
            </a:ext>
          </a:extLst>
        </xdr:cNvPr>
        <xdr:cNvSpPr/>
      </xdr:nvSpPr>
      <xdr:spPr>
        <a:xfrm>
          <a:off x="3374003" y="72721"/>
          <a:ext cx="1341972" cy="40143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76CF134D-E164-454B-B306-84D745B02B7D}"/>
            </a:ext>
          </a:extLst>
        </xdr:cNvPr>
        <xdr:cNvSpPr/>
      </xdr:nvSpPr>
      <xdr:spPr>
        <a:xfrm>
          <a:off x="5135050" y="82909"/>
          <a:ext cx="1286655" cy="392255"/>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142875</xdr:colOff>
      <xdr:row>1</xdr:row>
      <xdr:rowOff>76200</xdr:rowOff>
    </xdr:from>
    <xdr:to>
      <xdr:col>1</xdr:col>
      <xdr:colOff>746124</xdr:colOff>
      <xdr:row>3</xdr:row>
      <xdr:rowOff>259429</xdr:rowOff>
    </xdr:to>
    <xdr:pic>
      <xdr:nvPicPr>
        <xdr:cNvPr id="6" name="Imagen 5">
          <a:extLst>
            <a:ext uri="{FF2B5EF4-FFF2-40B4-BE49-F238E27FC236}">
              <a16:creationId xmlns:a16="http://schemas.microsoft.com/office/drawing/2014/main" id="{9DC6AE66-1637-4FA0-9DB6-EA364AA1C4FC}"/>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42875" y="847725"/>
          <a:ext cx="1212849" cy="1078579"/>
        </a:xfrm>
        <a:prstGeom prst="rect">
          <a:avLst/>
        </a:prstGeom>
      </xdr:spPr>
    </xdr:pic>
    <xdr:clientData/>
  </xdr:twoCellAnchor>
  <xdr:twoCellAnchor editAs="oneCell">
    <xdr:from>
      <xdr:col>2</xdr:col>
      <xdr:colOff>247650</xdr:colOff>
      <xdr:row>1</xdr:row>
      <xdr:rowOff>47625</xdr:rowOff>
    </xdr:from>
    <xdr:to>
      <xdr:col>2</xdr:col>
      <xdr:colOff>1394461</xdr:colOff>
      <xdr:row>3</xdr:row>
      <xdr:rowOff>312934</xdr:rowOff>
    </xdr:to>
    <xdr:pic>
      <xdr:nvPicPr>
        <xdr:cNvPr id="7" name="Imagen 6">
          <a:extLst>
            <a:ext uri="{FF2B5EF4-FFF2-40B4-BE49-F238E27FC236}">
              <a16:creationId xmlns:a16="http://schemas.microsoft.com/office/drawing/2014/main" id="{6C13CBC0-49B5-480C-BFDD-4399BD3EC8C9}"/>
            </a:ext>
          </a:extLst>
        </xdr:cNvPr>
        <xdr:cNvPicPr>
          <a:picLocks noChangeAspect="1"/>
        </xdr:cNvPicPr>
      </xdr:nvPicPr>
      <xdr:blipFill>
        <a:blip xmlns:r="http://schemas.openxmlformats.org/officeDocument/2006/relationships" r:embed="rId6"/>
        <a:stretch>
          <a:fillRect/>
        </a:stretch>
      </xdr:blipFill>
      <xdr:spPr>
        <a:xfrm>
          <a:off x="1676400" y="819150"/>
          <a:ext cx="1146811" cy="1160659"/>
        </a:xfrm>
        <a:prstGeom prst="rect">
          <a:avLst/>
        </a:prstGeom>
      </xdr:spPr>
    </xdr:pic>
    <xdr:clientData/>
  </xdr:twoCellAnchor>
</xdr:wsDr>
</file>

<file path=xl/drawings/drawing115.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B8E43047-2586-4E6D-BBBC-EEB0797EEF0C}"/>
            </a:ext>
          </a:extLst>
        </xdr:cNvPr>
        <xdr:cNvSpPr/>
      </xdr:nvSpPr>
      <xdr:spPr>
        <a:xfrm>
          <a:off x="265872" y="82909"/>
          <a:ext cx="1209672" cy="392255"/>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CABCC154-4417-4D05-AF56-B6B38DA6FF8A}"/>
            </a:ext>
          </a:extLst>
        </xdr:cNvPr>
        <xdr:cNvSpPr/>
      </xdr:nvSpPr>
      <xdr:spPr>
        <a:xfrm>
          <a:off x="1753924" y="72721"/>
          <a:ext cx="1530057" cy="40143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5084AD4E-1D05-4155-A27C-DC74CACDA0B9}"/>
            </a:ext>
          </a:extLst>
        </xdr:cNvPr>
        <xdr:cNvSpPr/>
      </xdr:nvSpPr>
      <xdr:spPr>
        <a:xfrm>
          <a:off x="3374003" y="72721"/>
          <a:ext cx="1341972" cy="40143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D288FF40-7B14-4298-AF0A-2D3B6DC665C8}"/>
            </a:ext>
          </a:extLst>
        </xdr:cNvPr>
        <xdr:cNvSpPr/>
      </xdr:nvSpPr>
      <xdr:spPr>
        <a:xfrm>
          <a:off x="5135050" y="82909"/>
          <a:ext cx="1286655" cy="392255"/>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142875</xdr:colOff>
      <xdr:row>1</xdr:row>
      <xdr:rowOff>76200</xdr:rowOff>
    </xdr:from>
    <xdr:to>
      <xdr:col>1</xdr:col>
      <xdr:colOff>746124</xdr:colOff>
      <xdr:row>3</xdr:row>
      <xdr:rowOff>259429</xdr:rowOff>
    </xdr:to>
    <xdr:pic>
      <xdr:nvPicPr>
        <xdr:cNvPr id="6" name="Imagen 5">
          <a:extLst>
            <a:ext uri="{FF2B5EF4-FFF2-40B4-BE49-F238E27FC236}">
              <a16:creationId xmlns:a16="http://schemas.microsoft.com/office/drawing/2014/main" id="{5E519A82-5FBB-4488-93C8-16F892D49532}"/>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42875" y="847725"/>
          <a:ext cx="1212849" cy="1078579"/>
        </a:xfrm>
        <a:prstGeom prst="rect">
          <a:avLst/>
        </a:prstGeom>
      </xdr:spPr>
    </xdr:pic>
    <xdr:clientData/>
  </xdr:twoCellAnchor>
  <xdr:twoCellAnchor editAs="oneCell">
    <xdr:from>
      <xdr:col>2</xdr:col>
      <xdr:colOff>247650</xdr:colOff>
      <xdr:row>1</xdr:row>
      <xdr:rowOff>47625</xdr:rowOff>
    </xdr:from>
    <xdr:to>
      <xdr:col>2</xdr:col>
      <xdr:colOff>1394461</xdr:colOff>
      <xdr:row>3</xdr:row>
      <xdr:rowOff>312934</xdr:rowOff>
    </xdr:to>
    <xdr:pic>
      <xdr:nvPicPr>
        <xdr:cNvPr id="7" name="Imagen 6">
          <a:extLst>
            <a:ext uri="{FF2B5EF4-FFF2-40B4-BE49-F238E27FC236}">
              <a16:creationId xmlns:a16="http://schemas.microsoft.com/office/drawing/2014/main" id="{C704689C-4F03-4C67-8A93-3BFEA95C0774}"/>
            </a:ext>
          </a:extLst>
        </xdr:cNvPr>
        <xdr:cNvPicPr>
          <a:picLocks noChangeAspect="1"/>
        </xdr:cNvPicPr>
      </xdr:nvPicPr>
      <xdr:blipFill>
        <a:blip xmlns:r="http://schemas.openxmlformats.org/officeDocument/2006/relationships" r:embed="rId6"/>
        <a:stretch>
          <a:fillRect/>
        </a:stretch>
      </xdr:blipFill>
      <xdr:spPr>
        <a:xfrm>
          <a:off x="1676400" y="819150"/>
          <a:ext cx="1146811" cy="1160659"/>
        </a:xfrm>
        <a:prstGeom prst="rect">
          <a:avLst/>
        </a:prstGeom>
      </xdr:spPr>
    </xdr:pic>
    <xdr:clientData/>
  </xdr:twoCellAnchor>
</xdr:wsDr>
</file>

<file path=xl/drawings/drawing116.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0694D2E4-65C0-4AD0-AACE-7677A1640656}"/>
            </a:ext>
          </a:extLst>
        </xdr:cNvPr>
        <xdr:cNvSpPr/>
      </xdr:nvSpPr>
      <xdr:spPr>
        <a:xfrm>
          <a:off x="265872" y="82909"/>
          <a:ext cx="1209672" cy="392255"/>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F327AF04-2378-4335-94BE-AF0D335AC358}"/>
            </a:ext>
          </a:extLst>
        </xdr:cNvPr>
        <xdr:cNvSpPr/>
      </xdr:nvSpPr>
      <xdr:spPr>
        <a:xfrm>
          <a:off x="1753924" y="72721"/>
          <a:ext cx="1530057" cy="40143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B1ADA363-9B9C-40C4-BA39-2C30B2DDAB0A}"/>
            </a:ext>
          </a:extLst>
        </xdr:cNvPr>
        <xdr:cNvSpPr/>
      </xdr:nvSpPr>
      <xdr:spPr>
        <a:xfrm>
          <a:off x="3374003" y="72721"/>
          <a:ext cx="1341972" cy="40143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4A4BD3D0-D7A7-452C-8B7F-B618FCB0C75A}"/>
            </a:ext>
          </a:extLst>
        </xdr:cNvPr>
        <xdr:cNvSpPr/>
      </xdr:nvSpPr>
      <xdr:spPr>
        <a:xfrm>
          <a:off x="5135050" y="82909"/>
          <a:ext cx="1286655" cy="392255"/>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142875</xdr:colOff>
      <xdr:row>1</xdr:row>
      <xdr:rowOff>76200</xdr:rowOff>
    </xdr:from>
    <xdr:to>
      <xdr:col>1</xdr:col>
      <xdr:colOff>746124</xdr:colOff>
      <xdr:row>3</xdr:row>
      <xdr:rowOff>259429</xdr:rowOff>
    </xdr:to>
    <xdr:pic>
      <xdr:nvPicPr>
        <xdr:cNvPr id="6" name="Imagen 5">
          <a:extLst>
            <a:ext uri="{FF2B5EF4-FFF2-40B4-BE49-F238E27FC236}">
              <a16:creationId xmlns:a16="http://schemas.microsoft.com/office/drawing/2014/main" id="{F1EB3D21-49B2-408E-A5FD-F5AEFD970026}"/>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42875" y="847725"/>
          <a:ext cx="1212849" cy="1078579"/>
        </a:xfrm>
        <a:prstGeom prst="rect">
          <a:avLst/>
        </a:prstGeom>
      </xdr:spPr>
    </xdr:pic>
    <xdr:clientData/>
  </xdr:twoCellAnchor>
  <xdr:twoCellAnchor editAs="oneCell">
    <xdr:from>
      <xdr:col>2</xdr:col>
      <xdr:colOff>247650</xdr:colOff>
      <xdr:row>1</xdr:row>
      <xdr:rowOff>47625</xdr:rowOff>
    </xdr:from>
    <xdr:to>
      <xdr:col>2</xdr:col>
      <xdr:colOff>1394461</xdr:colOff>
      <xdr:row>3</xdr:row>
      <xdr:rowOff>312934</xdr:rowOff>
    </xdr:to>
    <xdr:pic>
      <xdr:nvPicPr>
        <xdr:cNvPr id="7" name="Imagen 6">
          <a:extLst>
            <a:ext uri="{FF2B5EF4-FFF2-40B4-BE49-F238E27FC236}">
              <a16:creationId xmlns:a16="http://schemas.microsoft.com/office/drawing/2014/main" id="{CA6AE1D2-8C03-4F01-94E7-96CC076CDC9B}"/>
            </a:ext>
          </a:extLst>
        </xdr:cNvPr>
        <xdr:cNvPicPr>
          <a:picLocks noChangeAspect="1"/>
        </xdr:cNvPicPr>
      </xdr:nvPicPr>
      <xdr:blipFill>
        <a:blip xmlns:r="http://schemas.openxmlformats.org/officeDocument/2006/relationships" r:embed="rId6"/>
        <a:stretch>
          <a:fillRect/>
        </a:stretch>
      </xdr:blipFill>
      <xdr:spPr>
        <a:xfrm>
          <a:off x="1676400" y="819150"/>
          <a:ext cx="1146811" cy="1160659"/>
        </a:xfrm>
        <a:prstGeom prst="rect">
          <a:avLst/>
        </a:prstGeom>
      </xdr:spPr>
    </xdr:pic>
    <xdr:clientData/>
  </xdr:twoCellAnchor>
</xdr:wsDr>
</file>

<file path=xl/drawings/drawing117.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CA5C4878-68D5-4B55-B4EB-0060DF61E25B}"/>
            </a:ext>
          </a:extLst>
        </xdr:cNvPr>
        <xdr:cNvSpPr/>
      </xdr:nvSpPr>
      <xdr:spPr>
        <a:xfrm>
          <a:off x="265872" y="82909"/>
          <a:ext cx="1209672" cy="392255"/>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170FC27D-A133-41A5-A752-3ECC53343BC7}"/>
            </a:ext>
          </a:extLst>
        </xdr:cNvPr>
        <xdr:cNvSpPr/>
      </xdr:nvSpPr>
      <xdr:spPr>
        <a:xfrm>
          <a:off x="1753924" y="72721"/>
          <a:ext cx="1530057" cy="40143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E4BA0221-6B35-4628-9DB6-421BCCA7F349}"/>
            </a:ext>
          </a:extLst>
        </xdr:cNvPr>
        <xdr:cNvSpPr/>
      </xdr:nvSpPr>
      <xdr:spPr>
        <a:xfrm>
          <a:off x="3374003" y="72721"/>
          <a:ext cx="1341972" cy="40143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C74E4910-BF3A-4A01-8310-86F98D3437B8}"/>
            </a:ext>
          </a:extLst>
        </xdr:cNvPr>
        <xdr:cNvSpPr/>
      </xdr:nvSpPr>
      <xdr:spPr>
        <a:xfrm>
          <a:off x="5135050" y="82909"/>
          <a:ext cx="1286655" cy="392255"/>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142875</xdr:colOff>
      <xdr:row>1</xdr:row>
      <xdr:rowOff>76200</xdr:rowOff>
    </xdr:from>
    <xdr:to>
      <xdr:col>1</xdr:col>
      <xdr:colOff>746124</xdr:colOff>
      <xdr:row>3</xdr:row>
      <xdr:rowOff>259429</xdr:rowOff>
    </xdr:to>
    <xdr:pic>
      <xdr:nvPicPr>
        <xdr:cNvPr id="6" name="Imagen 5">
          <a:extLst>
            <a:ext uri="{FF2B5EF4-FFF2-40B4-BE49-F238E27FC236}">
              <a16:creationId xmlns:a16="http://schemas.microsoft.com/office/drawing/2014/main" id="{65668FE2-33B1-4321-86B0-9F2CC0DB8A79}"/>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42875" y="847725"/>
          <a:ext cx="1212849" cy="1078579"/>
        </a:xfrm>
        <a:prstGeom prst="rect">
          <a:avLst/>
        </a:prstGeom>
      </xdr:spPr>
    </xdr:pic>
    <xdr:clientData/>
  </xdr:twoCellAnchor>
  <xdr:twoCellAnchor editAs="oneCell">
    <xdr:from>
      <xdr:col>2</xdr:col>
      <xdr:colOff>247650</xdr:colOff>
      <xdr:row>1</xdr:row>
      <xdr:rowOff>47625</xdr:rowOff>
    </xdr:from>
    <xdr:to>
      <xdr:col>2</xdr:col>
      <xdr:colOff>1394461</xdr:colOff>
      <xdr:row>3</xdr:row>
      <xdr:rowOff>312934</xdr:rowOff>
    </xdr:to>
    <xdr:pic>
      <xdr:nvPicPr>
        <xdr:cNvPr id="7" name="Imagen 6">
          <a:extLst>
            <a:ext uri="{FF2B5EF4-FFF2-40B4-BE49-F238E27FC236}">
              <a16:creationId xmlns:a16="http://schemas.microsoft.com/office/drawing/2014/main" id="{645B8EB4-53BB-40F7-8623-2A72B3BB848D}"/>
            </a:ext>
          </a:extLst>
        </xdr:cNvPr>
        <xdr:cNvPicPr>
          <a:picLocks noChangeAspect="1"/>
        </xdr:cNvPicPr>
      </xdr:nvPicPr>
      <xdr:blipFill>
        <a:blip xmlns:r="http://schemas.openxmlformats.org/officeDocument/2006/relationships" r:embed="rId6"/>
        <a:stretch>
          <a:fillRect/>
        </a:stretch>
      </xdr:blipFill>
      <xdr:spPr>
        <a:xfrm>
          <a:off x="1676400" y="819150"/>
          <a:ext cx="1146811" cy="1160659"/>
        </a:xfrm>
        <a:prstGeom prst="rect">
          <a:avLst/>
        </a:prstGeom>
      </xdr:spPr>
    </xdr:pic>
    <xdr:clientData/>
  </xdr:twoCellAnchor>
</xdr:wsDr>
</file>

<file path=xl/drawings/drawing118.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CAE017F8-2FB0-4752-9067-7BE8688220F7}"/>
            </a:ext>
          </a:extLst>
        </xdr:cNvPr>
        <xdr:cNvSpPr/>
      </xdr:nvSpPr>
      <xdr:spPr>
        <a:xfrm>
          <a:off x="265872" y="82909"/>
          <a:ext cx="1209672" cy="392255"/>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6DEF7B18-CAA9-4E47-BFA7-DFD796EA5CF4}"/>
            </a:ext>
          </a:extLst>
        </xdr:cNvPr>
        <xdr:cNvSpPr/>
      </xdr:nvSpPr>
      <xdr:spPr>
        <a:xfrm>
          <a:off x="1753924" y="72721"/>
          <a:ext cx="1530057" cy="40143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0640ED60-73B6-4872-ADFF-6E9DAC2FD69B}"/>
            </a:ext>
          </a:extLst>
        </xdr:cNvPr>
        <xdr:cNvSpPr/>
      </xdr:nvSpPr>
      <xdr:spPr>
        <a:xfrm>
          <a:off x="3374003" y="72721"/>
          <a:ext cx="1341972" cy="40143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7572F526-A066-4438-9BE1-7E1FAE92D8B6}"/>
            </a:ext>
          </a:extLst>
        </xdr:cNvPr>
        <xdr:cNvSpPr/>
      </xdr:nvSpPr>
      <xdr:spPr>
        <a:xfrm>
          <a:off x="5135050" y="82909"/>
          <a:ext cx="1286655" cy="392255"/>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142875</xdr:colOff>
      <xdr:row>1</xdr:row>
      <xdr:rowOff>76200</xdr:rowOff>
    </xdr:from>
    <xdr:to>
      <xdr:col>1</xdr:col>
      <xdr:colOff>746124</xdr:colOff>
      <xdr:row>3</xdr:row>
      <xdr:rowOff>259429</xdr:rowOff>
    </xdr:to>
    <xdr:pic>
      <xdr:nvPicPr>
        <xdr:cNvPr id="6" name="Imagen 5">
          <a:extLst>
            <a:ext uri="{FF2B5EF4-FFF2-40B4-BE49-F238E27FC236}">
              <a16:creationId xmlns:a16="http://schemas.microsoft.com/office/drawing/2014/main" id="{5ABD5BE8-CDA7-4F6E-BC8C-8FA02CE0B0B2}"/>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42875" y="847725"/>
          <a:ext cx="1212849" cy="1078579"/>
        </a:xfrm>
        <a:prstGeom prst="rect">
          <a:avLst/>
        </a:prstGeom>
      </xdr:spPr>
    </xdr:pic>
    <xdr:clientData/>
  </xdr:twoCellAnchor>
  <xdr:twoCellAnchor editAs="oneCell">
    <xdr:from>
      <xdr:col>2</xdr:col>
      <xdr:colOff>247650</xdr:colOff>
      <xdr:row>1</xdr:row>
      <xdr:rowOff>47625</xdr:rowOff>
    </xdr:from>
    <xdr:to>
      <xdr:col>2</xdr:col>
      <xdr:colOff>1394461</xdr:colOff>
      <xdr:row>3</xdr:row>
      <xdr:rowOff>312934</xdr:rowOff>
    </xdr:to>
    <xdr:pic>
      <xdr:nvPicPr>
        <xdr:cNvPr id="7" name="Imagen 6">
          <a:extLst>
            <a:ext uri="{FF2B5EF4-FFF2-40B4-BE49-F238E27FC236}">
              <a16:creationId xmlns:a16="http://schemas.microsoft.com/office/drawing/2014/main" id="{EEB51A5B-5A4D-47AE-B549-63058EF6B103}"/>
            </a:ext>
          </a:extLst>
        </xdr:cNvPr>
        <xdr:cNvPicPr>
          <a:picLocks noChangeAspect="1"/>
        </xdr:cNvPicPr>
      </xdr:nvPicPr>
      <xdr:blipFill>
        <a:blip xmlns:r="http://schemas.openxmlformats.org/officeDocument/2006/relationships" r:embed="rId6"/>
        <a:stretch>
          <a:fillRect/>
        </a:stretch>
      </xdr:blipFill>
      <xdr:spPr>
        <a:xfrm>
          <a:off x="1676400" y="819150"/>
          <a:ext cx="1146811" cy="1160659"/>
        </a:xfrm>
        <a:prstGeom prst="rect">
          <a:avLst/>
        </a:prstGeom>
      </xdr:spPr>
    </xdr:pic>
    <xdr:clientData/>
  </xdr:twoCellAnchor>
</xdr:wsDr>
</file>

<file path=xl/drawings/drawing119.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59A0EB84-0493-4D66-BAEB-433AA565BF7E}"/>
            </a:ext>
          </a:extLst>
        </xdr:cNvPr>
        <xdr:cNvSpPr/>
      </xdr:nvSpPr>
      <xdr:spPr>
        <a:xfrm>
          <a:off x="265872" y="82909"/>
          <a:ext cx="1209672" cy="392255"/>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DE3264FF-F892-47E5-80AD-F56F5B6CBE75}"/>
            </a:ext>
          </a:extLst>
        </xdr:cNvPr>
        <xdr:cNvSpPr/>
      </xdr:nvSpPr>
      <xdr:spPr>
        <a:xfrm>
          <a:off x="1753924" y="72721"/>
          <a:ext cx="1530057" cy="40143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71CD5B61-076A-4B1D-A0E6-1F3A94A44F34}"/>
            </a:ext>
          </a:extLst>
        </xdr:cNvPr>
        <xdr:cNvSpPr/>
      </xdr:nvSpPr>
      <xdr:spPr>
        <a:xfrm>
          <a:off x="3374003" y="72721"/>
          <a:ext cx="1341972" cy="40143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4901545E-5B75-4B2B-A3F7-E1C20EDD8108}"/>
            </a:ext>
          </a:extLst>
        </xdr:cNvPr>
        <xdr:cNvSpPr/>
      </xdr:nvSpPr>
      <xdr:spPr>
        <a:xfrm>
          <a:off x="5135050" y="82909"/>
          <a:ext cx="1286655" cy="392255"/>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152400</xdr:colOff>
      <xdr:row>1</xdr:row>
      <xdr:rowOff>114300</xdr:rowOff>
    </xdr:from>
    <xdr:to>
      <xdr:col>1</xdr:col>
      <xdr:colOff>755649</xdr:colOff>
      <xdr:row>3</xdr:row>
      <xdr:rowOff>297529</xdr:rowOff>
    </xdr:to>
    <xdr:pic>
      <xdr:nvPicPr>
        <xdr:cNvPr id="6" name="Imagen 5">
          <a:extLst>
            <a:ext uri="{FF2B5EF4-FFF2-40B4-BE49-F238E27FC236}">
              <a16:creationId xmlns:a16="http://schemas.microsoft.com/office/drawing/2014/main" id="{B74E0759-9C36-426D-AC85-3966AD683AAB}"/>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52400" y="885825"/>
          <a:ext cx="1212849" cy="1078579"/>
        </a:xfrm>
        <a:prstGeom prst="rect">
          <a:avLst/>
        </a:prstGeom>
      </xdr:spPr>
    </xdr:pic>
    <xdr:clientData/>
  </xdr:twoCellAnchor>
  <xdr:twoCellAnchor editAs="oneCell">
    <xdr:from>
      <xdr:col>2</xdr:col>
      <xdr:colOff>219075</xdr:colOff>
      <xdr:row>1</xdr:row>
      <xdr:rowOff>85725</xdr:rowOff>
    </xdr:from>
    <xdr:to>
      <xdr:col>2</xdr:col>
      <xdr:colOff>1365886</xdr:colOff>
      <xdr:row>3</xdr:row>
      <xdr:rowOff>351034</xdr:rowOff>
    </xdr:to>
    <xdr:pic>
      <xdr:nvPicPr>
        <xdr:cNvPr id="7" name="Imagen 6">
          <a:extLst>
            <a:ext uri="{FF2B5EF4-FFF2-40B4-BE49-F238E27FC236}">
              <a16:creationId xmlns:a16="http://schemas.microsoft.com/office/drawing/2014/main" id="{5334C2C9-05AE-4C12-B7D7-687D16F3B53B}"/>
            </a:ext>
          </a:extLst>
        </xdr:cNvPr>
        <xdr:cNvPicPr>
          <a:picLocks noChangeAspect="1"/>
        </xdr:cNvPicPr>
      </xdr:nvPicPr>
      <xdr:blipFill>
        <a:blip xmlns:r="http://schemas.openxmlformats.org/officeDocument/2006/relationships" r:embed="rId6"/>
        <a:stretch>
          <a:fillRect/>
        </a:stretch>
      </xdr:blipFill>
      <xdr:spPr>
        <a:xfrm>
          <a:off x="1647825" y="857250"/>
          <a:ext cx="1146811" cy="1160659"/>
        </a:xfrm>
        <a:prstGeom prst="rect">
          <a:avLst/>
        </a:prstGeom>
      </xdr:spPr>
    </xdr:pic>
    <xdr:clientData/>
  </xdr:twoCellAnchor>
</xdr:wsDr>
</file>

<file path=xl/drawings/drawing120.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0AD26FC1-FD4D-4C1A-93F0-4479AF7E1054}"/>
            </a:ext>
          </a:extLst>
        </xdr:cNvPr>
        <xdr:cNvSpPr/>
      </xdr:nvSpPr>
      <xdr:spPr>
        <a:xfrm>
          <a:off x="265872" y="82909"/>
          <a:ext cx="1209672" cy="392255"/>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56B948EE-AE1C-4669-8BAE-C16270F5ADF4}"/>
            </a:ext>
          </a:extLst>
        </xdr:cNvPr>
        <xdr:cNvSpPr/>
      </xdr:nvSpPr>
      <xdr:spPr>
        <a:xfrm>
          <a:off x="1753924" y="72721"/>
          <a:ext cx="1530057" cy="40143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EBC54718-A2FA-4E7D-A20E-1354EC96AC08}"/>
            </a:ext>
          </a:extLst>
        </xdr:cNvPr>
        <xdr:cNvSpPr/>
      </xdr:nvSpPr>
      <xdr:spPr>
        <a:xfrm>
          <a:off x="3374003" y="72721"/>
          <a:ext cx="1341972" cy="40143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F5D5BB08-6304-4B57-BFDE-EACB5172B91A}"/>
            </a:ext>
          </a:extLst>
        </xdr:cNvPr>
        <xdr:cNvSpPr/>
      </xdr:nvSpPr>
      <xdr:spPr>
        <a:xfrm>
          <a:off x="5135050" y="82909"/>
          <a:ext cx="1286655" cy="392255"/>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152400</xdr:colOff>
      <xdr:row>1</xdr:row>
      <xdr:rowOff>114300</xdr:rowOff>
    </xdr:from>
    <xdr:to>
      <xdr:col>1</xdr:col>
      <xdr:colOff>751839</xdr:colOff>
      <xdr:row>3</xdr:row>
      <xdr:rowOff>293719</xdr:rowOff>
    </xdr:to>
    <xdr:pic>
      <xdr:nvPicPr>
        <xdr:cNvPr id="6" name="Imagen 5">
          <a:extLst>
            <a:ext uri="{FF2B5EF4-FFF2-40B4-BE49-F238E27FC236}">
              <a16:creationId xmlns:a16="http://schemas.microsoft.com/office/drawing/2014/main" id="{9518F6DB-87A3-4E8E-85D5-1A02CECF6247}"/>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52400" y="885825"/>
          <a:ext cx="1212849" cy="1078579"/>
        </a:xfrm>
        <a:prstGeom prst="rect">
          <a:avLst/>
        </a:prstGeom>
      </xdr:spPr>
    </xdr:pic>
    <xdr:clientData/>
  </xdr:twoCellAnchor>
  <xdr:twoCellAnchor editAs="oneCell">
    <xdr:from>
      <xdr:col>2</xdr:col>
      <xdr:colOff>219075</xdr:colOff>
      <xdr:row>1</xdr:row>
      <xdr:rowOff>85725</xdr:rowOff>
    </xdr:from>
    <xdr:to>
      <xdr:col>2</xdr:col>
      <xdr:colOff>1362076</xdr:colOff>
      <xdr:row>3</xdr:row>
      <xdr:rowOff>354844</xdr:rowOff>
    </xdr:to>
    <xdr:pic>
      <xdr:nvPicPr>
        <xdr:cNvPr id="7" name="Imagen 6">
          <a:extLst>
            <a:ext uri="{FF2B5EF4-FFF2-40B4-BE49-F238E27FC236}">
              <a16:creationId xmlns:a16="http://schemas.microsoft.com/office/drawing/2014/main" id="{0202D654-A16A-4A2B-86BB-ED035ECEFC39}"/>
            </a:ext>
          </a:extLst>
        </xdr:cNvPr>
        <xdr:cNvPicPr>
          <a:picLocks noChangeAspect="1"/>
        </xdr:cNvPicPr>
      </xdr:nvPicPr>
      <xdr:blipFill>
        <a:blip xmlns:r="http://schemas.openxmlformats.org/officeDocument/2006/relationships" r:embed="rId6"/>
        <a:stretch>
          <a:fillRect/>
        </a:stretch>
      </xdr:blipFill>
      <xdr:spPr>
        <a:xfrm>
          <a:off x="1647825" y="857250"/>
          <a:ext cx="1146811" cy="1160659"/>
        </a:xfrm>
        <a:prstGeom prst="rect">
          <a:avLst/>
        </a:prstGeom>
      </xdr:spPr>
    </xdr:pic>
    <xdr:clientData/>
  </xdr:twoCellAnchor>
</xdr:wsDr>
</file>

<file path=xl/drawings/drawing121.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BB2324AB-8DBF-4F01-B3FB-53F1C1CA57A1}"/>
            </a:ext>
          </a:extLst>
        </xdr:cNvPr>
        <xdr:cNvSpPr/>
      </xdr:nvSpPr>
      <xdr:spPr>
        <a:xfrm>
          <a:off x="265872" y="82909"/>
          <a:ext cx="1209672" cy="392255"/>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FE0AF4C2-FB96-4E6E-894D-D3943BE56422}"/>
            </a:ext>
          </a:extLst>
        </xdr:cNvPr>
        <xdr:cNvSpPr/>
      </xdr:nvSpPr>
      <xdr:spPr>
        <a:xfrm>
          <a:off x="1753924" y="72721"/>
          <a:ext cx="1530057" cy="40143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CF156F59-5AE6-4F3A-982F-8F7866FFCB0F}"/>
            </a:ext>
          </a:extLst>
        </xdr:cNvPr>
        <xdr:cNvSpPr/>
      </xdr:nvSpPr>
      <xdr:spPr>
        <a:xfrm>
          <a:off x="3374003" y="72721"/>
          <a:ext cx="1341972" cy="40143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9511B7BB-AA83-4466-B89A-90410673D6EC}"/>
            </a:ext>
          </a:extLst>
        </xdr:cNvPr>
        <xdr:cNvSpPr/>
      </xdr:nvSpPr>
      <xdr:spPr>
        <a:xfrm>
          <a:off x="5135050" y="82909"/>
          <a:ext cx="1286655" cy="392255"/>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152400</xdr:colOff>
      <xdr:row>1</xdr:row>
      <xdr:rowOff>114300</xdr:rowOff>
    </xdr:from>
    <xdr:to>
      <xdr:col>1</xdr:col>
      <xdr:colOff>755649</xdr:colOff>
      <xdr:row>3</xdr:row>
      <xdr:rowOff>297529</xdr:rowOff>
    </xdr:to>
    <xdr:pic>
      <xdr:nvPicPr>
        <xdr:cNvPr id="6" name="Imagen 5">
          <a:extLst>
            <a:ext uri="{FF2B5EF4-FFF2-40B4-BE49-F238E27FC236}">
              <a16:creationId xmlns:a16="http://schemas.microsoft.com/office/drawing/2014/main" id="{7AACFD47-B89B-4143-A8B0-CFDC3200CE0E}"/>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52400" y="885825"/>
          <a:ext cx="1212849" cy="1078579"/>
        </a:xfrm>
        <a:prstGeom prst="rect">
          <a:avLst/>
        </a:prstGeom>
      </xdr:spPr>
    </xdr:pic>
    <xdr:clientData/>
  </xdr:twoCellAnchor>
  <xdr:twoCellAnchor editAs="oneCell">
    <xdr:from>
      <xdr:col>2</xdr:col>
      <xdr:colOff>219075</xdr:colOff>
      <xdr:row>1</xdr:row>
      <xdr:rowOff>85725</xdr:rowOff>
    </xdr:from>
    <xdr:to>
      <xdr:col>2</xdr:col>
      <xdr:colOff>1365886</xdr:colOff>
      <xdr:row>3</xdr:row>
      <xdr:rowOff>351034</xdr:rowOff>
    </xdr:to>
    <xdr:pic>
      <xdr:nvPicPr>
        <xdr:cNvPr id="7" name="Imagen 6">
          <a:extLst>
            <a:ext uri="{FF2B5EF4-FFF2-40B4-BE49-F238E27FC236}">
              <a16:creationId xmlns:a16="http://schemas.microsoft.com/office/drawing/2014/main" id="{B20045CF-8B4D-482F-96D1-6EB4848A207F}"/>
            </a:ext>
          </a:extLst>
        </xdr:cNvPr>
        <xdr:cNvPicPr>
          <a:picLocks noChangeAspect="1"/>
        </xdr:cNvPicPr>
      </xdr:nvPicPr>
      <xdr:blipFill>
        <a:blip xmlns:r="http://schemas.openxmlformats.org/officeDocument/2006/relationships" r:embed="rId6"/>
        <a:stretch>
          <a:fillRect/>
        </a:stretch>
      </xdr:blipFill>
      <xdr:spPr>
        <a:xfrm>
          <a:off x="1647825" y="857250"/>
          <a:ext cx="1146811" cy="1160659"/>
        </a:xfrm>
        <a:prstGeom prst="rect">
          <a:avLst/>
        </a:prstGeom>
      </xdr:spPr>
    </xdr:pic>
    <xdr:clientData/>
  </xdr:twoCellAnchor>
</xdr:wsDr>
</file>

<file path=xl/drawings/drawing122.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70D73EC9-FD52-4AFC-A6E1-2BEAA6A00E53}"/>
            </a:ext>
          </a:extLst>
        </xdr:cNvPr>
        <xdr:cNvSpPr/>
      </xdr:nvSpPr>
      <xdr:spPr>
        <a:xfrm>
          <a:off x="265872" y="82909"/>
          <a:ext cx="1209672" cy="392255"/>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5C6A7C84-E39C-452B-B368-9BD0BC43B750}"/>
            </a:ext>
          </a:extLst>
        </xdr:cNvPr>
        <xdr:cNvSpPr/>
      </xdr:nvSpPr>
      <xdr:spPr>
        <a:xfrm>
          <a:off x="1753924" y="72721"/>
          <a:ext cx="1530057" cy="40143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237C6AA6-1C34-4353-8C5B-3549A88852BF}"/>
            </a:ext>
          </a:extLst>
        </xdr:cNvPr>
        <xdr:cNvSpPr/>
      </xdr:nvSpPr>
      <xdr:spPr>
        <a:xfrm>
          <a:off x="3374003" y="72721"/>
          <a:ext cx="1341972" cy="40143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211A6D95-5F14-4980-8F70-93862FF7AEE4}"/>
            </a:ext>
          </a:extLst>
        </xdr:cNvPr>
        <xdr:cNvSpPr/>
      </xdr:nvSpPr>
      <xdr:spPr>
        <a:xfrm>
          <a:off x="5135050" y="82909"/>
          <a:ext cx="1286655" cy="392255"/>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152400</xdr:colOff>
      <xdr:row>1</xdr:row>
      <xdr:rowOff>114300</xdr:rowOff>
    </xdr:from>
    <xdr:to>
      <xdr:col>1</xdr:col>
      <xdr:colOff>755649</xdr:colOff>
      <xdr:row>3</xdr:row>
      <xdr:rowOff>297529</xdr:rowOff>
    </xdr:to>
    <xdr:pic>
      <xdr:nvPicPr>
        <xdr:cNvPr id="6" name="Imagen 5">
          <a:extLst>
            <a:ext uri="{FF2B5EF4-FFF2-40B4-BE49-F238E27FC236}">
              <a16:creationId xmlns:a16="http://schemas.microsoft.com/office/drawing/2014/main" id="{501B55D8-3885-4EC2-8FF0-6C9C184EA887}"/>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52400" y="885825"/>
          <a:ext cx="1212849" cy="1078579"/>
        </a:xfrm>
        <a:prstGeom prst="rect">
          <a:avLst/>
        </a:prstGeom>
      </xdr:spPr>
    </xdr:pic>
    <xdr:clientData/>
  </xdr:twoCellAnchor>
  <xdr:twoCellAnchor editAs="oneCell">
    <xdr:from>
      <xdr:col>2</xdr:col>
      <xdr:colOff>219075</xdr:colOff>
      <xdr:row>1</xdr:row>
      <xdr:rowOff>85725</xdr:rowOff>
    </xdr:from>
    <xdr:to>
      <xdr:col>2</xdr:col>
      <xdr:colOff>1365886</xdr:colOff>
      <xdr:row>3</xdr:row>
      <xdr:rowOff>351034</xdr:rowOff>
    </xdr:to>
    <xdr:pic>
      <xdr:nvPicPr>
        <xdr:cNvPr id="7" name="Imagen 6">
          <a:extLst>
            <a:ext uri="{FF2B5EF4-FFF2-40B4-BE49-F238E27FC236}">
              <a16:creationId xmlns:a16="http://schemas.microsoft.com/office/drawing/2014/main" id="{1B0732A8-1052-4A03-B244-1EBE0E66BBBA}"/>
            </a:ext>
          </a:extLst>
        </xdr:cNvPr>
        <xdr:cNvPicPr>
          <a:picLocks noChangeAspect="1"/>
        </xdr:cNvPicPr>
      </xdr:nvPicPr>
      <xdr:blipFill>
        <a:blip xmlns:r="http://schemas.openxmlformats.org/officeDocument/2006/relationships" r:embed="rId6"/>
        <a:stretch>
          <a:fillRect/>
        </a:stretch>
      </xdr:blipFill>
      <xdr:spPr>
        <a:xfrm>
          <a:off x="1647825" y="857250"/>
          <a:ext cx="1146811" cy="1160659"/>
        </a:xfrm>
        <a:prstGeom prst="rect">
          <a:avLst/>
        </a:prstGeom>
      </xdr:spPr>
    </xdr:pic>
    <xdr:clientData/>
  </xdr:twoCellAnchor>
</xdr:wsDr>
</file>

<file path=xl/drawings/drawing123.xml><?xml version="1.0" encoding="utf-8"?>
<xdr:wsDr xmlns:xdr="http://schemas.openxmlformats.org/drawingml/2006/spreadsheetDrawing" xmlns:a="http://schemas.openxmlformats.org/drawingml/2006/main">
  <xdr:twoCellAnchor>
    <xdr:from>
      <xdr:col>0</xdr:col>
      <xdr:colOff>265872</xdr:colOff>
      <xdr:row>0</xdr:row>
      <xdr:rowOff>82909</xdr:rowOff>
    </xdr:from>
    <xdr:to>
      <xdr:col>2</xdr:col>
      <xdr:colOff>46794</xdr:colOff>
      <xdr:row>0</xdr:row>
      <xdr:rowOff>475164</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DD7D7D42-FA1E-42B1-B81B-E6A58F538928}"/>
            </a:ext>
          </a:extLst>
        </xdr:cNvPr>
        <xdr:cNvSpPr/>
      </xdr:nvSpPr>
      <xdr:spPr>
        <a:xfrm>
          <a:off x="265872" y="82909"/>
          <a:ext cx="1209672" cy="392255"/>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2</xdr:col>
      <xdr:colOff>325174</xdr:colOff>
      <xdr:row>0</xdr:row>
      <xdr:rowOff>72721</xdr:rowOff>
    </xdr:from>
    <xdr:to>
      <xdr:col>3</xdr:col>
      <xdr:colOff>131206</xdr:colOff>
      <xdr:row>0</xdr:row>
      <xdr:rowOff>474155</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4353E77A-C5A1-49DE-90F2-C58FA7715403}"/>
            </a:ext>
          </a:extLst>
        </xdr:cNvPr>
        <xdr:cNvSpPr/>
      </xdr:nvSpPr>
      <xdr:spPr>
        <a:xfrm>
          <a:off x="1753924" y="72721"/>
          <a:ext cx="1530057" cy="401434"/>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3</xdr:col>
      <xdr:colOff>221228</xdr:colOff>
      <xdr:row>0</xdr:row>
      <xdr:rowOff>72721</xdr:rowOff>
    </xdr:from>
    <xdr:to>
      <xdr:col>4</xdr:col>
      <xdr:colOff>163025</xdr:colOff>
      <xdr:row>0</xdr:row>
      <xdr:rowOff>474155</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EA1E0270-EF42-4228-B7F5-B90758564FEF}"/>
            </a:ext>
          </a:extLst>
        </xdr:cNvPr>
        <xdr:cNvSpPr/>
      </xdr:nvSpPr>
      <xdr:spPr>
        <a:xfrm>
          <a:off x="3374003" y="72721"/>
          <a:ext cx="1341972" cy="401434"/>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4</xdr:col>
      <xdr:colOff>582100</xdr:colOff>
      <xdr:row>0</xdr:row>
      <xdr:rowOff>82909</xdr:rowOff>
    </xdr:from>
    <xdr:to>
      <xdr:col>6</xdr:col>
      <xdr:colOff>220930</xdr:colOff>
      <xdr:row>0</xdr:row>
      <xdr:rowOff>475164</xdr:rowOff>
    </xdr:to>
    <xdr:sp macro="" textlink="">
      <xdr:nvSpPr>
        <xdr:cNvPr id="5" name="Flecha: a la derecha con bandas 4">
          <a:hlinkClick xmlns:r="http://schemas.openxmlformats.org/officeDocument/2006/relationships" r:id="rId4"/>
          <a:extLst>
            <a:ext uri="{FF2B5EF4-FFF2-40B4-BE49-F238E27FC236}">
              <a16:creationId xmlns:a16="http://schemas.microsoft.com/office/drawing/2014/main" id="{B24B2EDF-6230-4296-97B8-AA23E80CF850}"/>
            </a:ext>
          </a:extLst>
        </xdr:cNvPr>
        <xdr:cNvSpPr/>
      </xdr:nvSpPr>
      <xdr:spPr>
        <a:xfrm>
          <a:off x="5135050" y="82909"/>
          <a:ext cx="1286655" cy="392255"/>
        </a:xfrm>
        <a:prstGeom prst="stripedRightArrow">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s-CO" sz="1100"/>
            <a:t>PRESUPUESTO</a:t>
          </a:r>
        </a:p>
      </xdr:txBody>
    </xdr:sp>
    <xdr:clientData/>
  </xdr:twoCellAnchor>
  <xdr:twoCellAnchor editAs="oneCell">
    <xdr:from>
      <xdr:col>0</xdr:col>
      <xdr:colOff>152400</xdr:colOff>
      <xdr:row>1</xdr:row>
      <xdr:rowOff>114300</xdr:rowOff>
    </xdr:from>
    <xdr:to>
      <xdr:col>1</xdr:col>
      <xdr:colOff>746124</xdr:colOff>
      <xdr:row>3</xdr:row>
      <xdr:rowOff>288004</xdr:rowOff>
    </xdr:to>
    <xdr:pic>
      <xdr:nvPicPr>
        <xdr:cNvPr id="6" name="Imagen 5">
          <a:extLst>
            <a:ext uri="{FF2B5EF4-FFF2-40B4-BE49-F238E27FC236}">
              <a16:creationId xmlns:a16="http://schemas.microsoft.com/office/drawing/2014/main" id="{122ABF20-3A31-4638-84BA-C75BA4D12593}"/>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52400" y="885825"/>
          <a:ext cx="1212849" cy="1078579"/>
        </a:xfrm>
        <a:prstGeom prst="rect">
          <a:avLst/>
        </a:prstGeom>
      </xdr:spPr>
    </xdr:pic>
    <xdr:clientData/>
  </xdr:twoCellAnchor>
  <xdr:twoCellAnchor editAs="oneCell">
    <xdr:from>
      <xdr:col>2</xdr:col>
      <xdr:colOff>219075</xdr:colOff>
      <xdr:row>1</xdr:row>
      <xdr:rowOff>85725</xdr:rowOff>
    </xdr:from>
    <xdr:to>
      <xdr:col>2</xdr:col>
      <xdr:colOff>1350646</xdr:colOff>
      <xdr:row>3</xdr:row>
      <xdr:rowOff>362464</xdr:rowOff>
    </xdr:to>
    <xdr:pic>
      <xdr:nvPicPr>
        <xdr:cNvPr id="7" name="Imagen 6">
          <a:extLst>
            <a:ext uri="{FF2B5EF4-FFF2-40B4-BE49-F238E27FC236}">
              <a16:creationId xmlns:a16="http://schemas.microsoft.com/office/drawing/2014/main" id="{84D4F6CE-951E-4D84-A7AE-C94F1B0B186A}"/>
            </a:ext>
          </a:extLst>
        </xdr:cNvPr>
        <xdr:cNvPicPr>
          <a:picLocks noChangeAspect="1"/>
        </xdr:cNvPicPr>
      </xdr:nvPicPr>
      <xdr:blipFill>
        <a:blip xmlns:r="http://schemas.openxmlformats.org/officeDocument/2006/relationships" r:embed="rId6"/>
        <a:stretch>
          <a:fillRect/>
        </a:stretch>
      </xdr:blipFill>
      <xdr:spPr>
        <a:xfrm>
          <a:off x="1647825" y="857250"/>
          <a:ext cx="1146811" cy="116065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26.49.250.247\Proyectos\Jhon_F\TRABAJO\TRABAJOS%202017\19.%20CIC%20-%20RIVERA\1.%20Presupuesto%20CIC\1.%20Presupuesto%20de%20Obra%20-%20CIC%20River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92.168.1.230\Proyectos\Jhon_F\TRABAJO\TRABAJOS%202017\19.%20CIC%20-%20RIVERA\1.%20Presupuesto%20CIC\1.%20Presupuesto%20de%20Obra%20-%20CIC%20River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26.49.250.247\Proyectos\Jhon_F\TRABAJO\TRABAJOS%202017\19.%20CIC%20-%20RIVERA\1.%20Presupuesto%20CIC\ACTUALIZACION%20DE%20LA%20CARRERA%20QUINTA%20Y%20ESTACION\APU%20JHON%20ROSADOCARRERA%20QUINT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192.168.1.230\Proyectos\Jhon_F\TRABAJO\TRABAJOS%202017\19.%20CIC%20-%20RIVERA\1.%20Presupuesto%20CIC\ACTUALIZACION%20DE%20LA%20CARRERA%20QUINTA%20Y%20ESTACION\APU%20JHON%20ROSADOCARRERA%20QUINTA.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CTO%20641%20UT%20MAS\MODIFICACIONES\ACTA%20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26.49.250.247\Proyectos\Documents%20and%20Settings\Luis%20J%20Ramirez\Mis%20documentos\Consorcio%20Cantalejo\Obra\Ppto\Obra\MatrizPpto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192.168.1.230\Proyectos\Documents%20and%20Settings\Luis%20J%20Ramirez\Mis%20documentos\Consorcio%20Cantalejo\Obra\Ppto\Obra\MatrizPptos.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H:\JER-DIS-MOD-VDEFINITIVA.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JULIO\Datos%20(D)\JMD\La%20plata\LA%20UNION%20Y%20EL%20CARMEN\PRESUPUESTO.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J:\WINDOWS\TEMP\VILLA%20SAGRARIO%20NEGRAS%208.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G:\Users\Juliana%20Ramos\Desktop\San%20Agustin\Presupuesto%20Viabilizado\Users\HP\AppData\Local\Temp\Presupuesto%20Quimbaya.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192.168.1.230\Proyectos\Works%20JHON%20FREDY%20GARCIA\TRABAJO\TRABAJOS%202020\2.%202019079%20Vivienda%20-%20Costa%20Rica\8.%20Presupuesto%20JHON%20F\Entregables%20PARRA\4.%20Presupuesto%20de%20OBRA%20-%20URBANISMO%20V_05_08_2021.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192.168.1.230\Proyectos\Works%20JHON%20FREDY%20GARCIA\TRABAJO\TRABAJOS%202018\9.%20Reposici&#243;n%20ALCA-VIAS%20YAGUAR&#193;\8.%20Presupuesto%20del%20PROYECTO\3.%20Presupuesto%20de%20OBRA%20-%20REPOSICI&#211;N%20YAGUAR&#193;%20(HUILA)-29%20OCT%202019%20-%20DNP.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26.49.250.247\Proyectos\Works%20JHON%20FREDY%20GARCIA\TRABAJO\TRABAJOS%202020\1.%20Viaducto%20PALERMO\7.%20Presupuesto%20PROYECTO\3.%20Presupuesto%20de%20OBRA%20-%20VIADUCTO%20PALERMO%20%20(HUILA)-17%20FEB%2020120.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26.49.250.247\Proyectos\Users\JHON%20F%20GARCIA%20MENDEZ\Desktop\3.%20Presupuesto%20de%20OBRA%20-%20REPOSICI&#211;N%20YAGUAR&#193;%20(HUILA)-29%20OCT%202019%20-%20DNP%20-%20FIRMADO.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WINDOWS\TEMP\VILLA%20SAGRARIO%20NEGRAS%208.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26.49.250.247\Proyectos\Jhon_F\TRABAJO\TRABAJOS%202017\19.%20CIC%20-%20RIVERA\1.%20Presupuesto%20CIC\3.%20PRESUPUESTO%20PUENTES.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192.168.1.230\Proyectos\Jhon_F\TRABAJO\TRABAJOS%202017\19.%20CIC%20-%20RIVERA\1.%20Presupuesto%20CIC\3.%20PRESUPUESTO%20PUENTES.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Mis%20documentos\ACTAS\ACTA%2013\SAN%20BASILIO%20NEGRAS.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RESUMEN.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Pc_85\compartida\Cofinanciacion\FICHAS%20Y%20FORMATOS\UNITARIOS%20GENERALES.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E:\Users\usuario\Documents\Armando%202011\Consultoria\Cofinanciacion\FICHAS%20Y%20FORMATOS\UNITARIOS%20GENERALES.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G:\Sectores%20Varios\Simulaciones%20dise&#241;o\SIM_Dis_B_Martires_2044.xlsx"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816-d-016\compartida%20arquitectura\L.%20HELENA\LITOGRAFIA\PRESUPUESTO%20NEIVA%20SEGUNDA%20ETAPA.xlsx"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C:\Users\WORKSPACE\Desktop\1.%20PPTO_PROYECTO%20-%20ALC%20(CACHIMBAL,%20GUA)%20V_281022.xlsx"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26.49.250.247\Proyectos\Works%20JHON%20FREDY%20GARCIA\TRABAJO\TRABAJOS%202018\9.%20Reposici&#243;n%20ALCA-VIAS%20YAGUAR&#193;\8.%20Presupuesto%20del%20PROYECTO\3.%20Presupuesto%20de%20OBRA%20-%20REPOSICI&#211;N%20YAGUAR&#193;%20(HUILA)-29%20OCT%202019%20-%20DNP.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MODELO APU"/>
      <sheetName val="APUB1"/>
      <sheetName val="APUB2"/>
      <sheetName val="APUB3"/>
      <sheetName val="APUB4"/>
      <sheetName val="APUB5"/>
      <sheetName val="MEMORIAS"/>
      <sheetName val="PRESUPUESTO RIVERA CIC"/>
      <sheetName val="LOCALIZACION Y REPLANTEO"/>
      <sheetName val="CERRAMIENTO PROV."/>
      <sheetName val="DEMOLICION"/>
      <sheetName val="DEMOLICION  DE  PAVIMENTO"/>
      <sheetName val="NIVELACION DE TAPAS"/>
      <sheetName val="EXCAV. MANUAL"/>
      <sheetName val="EXCAV.  ROCA"/>
      <sheetName val="CORTE DE TERRENO"/>
      <sheetName val="RELLENO"/>
      <sheetName val="SARDINEL"/>
      <sheetName val="BORDILLO FUND. ,20X,20 "/>
      <sheetName val="BORDILLO PREFABRICADO"/>
      <sheetName val="PISO"/>
      <sheetName val="CONC. ESTAMPADO"/>
      <sheetName val="L. TOPEROL"/>
      <sheetName val="L. VERDE CLARA. LISA"/>
      <sheetName val="L. CHOCOLATE LISA"/>
      <sheetName val="ADOQ.REC-VERDE"/>
      <sheetName val="ADOQ.REC-CHOC"/>
      <sheetName val="ADOQ.REC-GRIS"/>
      <sheetName val="PISO-CAUCHO"/>
      <sheetName val="GRAMA-SINT"/>
      <sheetName val="PISO-MALLA"/>
      <sheetName val="BROD-MATERAS"/>
      <sheetName val="MATERA-RED"/>
      <sheetName val="BANCA M30"/>
      <sheetName val="BOLARDOS"/>
      <sheetName val="PROTECTOR ARBOL"/>
      <sheetName val="ALCORQUE"/>
      <sheetName val="CANECA MEDIANA"/>
      <sheetName val="CICLOPARQUEO"/>
      <sheetName val="DISPENSADORES"/>
      <sheetName val="CEBRA"/>
      <sheetName val="RELOJ"/>
      <sheetName val="FLECHA"/>
      <sheetName val="PARE"/>
      <sheetName val="SENALIZACION VIAL VERTICAL"/>
      <sheetName val="LINEAS BORDE"/>
      <sheetName val="ARBUSTOS"/>
      <sheetName val="GRAMA"/>
      <sheetName val="LOGO"/>
      <sheetName val="LUMINARIA"/>
      <sheetName val="REFLECTOR"/>
      <sheetName val="ACOMETIDA"/>
      <sheetName val="CIMENTACION"/>
      <sheetName val="VIGA AEREA"/>
      <sheetName val="COLUMNETA"/>
      <sheetName val="ALFAJIA"/>
      <sheetName val="P.PISO"/>
      <sheetName val="ALISTADO"/>
      <sheetName val="MURO"/>
      <sheetName val="PAÑETES"/>
      <sheetName val="EN.PISO"/>
      <sheetName val="EN. PARED"/>
      <sheetName val="GUARDAES"/>
      <sheetName val="MESON"/>
    </sheetNames>
    <sheetDataSet>
      <sheetData sheetId="0">
        <row r="1">
          <cell r="A1" t="str">
            <v>REF.</v>
          </cell>
          <cell r="B1" t="str">
            <v>MATERIAL PLAYA</v>
          </cell>
          <cell r="C1" t="str">
            <v>UNIDAD</v>
          </cell>
          <cell r="D1" t="str">
            <v>PRECIO</v>
          </cell>
          <cell r="E1" t="str">
            <v>TRANSPORTE</v>
          </cell>
        </row>
        <row r="2">
          <cell r="A2">
            <v>1</v>
          </cell>
          <cell r="B2" t="str">
            <v>Abono agricola</v>
          </cell>
          <cell r="C2" t="str">
            <v>KG</v>
          </cell>
          <cell r="D2">
            <v>3800</v>
          </cell>
          <cell r="E2">
            <v>228</v>
          </cell>
        </row>
        <row r="3">
          <cell r="A3">
            <v>2</v>
          </cell>
          <cell r="B3" t="str">
            <v>Arena fina</v>
          </cell>
          <cell r="C3" t="str">
            <v>M3</v>
          </cell>
          <cell r="D3">
            <v>60000</v>
          </cell>
          <cell r="E3">
            <v>20000</v>
          </cell>
        </row>
        <row r="4">
          <cell r="A4">
            <v>3</v>
          </cell>
          <cell r="B4" t="str">
            <v>Arena para concreto</v>
          </cell>
          <cell r="C4" t="str">
            <v>M3</v>
          </cell>
          <cell r="D4">
            <v>65000</v>
          </cell>
          <cell r="E4">
            <v>20000</v>
          </cell>
        </row>
        <row r="5">
          <cell r="A5">
            <v>4</v>
          </cell>
          <cell r="B5" t="str">
            <v>Base granular (debe cumplir con especificaciòn Art.330/02 INVIAS,e=0.2 mts</v>
          </cell>
          <cell r="C5" t="str">
            <v>M3</v>
          </cell>
          <cell r="D5">
            <v>63854</v>
          </cell>
          <cell r="E5">
            <v>3831.24</v>
          </cell>
        </row>
        <row r="6">
          <cell r="A6">
            <v>5</v>
          </cell>
          <cell r="B6" t="str">
            <v>Grama</v>
          </cell>
          <cell r="C6" t="str">
            <v>M2</v>
          </cell>
          <cell r="D6">
            <v>2000</v>
          </cell>
          <cell r="E6">
            <v>120</v>
          </cell>
        </row>
        <row r="7">
          <cell r="A7">
            <v>6</v>
          </cell>
          <cell r="B7" t="str">
            <v>GRANITO #2</v>
          </cell>
          <cell r="C7" t="str">
            <v>BT</v>
          </cell>
          <cell r="D7">
            <v>6000</v>
          </cell>
          <cell r="E7">
            <v>360</v>
          </cell>
        </row>
        <row r="8">
          <cell r="A8">
            <v>7</v>
          </cell>
          <cell r="B8" t="str">
            <v>Gravilla de 3/4" a 1"</v>
          </cell>
          <cell r="C8" t="str">
            <v>M3</v>
          </cell>
          <cell r="D8">
            <v>80524</v>
          </cell>
          <cell r="E8">
            <v>4831.4399999999996</v>
          </cell>
        </row>
        <row r="9">
          <cell r="A9">
            <v>8</v>
          </cell>
          <cell r="B9" t="str">
            <v>Guadua</v>
          </cell>
          <cell r="C9" t="str">
            <v>ML</v>
          </cell>
          <cell r="D9">
            <v>2600</v>
          </cell>
          <cell r="E9">
            <v>156</v>
          </cell>
        </row>
        <row r="10">
          <cell r="A10">
            <v>9</v>
          </cell>
          <cell r="B10" t="str">
            <v>Recebo</v>
          </cell>
          <cell r="C10" t="str">
            <v>M3</v>
          </cell>
          <cell r="D10">
            <v>34610</v>
          </cell>
          <cell r="E10">
            <v>2076.6</v>
          </cell>
        </row>
        <row r="11">
          <cell r="A11">
            <v>10</v>
          </cell>
          <cell r="B11" t="str">
            <v>Sub - base granular para via</v>
          </cell>
          <cell r="C11" t="str">
            <v>M3</v>
          </cell>
          <cell r="D11">
            <v>15800</v>
          </cell>
          <cell r="E11">
            <v>948</v>
          </cell>
        </row>
        <row r="12">
          <cell r="A12">
            <v>11</v>
          </cell>
          <cell r="B12" t="str">
            <v>Tierra negra</v>
          </cell>
          <cell r="C12" t="str">
            <v>M3</v>
          </cell>
          <cell r="D12">
            <v>36200</v>
          </cell>
          <cell r="E12">
            <v>2172</v>
          </cell>
        </row>
        <row r="13">
          <cell r="A13">
            <v>12</v>
          </cell>
          <cell r="B13" t="str">
            <v>Triturado</v>
          </cell>
          <cell r="C13" t="str">
            <v>M3</v>
          </cell>
          <cell r="D13">
            <v>75000</v>
          </cell>
          <cell r="E13">
            <v>40000</v>
          </cell>
        </row>
        <row r="14">
          <cell r="A14">
            <v>13</v>
          </cell>
          <cell r="B14" t="str">
            <v>Piedra media zonga</v>
          </cell>
          <cell r="C14" t="str">
            <v>M3</v>
          </cell>
          <cell r="D14">
            <v>57000</v>
          </cell>
          <cell r="E14">
            <v>3420</v>
          </cell>
        </row>
        <row r="15">
          <cell r="A15">
            <v>14</v>
          </cell>
          <cell r="B15" t="str">
            <v>Arbol nativo, h &gt; 1,50 mts.</v>
          </cell>
          <cell r="C15" t="str">
            <v>UN</v>
          </cell>
          <cell r="D15">
            <v>28000</v>
          </cell>
          <cell r="E15">
            <v>1680</v>
          </cell>
        </row>
        <row r="16">
          <cell r="A16">
            <v>15</v>
          </cell>
          <cell r="B16" t="str">
            <v>Material granular</v>
          </cell>
          <cell r="C16" t="str">
            <v>M3</v>
          </cell>
          <cell r="E16">
            <v>0</v>
          </cell>
        </row>
        <row r="17">
          <cell r="A17">
            <v>16</v>
          </cell>
          <cell r="B17" t="str">
            <v xml:space="preserve">Sub - base granular </v>
          </cell>
          <cell r="C17" t="str">
            <v>M3</v>
          </cell>
          <cell r="D17">
            <v>62165</v>
          </cell>
          <cell r="E17">
            <v>3729.8999999999996</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43500</v>
          </cell>
          <cell r="E25">
            <v>2175</v>
          </cell>
        </row>
        <row r="26">
          <cell r="A26">
            <v>22</v>
          </cell>
          <cell r="B26" t="str">
            <v>Adoquin en concreto, tipo  PEATONAL, en concreto, de 0,20 x 0,10 mts., e= 0,06 mts.,  COLOR GRIS</v>
          </cell>
          <cell r="C26" t="str">
            <v>M2</v>
          </cell>
          <cell r="D26">
            <v>50000</v>
          </cell>
          <cell r="E26">
            <v>2500</v>
          </cell>
        </row>
        <row r="27">
          <cell r="A27">
            <v>23</v>
          </cell>
          <cell r="B27" t="str">
            <v>Adoquin en concreto, tipo VEHICULAR ,  de 0,20 x 0,10 mts., e= 0,08 mts.,  COLOR VERDE</v>
          </cell>
          <cell r="C27" t="str">
            <v>M2</v>
          </cell>
          <cell r="D27">
            <v>72000</v>
          </cell>
          <cell r="E27">
            <v>3600</v>
          </cell>
        </row>
        <row r="28">
          <cell r="A28">
            <v>24</v>
          </cell>
          <cell r="B28" t="str">
            <v>Adoquin en concreto, tipo VEHICULAR ,  de 0,20 x 0,10 mts., e= 0,08 mts.,  COLOR CHOCOLATE</v>
          </cell>
          <cell r="C28" t="str">
            <v>M2</v>
          </cell>
          <cell r="D28">
            <v>66000</v>
          </cell>
          <cell r="E28">
            <v>3300</v>
          </cell>
        </row>
        <row r="29">
          <cell r="A29">
            <v>25</v>
          </cell>
          <cell r="B29" t="str">
            <v>Adoquin en concreto, tipo VEHICULAR,  de 0,20 x 0,10 mts., e= 0,08 mts.,  COLOR GRIS</v>
          </cell>
          <cell r="C29" t="str">
            <v>M2</v>
          </cell>
          <cell r="D29">
            <v>29958</v>
          </cell>
          <cell r="E29">
            <v>1497.9</v>
          </cell>
        </row>
        <row r="30">
          <cell r="A30">
            <v>26</v>
          </cell>
          <cell r="B30" t="str">
            <v>Banca prefabricada en concreto, sin espaldar, incluye soporte. L= 1,50 mts</v>
          </cell>
          <cell r="C30" t="str">
            <v>UN</v>
          </cell>
          <cell r="E30">
            <v>0</v>
          </cell>
        </row>
        <row r="31">
          <cell r="A31">
            <v>27</v>
          </cell>
          <cell r="B31" t="str">
            <v>Bolardo en concreto H=0,85mts, tipo IDU</v>
          </cell>
          <cell r="C31" t="str">
            <v>UN</v>
          </cell>
          <cell r="D31">
            <v>30000</v>
          </cell>
          <cell r="E31">
            <v>1500</v>
          </cell>
        </row>
        <row r="32">
          <cell r="A32">
            <v>28</v>
          </cell>
          <cell r="B32" t="str">
            <v>Bordillos en concreto,  prefabricado sec.,10x,25x,80</v>
          </cell>
          <cell r="C32" t="str">
            <v>UN</v>
          </cell>
          <cell r="D32">
            <v>7000</v>
          </cell>
          <cell r="E32">
            <v>350</v>
          </cell>
        </row>
        <row r="33">
          <cell r="A33">
            <v>29</v>
          </cell>
          <cell r="B33" t="str">
            <v>Cemento Blanco</v>
          </cell>
          <cell r="C33" t="str">
            <v>KG</v>
          </cell>
          <cell r="D33">
            <v>760</v>
          </cell>
          <cell r="E33">
            <v>38</v>
          </cell>
        </row>
        <row r="34">
          <cell r="A34">
            <v>30</v>
          </cell>
          <cell r="B34" t="str">
            <v>Cemento gris</v>
          </cell>
          <cell r="C34" t="str">
            <v>KG</v>
          </cell>
          <cell r="D34">
            <v>650</v>
          </cell>
          <cell r="E34">
            <v>32.5</v>
          </cell>
        </row>
        <row r="35">
          <cell r="A35">
            <v>31</v>
          </cell>
          <cell r="B35" t="str">
            <v>Loseta prefabricada en concreto,  e = 0,06 mts de 0,40 x 0,40 mts. Color Gris LISA</v>
          </cell>
          <cell r="C35" t="str">
            <v>M2</v>
          </cell>
          <cell r="D35">
            <v>32000</v>
          </cell>
          <cell r="E35">
            <v>1600</v>
          </cell>
        </row>
        <row r="36">
          <cell r="A36">
            <v>32</v>
          </cell>
          <cell r="B36" t="str">
            <v>Loseta prefabricada en concreto,  e = 0,06 mts de 0,40 x 0,40 mts. Color ROJO A RAYAS</v>
          </cell>
          <cell r="C36" t="str">
            <v>M2</v>
          </cell>
          <cell r="D36">
            <v>49130</v>
          </cell>
          <cell r="E36">
            <v>2456.5</v>
          </cell>
        </row>
        <row r="37">
          <cell r="A37">
            <v>33</v>
          </cell>
          <cell r="B37" t="str">
            <v>Loseta prefabricada en concreto,  e = 0,06 mts de 0,40 x 0,40 mts.COLOR GRIS - TOPEROL</v>
          </cell>
          <cell r="C37" t="str">
            <v>M2</v>
          </cell>
          <cell r="D37">
            <v>47500</v>
          </cell>
          <cell r="E37">
            <v>2375</v>
          </cell>
        </row>
        <row r="38">
          <cell r="A38">
            <v>34</v>
          </cell>
          <cell r="B38" t="str">
            <v>Loseta prefabricada en concreto,  e = 0,06 mts de 0,40 x 0,40 mts.COLOR GRIS LISA</v>
          </cell>
          <cell r="C38" t="str">
            <v>M2</v>
          </cell>
          <cell r="D38">
            <v>47500</v>
          </cell>
          <cell r="E38">
            <v>2375</v>
          </cell>
        </row>
        <row r="39">
          <cell r="A39">
            <v>35</v>
          </cell>
          <cell r="B39" t="str">
            <v>Loseta prefabricada en concreto,  e = 0,06 mts de 0,40 x 0,40 mts.COLOR GRIS A RAYAS</v>
          </cell>
          <cell r="C39" t="str">
            <v>M2</v>
          </cell>
          <cell r="D39">
            <v>47500</v>
          </cell>
          <cell r="E39">
            <v>2375</v>
          </cell>
        </row>
        <row r="40">
          <cell r="A40">
            <v>36</v>
          </cell>
          <cell r="B40" t="str">
            <v>Loseta prefabricada en concreto,  e = 0,06 mts de 0,40 x 0,40 mts.COLOR AZUL LISA</v>
          </cell>
          <cell r="C40" t="str">
            <v>M2</v>
          </cell>
          <cell r="D40">
            <v>47500</v>
          </cell>
          <cell r="E40">
            <v>2375</v>
          </cell>
        </row>
        <row r="41">
          <cell r="A41">
            <v>37</v>
          </cell>
          <cell r="B41" t="str">
            <v>Loseta prefabricada en concreto,  e = 0,06 mts de 0,40 x 0,40 mts.COLOR AZUL A RAYAS</v>
          </cell>
          <cell r="C41" t="str">
            <v>M2</v>
          </cell>
          <cell r="D41">
            <v>47500</v>
          </cell>
          <cell r="E41">
            <v>2375</v>
          </cell>
        </row>
        <row r="42">
          <cell r="A42">
            <v>38</v>
          </cell>
          <cell r="B42" t="str">
            <v>Loseta prefabricada en concreto,  e = 0,06 mts de 0,40 x 0,40 mts.COLOR BLANCA</v>
          </cell>
          <cell r="C42" t="str">
            <v>M2</v>
          </cell>
          <cell r="D42">
            <v>47500</v>
          </cell>
          <cell r="E42">
            <v>2375</v>
          </cell>
        </row>
        <row r="43">
          <cell r="A43">
            <v>39</v>
          </cell>
          <cell r="B43" t="str">
            <v>Loseta prefabricada en concreto,  e = 0,06 mts de 0,40 x 0,40 mts.COLOR AMARILLO A CUADROS</v>
          </cell>
          <cell r="C43" t="str">
            <v>M2</v>
          </cell>
          <cell r="D43">
            <v>47500</v>
          </cell>
          <cell r="E43">
            <v>2375</v>
          </cell>
        </row>
        <row r="44">
          <cell r="A44">
            <v>40</v>
          </cell>
          <cell r="B44" t="str">
            <v>Loseta prefabricada en concreto,  e = 0,06 mts de 0,40 x 0,40 mts.COLOR OCRE LISA. A RAYAS O A CUADROS.</v>
          </cell>
          <cell r="C44" t="str">
            <v>M2</v>
          </cell>
          <cell r="D44">
            <v>47500</v>
          </cell>
          <cell r="E44">
            <v>2375</v>
          </cell>
        </row>
        <row r="45">
          <cell r="A45">
            <v>41</v>
          </cell>
          <cell r="B45" t="str">
            <v>Loseta prefabricada en concreto,  e = 0,06 mts de 0,40 x 0,40 mts.COLOR VERDE A CUADROS</v>
          </cell>
          <cell r="C45" t="str">
            <v>M2</v>
          </cell>
          <cell r="D45">
            <v>47500</v>
          </cell>
          <cell r="E45">
            <v>2375</v>
          </cell>
        </row>
        <row r="46">
          <cell r="A46">
            <v>42</v>
          </cell>
          <cell r="B46" t="str">
            <v>Loseta prefabricada en concreto,  e = 0,06 mts de 0,40 x 0,40 mts.COLOR NEGRA LISA, A RAYAS O A CUADROS</v>
          </cell>
          <cell r="C46" t="str">
            <v>M2</v>
          </cell>
          <cell r="D46">
            <v>47500</v>
          </cell>
          <cell r="E46">
            <v>2375</v>
          </cell>
        </row>
        <row r="47">
          <cell r="A47">
            <v>43</v>
          </cell>
          <cell r="B47" t="str">
            <v>Sardinel prefabricado en concreto de 1,00 x 0,17 x 0,45 mts. Redondo</v>
          </cell>
          <cell r="C47" t="str">
            <v>UN</v>
          </cell>
          <cell r="D47">
            <v>17500</v>
          </cell>
          <cell r="E47">
            <v>875</v>
          </cell>
        </row>
        <row r="48">
          <cell r="A48">
            <v>44</v>
          </cell>
          <cell r="B48" t="str">
            <v xml:space="preserve">Pegacol </v>
          </cell>
          <cell r="C48" t="str">
            <v>KG</v>
          </cell>
          <cell r="D48">
            <v>550</v>
          </cell>
          <cell r="E48">
            <v>27.5</v>
          </cell>
        </row>
        <row r="49">
          <cell r="A49">
            <v>45</v>
          </cell>
          <cell r="B49" t="str">
            <v>FLEXA NYCON</v>
          </cell>
          <cell r="C49" t="str">
            <v>BOL</v>
          </cell>
          <cell r="D49">
            <v>25000</v>
          </cell>
          <cell r="E49">
            <v>1250</v>
          </cell>
        </row>
        <row r="50">
          <cell r="A50">
            <v>46</v>
          </cell>
          <cell r="B50" t="str">
            <v>Cañuelas prefabricadas</v>
          </cell>
          <cell r="C50" t="str">
            <v>UN</v>
          </cell>
          <cell r="D50">
            <v>15000</v>
          </cell>
          <cell r="E50">
            <v>750</v>
          </cell>
        </row>
        <row r="51">
          <cell r="A51">
            <v>47</v>
          </cell>
          <cell r="B51" t="str">
            <v>FLEXTHANE-200</v>
          </cell>
          <cell r="C51" t="str">
            <v>UN</v>
          </cell>
          <cell r="D51">
            <v>1000</v>
          </cell>
          <cell r="E51">
            <v>50</v>
          </cell>
        </row>
        <row r="52">
          <cell r="A52">
            <v>48</v>
          </cell>
          <cell r="B52" t="str">
            <v>FLEXABACKET ROOD 1/4"</v>
          </cell>
          <cell r="C52" t="str">
            <v>ML</v>
          </cell>
          <cell r="D52">
            <v>500</v>
          </cell>
          <cell r="E52">
            <v>25</v>
          </cell>
        </row>
        <row r="53">
          <cell r="A53">
            <v>49</v>
          </cell>
          <cell r="B53" t="str">
            <v>DECOPAVITEX SISTEM</v>
          </cell>
          <cell r="C53" t="str">
            <v>M2</v>
          </cell>
          <cell r="D53">
            <v>28492</v>
          </cell>
          <cell r="E53">
            <v>1424.6000000000001</v>
          </cell>
        </row>
        <row r="54">
          <cell r="A54">
            <v>50</v>
          </cell>
          <cell r="B54" t="str">
            <v>Loseta prefabricada en concreto,  e = 0,06 mts de 0,40 x 0,40 mts.COLOR VERDE LISA</v>
          </cell>
          <cell r="C54" t="str">
            <v>M2</v>
          </cell>
          <cell r="D54">
            <v>45000</v>
          </cell>
          <cell r="E54">
            <v>2250</v>
          </cell>
        </row>
        <row r="55">
          <cell r="A55">
            <v>51</v>
          </cell>
          <cell r="B55" t="str">
            <v>Loseta prefabricada en concreto,  e = 0,06 mts de 0,40 x 0,40 mts.COLOR VERDE A RAYAS</v>
          </cell>
          <cell r="C55" t="str">
            <v>M2</v>
          </cell>
          <cell r="D55">
            <v>45000</v>
          </cell>
          <cell r="E55">
            <v>2250</v>
          </cell>
        </row>
        <row r="56">
          <cell r="A56">
            <v>52</v>
          </cell>
          <cell r="B56" t="str">
            <v>Loseta prefabricada en concreto,  e = 0,06 mts de 0,40 x 0,40 mts.COLOR OCRE LISA. A RAYAS O A CUADROS.</v>
          </cell>
          <cell r="C56" t="str">
            <v>M2</v>
          </cell>
          <cell r="D56">
            <v>38000</v>
          </cell>
          <cell r="E56">
            <v>1900</v>
          </cell>
        </row>
        <row r="57">
          <cell r="A57">
            <v>53</v>
          </cell>
          <cell r="B57" t="str">
            <v>Loseta prefabricada en concreto,  e = 0,06 mts de 0,40 x 0,40 mts.COLOR OCRE LISA. A RAYAS O A CUADROS.</v>
          </cell>
          <cell r="C57" t="str">
            <v>M2</v>
          </cell>
          <cell r="D57">
            <v>38000</v>
          </cell>
          <cell r="E57">
            <v>1900</v>
          </cell>
        </row>
        <row r="58">
          <cell r="A58">
            <v>54</v>
          </cell>
          <cell r="B58" t="str">
            <v>Adoquin en concreto, tipo VEHICULAR,  de 0,20 x 0,10 mts., e= 0,08 mts.,  COLOR NEGRO</v>
          </cell>
          <cell r="C58" t="str">
            <v>M2</v>
          </cell>
          <cell r="D58">
            <v>48500</v>
          </cell>
          <cell r="E58">
            <v>2425</v>
          </cell>
        </row>
        <row r="59">
          <cell r="A59">
            <v>55</v>
          </cell>
          <cell r="B59" t="str">
            <v>Adoquin en concreto, tipo VEHICULAR,  de 0,20 x 0,10 mts., e= 0,08 mts.,  COLOR ROJO,</v>
          </cell>
          <cell r="C59" t="str">
            <v>M2</v>
          </cell>
          <cell r="D59">
            <v>48500</v>
          </cell>
          <cell r="E59">
            <v>2425</v>
          </cell>
          <cell r="I59">
            <v>0.89900000000000002</v>
          </cell>
        </row>
        <row r="60">
          <cell r="A60">
            <v>56</v>
          </cell>
          <cell r="B60" t="str">
            <v>Adoquin en concreto, tipo  PEATONAL, de 0,20 x 0,10 mts., e= 0,06 mts.,  COLOR ROJO</v>
          </cell>
          <cell r="C60" t="str">
            <v>M2</v>
          </cell>
          <cell r="D60">
            <v>43500</v>
          </cell>
          <cell r="E60">
            <v>2175</v>
          </cell>
        </row>
        <row r="61">
          <cell r="A61">
            <v>57</v>
          </cell>
          <cell r="B61" t="str">
            <v>Bloque de concreto Split No 14 COLOR GRIS</v>
          </cell>
          <cell r="C61" t="str">
            <v>UN</v>
          </cell>
          <cell r="D61">
            <v>3700</v>
          </cell>
          <cell r="E61">
            <v>222</v>
          </cell>
        </row>
        <row r="62">
          <cell r="A62">
            <v>58</v>
          </cell>
          <cell r="B62" t="str">
            <v>Bloque de concreto Split No 15 COLOR OCRE</v>
          </cell>
          <cell r="C62" t="str">
            <v>UN</v>
          </cell>
          <cell r="D62">
            <v>5100</v>
          </cell>
          <cell r="E62">
            <v>306</v>
          </cell>
        </row>
        <row r="63">
          <cell r="A63">
            <v>59</v>
          </cell>
          <cell r="B63" t="str">
            <v>Loseta prefabricada en concreto,  e = 0,06 mts de 0,40 x 0,40 mts.COLOR CHOCOLATE LISA.</v>
          </cell>
          <cell r="C63" t="str">
            <v>M2</v>
          </cell>
          <cell r="D63">
            <v>47500</v>
          </cell>
          <cell r="E63">
            <v>2375</v>
          </cell>
        </row>
        <row r="64">
          <cell r="A64">
            <v>60</v>
          </cell>
          <cell r="E64">
            <v>0</v>
          </cell>
          <cell r="J64">
            <v>45000</v>
          </cell>
        </row>
        <row r="65">
          <cell r="A65">
            <v>61</v>
          </cell>
          <cell r="E65">
            <v>0</v>
          </cell>
          <cell r="J65">
            <v>30000</v>
          </cell>
        </row>
        <row r="66">
          <cell r="A66">
            <v>62</v>
          </cell>
          <cell r="E66">
            <v>0</v>
          </cell>
          <cell r="J66">
            <v>120000</v>
          </cell>
        </row>
        <row r="67">
          <cell r="A67">
            <v>63</v>
          </cell>
          <cell r="E67">
            <v>0</v>
          </cell>
          <cell r="J67">
            <v>50000</v>
          </cell>
        </row>
        <row r="68">
          <cell r="A68">
            <v>64</v>
          </cell>
          <cell r="E68">
            <v>0</v>
          </cell>
        </row>
        <row r="69">
          <cell r="A69">
            <v>65</v>
          </cell>
          <cell r="E69">
            <v>0</v>
          </cell>
        </row>
        <row r="70">
          <cell r="A70">
            <v>66</v>
          </cell>
          <cell r="E70">
            <v>0</v>
          </cell>
        </row>
        <row r="71">
          <cell r="A71">
            <v>67</v>
          </cell>
          <cell r="E71">
            <v>0</v>
          </cell>
        </row>
        <row r="72">
          <cell r="A72">
            <v>68</v>
          </cell>
          <cell r="E72">
            <v>0</v>
          </cell>
        </row>
        <row r="73">
          <cell r="A73">
            <v>69</v>
          </cell>
          <cell r="E73">
            <v>0</v>
          </cell>
        </row>
        <row r="74">
          <cell r="A74">
            <v>70</v>
          </cell>
          <cell r="E74">
            <v>0</v>
          </cell>
          <cell r="G74" t="str">
            <v>No.</v>
          </cell>
          <cell r="H74" t="str">
            <v>DESCRIPCION</v>
          </cell>
          <cell r="I74" t="str">
            <v>UNID.</v>
          </cell>
          <cell r="J74" t="str">
            <v>VR. UNIT.</v>
          </cell>
        </row>
        <row r="75">
          <cell r="G75">
            <v>1</v>
          </cell>
          <cell r="H75" t="str">
            <v>Concreto 2500psi</v>
          </cell>
          <cell r="I75" t="str">
            <v>M3</v>
          </cell>
          <cell r="J75">
            <v>507123</v>
          </cell>
        </row>
        <row r="76">
          <cell r="A76" t="str">
            <v>REF.</v>
          </cell>
          <cell r="B76" t="str">
            <v>MATERIAL GRESS</v>
          </cell>
          <cell r="C76" t="str">
            <v>UNIDAD</v>
          </cell>
          <cell r="D76" t="str">
            <v>PRECIO</v>
          </cell>
          <cell r="E76" t="str">
            <v>TRANSPORTE</v>
          </cell>
          <cell r="G76">
            <v>2</v>
          </cell>
          <cell r="H76" t="str">
            <v>Formaleta</v>
          </cell>
          <cell r="I76" t="str">
            <v>M2</v>
          </cell>
          <cell r="J76">
            <v>15000</v>
          </cell>
        </row>
        <row r="77">
          <cell r="G77">
            <v>3</v>
          </cell>
        </row>
        <row r="78">
          <cell r="G78">
            <v>4</v>
          </cell>
        </row>
        <row r="79">
          <cell r="A79">
            <v>71</v>
          </cell>
          <cell r="B79" t="str">
            <v>Baldosa Duropiso Mancesa  30X30</v>
          </cell>
          <cell r="C79" t="str">
            <v>M²</v>
          </cell>
          <cell r="D79">
            <v>20500</v>
          </cell>
          <cell r="E79">
            <v>1230</v>
          </cell>
          <cell r="G79">
            <v>5</v>
          </cell>
        </row>
        <row r="80">
          <cell r="A80">
            <v>72</v>
          </cell>
          <cell r="B80" t="str">
            <v xml:space="preserve">Bloque No 4 Hueco </v>
          </cell>
          <cell r="C80" t="str">
            <v>Und</v>
          </cell>
          <cell r="D80">
            <v>650</v>
          </cell>
          <cell r="E80">
            <v>39</v>
          </cell>
          <cell r="G80">
            <v>6</v>
          </cell>
          <cell r="H80" t="str">
            <v>Mortero 1:4</v>
          </cell>
          <cell r="I80" t="str">
            <v>M3</v>
          </cell>
          <cell r="J80">
            <v>442068</v>
          </cell>
        </row>
        <row r="81">
          <cell r="A81">
            <v>73</v>
          </cell>
          <cell r="B81" t="str">
            <v>Bloque No 5 Hueco 12X20X30</v>
          </cell>
          <cell r="C81" t="str">
            <v>Und</v>
          </cell>
          <cell r="D81">
            <v>850</v>
          </cell>
          <cell r="E81">
            <v>51</v>
          </cell>
          <cell r="G81">
            <v>7</v>
          </cell>
          <cell r="H81" t="str">
            <v>Mortero 1:6</v>
          </cell>
          <cell r="I81" t="str">
            <v>M3</v>
          </cell>
          <cell r="J81">
            <v>383118</v>
          </cell>
        </row>
        <row r="82">
          <cell r="A82">
            <v>74</v>
          </cell>
          <cell r="B82" t="str">
            <v>Ladrillo Tolete</v>
          </cell>
          <cell r="C82" t="str">
            <v>Und</v>
          </cell>
          <cell r="D82">
            <v>240</v>
          </cell>
          <cell r="E82">
            <v>14.399999999999999</v>
          </cell>
          <cell r="G82">
            <v>8</v>
          </cell>
          <cell r="H82" t="str">
            <v>Concreto 3000psi</v>
          </cell>
          <cell r="I82" t="str">
            <v>M3</v>
          </cell>
          <cell r="J82">
            <v>515853</v>
          </cell>
        </row>
        <row r="83">
          <cell r="A83">
            <v>75</v>
          </cell>
          <cell r="B83" t="str">
            <v>Tuberia de gres, D= 6"</v>
          </cell>
          <cell r="C83" t="str">
            <v>ML</v>
          </cell>
          <cell r="E83">
            <v>0</v>
          </cell>
          <cell r="G83">
            <v>9</v>
          </cell>
          <cell r="H83" t="str">
            <v>Concreto Ciclópeo</v>
          </cell>
          <cell r="I83" t="str">
            <v>M3</v>
          </cell>
          <cell r="J83" t="e">
            <v>#REF!</v>
          </cell>
        </row>
        <row r="84">
          <cell r="A84">
            <v>76</v>
          </cell>
          <cell r="B84" t="str">
            <v>Adoquines de arcilla   para piso, e =.06 mt ,20 mt x,10 mt, deacuerdo a la NTC 2017.</v>
          </cell>
          <cell r="C84" t="str">
            <v>ML</v>
          </cell>
          <cell r="D84">
            <v>22500</v>
          </cell>
          <cell r="E84">
            <v>1350</v>
          </cell>
          <cell r="G84">
            <v>10</v>
          </cell>
          <cell r="H84" t="str">
            <v>Acero de refuerzo</v>
          </cell>
          <cell r="I84" t="str">
            <v>KG</v>
          </cell>
          <cell r="J84" t="e">
            <v>#REF!</v>
          </cell>
        </row>
        <row r="85">
          <cell r="A85">
            <v>77</v>
          </cell>
          <cell r="B85" t="str">
            <v>Tuberia de gres, D= 8"</v>
          </cell>
          <cell r="C85" t="str">
            <v>ML</v>
          </cell>
          <cell r="D85">
            <v>13100</v>
          </cell>
          <cell r="E85">
            <v>786</v>
          </cell>
          <cell r="G85">
            <v>11</v>
          </cell>
          <cell r="H85" t="str">
            <v>Concreto 3500psi</v>
          </cell>
          <cell r="I85" t="str">
            <v>M3</v>
          </cell>
          <cell r="J85">
            <v>261847</v>
          </cell>
        </row>
        <row r="86">
          <cell r="A86">
            <v>79</v>
          </cell>
          <cell r="B86" t="str">
            <v>Piso en gres de 0.10 x 0.20</v>
          </cell>
          <cell r="C86" t="str">
            <v>M²</v>
          </cell>
          <cell r="D86">
            <v>12500</v>
          </cell>
          <cell r="E86">
            <v>750</v>
          </cell>
          <cell r="G86">
            <v>12</v>
          </cell>
        </row>
        <row r="87">
          <cell r="A87">
            <v>80</v>
          </cell>
          <cell r="B87" t="str">
            <v>Ceramica Minimal Petroleo 45x45 Alfa</v>
          </cell>
          <cell r="C87" t="str">
            <v>M²</v>
          </cell>
          <cell r="D87">
            <v>28000</v>
          </cell>
          <cell r="E87">
            <v>1680</v>
          </cell>
          <cell r="G87">
            <v>13</v>
          </cell>
        </row>
        <row r="88">
          <cell r="A88">
            <v>81</v>
          </cell>
          <cell r="B88" t="str">
            <v>Ceramica  Blanco 20x20</v>
          </cell>
          <cell r="C88" t="str">
            <v>M²</v>
          </cell>
          <cell r="D88">
            <v>13000</v>
          </cell>
          <cell r="E88">
            <v>780</v>
          </cell>
          <cell r="G88">
            <v>14</v>
          </cell>
        </row>
        <row r="89">
          <cell r="A89">
            <v>82</v>
          </cell>
          <cell r="B89" t="str">
            <v xml:space="preserve">Ladrillo a la vista semiprensado por ambas caras </v>
          </cell>
          <cell r="C89" t="str">
            <v>Und</v>
          </cell>
          <cell r="D89">
            <v>1200</v>
          </cell>
          <cell r="E89">
            <v>72</v>
          </cell>
          <cell r="G89">
            <v>15</v>
          </cell>
        </row>
        <row r="90">
          <cell r="A90">
            <v>83</v>
          </cell>
          <cell r="B90" t="str">
            <v>Piso MIKONOS ARD Gris  (33,8 X 33,8) cm</v>
          </cell>
          <cell r="C90" t="str">
            <v>M²</v>
          </cell>
          <cell r="D90">
            <v>26000</v>
          </cell>
          <cell r="E90">
            <v>1560</v>
          </cell>
          <cell r="G90">
            <v>16</v>
          </cell>
        </row>
        <row r="91">
          <cell r="A91">
            <v>84</v>
          </cell>
          <cell r="B91" t="str">
            <v>Enchape pared AMARA Color Gris  (28,7 X 57,5) cm</v>
          </cell>
          <cell r="C91" t="str">
            <v>M²</v>
          </cell>
          <cell r="D91">
            <v>29500</v>
          </cell>
          <cell r="E91">
            <v>1770</v>
          </cell>
          <cell r="G91">
            <v>17</v>
          </cell>
        </row>
        <row r="92">
          <cell r="A92">
            <v>85</v>
          </cell>
          <cell r="E92">
            <v>0</v>
          </cell>
          <cell r="G92">
            <v>18</v>
          </cell>
        </row>
        <row r="93">
          <cell r="A93">
            <v>86</v>
          </cell>
          <cell r="E93">
            <v>0</v>
          </cell>
          <cell r="G93">
            <v>19</v>
          </cell>
        </row>
        <row r="94">
          <cell r="A94">
            <v>87</v>
          </cell>
          <cell r="E94">
            <v>0</v>
          </cell>
          <cell r="G94">
            <v>20</v>
          </cell>
        </row>
        <row r="95">
          <cell r="A95">
            <v>88</v>
          </cell>
          <cell r="E95">
            <v>0</v>
          </cell>
          <cell r="G95">
            <v>21</v>
          </cell>
        </row>
        <row r="96">
          <cell r="A96">
            <v>89</v>
          </cell>
          <cell r="E96">
            <v>0</v>
          </cell>
          <cell r="G96">
            <v>22</v>
          </cell>
        </row>
        <row r="97">
          <cell r="A97">
            <v>90</v>
          </cell>
          <cell r="E97">
            <v>0</v>
          </cell>
          <cell r="G97">
            <v>23</v>
          </cell>
        </row>
        <row r="98">
          <cell r="A98">
            <v>91</v>
          </cell>
          <cell r="E98">
            <v>0</v>
          </cell>
          <cell r="G98">
            <v>24</v>
          </cell>
        </row>
        <row r="99">
          <cell r="A99">
            <v>92</v>
          </cell>
          <cell r="E99">
            <v>0</v>
          </cell>
          <cell r="G99">
            <v>25</v>
          </cell>
        </row>
        <row r="100">
          <cell r="A100">
            <v>93</v>
          </cell>
          <cell r="E100">
            <v>0</v>
          </cell>
          <cell r="G100">
            <v>26</v>
          </cell>
        </row>
        <row r="101">
          <cell r="A101">
            <v>94</v>
          </cell>
          <cell r="E101">
            <v>0</v>
          </cell>
          <cell r="G101">
            <v>27</v>
          </cell>
        </row>
        <row r="102">
          <cell r="A102">
            <v>95</v>
          </cell>
          <cell r="E102">
            <v>0</v>
          </cell>
          <cell r="G102">
            <v>28</v>
          </cell>
        </row>
        <row r="103">
          <cell r="A103">
            <v>96</v>
          </cell>
          <cell r="E103">
            <v>0</v>
          </cell>
          <cell r="G103">
            <v>29</v>
          </cell>
        </row>
        <row r="104">
          <cell r="A104">
            <v>97</v>
          </cell>
          <cell r="E104">
            <v>0</v>
          </cell>
          <cell r="G104">
            <v>30</v>
          </cell>
        </row>
        <row r="105">
          <cell r="A105">
            <v>98</v>
          </cell>
          <cell r="E105">
            <v>0</v>
          </cell>
          <cell r="G105">
            <v>31</v>
          </cell>
        </row>
        <row r="106">
          <cell r="A106">
            <v>99</v>
          </cell>
          <cell r="E106">
            <v>0</v>
          </cell>
          <cell r="G106">
            <v>32</v>
          </cell>
        </row>
        <row r="107">
          <cell r="A107">
            <v>100</v>
          </cell>
          <cell r="E107">
            <v>0</v>
          </cell>
          <cell r="G107">
            <v>33</v>
          </cell>
        </row>
        <row r="108">
          <cell r="A108">
            <v>101</v>
          </cell>
          <cell r="E108">
            <v>0</v>
          </cell>
          <cell r="G108">
            <v>34</v>
          </cell>
        </row>
        <row r="109">
          <cell r="A109">
            <v>102</v>
          </cell>
          <cell r="E109">
            <v>0</v>
          </cell>
          <cell r="G109">
            <v>35</v>
          </cell>
        </row>
        <row r="110">
          <cell r="A110">
            <v>103</v>
          </cell>
          <cell r="E110">
            <v>0</v>
          </cell>
          <cell r="G110">
            <v>36</v>
          </cell>
        </row>
        <row r="111">
          <cell r="A111">
            <v>104</v>
          </cell>
          <cell r="E111">
            <v>0</v>
          </cell>
          <cell r="G111">
            <v>37</v>
          </cell>
        </row>
        <row r="112">
          <cell r="A112">
            <v>105</v>
          </cell>
          <cell r="E112">
            <v>0</v>
          </cell>
          <cell r="G112">
            <v>38</v>
          </cell>
        </row>
        <row r="113">
          <cell r="A113">
            <v>106</v>
          </cell>
          <cell r="E113">
            <v>0</v>
          </cell>
          <cell r="G113">
            <v>39</v>
          </cell>
        </row>
        <row r="114">
          <cell r="A114">
            <v>107</v>
          </cell>
          <cell r="E114">
            <v>0</v>
          </cell>
          <cell r="G114">
            <v>40</v>
          </cell>
        </row>
        <row r="115">
          <cell r="A115">
            <v>108</v>
          </cell>
          <cell r="E115">
            <v>0</v>
          </cell>
          <cell r="G115">
            <v>41</v>
          </cell>
        </row>
        <row r="116">
          <cell r="A116">
            <v>109</v>
          </cell>
          <cell r="E116">
            <v>0</v>
          </cell>
          <cell r="G116">
            <v>42</v>
          </cell>
        </row>
        <row r="117">
          <cell r="A117">
            <v>110</v>
          </cell>
          <cell r="E117">
            <v>0</v>
          </cell>
          <cell r="G117">
            <v>43</v>
          </cell>
        </row>
        <row r="118">
          <cell r="G118">
            <v>44</v>
          </cell>
        </row>
        <row r="119">
          <cell r="A119" t="str">
            <v>REF.</v>
          </cell>
          <cell r="B119" t="str">
            <v>MATERIAL ELECTRICO</v>
          </cell>
          <cell r="C119" t="str">
            <v>UNIDAD</v>
          </cell>
          <cell r="D119" t="str">
            <v>PRECIO</v>
          </cell>
          <cell r="E119" t="str">
            <v>TRANSPORTE</v>
          </cell>
          <cell r="G119">
            <v>45</v>
          </cell>
        </row>
        <row r="120">
          <cell r="G120">
            <v>46</v>
          </cell>
        </row>
        <row r="121">
          <cell r="A121">
            <v>111</v>
          </cell>
          <cell r="B121" t="str">
            <v>Poste Cemento 750 Kg x 12mrs</v>
          </cell>
          <cell r="C121" t="str">
            <v>UN</v>
          </cell>
          <cell r="E121">
            <v>0</v>
          </cell>
          <cell r="G121">
            <v>47</v>
          </cell>
        </row>
        <row r="122">
          <cell r="A122">
            <v>112</v>
          </cell>
          <cell r="B122" t="str">
            <v>Cable ACSR Nº 1/0</v>
          </cell>
          <cell r="C122" t="str">
            <v>ML</v>
          </cell>
          <cell r="E122">
            <v>0</v>
          </cell>
          <cell r="G122">
            <v>48</v>
          </cell>
        </row>
        <row r="123">
          <cell r="A123">
            <v>113</v>
          </cell>
          <cell r="B123" t="str">
            <v>Conectores Linea Viva</v>
          </cell>
          <cell r="C123" t="str">
            <v>UN</v>
          </cell>
          <cell r="E123">
            <v>0</v>
          </cell>
          <cell r="G123">
            <v>49</v>
          </cell>
        </row>
        <row r="124">
          <cell r="A124">
            <v>114</v>
          </cell>
          <cell r="B124" t="str">
            <v>Pernos de Maquina de 10"</v>
          </cell>
          <cell r="C124" t="str">
            <v>UN</v>
          </cell>
          <cell r="E124">
            <v>0</v>
          </cell>
          <cell r="G124">
            <v>50</v>
          </cell>
        </row>
        <row r="125">
          <cell r="A125">
            <v>115</v>
          </cell>
          <cell r="B125" t="str">
            <v>Cruceta Metalica de 2 1/2 x 2 1/2 x 3/16 x 2 x 1</v>
          </cell>
          <cell r="C125" t="str">
            <v>UN</v>
          </cell>
          <cell r="E125">
            <v>0</v>
          </cell>
          <cell r="G125">
            <v>51</v>
          </cell>
        </row>
        <row r="126">
          <cell r="A126">
            <v>116</v>
          </cell>
          <cell r="B126" t="str">
            <v>Diagonal de 0.6mts</v>
          </cell>
          <cell r="C126" t="str">
            <v>UN</v>
          </cell>
          <cell r="E126">
            <v>0</v>
          </cell>
          <cell r="G126">
            <v>52</v>
          </cell>
        </row>
        <row r="127">
          <cell r="A127">
            <v>117</v>
          </cell>
          <cell r="B127" t="str">
            <v xml:space="preserve">Aislador tipo disco de 6" </v>
          </cell>
          <cell r="C127" t="str">
            <v>UN</v>
          </cell>
          <cell r="E127">
            <v>0</v>
          </cell>
          <cell r="G127">
            <v>53</v>
          </cell>
        </row>
        <row r="128">
          <cell r="A128">
            <v>118</v>
          </cell>
          <cell r="B128" t="str">
            <v>Grapa de retención</v>
          </cell>
          <cell r="C128" t="str">
            <v>UN</v>
          </cell>
          <cell r="E128">
            <v>0</v>
          </cell>
          <cell r="G128">
            <v>54</v>
          </cell>
        </row>
        <row r="129">
          <cell r="A129">
            <v>119</v>
          </cell>
          <cell r="B129" t="str">
            <v>Tuercas de ojo</v>
          </cell>
          <cell r="C129" t="str">
            <v>UN</v>
          </cell>
          <cell r="E129">
            <v>0</v>
          </cell>
          <cell r="G129">
            <v>55</v>
          </cell>
        </row>
        <row r="130">
          <cell r="A130">
            <v>120</v>
          </cell>
          <cell r="B130" t="str">
            <v>Collarines de 5 a 6</v>
          </cell>
          <cell r="C130" t="str">
            <v>UN</v>
          </cell>
          <cell r="E130">
            <v>0</v>
          </cell>
          <cell r="G130">
            <v>56</v>
          </cell>
        </row>
        <row r="131">
          <cell r="A131">
            <v>121</v>
          </cell>
          <cell r="B131" t="str">
            <v>Cruceta para Transformador</v>
          </cell>
          <cell r="C131" t="str">
            <v>UN</v>
          </cell>
          <cell r="E131">
            <v>0</v>
          </cell>
          <cell r="G131">
            <v>57</v>
          </cell>
        </row>
        <row r="132">
          <cell r="A132">
            <v>122</v>
          </cell>
          <cell r="B132" t="str">
            <v>Corta Circuitos</v>
          </cell>
          <cell r="C132" t="str">
            <v>UN</v>
          </cell>
          <cell r="E132">
            <v>0</v>
          </cell>
          <cell r="G132">
            <v>58</v>
          </cell>
        </row>
        <row r="133">
          <cell r="A133">
            <v>123</v>
          </cell>
          <cell r="B133" t="str">
            <v>Para Rayos</v>
          </cell>
          <cell r="C133" t="str">
            <v>UN</v>
          </cell>
          <cell r="E133">
            <v>0</v>
          </cell>
          <cell r="G133">
            <v>59</v>
          </cell>
        </row>
        <row r="134">
          <cell r="A134">
            <v>124</v>
          </cell>
          <cell r="B134" t="str">
            <v>Polo a Tierra</v>
          </cell>
          <cell r="C134" t="str">
            <v>UN</v>
          </cell>
          <cell r="E134">
            <v>0</v>
          </cell>
          <cell r="G134">
            <v>60</v>
          </cell>
        </row>
        <row r="135">
          <cell r="A135">
            <v>125</v>
          </cell>
          <cell r="B135" t="str">
            <v xml:space="preserve">Transformador  </v>
          </cell>
          <cell r="C135" t="str">
            <v>UN</v>
          </cell>
          <cell r="E135">
            <v>0</v>
          </cell>
          <cell r="G135">
            <v>61</v>
          </cell>
        </row>
        <row r="136">
          <cell r="A136">
            <v>126</v>
          </cell>
          <cell r="B136" t="str">
            <v>Tubo de 2"</v>
          </cell>
          <cell r="C136" t="str">
            <v>ML</v>
          </cell>
          <cell r="E136">
            <v>0</v>
          </cell>
          <cell r="G136">
            <v>62</v>
          </cell>
        </row>
        <row r="137">
          <cell r="A137">
            <v>127</v>
          </cell>
          <cell r="B137" t="str">
            <v>Cable Nº 6 THHN</v>
          </cell>
          <cell r="C137" t="str">
            <v>ML</v>
          </cell>
          <cell r="E137">
            <v>0</v>
          </cell>
          <cell r="G137">
            <v>63</v>
          </cell>
        </row>
        <row r="138">
          <cell r="A138">
            <v>128</v>
          </cell>
          <cell r="B138" t="str">
            <v>Caja Contador</v>
          </cell>
          <cell r="C138" t="str">
            <v>UN</v>
          </cell>
          <cell r="E138">
            <v>0</v>
          </cell>
          <cell r="G138">
            <v>64</v>
          </cell>
        </row>
        <row r="139">
          <cell r="A139">
            <v>129</v>
          </cell>
          <cell r="B139" t="str">
            <v>Contador</v>
          </cell>
          <cell r="C139" t="str">
            <v>UN</v>
          </cell>
          <cell r="E139">
            <v>0</v>
          </cell>
          <cell r="G139">
            <v>65</v>
          </cell>
        </row>
        <row r="140">
          <cell r="A140">
            <v>130</v>
          </cell>
          <cell r="B140" t="str">
            <v>Automatico de protección</v>
          </cell>
          <cell r="C140" t="str">
            <v>UN</v>
          </cell>
          <cell r="E140">
            <v>0</v>
          </cell>
          <cell r="G140">
            <v>66</v>
          </cell>
        </row>
        <row r="141">
          <cell r="A141">
            <v>131</v>
          </cell>
          <cell r="B141" t="str">
            <v>Caja Circuitos</v>
          </cell>
          <cell r="C141" t="str">
            <v>UN</v>
          </cell>
          <cell r="E141">
            <v>0</v>
          </cell>
          <cell r="G141">
            <v>67</v>
          </cell>
        </row>
        <row r="142">
          <cell r="A142">
            <v>132</v>
          </cell>
          <cell r="B142" t="str">
            <v>Automaticos</v>
          </cell>
          <cell r="C142" t="str">
            <v>ML</v>
          </cell>
          <cell r="E142">
            <v>0</v>
          </cell>
          <cell r="G142">
            <v>68</v>
          </cell>
        </row>
        <row r="143">
          <cell r="A143">
            <v>133</v>
          </cell>
          <cell r="B143" t="str">
            <v>Linea Tierra</v>
          </cell>
          <cell r="C143" t="str">
            <v>ML</v>
          </cell>
          <cell r="E143">
            <v>0</v>
          </cell>
          <cell r="G143">
            <v>69</v>
          </cell>
        </row>
        <row r="144">
          <cell r="A144">
            <v>134</v>
          </cell>
          <cell r="B144" t="str">
            <v>Cinta Bandy de 3/4</v>
          </cell>
          <cell r="C144" t="str">
            <v>ML</v>
          </cell>
          <cell r="E144">
            <v>0</v>
          </cell>
          <cell r="G144">
            <v>70</v>
          </cell>
        </row>
        <row r="145">
          <cell r="A145">
            <v>135</v>
          </cell>
          <cell r="B145" t="str">
            <v>Hebillas de 3/4</v>
          </cell>
          <cell r="C145" t="str">
            <v>UN</v>
          </cell>
          <cell r="E145">
            <v>0</v>
          </cell>
          <cell r="G145">
            <v>71</v>
          </cell>
        </row>
        <row r="146">
          <cell r="A146">
            <v>136</v>
          </cell>
          <cell r="B146" t="str">
            <v>Vigetas</v>
          </cell>
          <cell r="C146" t="str">
            <v>UN</v>
          </cell>
          <cell r="E146">
            <v>0</v>
          </cell>
          <cell r="G146">
            <v>72</v>
          </cell>
        </row>
        <row r="147">
          <cell r="A147">
            <v>137</v>
          </cell>
          <cell r="B147" t="str">
            <v>Varilla de 1.50mts anclaje</v>
          </cell>
          <cell r="C147" t="str">
            <v>UN</v>
          </cell>
          <cell r="E147">
            <v>0</v>
          </cell>
          <cell r="G147">
            <v>73</v>
          </cell>
        </row>
        <row r="148">
          <cell r="A148">
            <v>138</v>
          </cell>
          <cell r="B148" t="str">
            <v>Arandela de 4 x 4</v>
          </cell>
          <cell r="C148" t="str">
            <v>UN</v>
          </cell>
          <cell r="E148">
            <v>0</v>
          </cell>
          <cell r="G148">
            <v>74</v>
          </cell>
        </row>
        <row r="149">
          <cell r="A149">
            <v>139</v>
          </cell>
          <cell r="B149" t="str">
            <v>Arandela de 2 x 2</v>
          </cell>
          <cell r="C149" t="str">
            <v>CUARTO</v>
          </cell>
          <cell r="E149">
            <v>0</v>
          </cell>
          <cell r="G149">
            <v>75</v>
          </cell>
        </row>
        <row r="150">
          <cell r="A150">
            <v>140</v>
          </cell>
          <cell r="B150" t="str">
            <v>Arandela de presion para 1 1/2</v>
          </cell>
          <cell r="C150" t="str">
            <v>UN</v>
          </cell>
          <cell r="E150">
            <v>0</v>
          </cell>
          <cell r="G150">
            <v>76</v>
          </cell>
        </row>
        <row r="151">
          <cell r="A151">
            <v>141</v>
          </cell>
          <cell r="B151" t="str">
            <v>Pernos de Maquina de 2"  x 1 1/2</v>
          </cell>
          <cell r="C151" t="str">
            <v>UN</v>
          </cell>
          <cell r="E151">
            <v>0</v>
          </cell>
          <cell r="G151">
            <v>77</v>
          </cell>
        </row>
        <row r="152">
          <cell r="A152">
            <v>142</v>
          </cell>
          <cell r="B152" t="str">
            <v>Cable Acero de 3/8</v>
          </cell>
          <cell r="C152" t="str">
            <v>UN</v>
          </cell>
          <cell r="E152">
            <v>0</v>
          </cell>
          <cell r="G152">
            <v>78</v>
          </cell>
        </row>
        <row r="153">
          <cell r="A153">
            <v>143</v>
          </cell>
          <cell r="B153" t="str">
            <v>Aisladores Tipo Tensor</v>
          </cell>
          <cell r="C153" t="str">
            <v>UN</v>
          </cell>
          <cell r="E153">
            <v>0</v>
          </cell>
          <cell r="G153">
            <v>79</v>
          </cell>
        </row>
        <row r="154">
          <cell r="A154">
            <v>144</v>
          </cell>
          <cell r="B154" t="str">
            <v>Guarda Cabos</v>
          </cell>
          <cell r="C154" t="str">
            <v>ML</v>
          </cell>
          <cell r="E154">
            <v>0</v>
          </cell>
          <cell r="G154">
            <v>80</v>
          </cell>
        </row>
        <row r="155">
          <cell r="A155">
            <v>145</v>
          </cell>
          <cell r="B155" t="str">
            <v>Grapa 3 pernos</v>
          </cell>
          <cell r="C155" t="str">
            <v>ML</v>
          </cell>
          <cell r="E155">
            <v>0</v>
          </cell>
        </row>
        <row r="156">
          <cell r="A156">
            <v>146</v>
          </cell>
          <cell r="B156" t="str">
            <v>Ducto de 2"</v>
          </cell>
          <cell r="C156" t="str">
            <v>ML</v>
          </cell>
          <cell r="E156">
            <v>0</v>
          </cell>
        </row>
        <row r="157">
          <cell r="A157">
            <v>147</v>
          </cell>
          <cell r="B157" t="str">
            <v>Ducto de 1 1/2"</v>
          </cell>
          <cell r="C157" t="str">
            <v>UN</v>
          </cell>
          <cell r="E157">
            <v>0</v>
          </cell>
        </row>
        <row r="158">
          <cell r="A158">
            <v>148</v>
          </cell>
          <cell r="B158" t="str">
            <v>Curva de 1 1/2"</v>
          </cell>
          <cell r="C158" t="str">
            <v>UN</v>
          </cell>
          <cell r="E158">
            <v>0</v>
          </cell>
        </row>
        <row r="159">
          <cell r="A159">
            <v>149</v>
          </cell>
          <cell r="B159" t="str">
            <v>Tapa Col Roll 0.5 x 0.5mts</v>
          </cell>
          <cell r="C159" t="str">
            <v>UN</v>
          </cell>
          <cell r="E159">
            <v>0</v>
          </cell>
        </row>
        <row r="160">
          <cell r="A160">
            <v>150</v>
          </cell>
          <cell r="B160" t="str">
            <v>Angulo</v>
          </cell>
          <cell r="C160" t="str">
            <v>UN</v>
          </cell>
          <cell r="E160">
            <v>0</v>
          </cell>
        </row>
        <row r="161">
          <cell r="A161">
            <v>151</v>
          </cell>
          <cell r="B161" t="str">
            <v>Cable Nº 4 Alum. Encauchetado</v>
          </cell>
          <cell r="C161" t="str">
            <v>UN</v>
          </cell>
          <cell r="E161">
            <v>0</v>
          </cell>
        </row>
        <row r="162">
          <cell r="A162">
            <v>152</v>
          </cell>
          <cell r="B162" t="str">
            <v>Cable Nº 10 Cobre THHN</v>
          </cell>
          <cell r="C162" t="str">
            <v>UN</v>
          </cell>
          <cell r="E162">
            <v>0</v>
          </cell>
        </row>
        <row r="163">
          <cell r="A163">
            <v>153</v>
          </cell>
          <cell r="B163" t="str">
            <v>Conectores para Ponchar AP1</v>
          </cell>
          <cell r="C163" t="str">
            <v>CUARTO</v>
          </cell>
          <cell r="E163">
            <v>0</v>
          </cell>
        </row>
        <row r="164">
          <cell r="A164">
            <v>154</v>
          </cell>
          <cell r="B164" t="str">
            <v>Protecciones Sumergibles para empalme</v>
          </cell>
          <cell r="C164" t="str">
            <v>UN</v>
          </cell>
          <cell r="E164">
            <v>0</v>
          </cell>
        </row>
        <row r="165">
          <cell r="A165">
            <v>155</v>
          </cell>
          <cell r="B165" t="str">
            <v>Cinta Nº 33</v>
          </cell>
          <cell r="C165" t="str">
            <v>UN</v>
          </cell>
          <cell r="E165">
            <v>0</v>
          </cell>
        </row>
        <row r="166">
          <cell r="A166">
            <v>156</v>
          </cell>
          <cell r="B166" t="str">
            <v>Cinta Nº 23</v>
          </cell>
          <cell r="C166" t="str">
            <v>UN</v>
          </cell>
          <cell r="E166">
            <v>0</v>
          </cell>
        </row>
        <row r="167">
          <cell r="A167">
            <v>157</v>
          </cell>
          <cell r="B167" t="str">
            <v>Ducto de 3" corrugado 35 x 3T para cajilla</v>
          </cell>
          <cell r="C167" t="str">
            <v>UN</v>
          </cell>
          <cell r="E167">
            <v>0</v>
          </cell>
        </row>
        <row r="168">
          <cell r="A168">
            <v>158</v>
          </cell>
          <cell r="B168" t="str">
            <v>Tubo de desague A - LL</v>
          </cell>
          <cell r="C168" t="str">
            <v>ML</v>
          </cell>
          <cell r="E168">
            <v>0</v>
          </cell>
        </row>
        <row r="169">
          <cell r="A169">
            <v>159</v>
          </cell>
          <cell r="B169" t="str">
            <v>Poste metálico de 4" de diámetro, 3 mts  de altura, pintado con base metálica para instalación o anclaje en pedestal, para dos luminarias. (según diseño )</v>
          </cell>
          <cell r="C169" t="str">
            <v>UN</v>
          </cell>
          <cell r="E169">
            <v>0</v>
          </cell>
        </row>
        <row r="170">
          <cell r="A170">
            <v>160</v>
          </cell>
          <cell r="B170" t="str">
            <v>Poste metálico de 4" de diámetro, 4 mts  de altura, pintado con base metálica para instalación o anclaje en pedestal, para cuatro luminarias. (según diseño)</v>
          </cell>
          <cell r="C170" t="str">
            <v>UN</v>
          </cell>
          <cell r="E170">
            <v>0</v>
          </cell>
        </row>
        <row r="171">
          <cell r="A171">
            <v>161</v>
          </cell>
          <cell r="E171">
            <v>0</v>
          </cell>
        </row>
        <row r="172">
          <cell r="A172">
            <v>162</v>
          </cell>
          <cell r="B172" t="str">
            <v>Transformador trifásico de 15 KVA, 13200/220 voltios</v>
          </cell>
          <cell r="C172" t="str">
            <v>UN</v>
          </cell>
          <cell r="D172">
            <v>4657500</v>
          </cell>
          <cell r="E172">
            <v>279450</v>
          </cell>
        </row>
        <row r="173">
          <cell r="A173">
            <v>163</v>
          </cell>
          <cell r="E173">
            <v>0</v>
          </cell>
        </row>
        <row r="174">
          <cell r="A174">
            <v>164</v>
          </cell>
          <cell r="E174">
            <v>0</v>
          </cell>
        </row>
        <row r="175">
          <cell r="A175">
            <v>165</v>
          </cell>
          <cell r="E175">
            <v>0</v>
          </cell>
        </row>
        <row r="176">
          <cell r="A176">
            <v>166</v>
          </cell>
          <cell r="E176">
            <v>0</v>
          </cell>
        </row>
        <row r="177">
          <cell r="A177">
            <v>167</v>
          </cell>
          <cell r="E177">
            <v>0</v>
          </cell>
        </row>
        <row r="178">
          <cell r="A178">
            <v>168</v>
          </cell>
          <cell r="E178">
            <v>0</v>
          </cell>
        </row>
        <row r="179">
          <cell r="A179">
            <v>169</v>
          </cell>
          <cell r="E179">
            <v>0</v>
          </cell>
        </row>
        <row r="180">
          <cell r="A180">
            <v>170</v>
          </cell>
          <cell r="E180">
            <v>0</v>
          </cell>
        </row>
        <row r="181">
          <cell r="A181">
            <v>171</v>
          </cell>
          <cell r="E181">
            <v>0</v>
          </cell>
        </row>
        <row r="182">
          <cell r="A182">
            <v>172</v>
          </cell>
          <cell r="E182">
            <v>0</v>
          </cell>
        </row>
        <row r="183">
          <cell r="A183">
            <v>173</v>
          </cell>
          <cell r="E183">
            <v>0</v>
          </cell>
        </row>
        <row r="184">
          <cell r="A184">
            <v>174</v>
          </cell>
          <cell r="E184">
            <v>0</v>
          </cell>
        </row>
        <row r="185">
          <cell r="A185">
            <v>175</v>
          </cell>
          <cell r="E185">
            <v>0</v>
          </cell>
        </row>
        <row r="186">
          <cell r="A186">
            <v>176</v>
          </cell>
          <cell r="E186">
            <v>0</v>
          </cell>
        </row>
        <row r="187">
          <cell r="A187">
            <v>177</v>
          </cell>
          <cell r="E187">
            <v>0</v>
          </cell>
        </row>
        <row r="188">
          <cell r="A188">
            <v>178</v>
          </cell>
          <cell r="E188">
            <v>0</v>
          </cell>
        </row>
        <row r="189">
          <cell r="A189">
            <v>179</v>
          </cell>
          <cell r="E189">
            <v>0</v>
          </cell>
        </row>
        <row r="190">
          <cell r="A190">
            <v>180</v>
          </cell>
          <cell r="E190">
            <v>0</v>
          </cell>
        </row>
        <row r="191">
          <cell r="A191">
            <v>181</v>
          </cell>
          <cell r="E191">
            <v>0</v>
          </cell>
        </row>
        <row r="192">
          <cell r="A192">
            <v>182</v>
          </cell>
          <cell r="E192">
            <v>0</v>
          </cell>
        </row>
        <row r="193">
          <cell r="A193">
            <v>183</v>
          </cell>
          <cell r="E193">
            <v>0</v>
          </cell>
        </row>
        <row r="194">
          <cell r="A194">
            <v>184</v>
          </cell>
          <cell r="E194">
            <v>0</v>
          </cell>
        </row>
        <row r="195">
          <cell r="A195">
            <v>185</v>
          </cell>
          <cell r="E195">
            <v>0</v>
          </cell>
        </row>
        <row r="196">
          <cell r="A196">
            <v>186</v>
          </cell>
          <cell r="E196">
            <v>0</v>
          </cell>
        </row>
        <row r="197">
          <cell r="A197">
            <v>187</v>
          </cell>
          <cell r="E197">
            <v>0</v>
          </cell>
        </row>
        <row r="198">
          <cell r="A198">
            <v>188</v>
          </cell>
          <cell r="E198">
            <v>0</v>
          </cell>
        </row>
        <row r="199">
          <cell r="A199">
            <v>189</v>
          </cell>
          <cell r="B199" t="str">
            <v>Caneca metálica mediana, en malla tipo cafetera, pivotante, sobre paral tubular metálico, con logotipo de la Alcaldia, según diseño</v>
          </cell>
          <cell r="C199" t="str">
            <v>UN</v>
          </cell>
          <cell r="D199">
            <v>170000</v>
          </cell>
          <cell r="E199">
            <v>10200</v>
          </cell>
        </row>
        <row r="200">
          <cell r="A200">
            <v>190</v>
          </cell>
          <cell r="E200">
            <v>0</v>
          </cell>
        </row>
        <row r="202">
          <cell r="A202" t="str">
            <v>REF.</v>
          </cell>
          <cell r="B202" t="str">
            <v>MATERIAL ACEROS</v>
          </cell>
          <cell r="C202" t="str">
            <v>UNIDAD</v>
          </cell>
          <cell r="D202" t="str">
            <v>PRECIO</v>
          </cell>
          <cell r="E202" t="str">
            <v>TRANSPORTE</v>
          </cell>
        </row>
        <row r="204">
          <cell r="A204">
            <v>191</v>
          </cell>
          <cell r="B204" t="str">
            <v>Acero de refuerzo A-37  A-60</v>
          </cell>
          <cell r="C204" t="str">
            <v>KG</v>
          </cell>
          <cell r="D204">
            <v>2800</v>
          </cell>
          <cell r="E204">
            <v>168</v>
          </cell>
        </row>
        <row r="205">
          <cell r="A205">
            <v>192</v>
          </cell>
          <cell r="B205" t="str">
            <v>Acero Fy = 60.000 PSI</v>
          </cell>
          <cell r="C205" t="str">
            <v>KG</v>
          </cell>
          <cell r="D205">
            <v>2800</v>
          </cell>
          <cell r="E205">
            <v>168</v>
          </cell>
        </row>
        <row r="206">
          <cell r="A206">
            <v>193</v>
          </cell>
          <cell r="B206" t="str">
            <v>Alambre negro</v>
          </cell>
          <cell r="C206" t="str">
            <v>KG</v>
          </cell>
          <cell r="D206">
            <v>3800</v>
          </cell>
          <cell r="E206">
            <v>228</v>
          </cell>
        </row>
        <row r="207">
          <cell r="A207">
            <v>194</v>
          </cell>
          <cell r="B207" t="str">
            <v>Caneca metálica PEQUEÑA, en malla tipo cafetera, pivotante, sobre paral tubular metálico, con logotipo de la Alcaldia, según diseño</v>
          </cell>
          <cell r="C207" t="str">
            <v>UN</v>
          </cell>
          <cell r="D207">
            <v>94334</v>
          </cell>
          <cell r="E207">
            <v>5660.04</v>
          </cell>
        </row>
        <row r="208">
          <cell r="A208">
            <v>195</v>
          </cell>
          <cell r="B208" t="str">
            <v>Caseta metálica para venta de dulcería  Según diseño y con logotipo de la Alcaldía.</v>
          </cell>
          <cell r="C208" t="str">
            <v>UN</v>
          </cell>
          <cell r="D208">
            <v>4485453</v>
          </cell>
          <cell r="E208">
            <v>269127.18</v>
          </cell>
        </row>
        <row r="209">
          <cell r="A209">
            <v>196</v>
          </cell>
          <cell r="B209" t="str">
            <v>Caseta metálica, para venta de revistas. Según diseño y con logotipo de la Alcaldía.</v>
          </cell>
          <cell r="C209" t="str">
            <v>UN</v>
          </cell>
          <cell r="D209">
            <v>5866830</v>
          </cell>
          <cell r="E209">
            <v>352009.8</v>
          </cell>
        </row>
        <row r="210">
          <cell r="A210">
            <v>197</v>
          </cell>
          <cell r="B210" t="str">
            <v xml:space="preserve">Estructura metalica para cabinas Telefonicas, según detalle </v>
          </cell>
          <cell r="C210" t="str">
            <v>UN</v>
          </cell>
          <cell r="E210">
            <v>0</v>
          </cell>
        </row>
        <row r="211">
          <cell r="A211">
            <v>198</v>
          </cell>
          <cell r="B211" t="str">
            <v>Estructura para aro base de pozo</v>
          </cell>
          <cell r="C211" t="str">
            <v>UN</v>
          </cell>
          <cell r="D211">
            <v>140000</v>
          </cell>
          <cell r="E211">
            <v>8400</v>
          </cell>
        </row>
        <row r="212">
          <cell r="A212">
            <v>199</v>
          </cell>
          <cell r="B212" t="str">
            <v>Estructura para tapa de pozo</v>
          </cell>
          <cell r="C212" t="str">
            <v>UN</v>
          </cell>
          <cell r="D212">
            <v>140000</v>
          </cell>
          <cell r="E212">
            <v>8400</v>
          </cell>
        </row>
        <row r="213">
          <cell r="A213">
            <v>200</v>
          </cell>
          <cell r="B213" t="str">
            <v>Hidrante tipo humedo de 3" norma AWWA-C503</v>
          </cell>
          <cell r="C213" t="str">
            <v>UN</v>
          </cell>
          <cell r="D213">
            <v>1210000</v>
          </cell>
          <cell r="E213">
            <v>72600</v>
          </cell>
        </row>
        <row r="214">
          <cell r="A214">
            <v>201</v>
          </cell>
          <cell r="B214" t="str">
            <v>Hidrante tipo humedo de 4" norma AWWA-C503</v>
          </cell>
          <cell r="C214" t="str">
            <v>UN</v>
          </cell>
          <cell r="D214">
            <v>1980000</v>
          </cell>
          <cell r="E214">
            <v>118800</v>
          </cell>
        </row>
        <row r="215">
          <cell r="A215">
            <v>202</v>
          </cell>
          <cell r="B215" t="str">
            <v xml:space="preserve">Llave de corte de 2" </v>
          </cell>
          <cell r="C215" t="str">
            <v>UN</v>
          </cell>
          <cell r="E215">
            <v>0</v>
          </cell>
        </row>
        <row r="216">
          <cell r="A216">
            <v>203</v>
          </cell>
          <cell r="B216" t="str">
            <v>Malla Electrosoldada</v>
          </cell>
          <cell r="C216" t="str">
            <v>M²</v>
          </cell>
          <cell r="D216">
            <v>16850</v>
          </cell>
          <cell r="E216">
            <v>1011</v>
          </cell>
        </row>
        <row r="217">
          <cell r="A217">
            <v>204</v>
          </cell>
          <cell r="B217" t="str">
            <v>Malla Gallinero</v>
          </cell>
          <cell r="C217" t="str">
            <v>M²</v>
          </cell>
          <cell r="D217">
            <v>1250</v>
          </cell>
          <cell r="E217">
            <v>75</v>
          </cell>
        </row>
        <row r="218">
          <cell r="A218">
            <v>205</v>
          </cell>
          <cell r="B218" t="str">
            <v>Niple Galvanizado 1/2"</v>
          </cell>
          <cell r="C218" t="str">
            <v>Und</v>
          </cell>
          <cell r="D218">
            <v>600</v>
          </cell>
          <cell r="E218">
            <v>36</v>
          </cell>
        </row>
        <row r="219">
          <cell r="A219">
            <v>206</v>
          </cell>
          <cell r="B219" t="str">
            <v>Platina de 3/16" x 1"</v>
          </cell>
          <cell r="C219" t="str">
            <v>ML</v>
          </cell>
          <cell r="D219">
            <v>3800</v>
          </cell>
          <cell r="E219">
            <v>228</v>
          </cell>
        </row>
        <row r="220">
          <cell r="A220">
            <v>207</v>
          </cell>
          <cell r="B220" t="str">
            <v>Puntillas</v>
          </cell>
          <cell r="C220" t="str">
            <v>LB</v>
          </cell>
          <cell r="D220">
            <v>1500</v>
          </cell>
          <cell r="E220">
            <v>90</v>
          </cell>
        </row>
        <row r="221">
          <cell r="A221">
            <v>208</v>
          </cell>
          <cell r="B221" t="str">
            <v>Registro de corte</v>
          </cell>
          <cell r="C221" t="str">
            <v>UN</v>
          </cell>
          <cell r="D221">
            <v>20000</v>
          </cell>
          <cell r="E221">
            <v>1200</v>
          </cell>
        </row>
        <row r="222">
          <cell r="A222">
            <v>209</v>
          </cell>
          <cell r="B222" t="str">
            <v>Registro de incorporación en bronce</v>
          </cell>
          <cell r="C222" t="str">
            <v>UN</v>
          </cell>
          <cell r="D222">
            <v>12000</v>
          </cell>
          <cell r="E222">
            <v>720</v>
          </cell>
        </row>
        <row r="223">
          <cell r="A223">
            <v>210</v>
          </cell>
          <cell r="B223" t="str">
            <v>Rejilla en angulo de 1½" x 1/4" para sumidero A. LL., según diseño EPN</v>
          </cell>
          <cell r="C223" t="str">
            <v>UN</v>
          </cell>
          <cell r="D223">
            <v>180000</v>
          </cell>
          <cell r="E223">
            <v>10800</v>
          </cell>
        </row>
        <row r="224">
          <cell r="A224">
            <v>211</v>
          </cell>
          <cell r="B224" t="str">
            <v>Rejilla en varilla de 5/8" cada 3 cm y marco en angulo de 1"x31/6", bisagrada según modelo de EPN</v>
          </cell>
          <cell r="C224" t="str">
            <v>ML</v>
          </cell>
          <cell r="E224">
            <v>0</v>
          </cell>
        </row>
        <row r="225">
          <cell r="A225">
            <v>212</v>
          </cell>
          <cell r="B225" t="str">
            <v>Tapa valvula tipo Chorote - Tráfico liviano</v>
          </cell>
          <cell r="C225" t="str">
            <v>UN</v>
          </cell>
          <cell r="D225">
            <v>85000</v>
          </cell>
          <cell r="E225">
            <v>5100</v>
          </cell>
        </row>
        <row r="226">
          <cell r="A226">
            <v>213</v>
          </cell>
          <cell r="B226" t="str">
            <v>Tee estándar de 12"x3" derivación a brida PN 10 - Hierro dúctil</v>
          </cell>
          <cell r="C226" t="str">
            <v>UN</v>
          </cell>
          <cell r="E226">
            <v>0</v>
          </cell>
        </row>
        <row r="227">
          <cell r="A227">
            <v>214</v>
          </cell>
          <cell r="B227" t="str">
            <v>Tee estándar de 12"x4" derivación a brida PN 10 - Hierro dúctil</v>
          </cell>
          <cell r="C227" t="str">
            <v>UN</v>
          </cell>
          <cell r="E227">
            <v>0</v>
          </cell>
        </row>
        <row r="228">
          <cell r="A228">
            <v>215</v>
          </cell>
          <cell r="B228" t="str">
            <v>Tee estándar de 16"x12" derivación a brida PN 10 - Hierro dúctil</v>
          </cell>
          <cell r="C228" t="str">
            <v>UN</v>
          </cell>
          <cell r="E228">
            <v>0</v>
          </cell>
        </row>
        <row r="229">
          <cell r="A229">
            <v>216</v>
          </cell>
          <cell r="B229" t="str">
            <v>Tee estándar de 8"x12" derivación a brida PN 10 - Hierro dúctil</v>
          </cell>
          <cell r="C229" t="str">
            <v>UN</v>
          </cell>
          <cell r="E229">
            <v>0</v>
          </cell>
        </row>
        <row r="230">
          <cell r="A230">
            <v>217</v>
          </cell>
          <cell r="B230" t="str">
            <v>Tee estándar de 8"x3" derivación a brida PN 10 - Hierro dúctil</v>
          </cell>
          <cell r="C230" t="str">
            <v>UN</v>
          </cell>
          <cell r="E230">
            <v>0</v>
          </cell>
        </row>
        <row r="231">
          <cell r="A231">
            <v>218</v>
          </cell>
          <cell r="B231" t="str">
            <v>Tee estándar de 8"x4" derivación a brida PN 10 - Hierro dúctil</v>
          </cell>
          <cell r="C231" t="str">
            <v>UN</v>
          </cell>
          <cell r="E231">
            <v>0</v>
          </cell>
        </row>
        <row r="232">
          <cell r="A232">
            <v>219</v>
          </cell>
          <cell r="B232" t="str">
            <v>Tee estándar de 8"x6" derivación a brida PN 10 - Hierro dúctil</v>
          </cell>
          <cell r="C232" t="str">
            <v>UN</v>
          </cell>
          <cell r="E232">
            <v>0</v>
          </cell>
        </row>
        <row r="233">
          <cell r="A233">
            <v>220</v>
          </cell>
          <cell r="B233" t="str">
            <v>TEE GALVANIZADA DE 1/2"</v>
          </cell>
          <cell r="C233" t="str">
            <v>Und</v>
          </cell>
          <cell r="D233">
            <v>600</v>
          </cell>
          <cell r="E233">
            <v>36</v>
          </cell>
        </row>
        <row r="234">
          <cell r="A234">
            <v>221</v>
          </cell>
          <cell r="B234" t="str">
            <v>Tornillo Autoperforante</v>
          </cell>
          <cell r="C234" t="str">
            <v>Und.</v>
          </cell>
          <cell r="D234">
            <v>300</v>
          </cell>
          <cell r="E234">
            <v>18</v>
          </cell>
        </row>
        <row r="235">
          <cell r="A235">
            <v>222</v>
          </cell>
          <cell r="B235" t="str">
            <v>Tornillo Fija Ala</v>
          </cell>
          <cell r="C235" t="str">
            <v>Und.</v>
          </cell>
          <cell r="D235">
            <v>350</v>
          </cell>
          <cell r="E235">
            <v>21</v>
          </cell>
        </row>
        <row r="236">
          <cell r="A236">
            <v>223</v>
          </cell>
          <cell r="B236" t="str">
            <v>Valvula de compuerta elastica de 3" en Hierro Ductil (ASTM-A-536)</v>
          </cell>
          <cell r="C236" t="str">
            <v>UN</v>
          </cell>
          <cell r="E236">
            <v>0</v>
          </cell>
        </row>
        <row r="237">
          <cell r="A237">
            <v>224</v>
          </cell>
          <cell r="B237" t="str">
            <v>Valvula de compuerta elastica de 4" en Hierro Ductil (ASTM-A-536)</v>
          </cell>
          <cell r="C237" t="str">
            <v>UN</v>
          </cell>
          <cell r="E237">
            <v>0</v>
          </cell>
        </row>
        <row r="238">
          <cell r="A238">
            <v>225</v>
          </cell>
          <cell r="B238" t="str">
            <v>Valvula de compuerta elastica de 6" en Hierro Ductil (ASTM-A-536)</v>
          </cell>
          <cell r="C238" t="str">
            <v>UN</v>
          </cell>
          <cell r="E238">
            <v>0</v>
          </cell>
        </row>
        <row r="239">
          <cell r="A239">
            <v>226</v>
          </cell>
          <cell r="B239" t="str">
            <v>Valvula de compuerta elastica de 8" en Hierro Ductil (ASTM-A-536)</v>
          </cell>
          <cell r="C239" t="str">
            <v>UN</v>
          </cell>
          <cell r="E239">
            <v>0</v>
          </cell>
        </row>
        <row r="240">
          <cell r="A240">
            <v>227</v>
          </cell>
          <cell r="B240" t="str">
            <v>Valvula de mariposa de 16" en Hierro Ductil (ASTM-A-536) brida PN 10</v>
          </cell>
          <cell r="C240" t="str">
            <v>UN</v>
          </cell>
          <cell r="E240">
            <v>0</v>
          </cell>
        </row>
        <row r="241">
          <cell r="A241">
            <v>228</v>
          </cell>
          <cell r="B241" t="str">
            <v>Valvula de mariposa de 20" en Hierro Ductil (ASTM-A-536) brida PN 10</v>
          </cell>
          <cell r="C241" t="str">
            <v>UN</v>
          </cell>
          <cell r="E241">
            <v>0</v>
          </cell>
        </row>
        <row r="242">
          <cell r="A242">
            <v>229</v>
          </cell>
          <cell r="B242" t="str">
            <v>Hoja de Segueta</v>
          </cell>
          <cell r="C242" t="str">
            <v>UN</v>
          </cell>
          <cell r="D242">
            <v>2500</v>
          </cell>
          <cell r="E242">
            <v>150</v>
          </cell>
        </row>
        <row r="243">
          <cell r="A243">
            <v>230</v>
          </cell>
          <cell r="B243" t="str">
            <v xml:space="preserve">poste galvanizado de 2" </v>
          </cell>
          <cell r="C243" t="str">
            <v>UN</v>
          </cell>
          <cell r="D243">
            <v>78000</v>
          </cell>
          <cell r="E243">
            <v>4680</v>
          </cell>
        </row>
        <row r="244">
          <cell r="A244">
            <v>231</v>
          </cell>
          <cell r="B244" t="str">
            <v>Malla eslabonada de 2x2 cal. 10</v>
          </cell>
          <cell r="C244" t="str">
            <v>M²</v>
          </cell>
          <cell r="D244">
            <v>14500</v>
          </cell>
          <cell r="E244">
            <v>870</v>
          </cell>
        </row>
        <row r="245">
          <cell r="A245">
            <v>232</v>
          </cell>
          <cell r="B245" t="str">
            <v>Platina de 3/16" x 1"</v>
          </cell>
          <cell r="C245" t="str">
            <v>ML</v>
          </cell>
          <cell r="D245">
            <v>3800</v>
          </cell>
          <cell r="E245">
            <v>228</v>
          </cell>
        </row>
        <row r="246">
          <cell r="A246">
            <v>233</v>
          </cell>
          <cell r="B246" t="str">
            <v xml:space="preserve">angulo de 1"x1/8" </v>
          </cell>
          <cell r="E246">
            <v>0</v>
          </cell>
        </row>
        <row r="247">
          <cell r="A247">
            <v>234</v>
          </cell>
          <cell r="B247" t="str">
            <v>Hierros Ø1/2"</v>
          </cell>
          <cell r="C247" t="str">
            <v>KG</v>
          </cell>
          <cell r="D247">
            <v>2200</v>
          </cell>
          <cell r="E247">
            <v>132</v>
          </cell>
        </row>
        <row r="248">
          <cell r="A248">
            <v>235</v>
          </cell>
          <cell r="B248" t="str">
            <v>Hierros Ø3/8"</v>
          </cell>
          <cell r="C248" t="str">
            <v>KG</v>
          </cell>
          <cell r="D248">
            <v>2100</v>
          </cell>
          <cell r="E248">
            <v>126</v>
          </cell>
        </row>
        <row r="249">
          <cell r="A249">
            <v>236</v>
          </cell>
          <cell r="E249">
            <v>0</v>
          </cell>
        </row>
        <row r="250">
          <cell r="A250">
            <v>237</v>
          </cell>
          <cell r="E250">
            <v>0</v>
          </cell>
        </row>
        <row r="251">
          <cell r="A251">
            <v>238</v>
          </cell>
          <cell r="E251">
            <v>0</v>
          </cell>
        </row>
        <row r="252">
          <cell r="A252">
            <v>239</v>
          </cell>
          <cell r="E252">
            <v>0</v>
          </cell>
        </row>
        <row r="253">
          <cell r="A253">
            <v>240</v>
          </cell>
          <cell r="E253">
            <v>0</v>
          </cell>
        </row>
        <row r="254">
          <cell r="A254">
            <v>241</v>
          </cell>
          <cell r="E254">
            <v>0</v>
          </cell>
        </row>
        <row r="255">
          <cell r="A255">
            <v>242</v>
          </cell>
          <cell r="E255">
            <v>0</v>
          </cell>
        </row>
        <row r="256">
          <cell r="A256">
            <v>243</v>
          </cell>
          <cell r="E256">
            <v>0</v>
          </cell>
        </row>
        <row r="257">
          <cell r="A257">
            <v>244</v>
          </cell>
          <cell r="E257">
            <v>0</v>
          </cell>
        </row>
        <row r="258">
          <cell r="A258">
            <v>245</v>
          </cell>
          <cell r="E258">
            <v>0</v>
          </cell>
        </row>
        <row r="259">
          <cell r="A259">
            <v>246</v>
          </cell>
          <cell r="E259">
            <v>0</v>
          </cell>
        </row>
        <row r="260">
          <cell r="A260">
            <v>247</v>
          </cell>
          <cell r="E260">
            <v>0</v>
          </cell>
        </row>
        <row r="261">
          <cell r="A261">
            <v>248</v>
          </cell>
          <cell r="E261">
            <v>0</v>
          </cell>
        </row>
        <row r="262">
          <cell r="A262">
            <v>249</v>
          </cell>
          <cell r="E262">
            <v>0</v>
          </cell>
        </row>
        <row r="263">
          <cell r="A263">
            <v>250</v>
          </cell>
          <cell r="E263">
            <v>0</v>
          </cell>
        </row>
        <row r="265">
          <cell r="A265" t="str">
            <v>REF.</v>
          </cell>
          <cell r="B265" t="str">
            <v>MATERIAL DE CUBIERTA</v>
          </cell>
          <cell r="C265" t="str">
            <v>UNIDAD</v>
          </cell>
          <cell r="D265" t="str">
            <v>PRECIO</v>
          </cell>
          <cell r="E265" t="str">
            <v>TRANSPORTE</v>
          </cell>
        </row>
        <row r="267">
          <cell r="A267">
            <v>251</v>
          </cell>
          <cell r="B267" t="str">
            <v xml:space="preserve">Amarres </v>
          </cell>
          <cell r="C267" t="str">
            <v>UN</v>
          </cell>
          <cell r="D267">
            <v>50</v>
          </cell>
          <cell r="E267">
            <v>3</v>
          </cell>
        </row>
        <row r="268">
          <cell r="A268">
            <v>252</v>
          </cell>
          <cell r="B268" t="str">
            <v>Caballete</v>
          </cell>
          <cell r="C268" t="str">
            <v>ML</v>
          </cell>
          <cell r="E268">
            <v>0</v>
          </cell>
        </row>
        <row r="269">
          <cell r="A269">
            <v>253</v>
          </cell>
          <cell r="B269" t="str">
            <v>Correas en perfil cerrado de 4x10 cal 18 de 6.00mts</v>
          </cell>
          <cell r="C269" t="str">
            <v>UN</v>
          </cell>
          <cell r="D269">
            <v>42500</v>
          </cell>
          <cell r="E269">
            <v>2550</v>
          </cell>
        </row>
        <row r="270">
          <cell r="A270">
            <v>254</v>
          </cell>
          <cell r="B270" t="str">
            <v>Ganchos</v>
          </cell>
          <cell r="C270" t="str">
            <v>UN</v>
          </cell>
          <cell r="D270">
            <v>780</v>
          </cell>
          <cell r="E270">
            <v>46.8</v>
          </cell>
        </row>
        <row r="271">
          <cell r="A271">
            <v>255</v>
          </cell>
          <cell r="B271" t="str">
            <v>Teja Termoacustic + Caballete</v>
          </cell>
          <cell r="C271" t="str">
            <v>M2</v>
          </cell>
          <cell r="D271">
            <v>24000</v>
          </cell>
          <cell r="E271">
            <v>1440</v>
          </cell>
        </row>
        <row r="272">
          <cell r="A272">
            <v>256</v>
          </cell>
          <cell r="B272" t="str">
            <v xml:space="preserve">Teja Termoacustic Ondulada - color Azul </v>
          </cell>
          <cell r="C272" t="str">
            <v>M2</v>
          </cell>
          <cell r="D272">
            <v>38500</v>
          </cell>
          <cell r="E272">
            <v>2310</v>
          </cell>
        </row>
        <row r="273">
          <cell r="A273">
            <v>257</v>
          </cell>
          <cell r="B273" t="str">
            <v>Teja Termoacustic Ondulada - color Terracota</v>
          </cell>
          <cell r="C273" t="str">
            <v>M2</v>
          </cell>
          <cell r="D273">
            <v>31000</v>
          </cell>
          <cell r="E273">
            <v>1860</v>
          </cell>
        </row>
        <row r="274">
          <cell r="A274">
            <v>258</v>
          </cell>
          <cell r="E274">
            <v>0</v>
          </cell>
        </row>
        <row r="275">
          <cell r="A275">
            <v>259</v>
          </cell>
          <cell r="E275">
            <v>0</v>
          </cell>
        </row>
        <row r="276">
          <cell r="A276">
            <v>260</v>
          </cell>
          <cell r="E276">
            <v>0</v>
          </cell>
        </row>
        <row r="277">
          <cell r="A277">
            <v>261</v>
          </cell>
          <cell r="E277">
            <v>0</v>
          </cell>
        </row>
        <row r="278">
          <cell r="A278">
            <v>262</v>
          </cell>
          <cell r="E278">
            <v>0</v>
          </cell>
        </row>
        <row r="279">
          <cell r="A279">
            <v>263</v>
          </cell>
          <cell r="E279">
            <v>0</v>
          </cell>
        </row>
        <row r="280">
          <cell r="A280">
            <v>264</v>
          </cell>
          <cell r="E280">
            <v>0</v>
          </cell>
        </row>
        <row r="281">
          <cell r="A281">
            <v>265</v>
          </cell>
          <cell r="E281">
            <v>0</v>
          </cell>
        </row>
        <row r="282">
          <cell r="A282">
            <v>266</v>
          </cell>
          <cell r="E282">
            <v>0</v>
          </cell>
        </row>
        <row r="283">
          <cell r="A283">
            <v>267</v>
          </cell>
          <cell r="E283">
            <v>0</v>
          </cell>
        </row>
        <row r="284">
          <cell r="A284">
            <v>268</v>
          </cell>
          <cell r="E284">
            <v>0</v>
          </cell>
        </row>
        <row r="285">
          <cell r="A285">
            <v>269</v>
          </cell>
          <cell r="E285">
            <v>0</v>
          </cell>
        </row>
        <row r="286">
          <cell r="A286">
            <v>270</v>
          </cell>
          <cell r="E286">
            <v>0</v>
          </cell>
        </row>
        <row r="287">
          <cell r="A287">
            <v>271</v>
          </cell>
          <cell r="E287">
            <v>0</v>
          </cell>
        </row>
        <row r="288">
          <cell r="A288">
            <v>272</v>
          </cell>
          <cell r="E288">
            <v>0</v>
          </cell>
        </row>
        <row r="289">
          <cell r="A289">
            <v>273</v>
          </cell>
          <cell r="E289">
            <v>0</v>
          </cell>
        </row>
        <row r="290">
          <cell r="A290">
            <v>274</v>
          </cell>
          <cell r="E290">
            <v>0</v>
          </cell>
        </row>
        <row r="291">
          <cell r="A291">
            <v>275</v>
          </cell>
          <cell r="E291">
            <v>0</v>
          </cell>
        </row>
        <row r="292">
          <cell r="A292">
            <v>276</v>
          </cell>
          <cell r="E292">
            <v>0</v>
          </cell>
        </row>
        <row r="293">
          <cell r="A293">
            <v>277</v>
          </cell>
          <cell r="E293">
            <v>0</v>
          </cell>
        </row>
        <row r="294">
          <cell r="A294">
            <v>278</v>
          </cell>
          <cell r="E294">
            <v>0</v>
          </cell>
        </row>
        <row r="295">
          <cell r="A295">
            <v>279</v>
          </cell>
          <cell r="E295">
            <v>0</v>
          </cell>
        </row>
        <row r="296">
          <cell r="A296">
            <v>280</v>
          </cell>
          <cell r="E296">
            <v>0</v>
          </cell>
        </row>
        <row r="298">
          <cell r="A298" t="str">
            <v>REF.</v>
          </cell>
          <cell r="B298" t="str">
            <v>MATERIAL DE PVC</v>
          </cell>
          <cell r="C298" t="str">
            <v>UNIDAD</v>
          </cell>
          <cell r="D298" t="str">
            <v>PRECIO</v>
          </cell>
          <cell r="E298" t="str">
            <v>TRANSPORTE</v>
          </cell>
        </row>
        <row r="300">
          <cell r="A300">
            <v>281</v>
          </cell>
          <cell r="B300" t="str">
            <v>Adaptador macho PF + UAD</v>
          </cell>
          <cell r="C300" t="str">
            <v>UN</v>
          </cell>
          <cell r="D300">
            <v>1166</v>
          </cell>
          <cell r="E300">
            <v>69.959999999999994</v>
          </cell>
        </row>
        <row r="301">
          <cell r="A301">
            <v>282</v>
          </cell>
          <cell r="B301" t="str">
            <v>Adaptador Novafor 6"</v>
          </cell>
          <cell r="C301" t="str">
            <v>UN</v>
          </cell>
          <cell r="D301">
            <v>17663</v>
          </cell>
          <cell r="E301">
            <v>1059.78</v>
          </cell>
        </row>
        <row r="302">
          <cell r="A302">
            <v>283</v>
          </cell>
          <cell r="B302" t="str">
            <v>Adaptador PVC-AC de 12" union Z</v>
          </cell>
          <cell r="C302" t="str">
            <v>UN</v>
          </cell>
          <cell r="D302">
            <v>268652</v>
          </cell>
          <cell r="E302">
            <v>16119.119999999999</v>
          </cell>
        </row>
        <row r="303">
          <cell r="A303">
            <v>284</v>
          </cell>
          <cell r="B303" t="str">
            <v>Adaptador PVC-AC de 3"</v>
          </cell>
          <cell r="C303" t="str">
            <v>UN</v>
          </cell>
          <cell r="D303">
            <v>16600</v>
          </cell>
          <cell r="E303">
            <v>996</v>
          </cell>
        </row>
        <row r="304">
          <cell r="A304">
            <v>285</v>
          </cell>
          <cell r="B304" t="str">
            <v>Adaptador PVC-AC de 4"</v>
          </cell>
          <cell r="C304" t="str">
            <v>UN</v>
          </cell>
          <cell r="D304">
            <v>18490</v>
          </cell>
          <cell r="E304">
            <v>1109.3999999999999</v>
          </cell>
        </row>
        <row r="305">
          <cell r="A305">
            <v>286</v>
          </cell>
          <cell r="B305" t="str">
            <v>Adaptador PVC-AC de 6" union Z</v>
          </cell>
          <cell r="C305" t="str">
            <v>UN</v>
          </cell>
          <cell r="D305">
            <v>44830</v>
          </cell>
          <cell r="E305">
            <v>2689.7999999999997</v>
          </cell>
        </row>
        <row r="306">
          <cell r="A306">
            <v>287</v>
          </cell>
          <cell r="B306" t="str">
            <v>Adaptador PVC-AC de 8" union Z</v>
          </cell>
          <cell r="C306" t="str">
            <v>UN</v>
          </cell>
          <cell r="D306">
            <v>61648</v>
          </cell>
          <cell r="E306">
            <v>3698.8799999999997</v>
          </cell>
        </row>
        <row r="307">
          <cell r="A307">
            <v>288</v>
          </cell>
          <cell r="B307" t="str">
            <v>Codo de gran radio PVC 3"x90º UZ-RDE 21</v>
          </cell>
          <cell r="C307" t="str">
            <v>UN</v>
          </cell>
          <cell r="D307">
            <v>47099</v>
          </cell>
          <cell r="E307">
            <v>2825.94</v>
          </cell>
        </row>
        <row r="308">
          <cell r="A308">
            <v>289</v>
          </cell>
          <cell r="B308" t="str">
            <v>Codo de gran radio PVC 4"x90º UZ-RDE 21</v>
          </cell>
          <cell r="C308" t="str">
            <v>UN</v>
          </cell>
          <cell r="D308">
            <v>90433</v>
          </cell>
          <cell r="E308">
            <v>5425.98</v>
          </cell>
        </row>
        <row r="309">
          <cell r="A309">
            <v>290</v>
          </cell>
          <cell r="B309" t="str">
            <v>Collar de derivación de 8" x 2"</v>
          </cell>
          <cell r="C309" t="str">
            <v>UN</v>
          </cell>
          <cell r="D309">
            <v>604406</v>
          </cell>
          <cell r="E309">
            <v>36264.36</v>
          </cell>
        </row>
        <row r="310">
          <cell r="A310">
            <v>291</v>
          </cell>
          <cell r="B310" t="str">
            <v>Collar de derivación PVC  3" x 1/2"</v>
          </cell>
          <cell r="C310" t="str">
            <v>UN</v>
          </cell>
          <cell r="D310">
            <v>11020</v>
          </cell>
          <cell r="E310">
            <v>661.19999999999993</v>
          </cell>
        </row>
        <row r="311">
          <cell r="A311">
            <v>292</v>
          </cell>
          <cell r="B311" t="str">
            <v>Lubricante para tubo PVC union mecánica</v>
          </cell>
          <cell r="C311" t="str">
            <v>LB</v>
          </cell>
          <cell r="D311">
            <v>11136</v>
          </cell>
          <cell r="E311">
            <v>668.16</v>
          </cell>
        </row>
        <row r="312">
          <cell r="A312">
            <v>293</v>
          </cell>
          <cell r="B312" t="str">
            <v>Manguera PVC  PF+UAD de 1/2"</v>
          </cell>
          <cell r="C312" t="str">
            <v>ML</v>
          </cell>
          <cell r="E312">
            <v>0</v>
          </cell>
        </row>
        <row r="313">
          <cell r="A313">
            <v>294</v>
          </cell>
          <cell r="B313" t="str">
            <v xml:space="preserve">Tapon soldar de 2" PVC </v>
          </cell>
          <cell r="C313" t="str">
            <v>UN</v>
          </cell>
          <cell r="E313">
            <v>0</v>
          </cell>
        </row>
        <row r="314">
          <cell r="A314">
            <v>295</v>
          </cell>
          <cell r="B314" t="str">
            <v xml:space="preserve">Tee PVC-RDE 21 de 3" x 3" x 2"  </v>
          </cell>
          <cell r="C314" t="str">
            <v>UN</v>
          </cell>
          <cell r="E314">
            <v>0</v>
          </cell>
        </row>
        <row r="315">
          <cell r="A315">
            <v>296</v>
          </cell>
          <cell r="B315" t="str">
            <v xml:space="preserve">Tee PVC-RDE 21 de 3" x 3" x 3"  </v>
          </cell>
          <cell r="C315" t="str">
            <v>UN</v>
          </cell>
          <cell r="E315">
            <v>0</v>
          </cell>
        </row>
        <row r="316">
          <cell r="A316">
            <v>297</v>
          </cell>
          <cell r="B316" t="str">
            <v xml:space="preserve">Tee PVC-RDE 21 de 4" x 4" x 4"  </v>
          </cell>
          <cell r="C316" t="str">
            <v>UN</v>
          </cell>
          <cell r="E316">
            <v>0</v>
          </cell>
        </row>
        <row r="317">
          <cell r="A317">
            <v>360</v>
          </cell>
          <cell r="B317" t="str">
            <v>Tubo PVC  D = 6" sello hermético NTC 3722</v>
          </cell>
          <cell r="C317" t="str">
            <v>ML</v>
          </cell>
          <cell r="E317">
            <v>0</v>
          </cell>
        </row>
        <row r="318">
          <cell r="A318">
            <v>298</v>
          </cell>
          <cell r="B318" t="str">
            <v>Tubo PVC  D = 12" sello hermético NTC 3722</v>
          </cell>
          <cell r="C318" t="str">
            <v>ML</v>
          </cell>
          <cell r="E318">
            <v>0</v>
          </cell>
        </row>
        <row r="319">
          <cell r="A319">
            <v>299</v>
          </cell>
          <cell r="B319" t="str">
            <v>Tubo PVC  D = 16" sello hermético NTC 3722</v>
          </cell>
          <cell r="C319" t="str">
            <v>ML</v>
          </cell>
          <cell r="E319">
            <v>0</v>
          </cell>
        </row>
        <row r="320">
          <cell r="A320">
            <v>300</v>
          </cell>
          <cell r="B320" t="str">
            <v>Tubo PVC  D = 20" sello hermético NTC 3722</v>
          </cell>
          <cell r="C320" t="str">
            <v>ML</v>
          </cell>
          <cell r="E320">
            <v>0</v>
          </cell>
        </row>
        <row r="321">
          <cell r="A321">
            <v>301</v>
          </cell>
          <cell r="B321" t="str">
            <v>Tubo PVC  D = 24" sello hermético NTC 3722</v>
          </cell>
          <cell r="C321" t="str">
            <v>ML</v>
          </cell>
          <cell r="E321">
            <v>0</v>
          </cell>
        </row>
        <row r="322">
          <cell r="A322">
            <v>302</v>
          </cell>
          <cell r="B322" t="str">
            <v>Tubo PVC  D= 160mm, pared estructural y sello hermético</v>
          </cell>
          <cell r="C322" t="str">
            <v>ML</v>
          </cell>
          <cell r="D322">
            <v>21103.333333333332</v>
          </cell>
          <cell r="E322">
            <v>1266.1999999999998</v>
          </cell>
        </row>
        <row r="323">
          <cell r="A323">
            <v>303</v>
          </cell>
          <cell r="B323" t="str">
            <v>Tubo PVC  D= 315mm,  pared estructural y sello hermético</v>
          </cell>
          <cell r="C323" t="str">
            <v>ML</v>
          </cell>
          <cell r="D323">
            <v>65542</v>
          </cell>
          <cell r="E323">
            <v>3932.52</v>
          </cell>
        </row>
        <row r="324">
          <cell r="A324">
            <v>304</v>
          </cell>
          <cell r="B324" t="str">
            <v xml:space="preserve">Tubo PVC  RDE 21 D= 12" union mecanica </v>
          </cell>
          <cell r="C324" t="str">
            <v>ML</v>
          </cell>
          <cell r="E324">
            <v>0</v>
          </cell>
        </row>
        <row r="325">
          <cell r="A325">
            <v>305</v>
          </cell>
          <cell r="B325" t="str">
            <v xml:space="preserve">Tubo PVC  RDE 21 D= 16" union mecanica </v>
          </cell>
          <cell r="C325" t="str">
            <v>ML</v>
          </cell>
          <cell r="E325">
            <v>0</v>
          </cell>
        </row>
        <row r="326">
          <cell r="A326">
            <v>306</v>
          </cell>
          <cell r="B326" t="str">
            <v xml:space="preserve">Tubo PVC  RDE 21 D= 2" union mecanica </v>
          </cell>
          <cell r="C326" t="str">
            <v>ML</v>
          </cell>
          <cell r="E326">
            <v>0</v>
          </cell>
        </row>
        <row r="327">
          <cell r="A327">
            <v>307</v>
          </cell>
          <cell r="B327" t="str">
            <v xml:space="preserve">Tubo PVC  RDE 21 D= 3" union mecanica </v>
          </cell>
          <cell r="C327" t="str">
            <v>ML</v>
          </cell>
          <cell r="E327">
            <v>0</v>
          </cell>
        </row>
        <row r="328">
          <cell r="A328">
            <v>308</v>
          </cell>
          <cell r="B328" t="str">
            <v xml:space="preserve">Tubo PVC  RDE 21 D= 4" union mecanica </v>
          </cell>
          <cell r="C328" t="str">
            <v>ML</v>
          </cell>
          <cell r="E328">
            <v>0</v>
          </cell>
        </row>
        <row r="329">
          <cell r="A329">
            <v>309</v>
          </cell>
          <cell r="B329" t="str">
            <v xml:space="preserve">Tubo PVC  RDE 21 D= 8" union mecanica </v>
          </cell>
          <cell r="C329" t="str">
            <v>ML</v>
          </cell>
          <cell r="E329">
            <v>0</v>
          </cell>
        </row>
        <row r="330">
          <cell r="A330">
            <v>310</v>
          </cell>
          <cell r="B330" t="str">
            <v>Tubo PVC D= 21", pared estructural y sello hermético.</v>
          </cell>
          <cell r="C330" t="str">
            <v>ML</v>
          </cell>
          <cell r="E330">
            <v>0</v>
          </cell>
        </row>
        <row r="331">
          <cell r="A331">
            <v>311</v>
          </cell>
          <cell r="B331" t="str">
            <v>Tubo PVC D= 27", pared estructural y sello hermético.</v>
          </cell>
          <cell r="C331" t="str">
            <v>ML</v>
          </cell>
          <cell r="E331">
            <v>0</v>
          </cell>
        </row>
        <row r="332">
          <cell r="A332">
            <v>312</v>
          </cell>
          <cell r="B332" t="str">
            <v>Unión para Tubería PVC de pared estructural de 27"</v>
          </cell>
          <cell r="C332" t="str">
            <v>UN</v>
          </cell>
          <cell r="E332">
            <v>0</v>
          </cell>
        </row>
        <row r="333">
          <cell r="A333">
            <v>313</v>
          </cell>
          <cell r="B333" t="str">
            <v>Unión rápida PVC 12"  RDE 21</v>
          </cell>
          <cell r="C333" t="str">
            <v>UN</v>
          </cell>
          <cell r="E333">
            <v>0</v>
          </cell>
        </row>
        <row r="334">
          <cell r="A334">
            <v>314</v>
          </cell>
          <cell r="B334" t="str">
            <v>Unión rápida PVC 2"  RDE 21</v>
          </cell>
          <cell r="C334" t="str">
            <v>UN</v>
          </cell>
          <cell r="E334">
            <v>0</v>
          </cell>
        </row>
        <row r="335">
          <cell r="A335">
            <v>315</v>
          </cell>
          <cell r="B335" t="str">
            <v>Unión rápida PVC 3"  RDE 21</v>
          </cell>
          <cell r="C335" t="str">
            <v>UN</v>
          </cell>
          <cell r="E335">
            <v>0</v>
          </cell>
        </row>
        <row r="336">
          <cell r="A336">
            <v>316</v>
          </cell>
          <cell r="B336" t="str">
            <v>Unión rápida PVC 4"  RDE 21</v>
          </cell>
          <cell r="C336" t="str">
            <v>UN</v>
          </cell>
          <cell r="E336">
            <v>0</v>
          </cell>
        </row>
        <row r="337">
          <cell r="A337">
            <v>317</v>
          </cell>
          <cell r="B337" t="str">
            <v>Unión rápida PVC 6"  RDE 21</v>
          </cell>
          <cell r="C337" t="str">
            <v>UN</v>
          </cell>
          <cell r="E337">
            <v>0</v>
          </cell>
        </row>
        <row r="338">
          <cell r="A338">
            <v>318</v>
          </cell>
          <cell r="B338" t="str">
            <v>Unión rápida PVC 8"  RDE 21</v>
          </cell>
          <cell r="C338" t="str">
            <v>UN</v>
          </cell>
          <cell r="E338">
            <v>0</v>
          </cell>
        </row>
        <row r="339">
          <cell r="A339">
            <v>319</v>
          </cell>
          <cell r="B339" t="str">
            <v>Unión reparación PVC 3"  RDE 21</v>
          </cell>
          <cell r="C339" t="str">
            <v>UN</v>
          </cell>
          <cell r="E339">
            <v>0</v>
          </cell>
        </row>
        <row r="340">
          <cell r="A340">
            <v>320</v>
          </cell>
          <cell r="B340" t="str">
            <v>Unión reparación PVC 4"  RDE 21</v>
          </cell>
          <cell r="C340" t="str">
            <v>UN</v>
          </cell>
          <cell r="E340">
            <v>0</v>
          </cell>
        </row>
        <row r="341">
          <cell r="A341">
            <v>321</v>
          </cell>
          <cell r="B341" t="str">
            <v xml:space="preserve">Union Universal de 16" </v>
          </cell>
          <cell r="C341" t="str">
            <v>UN</v>
          </cell>
          <cell r="E341">
            <v>0</v>
          </cell>
        </row>
        <row r="342">
          <cell r="A342">
            <v>322</v>
          </cell>
          <cell r="B342" t="str">
            <v xml:space="preserve">Union Universal de 20" </v>
          </cell>
          <cell r="C342" t="str">
            <v>UN</v>
          </cell>
          <cell r="E342">
            <v>0</v>
          </cell>
        </row>
        <row r="343">
          <cell r="A343">
            <v>323</v>
          </cell>
          <cell r="B343" t="str">
            <v xml:space="preserve">Unión reparación PVC 6"  </v>
          </cell>
          <cell r="C343" t="str">
            <v>UN</v>
          </cell>
          <cell r="D343">
            <v>24288</v>
          </cell>
          <cell r="E343">
            <v>1457.28</v>
          </cell>
        </row>
        <row r="344">
          <cell r="A344">
            <v>324</v>
          </cell>
          <cell r="B344" t="str">
            <v xml:space="preserve">Codo de 90º PVC de 2" </v>
          </cell>
          <cell r="C344" t="str">
            <v>UN</v>
          </cell>
          <cell r="D344">
            <v>5500</v>
          </cell>
          <cell r="E344">
            <v>330</v>
          </cell>
        </row>
        <row r="345">
          <cell r="A345">
            <v>325</v>
          </cell>
          <cell r="B345" t="str">
            <v>Tubo de PVC 2"</v>
          </cell>
          <cell r="C345" t="str">
            <v>ML</v>
          </cell>
          <cell r="D345">
            <v>6787.333333333333</v>
          </cell>
          <cell r="E345">
            <v>407.23999999999995</v>
          </cell>
        </row>
        <row r="346">
          <cell r="A346">
            <v>326</v>
          </cell>
          <cell r="B346" t="str">
            <v>Unión PVC de 2"</v>
          </cell>
          <cell r="C346" t="str">
            <v>UN</v>
          </cell>
          <cell r="D346">
            <v>2200</v>
          </cell>
          <cell r="E346">
            <v>132</v>
          </cell>
        </row>
        <row r="347">
          <cell r="A347">
            <v>327</v>
          </cell>
          <cell r="B347" t="str">
            <v>Soldadura PVC 1/4 de Gal.</v>
          </cell>
          <cell r="C347" t="str">
            <v>UN</v>
          </cell>
          <cell r="D347">
            <v>49390</v>
          </cell>
          <cell r="E347">
            <v>2963.4</v>
          </cell>
        </row>
        <row r="348">
          <cell r="A348">
            <v>328</v>
          </cell>
          <cell r="B348" t="str">
            <v>Limpiador PVC 1/4 de Gal</v>
          </cell>
          <cell r="C348" t="str">
            <v>UN</v>
          </cell>
          <cell r="D348">
            <v>23707</v>
          </cell>
          <cell r="E348">
            <v>1422.4199999999998</v>
          </cell>
        </row>
        <row r="349">
          <cell r="A349">
            <v>329</v>
          </cell>
          <cell r="B349" t="str">
            <v>Sifon de Piso 2" PVC</v>
          </cell>
          <cell r="C349" t="str">
            <v>UN</v>
          </cell>
          <cell r="D349">
            <v>4000</v>
          </cell>
          <cell r="E349">
            <v>240</v>
          </cell>
        </row>
        <row r="350">
          <cell r="A350">
            <v>330</v>
          </cell>
          <cell r="B350" t="str">
            <v>Tubo de PVC 4"</v>
          </cell>
          <cell r="C350" t="str">
            <v>ML</v>
          </cell>
          <cell r="D350">
            <v>14129.666666666666</v>
          </cell>
          <cell r="E350">
            <v>847.78</v>
          </cell>
        </row>
        <row r="351">
          <cell r="A351">
            <v>331</v>
          </cell>
          <cell r="B351" t="str">
            <v>Unión PVC de 4"</v>
          </cell>
          <cell r="C351" t="str">
            <v>UN</v>
          </cell>
          <cell r="D351">
            <v>4200</v>
          </cell>
          <cell r="E351">
            <v>252</v>
          </cell>
        </row>
        <row r="352">
          <cell r="A352">
            <v>332</v>
          </cell>
          <cell r="B352" t="str">
            <v xml:space="preserve">Codo de 90º PVC de 4" </v>
          </cell>
          <cell r="C352" t="str">
            <v>UN</v>
          </cell>
          <cell r="D352">
            <v>8018</v>
          </cell>
          <cell r="E352">
            <v>481.08</v>
          </cell>
        </row>
        <row r="353">
          <cell r="A353">
            <v>333</v>
          </cell>
          <cell r="B353" t="str">
            <v>Tubo de PVC 6"</v>
          </cell>
          <cell r="C353" t="str">
            <v>ML</v>
          </cell>
          <cell r="D353">
            <v>29923.833333333332</v>
          </cell>
          <cell r="E353">
            <v>1795.4299999999998</v>
          </cell>
        </row>
        <row r="354">
          <cell r="A354">
            <v>334</v>
          </cell>
          <cell r="B354" t="str">
            <v>Codo reventilado 90 1/8º cxc PVC</v>
          </cell>
          <cell r="C354" t="str">
            <v>UN</v>
          </cell>
          <cell r="D354">
            <v>13682</v>
          </cell>
          <cell r="E354">
            <v>820.92</v>
          </cell>
        </row>
        <row r="355">
          <cell r="A355">
            <v>335</v>
          </cell>
          <cell r="B355" t="str">
            <v>Tubo de PVC 6" ALL</v>
          </cell>
          <cell r="C355" t="str">
            <v>ML</v>
          </cell>
          <cell r="D355">
            <v>20090.5</v>
          </cell>
          <cell r="E355">
            <v>1205.43</v>
          </cell>
        </row>
        <row r="356">
          <cell r="A356">
            <v>336</v>
          </cell>
          <cell r="B356" t="str">
            <v>Tubo de PVC 4" ALL</v>
          </cell>
          <cell r="C356" t="str">
            <v>ML</v>
          </cell>
          <cell r="D356">
            <v>9963</v>
          </cell>
          <cell r="E356">
            <v>597.78</v>
          </cell>
        </row>
        <row r="357">
          <cell r="A357">
            <v>337</v>
          </cell>
          <cell r="B357" t="str">
            <v>Tubo de PVC 2" ALL</v>
          </cell>
          <cell r="C357" t="str">
            <v>ML</v>
          </cell>
          <cell r="D357">
            <v>4980</v>
          </cell>
          <cell r="E357">
            <v>298.8</v>
          </cell>
        </row>
        <row r="358">
          <cell r="A358">
            <v>338</v>
          </cell>
          <cell r="B358" t="str">
            <v xml:space="preserve">Codo de 90º PVC de 1/2" </v>
          </cell>
          <cell r="C358" t="str">
            <v>UN</v>
          </cell>
          <cell r="D358">
            <v>500</v>
          </cell>
          <cell r="E358">
            <v>30</v>
          </cell>
        </row>
        <row r="359">
          <cell r="A359">
            <v>339</v>
          </cell>
          <cell r="B359" t="str">
            <v>Tubo de PVC 1/2"</v>
          </cell>
          <cell r="C359" t="str">
            <v>ML</v>
          </cell>
          <cell r="D359">
            <v>2083.3333333333335</v>
          </cell>
          <cell r="E359">
            <v>125</v>
          </cell>
        </row>
        <row r="360">
          <cell r="A360">
            <v>340</v>
          </cell>
          <cell r="B360" t="str">
            <v>Unión PVC de 1/2"</v>
          </cell>
          <cell r="C360" t="str">
            <v>UN</v>
          </cell>
          <cell r="D360">
            <v>350</v>
          </cell>
          <cell r="E360">
            <v>21</v>
          </cell>
        </row>
        <row r="361">
          <cell r="A361">
            <v>341</v>
          </cell>
          <cell r="B361" t="str">
            <v>Registro de 1/2"</v>
          </cell>
          <cell r="C361" t="str">
            <v>UN</v>
          </cell>
          <cell r="D361">
            <v>12500</v>
          </cell>
          <cell r="E361">
            <v>750</v>
          </cell>
        </row>
        <row r="362">
          <cell r="A362">
            <v>342</v>
          </cell>
          <cell r="B362" t="str">
            <v>Tanque plastico de 1000 litros</v>
          </cell>
          <cell r="C362" t="str">
            <v>UN</v>
          </cell>
          <cell r="D362">
            <v>180000</v>
          </cell>
          <cell r="E362">
            <v>10800</v>
          </cell>
        </row>
        <row r="363">
          <cell r="A363">
            <v>343</v>
          </cell>
          <cell r="B363" t="str">
            <v>Tee de PVC 1/2"</v>
          </cell>
          <cell r="C363" t="str">
            <v>UN</v>
          </cell>
          <cell r="D363">
            <v>650</v>
          </cell>
          <cell r="E363">
            <v>39</v>
          </cell>
        </row>
        <row r="364">
          <cell r="A364">
            <v>344</v>
          </cell>
          <cell r="B364" t="str">
            <v>Adaptador macho 1/2"</v>
          </cell>
          <cell r="C364" t="str">
            <v>UN</v>
          </cell>
          <cell r="D364">
            <v>400</v>
          </cell>
          <cell r="E364">
            <v>24</v>
          </cell>
        </row>
        <row r="365">
          <cell r="A365">
            <v>345</v>
          </cell>
          <cell r="B365" t="str">
            <v>Adaptador hembra 1/2"</v>
          </cell>
          <cell r="C365" t="str">
            <v>UN</v>
          </cell>
          <cell r="D365">
            <v>350</v>
          </cell>
          <cell r="E365">
            <v>21</v>
          </cell>
        </row>
        <row r="366">
          <cell r="A366">
            <v>346</v>
          </cell>
          <cell r="B366" t="str">
            <v>Llave terminal</v>
          </cell>
          <cell r="C366" t="str">
            <v>UN</v>
          </cell>
          <cell r="D366">
            <v>4000</v>
          </cell>
          <cell r="E366">
            <v>240</v>
          </cell>
        </row>
        <row r="367">
          <cell r="A367">
            <v>347</v>
          </cell>
          <cell r="B367" t="str">
            <v>Tubo de PVC 1/2" agujerada</v>
          </cell>
          <cell r="C367" t="str">
            <v>ML</v>
          </cell>
          <cell r="D367">
            <v>2860</v>
          </cell>
          <cell r="E367">
            <v>171.6</v>
          </cell>
        </row>
        <row r="368">
          <cell r="A368">
            <v>348</v>
          </cell>
          <cell r="E368">
            <v>0</v>
          </cell>
        </row>
        <row r="369">
          <cell r="A369">
            <v>349</v>
          </cell>
          <cell r="E369">
            <v>0</v>
          </cell>
        </row>
        <row r="370">
          <cell r="A370">
            <v>350</v>
          </cell>
          <cell r="E370">
            <v>0</v>
          </cell>
        </row>
        <row r="371">
          <cell r="A371">
            <v>351</v>
          </cell>
          <cell r="E371">
            <v>0</v>
          </cell>
        </row>
        <row r="372">
          <cell r="A372">
            <v>352</v>
          </cell>
          <cell r="E372">
            <v>0</v>
          </cell>
        </row>
        <row r="373">
          <cell r="A373">
            <v>353</v>
          </cell>
          <cell r="E373">
            <v>0</v>
          </cell>
        </row>
        <row r="374">
          <cell r="A374">
            <v>354</v>
          </cell>
          <cell r="E374">
            <v>0</v>
          </cell>
        </row>
        <row r="375">
          <cell r="A375">
            <v>355</v>
          </cell>
          <cell r="E375">
            <v>0</v>
          </cell>
        </row>
        <row r="376">
          <cell r="A376">
            <v>356</v>
          </cell>
          <cell r="E376">
            <v>0</v>
          </cell>
        </row>
        <row r="377">
          <cell r="A377">
            <v>357</v>
          </cell>
          <cell r="E377">
            <v>0</v>
          </cell>
        </row>
        <row r="378">
          <cell r="A378">
            <v>358</v>
          </cell>
          <cell r="E378">
            <v>0</v>
          </cell>
        </row>
        <row r="379">
          <cell r="A379">
            <v>359</v>
          </cell>
          <cell r="E379">
            <v>0</v>
          </cell>
        </row>
        <row r="380">
          <cell r="A380">
            <v>360</v>
          </cell>
          <cell r="E380">
            <v>0</v>
          </cell>
        </row>
        <row r="382">
          <cell r="A382" t="str">
            <v>REF.</v>
          </cell>
          <cell r="B382" t="str">
            <v>MATERIAL DE PINTURAS</v>
          </cell>
          <cell r="C382" t="str">
            <v>UNIDAD</v>
          </cell>
          <cell r="D382" t="str">
            <v>PRECIO</v>
          </cell>
          <cell r="E382" t="str">
            <v>TRANSPORTE</v>
          </cell>
        </row>
        <row r="384">
          <cell r="A384">
            <v>361</v>
          </cell>
          <cell r="B384" t="str">
            <v>GRANIPLAST</v>
          </cell>
          <cell r="C384" t="str">
            <v>KG</v>
          </cell>
          <cell r="D384">
            <v>1200</v>
          </cell>
          <cell r="E384">
            <v>72</v>
          </cell>
        </row>
        <row r="385">
          <cell r="A385">
            <v>362</v>
          </cell>
          <cell r="B385" t="str">
            <v>Pintura en esmalte</v>
          </cell>
          <cell r="C385" t="str">
            <v>GL</v>
          </cell>
          <cell r="D385">
            <v>39000</v>
          </cell>
          <cell r="E385">
            <v>2340</v>
          </cell>
        </row>
        <row r="386">
          <cell r="A386">
            <v>363</v>
          </cell>
          <cell r="B386" t="str">
            <v>Solvente para esmalte</v>
          </cell>
          <cell r="C386" t="str">
            <v>GL</v>
          </cell>
          <cell r="D386">
            <v>6000</v>
          </cell>
          <cell r="E386">
            <v>360</v>
          </cell>
        </row>
        <row r="387">
          <cell r="A387">
            <v>364</v>
          </cell>
          <cell r="B387" t="str">
            <v>Anticoorosivo</v>
          </cell>
          <cell r="C387" t="str">
            <v>Gl</v>
          </cell>
          <cell r="D387">
            <v>36000</v>
          </cell>
          <cell r="E387">
            <v>2160</v>
          </cell>
        </row>
        <row r="388">
          <cell r="A388">
            <v>365</v>
          </cell>
          <cell r="B388" t="str">
            <v>Vinilo tipo A</v>
          </cell>
          <cell r="C388" t="str">
            <v>Gl</v>
          </cell>
          <cell r="D388">
            <v>35000</v>
          </cell>
          <cell r="E388">
            <v>2100</v>
          </cell>
        </row>
        <row r="389">
          <cell r="A389">
            <v>366</v>
          </cell>
          <cell r="B389" t="str">
            <v>CINTA DE ENMASCARAR</v>
          </cell>
          <cell r="C389" t="str">
            <v>UND</v>
          </cell>
          <cell r="D389">
            <v>4000</v>
          </cell>
          <cell r="E389">
            <v>240</v>
          </cell>
        </row>
        <row r="390">
          <cell r="A390">
            <v>367</v>
          </cell>
          <cell r="E390">
            <v>0</v>
          </cell>
        </row>
        <row r="391">
          <cell r="A391">
            <v>368</v>
          </cell>
          <cell r="E391">
            <v>0</v>
          </cell>
        </row>
        <row r="392">
          <cell r="A392">
            <v>369</v>
          </cell>
          <cell r="E392">
            <v>0</v>
          </cell>
        </row>
        <row r="393">
          <cell r="A393">
            <v>370</v>
          </cell>
          <cell r="E393">
            <v>0</v>
          </cell>
        </row>
        <row r="394">
          <cell r="A394">
            <v>371</v>
          </cell>
          <cell r="E394">
            <v>0</v>
          </cell>
        </row>
        <row r="395">
          <cell r="A395">
            <v>372</v>
          </cell>
          <cell r="E395">
            <v>0</v>
          </cell>
        </row>
        <row r="396">
          <cell r="A396">
            <v>373</v>
          </cell>
          <cell r="E396">
            <v>0</v>
          </cell>
        </row>
        <row r="397">
          <cell r="A397">
            <v>374</v>
          </cell>
          <cell r="E397">
            <v>0</v>
          </cell>
        </row>
        <row r="398">
          <cell r="A398">
            <v>375</v>
          </cell>
          <cell r="E398">
            <v>0</v>
          </cell>
        </row>
        <row r="399">
          <cell r="A399">
            <v>376</v>
          </cell>
          <cell r="E399">
            <v>0</v>
          </cell>
        </row>
        <row r="400">
          <cell r="A400">
            <v>377</v>
          </cell>
          <cell r="E400">
            <v>0</v>
          </cell>
        </row>
        <row r="401">
          <cell r="A401">
            <v>378</v>
          </cell>
          <cell r="E401">
            <v>0</v>
          </cell>
        </row>
        <row r="402">
          <cell r="A402">
            <v>379</v>
          </cell>
          <cell r="E402">
            <v>0</v>
          </cell>
        </row>
        <row r="403">
          <cell r="A403">
            <v>380</v>
          </cell>
          <cell r="E403">
            <v>0</v>
          </cell>
        </row>
        <row r="404">
          <cell r="A404">
            <v>381</v>
          </cell>
          <cell r="E404">
            <v>0</v>
          </cell>
        </row>
        <row r="405">
          <cell r="A405">
            <v>382</v>
          </cell>
          <cell r="E405">
            <v>0</v>
          </cell>
        </row>
        <row r="406">
          <cell r="A406">
            <v>383</v>
          </cell>
          <cell r="E406">
            <v>0</v>
          </cell>
        </row>
        <row r="407">
          <cell r="A407">
            <v>384</v>
          </cell>
          <cell r="E407">
            <v>0</v>
          </cell>
        </row>
        <row r="408">
          <cell r="A408">
            <v>385</v>
          </cell>
          <cell r="E408">
            <v>0</v>
          </cell>
        </row>
        <row r="409">
          <cell r="A409">
            <v>386</v>
          </cell>
          <cell r="E409">
            <v>0</v>
          </cell>
        </row>
        <row r="410">
          <cell r="A410">
            <v>387</v>
          </cell>
          <cell r="E410">
            <v>0</v>
          </cell>
        </row>
        <row r="411">
          <cell r="A411">
            <v>388</v>
          </cell>
          <cell r="E411">
            <v>0</v>
          </cell>
        </row>
        <row r="412">
          <cell r="A412">
            <v>389</v>
          </cell>
          <cell r="E412">
            <v>0</v>
          </cell>
        </row>
        <row r="413">
          <cell r="A413">
            <v>390</v>
          </cell>
          <cell r="E413">
            <v>0</v>
          </cell>
        </row>
        <row r="415">
          <cell r="A415" t="str">
            <v>REF.</v>
          </cell>
          <cell r="B415" t="str">
            <v>MATERIAL VARIOS</v>
          </cell>
          <cell r="C415" t="str">
            <v>UNIDAD</v>
          </cell>
          <cell r="D415" t="str">
            <v>PRECIO</v>
          </cell>
          <cell r="E415" t="str">
            <v>TRANSPORTE</v>
          </cell>
        </row>
        <row r="417">
          <cell r="A417">
            <v>391</v>
          </cell>
          <cell r="B417" t="str">
            <v>Agua</v>
          </cell>
          <cell r="C417" t="str">
            <v>LT</v>
          </cell>
          <cell r="D417">
            <v>10</v>
          </cell>
          <cell r="E417">
            <v>0.6</v>
          </cell>
        </row>
        <row r="418">
          <cell r="A418">
            <v>392</v>
          </cell>
          <cell r="B418" t="str">
            <v>Arbol nativo, h &gt; 1,50 mts.</v>
          </cell>
          <cell r="C418" t="str">
            <v>UN</v>
          </cell>
          <cell r="D418">
            <v>20000</v>
          </cell>
          <cell r="E418">
            <v>1200</v>
          </cell>
        </row>
        <row r="419">
          <cell r="A419">
            <v>393</v>
          </cell>
          <cell r="B419" t="str">
            <v xml:space="preserve">Cemento asfáltico grado de penetraciòn 80-100 (debe cumplir con especificación INVIAS, art.410/02). </v>
          </cell>
          <cell r="C419" t="str">
            <v>GL</v>
          </cell>
          <cell r="D419">
            <v>4500</v>
          </cell>
          <cell r="E419">
            <v>270</v>
          </cell>
        </row>
        <row r="420">
          <cell r="A420">
            <v>394</v>
          </cell>
          <cell r="B420" t="str">
            <v>Cemento asfaltico para bacheo tipo MDC-0 debe cumplir especificaciòn INVIAS art.450/02.E=0.05</v>
          </cell>
          <cell r="C420" t="str">
            <v>M3</v>
          </cell>
          <cell r="D420">
            <v>285000</v>
          </cell>
          <cell r="E420">
            <v>17100</v>
          </cell>
        </row>
        <row r="421">
          <cell r="A421">
            <v>395</v>
          </cell>
          <cell r="B421" t="str">
            <v>Digitacion de plano, incluye impresión</v>
          </cell>
          <cell r="C421" t="str">
            <v>UN</v>
          </cell>
          <cell r="D421">
            <v>80000</v>
          </cell>
          <cell r="E421">
            <v>4800</v>
          </cell>
        </row>
        <row r="422">
          <cell r="A422">
            <v>396</v>
          </cell>
          <cell r="B422" t="str">
            <v>Imprimante para via</v>
          </cell>
          <cell r="C422" t="str">
            <v>LT</v>
          </cell>
          <cell r="D422">
            <v>1100</v>
          </cell>
          <cell r="E422">
            <v>66</v>
          </cell>
        </row>
        <row r="423">
          <cell r="A423">
            <v>397</v>
          </cell>
          <cell r="B423" t="str">
            <v>Kit Silla Yee 300x160mm.  Incluye: silla yee, abrazadera y empaque de caucho.</v>
          </cell>
          <cell r="C423" t="str">
            <v>UN</v>
          </cell>
          <cell r="D423">
            <v>88941</v>
          </cell>
          <cell r="E423">
            <v>5336.46</v>
          </cell>
        </row>
        <row r="424">
          <cell r="A424">
            <v>398</v>
          </cell>
          <cell r="B424" t="str">
            <v>Mogador informativo</v>
          </cell>
          <cell r="C424" t="str">
            <v>UN</v>
          </cell>
          <cell r="D424">
            <v>2450000</v>
          </cell>
          <cell r="E424">
            <v>147000</v>
          </cell>
        </row>
        <row r="425">
          <cell r="A425">
            <v>399</v>
          </cell>
          <cell r="B425" t="str">
            <v>Polipropileno de color</v>
          </cell>
          <cell r="C425" t="str">
            <v>M2</v>
          </cell>
          <cell r="D425">
            <v>1900</v>
          </cell>
          <cell r="E425">
            <v>114</v>
          </cell>
        </row>
        <row r="426">
          <cell r="A426">
            <v>400</v>
          </cell>
          <cell r="B426" t="str">
            <v>Señalización horizontal: Flecha con microesfera marca 3M al 60% con pintura reflectiva tipo T. P., según norma INVIAS</v>
          </cell>
          <cell r="C426" t="str">
            <v>UN</v>
          </cell>
          <cell r="D426">
            <v>31000</v>
          </cell>
          <cell r="E426">
            <v>1860</v>
          </cell>
        </row>
        <row r="427">
          <cell r="A427">
            <v>401</v>
          </cell>
          <cell r="B427" t="str">
            <v>Señalización horizontal: Linea de cebra con microesfera marca 3M al 60% con pintura reflectiva tipo T. P., según norma INVIAS</v>
          </cell>
          <cell r="C427" t="str">
            <v>ML</v>
          </cell>
          <cell r="D427">
            <v>7000</v>
          </cell>
          <cell r="E427">
            <v>420</v>
          </cell>
        </row>
        <row r="428">
          <cell r="A428">
            <v>402</v>
          </cell>
          <cell r="B428" t="str">
            <v>Señalización Vertical: Señal preventiva o reglamentaria; en angulo 2" x 2" x 1/4", según norma INVIAS</v>
          </cell>
          <cell r="C428" t="str">
            <v>UN</v>
          </cell>
          <cell r="D428">
            <v>250000</v>
          </cell>
          <cell r="E428">
            <v>15000</v>
          </cell>
        </row>
        <row r="429">
          <cell r="A429">
            <v>403</v>
          </cell>
          <cell r="B429" t="str">
            <v>Señalización horizontal: Pare con microesfera marca 3M al 60% con pintura reflectiva tipo T. P., según norma INVIAS</v>
          </cell>
          <cell r="C429" t="str">
            <v>UN</v>
          </cell>
          <cell r="D429">
            <v>29500</v>
          </cell>
          <cell r="E429">
            <v>1770</v>
          </cell>
        </row>
        <row r="430">
          <cell r="A430">
            <v>404</v>
          </cell>
          <cell r="B430" t="str">
            <v>Señalización horizontal: Lineas centrales con microesfera marca 3M al 60% con pintura reflectiva tipo T. P., según norma INVIAS</v>
          </cell>
          <cell r="C430" t="str">
            <v>ML</v>
          </cell>
          <cell r="D430">
            <v>6500</v>
          </cell>
          <cell r="E430">
            <v>390</v>
          </cell>
        </row>
        <row r="431">
          <cell r="A431">
            <v>405</v>
          </cell>
          <cell r="B431" t="str">
            <v>Señalización horizontal: Lineas de borde con microesfera marca 3M al 60% con pintura reflectiva tipo T. P., según norma INVIAS</v>
          </cell>
          <cell r="C431" t="str">
            <v>ML</v>
          </cell>
          <cell r="D431">
            <v>6500</v>
          </cell>
          <cell r="E431">
            <v>390</v>
          </cell>
        </row>
        <row r="432">
          <cell r="A432">
            <v>406</v>
          </cell>
          <cell r="B432" t="str">
            <v>Impermeabilizante SIKA</v>
          </cell>
          <cell r="C432" t="str">
            <v>Kg</v>
          </cell>
          <cell r="D432">
            <v>68900</v>
          </cell>
          <cell r="E432">
            <v>4134</v>
          </cell>
        </row>
        <row r="433">
          <cell r="A433">
            <v>407</v>
          </cell>
          <cell r="B433" t="str">
            <v>Lavamanos Institucional Briggs</v>
          </cell>
          <cell r="C433" t="str">
            <v>UN</v>
          </cell>
          <cell r="D433">
            <v>130000</v>
          </cell>
          <cell r="E433">
            <v>7800</v>
          </cell>
        </row>
        <row r="434">
          <cell r="A434">
            <v>408</v>
          </cell>
          <cell r="B434" t="str">
            <v>Sanitario</v>
          </cell>
          <cell r="C434" t="str">
            <v>GL</v>
          </cell>
          <cell r="D434">
            <v>112000</v>
          </cell>
          <cell r="E434">
            <v>6720</v>
          </cell>
        </row>
        <row r="435">
          <cell r="A435">
            <v>409</v>
          </cell>
          <cell r="B435" t="str">
            <v>Juego de cancha multiple en tuberia de 2"</v>
          </cell>
          <cell r="C435" t="str">
            <v>GL</v>
          </cell>
          <cell r="D435">
            <v>3600000</v>
          </cell>
          <cell r="E435">
            <v>216000</v>
          </cell>
        </row>
        <row r="436">
          <cell r="A436">
            <v>410</v>
          </cell>
          <cell r="B436" t="str">
            <v>Vidrio liso 4 mm</v>
          </cell>
          <cell r="C436" t="str">
            <v>M2</v>
          </cell>
          <cell r="D436">
            <v>19500</v>
          </cell>
          <cell r="E436">
            <v>1170</v>
          </cell>
        </row>
        <row r="437">
          <cell r="A437">
            <v>411</v>
          </cell>
          <cell r="B437" t="str">
            <v>Vidrio templado de 5 mm</v>
          </cell>
          <cell r="C437" t="str">
            <v>M2</v>
          </cell>
          <cell r="D437">
            <v>23400</v>
          </cell>
          <cell r="E437">
            <v>1404</v>
          </cell>
        </row>
        <row r="438">
          <cell r="A438">
            <v>412</v>
          </cell>
          <cell r="E438">
            <v>0</v>
          </cell>
        </row>
        <row r="439">
          <cell r="A439">
            <v>413</v>
          </cell>
          <cell r="E439">
            <v>0</v>
          </cell>
        </row>
        <row r="440">
          <cell r="A440">
            <v>414</v>
          </cell>
          <cell r="E440">
            <v>0</v>
          </cell>
        </row>
        <row r="441">
          <cell r="A441">
            <v>415</v>
          </cell>
          <cell r="E441">
            <v>0</v>
          </cell>
        </row>
        <row r="442">
          <cell r="A442">
            <v>416</v>
          </cell>
          <cell r="E442">
            <v>0</v>
          </cell>
        </row>
        <row r="443">
          <cell r="A443">
            <v>417</v>
          </cell>
          <cell r="E443">
            <v>0</v>
          </cell>
        </row>
        <row r="444">
          <cell r="A444">
            <v>418</v>
          </cell>
          <cell r="E444">
            <v>0</v>
          </cell>
        </row>
        <row r="445">
          <cell r="A445">
            <v>419</v>
          </cell>
          <cell r="E445">
            <v>0</v>
          </cell>
        </row>
        <row r="446">
          <cell r="A446">
            <v>420</v>
          </cell>
          <cell r="E446">
            <v>0</v>
          </cell>
        </row>
        <row r="447">
          <cell r="A447">
            <v>421</v>
          </cell>
          <cell r="E447">
            <v>0</v>
          </cell>
        </row>
        <row r="448">
          <cell r="A448">
            <v>422</v>
          </cell>
          <cell r="E448">
            <v>0</v>
          </cell>
        </row>
        <row r="449">
          <cell r="A449">
            <v>423</v>
          </cell>
          <cell r="E449">
            <v>0</v>
          </cell>
        </row>
        <row r="450">
          <cell r="A450">
            <v>424</v>
          </cell>
          <cell r="E450">
            <v>0</v>
          </cell>
        </row>
        <row r="451">
          <cell r="A451">
            <v>425</v>
          </cell>
          <cell r="E451">
            <v>0</v>
          </cell>
        </row>
        <row r="452">
          <cell r="A452">
            <v>426</v>
          </cell>
          <cell r="E452">
            <v>0</v>
          </cell>
        </row>
        <row r="453">
          <cell r="A453">
            <v>427</v>
          </cell>
          <cell r="E453">
            <v>0</v>
          </cell>
        </row>
        <row r="454">
          <cell r="A454">
            <v>428</v>
          </cell>
          <cell r="E454">
            <v>0</v>
          </cell>
        </row>
        <row r="455">
          <cell r="A455">
            <v>429</v>
          </cell>
          <cell r="E455">
            <v>0</v>
          </cell>
        </row>
        <row r="456">
          <cell r="A456">
            <v>430</v>
          </cell>
          <cell r="E456">
            <v>0</v>
          </cell>
        </row>
        <row r="457">
          <cell r="A457">
            <v>431</v>
          </cell>
          <cell r="E457">
            <v>0</v>
          </cell>
        </row>
        <row r="458">
          <cell r="A458">
            <v>432</v>
          </cell>
          <cell r="E458">
            <v>0</v>
          </cell>
        </row>
        <row r="459">
          <cell r="A459">
            <v>433</v>
          </cell>
          <cell r="E459">
            <v>0</v>
          </cell>
        </row>
        <row r="460">
          <cell r="A460">
            <v>434</v>
          </cell>
          <cell r="E460">
            <v>0</v>
          </cell>
        </row>
        <row r="461">
          <cell r="A461">
            <v>435</v>
          </cell>
          <cell r="E461">
            <v>0</v>
          </cell>
        </row>
        <row r="462">
          <cell r="A462">
            <v>436</v>
          </cell>
          <cell r="E462">
            <v>0</v>
          </cell>
        </row>
        <row r="463">
          <cell r="A463">
            <v>435</v>
          </cell>
          <cell r="E463">
            <v>0</v>
          </cell>
        </row>
        <row r="464">
          <cell r="A464">
            <v>436</v>
          </cell>
          <cell r="E464">
            <v>0</v>
          </cell>
        </row>
        <row r="465">
          <cell r="A465">
            <v>437</v>
          </cell>
          <cell r="E465">
            <v>0</v>
          </cell>
        </row>
        <row r="466">
          <cell r="A466">
            <v>438</v>
          </cell>
          <cell r="E466">
            <v>0</v>
          </cell>
        </row>
        <row r="467">
          <cell r="A467">
            <v>439</v>
          </cell>
          <cell r="E467">
            <v>0</v>
          </cell>
        </row>
        <row r="468">
          <cell r="A468">
            <v>440</v>
          </cell>
          <cell r="E468">
            <v>0</v>
          </cell>
        </row>
        <row r="469">
          <cell r="A469">
            <v>441</v>
          </cell>
          <cell r="E469">
            <v>0</v>
          </cell>
        </row>
        <row r="470">
          <cell r="A470">
            <v>442</v>
          </cell>
          <cell r="E470">
            <v>0</v>
          </cell>
        </row>
        <row r="471">
          <cell r="A471">
            <v>443</v>
          </cell>
          <cell r="E471">
            <v>0</v>
          </cell>
        </row>
        <row r="472">
          <cell r="A472">
            <v>444</v>
          </cell>
          <cell r="E472">
            <v>0</v>
          </cell>
        </row>
        <row r="473">
          <cell r="A473">
            <v>445</v>
          </cell>
          <cell r="E473">
            <v>0</v>
          </cell>
        </row>
        <row r="474">
          <cell r="A474">
            <v>446</v>
          </cell>
          <cell r="E474">
            <v>0</v>
          </cell>
        </row>
        <row r="475">
          <cell r="A475">
            <v>447</v>
          </cell>
          <cell r="E475">
            <v>0</v>
          </cell>
        </row>
        <row r="476">
          <cell r="A476">
            <v>448</v>
          </cell>
          <cell r="E476">
            <v>0</v>
          </cell>
        </row>
        <row r="477">
          <cell r="A477">
            <v>449</v>
          </cell>
          <cell r="E477">
            <v>0</v>
          </cell>
        </row>
        <row r="478">
          <cell r="A478">
            <v>450</v>
          </cell>
          <cell r="E478">
            <v>0</v>
          </cell>
        </row>
        <row r="479">
          <cell r="A479">
            <v>450</v>
          </cell>
          <cell r="E479">
            <v>0</v>
          </cell>
        </row>
        <row r="481">
          <cell r="A481" t="str">
            <v>REF.</v>
          </cell>
          <cell r="B481" t="str">
            <v>MATERIAL CARPINTERIA METALICA</v>
          </cell>
          <cell r="C481" t="str">
            <v>UNIDAD</v>
          </cell>
          <cell r="D481" t="str">
            <v>PRECIO</v>
          </cell>
          <cell r="E481" t="str">
            <v>TRANSPORTE</v>
          </cell>
        </row>
        <row r="483">
          <cell r="A483">
            <v>451</v>
          </cell>
          <cell r="B483" t="str">
            <v>Alambre Negro</v>
          </cell>
          <cell r="C483" t="str">
            <v>KG</v>
          </cell>
          <cell r="D483">
            <v>1500</v>
          </cell>
          <cell r="E483">
            <v>90</v>
          </cell>
        </row>
        <row r="484">
          <cell r="A484">
            <v>452</v>
          </cell>
          <cell r="B484" t="str">
            <v>Angulo 1/8"x2"</v>
          </cell>
          <cell r="C484" t="str">
            <v>ML</v>
          </cell>
          <cell r="D484">
            <v>7500</v>
          </cell>
          <cell r="E484">
            <v>450</v>
          </cell>
        </row>
        <row r="485">
          <cell r="A485">
            <v>453</v>
          </cell>
          <cell r="B485" t="str">
            <v>Angulo 3/16"x2"</v>
          </cell>
          <cell r="C485" t="str">
            <v>ML</v>
          </cell>
          <cell r="D485">
            <v>10100</v>
          </cell>
          <cell r="E485">
            <v>606</v>
          </cell>
        </row>
        <row r="486">
          <cell r="A486">
            <v>454</v>
          </cell>
          <cell r="B486" t="str">
            <v>Angulo de 1"x1/8"</v>
          </cell>
          <cell r="C486" t="str">
            <v>ML</v>
          </cell>
          <cell r="D486">
            <v>1950</v>
          </cell>
          <cell r="E486">
            <v>117</v>
          </cell>
        </row>
        <row r="487">
          <cell r="A487">
            <v>455</v>
          </cell>
          <cell r="B487" t="str">
            <v>Angulo de 1"x1/8"</v>
          </cell>
          <cell r="C487" t="str">
            <v>ML</v>
          </cell>
          <cell r="D487">
            <v>2000</v>
          </cell>
          <cell r="E487">
            <v>120</v>
          </cell>
        </row>
        <row r="488">
          <cell r="A488">
            <v>456</v>
          </cell>
          <cell r="B488" t="str">
            <v>Angulo de 11/2" x 3/16</v>
          </cell>
          <cell r="C488" t="str">
            <v>ML</v>
          </cell>
          <cell r="D488">
            <v>6400</v>
          </cell>
          <cell r="E488">
            <v>384</v>
          </cell>
        </row>
        <row r="489">
          <cell r="A489">
            <v>457</v>
          </cell>
          <cell r="B489" t="str">
            <v>Angulo de 11/2"x1/8"</v>
          </cell>
          <cell r="C489" t="str">
            <v>ML</v>
          </cell>
          <cell r="D489">
            <v>6500</v>
          </cell>
          <cell r="E489">
            <v>390</v>
          </cell>
        </row>
        <row r="490">
          <cell r="A490">
            <v>458</v>
          </cell>
          <cell r="B490" t="str">
            <v>Angulo de 2 1/2" x 1/4</v>
          </cell>
          <cell r="C490" t="str">
            <v>ML</v>
          </cell>
          <cell r="D490">
            <v>13300</v>
          </cell>
          <cell r="E490">
            <v>798</v>
          </cell>
        </row>
        <row r="491">
          <cell r="A491">
            <v>459</v>
          </cell>
          <cell r="B491" t="str">
            <v>Angulo de 3/4"x1/8"</v>
          </cell>
          <cell r="C491" t="str">
            <v>ML</v>
          </cell>
          <cell r="D491">
            <v>1450</v>
          </cell>
          <cell r="E491">
            <v>87</v>
          </cell>
        </row>
        <row r="492">
          <cell r="A492">
            <v>460</v>
          </cell>
          <cell r="B492" t="str">
            <v>Anticorrosivo</v>
          </cell>
          <cell r="C492" t="str">
            <v>GL</v>
          </cell>
          <cell r="D492">
            <v>22000</v>
          </cell>
          <cell r="E492">
            <v>1320</v>
          </cell>
        </row>
        <row r="493">
          <cell r="A493">
            <v>461</v>
          </cell>
          <cell r="B493" t="str">
            <v xml:space="preserve">Arena </v>
          </cell>
          <cell r="C493" t="str">
            <v>M3</v>
          </cell>
          <cell r="D493">
            <v>35000</v>
          </cell>
          <cell r="E493">
            <v>2100</v>
          </cell>
        </row>
        <row r="494">
          <cell r="A494">
            <v>462</v>
          </cell>
          <cell r="B494" t="str">
            <v>Basculante tipo mariposa</v>
          </cell>
          <cell r="C494" t="str">
            <v>UN</v>
          </cell>
          <cell r="D494">
            <v>600</v>
          </cell>
          <cell r="E494">
            <v>36</v>
          </cell>
        </row>
        <row r="495">
          <cell r="A495">
            <v>463</v>
          </cell>
          <cell r="B495" t="str">
            <v xml:space="preserve">Bisagra </v>
          </cell>
          <cell r="C495" t="str">
            <v>UN</v>
          </cell>
          <cell r="D495">
            <v>750</v>
          </cell>
          <cell r="E495">
            <v>45</v>
          </cell>
        </row>
        <row r="496">
          <cell r="A496">
            <v>464</v>
          </cell>
          <cell r="B496" t="str">
            <v>Bisagra de 1/2"</v>
          </cell>
          <cell r="C496" t="str">
            <v>UN</v>
          </cell>
          <cell r="D496">
            <v>350</v>
          </cell>
          <cell r="E496">
            <v>21</v>
          </cell>
        </row>
        <row r="497">
          <cell r="A497">
            <v>465</v>
          </cell>
          <cell r="B497" t="str">
            <v>Bisagra de 5/8"</v>
          </cell>
          <cell r="C497" t="str">
            <v>UN</v>
          </cell>
          <cell r="D497">
            <v>500</v>
          </cell>
          <cell r="E497">
            <v>30</v>
          </cell>
        </row>
        <row r="498">
          <cell r="A498">
            <v>466</v>
          </cell>
          <cell r="B498" t="str">
            <v xml:space="preserve">Cemento Gris </v>
          </cell>
          <cell r="C498" t="str">
            <v>Saco</v>
          </cell>
          <cell r="D498">
            <v>12000</v>
          </cell>
          <cell r="E498">
            <v>720</v>
          </cell>
        </row>
        <row r="499">
          <cell r="A499">
            <v>467</v>
          </cell>
          <cell r="B499" t="str">
            <v>Chapa marca Vera sencilla</v>
          </cell>
          <cell r="C499" t="str">
            <v>UN</v>
          </cell>
          <cell r="D499">
            <v>18000</v>
          </cell>
          <cell r="E499">
            <v>1080</v>
          </cell>
        </row>
        <row r="500">
          <cell r="A500">
            <v>468</v>
          </cell>
          <cell r="B500" t="str">
            <v>Chapa marca Vera sencilla</v>
          </cell>
          <cell r="C500" t="str">
            <v>UN</v>
          </cell>
          <cell r="D500">
            <v>25000</v>
          </cell>
          <cell r="E500">
            <v>1500</v>
          </cell>
        </row>
        <row r="501">
          <cell r="A501">
            <v>469</v>
          </cell>
          <cell r="B501" t="str">
            <v>Correa tipo canal</v>
          </cell>
          <cell r="C501" t="str">
            <v>ML</v>
          </cell>
          <cell r="D501">
            <v>6600</v>
          </cell>
          <cell r="E501">
            <v>396</v>
          </cell>
        </row>
        <row r="502">
          <cell r="A502">
            <v>470</v>
          </cell>
          <cell r="B502" t="str">
            <v>Corredera</v>
          </cell>
          <cell r="C502" t="str">
            <v>UN</v>
          </cell>
          <cell r="D502">
            <v>1200</v>
          </cell>
          <cell r="E502">
            <v>72</v>
          </cell>
        </row>
        <row r="503">
          <cell r="A503">
            <v>471</v>
          </cell>
          <cell r="B503" t="str">
            <v>Corredera</v>
          </cell>
          <cell r="C503" t="str">
            <v>UN</v>
          </cell>
          <cell r="D503">
            <v>2500</v>
          </cell>
          <cell r="E503">
            <v>150</v>
          </cell>
        </row>
        <row r="504">
          <cell r="A504">
            <v>472</v>
          </cell>
          <cell r="B504" t="str">
            <v>Equipo electrico soldadura</v>
          </cell>
          <cell r="C504" t="str">
            <v>DIA</v>
          </cell>
          <cell r="D504">
            <v>30000</v>
          </cell>
          <cell r="E504">
            <v>1800</v>
          </cell>
        </row>
        <row r="505">
          <cell r="A505">
            <v>473</v>
          </cell>
          <cell r="B505" t="str">
            <v>Gasolina</v>
          </cell>
          <cell r="C505" t="str">
            <v>GL</v>
          </cell>
          <cell r="D505">
            <v>6000</v>
          </cell>
          <cell r="E505">
            <v>360</v>
          </cell>
        </row>
        <row r="506">
          <cell r="A506">
            <v>474</v>
          </cell>
          <cell r="B506" t="str">
            <v>Gravilla</v>
          </cell>
          <cell r="C506" t="str">
            <v>M3</v>
          </cell>
          <cell r="D506">
            <v>40000</v>
          </cell>
          <cell r="E506">
            <v>2400</v>
          </cell>
        </row>
        <row r="507">
          <cell r="A507">
            <v>475</v>
          </cell>
          <cell r="B507" t="str">
            <v>Lamina C.R. Cal.18</v>
          </cell>
          <cell r="C507" t="str">
            <v>M2</v>
          </cell>
          <cell r="D507">
            <v>26000</v>
          </cell>
          <cell r="E507">
            <v>1560</v>
          </cell>
        </row>
        <row r="508">
          <cell r="A508">
            <v>476</v>
          </cell>
          <cell r="B508" t="str">
            <v>Lamina C.R. Cal.20</v>
          </cell>
          <cell r="C508" t="str">
            <v>M2</v>
          </cell>
          <cell r="D508">
            <v>19500</v>
          </cell>
          <cell r="E508">
            <v>1170</v>
          </cell>
        </row>
        <row r="509">
          <cell r="A509">
            <v>477</v>
          </cell>
          <cell r="B509" t="str">
            <v>Lamina cal 16</v>
          </cell>
          <cell r="C509" t="str">
            <v>M2</v>
          </cell>
          <cell r="D509">
            <v>30500</v>
          </cell>
          <cell r="E509">
            <v>1830</v>
          </cell>
        </row>
        <row r="510">
          <cell r="A510">
            <v>478</v>
          </cell>
          <cell r="B510" t="str">
            <v>Malla eslabonada de 2x2 cal 10</v>
          </cell>
          <cell r="C510" t="str">
            <v>M2</v>
          </cell>
          <cell r="D510">
            <v>10000</v>
          </cell>
          <cell r="E510">
            <v>600</v>
          </cell>
        </row>
        <row r="511">
          <cell r="A511">
            <v>479</v>
          </cell>
          <cell r="B511" t="str">
            <v>Manija sencilla</v>
          </cell>
          <cell r="C511" t="str">
            <v>UN</v>
          </cell>
          <cell r="D511">
            <v>2000</v>
          </cell>
          <cell r="E511">
            <v>120</v>
          </cell>
        </row>
        <row r="512">
          <cell r="A512">
            <v>480</v>
          </cell>
          <cell r="B512" t="str">
            <v>Masilla</v>
          </cell>
          <cell r="C512" t="str">
            <v>GL</v>
          </cell>
          <cell r="D512">
            <v>18000</v>
          </cell>
          <cell r="E512">
            <v>1080</v>
          </cell>
        </row>
        <row r="513">
          <cell r="A513">
            <v>481</v>
          </cell>
          <cell r="B513" t="str">
            <v xml:space="preserve">Medallon de lujo </v>
          </cell>
          <cell r="C513" t="str">
            <v>UN</v>
          </cell>
          <cell r="D513">
            <v>5000</v>
          </cell>
          <cell r="E513">
            <v>300</v>
          </cell>
        </row>
        <row r="514">
          <cell r="A514">
            <v>482</v>
          </cell>
          <cell r="B514" t="str">
            <v>Pasador para puerta</v>
          </cell>
          <cell r="C514" t="str">
            <v>UN</v>
          </cell>
          <cell r="D514">
            <v>4000</v>
          </cell>
          <cell r="E514">
            <v>240</v>
          </cell>
        </row>
        <row r="515">
          <cell r="A515">
            <v>483</v>
          </cell>
          <cell r="B515" t="str">
            <v>Perno de 3/4"</v>
          </cell>
          <cell r="C515" t="str">
            <v>UN</v>
          </cell>
          <cell r="D515">
            <v>1500</v>
          </cell>
          <cell r="E515">
            <v>90</v>
          </cell>
        </row>
        <row r="516">
          <cell r="A516">
            <v>484</v>
          </cell>
          <cell r="B516" t="str">
            <v>Platina 1 1/2" x 1/8"</v>
          </cell>
          <cell r="C516" t="str">
            <v>ML</v>
          </cell>
          <cell r="D516">
            <v>1800</v>
          </cell>
          <cell r="E516">
            <v>108</v>
          </cell>
        </row>
        <row r="517">
          <cell r="A517">
            <v>485</v>
          </cell>
          <cell r="B517" t="str">
            <v>Platina 11/2" x 3/16</v>
          </cell>
          <cell r="C517" t="str">
            <v>ML</v>
          </cell>
          <cell r="D517">
            <v>3600</v>
          </cell>
          <cell r="E517">
            <v>216</v>
          </cell>
        </row>
        <row r="518">
          <cell r="A518">
            <v>486</v>
          </cell>
          <cell r="B518" t="str">
            <v>Platina de 1/2"x1/8"</v>
          </cell>
          <cell r="C518" t="str">
            <v>ML</v>
          </cell>
          <cell r="D518">
            <v>1300</v>
          </cell>
          <cell r="E518">
            <v>78</v>
          </cell>
        </row>
        <row r="519">
          <cell r="A519">
            <v>487</v>
          </cell>
          <cell r="B519" t="str">
            <v>Soldadura W.A. 6013</v>
          </cell>
          <cell r="C519" t="str">
            <v>KG</v>
          </cell>
          <cell r="D519">
            <v>4500</v>
          </cell>
          <cell r="E519">
            <v>270</v>
          </cell>
        </row>
        <row r="520">
          <cell r="A520">
            <v>488</v>
          </cell>
          <cell r="B520" t="str">
            <v>Tubo Aguas Negras 21/2"</v>
          </cell>
          <cell r="C520" t="str">
            <v>ML</v>
          </cell>
          <cell r="D520">
            <v>8550</v>
          </cell>
          <cell r="E520">
            <v>513</v>
          </cell>
        </row>
        <row r="521">
          <cell r="A521">
            <v>489</v>
          </cell>
          <cell r="B521" t="str">
            <v>Tubo cuadrado 11/2"</v>
          </cell>
          <cell r="C521" t="str">
            <v>ML</v>
          </cell>
          <cell r="D521">
            <v>2700</v>
          </cell>
          <cell r="E521">
            <v>162</v>
          </cell>
        </row>
        <row r="522">
          <cell r="A522">
            <v>490</v>
          </cell>
          <cell r="B522" t="str">
            <v>Tubo cuadrado de 1" cal 20</v>
          </cell>
          <cell r="C522" t="str">
            <v>Ml</v>
          </cell>
          <cell r="D522">
            <v>1500</v>
          </cell>
          <cell r="E522">
            <v>90</v>
          </cell>
        </row>
        <row r="523">
          <cell r="A523">
            <v>491</v>
          </cell>
          <cell r="B523" t="str">
            <v>Tubo cuadrado de 3/4"</v>
          </cell>
          <cell r="C523" t="str">
            <v>ML</v>
          </cell>
          <cell r="D523">
            <v>1350</v>
          </cell>
          <cell r="E523">
            <v>81</v>
          </cell>
        </row>
        <row r="524">
          <cell r="A524">
            <v>492</v>
          </cell>
          <cell r="B524" t="str">
            <v>Tubo de 2 x 1 cal. 20</v>
          </cell>
          <cell r="C524" t="str">
            <v>ML</v>
          </cell>
          <cell r="D524">
            <v>2500</v>
          </cell>
          <cell r="E524">
            <v>150</v>
          </cell>
        </row>
        <row r="525">
          <cell r="A525">
            <v>493</v>
          </cell>
          <cell r="B525" t="str">
            <v>Tubo en acero 3/4"</v>
          </cell>
          <cell r="C525" t="str">
            <v>ML</v>
          </cell>
          <cell r="D525">
            <v>2200</v>
          </cell>
          <cell r="E525">
            <v>132</v>
          </cell>
        </row>
        <row r="526">
          <cell r="A526">
            <v>494</v>
          </cell>
          <cell r="B526" t="str">
            <v>Tubo en acero cromado de 2"</v>
          </cell>
          <cell r="C526" t="str">
            <v>ML</v>
          </cell>
          <cell r="D526">
            <v>9100</v>
          </cell>
          <cell r="E526">
            <v>546</v>
          </cell>
        </row>
        <row r="527">
          <cell r="A527">
            <v>495</v>
          </cell>
          <cell r="B527" t="str">
            <v>Tubo galvanizado de 2"</v>
          </cell>
          <cell r="C527" t="str">
            <v>ML</v>
          </cell>
          <cell r="D527">
            <v>8000</v>
          </cell>
          <cell r="E527">
            <v>480</v>
          </cell>
        </row>
        <row r="528">
          <cell r="A528">
            <v>496</v>
          </cell>
          <cell r="B528" t="str">
            <v>tubo rectangular 10x4 Cal. 16</v>
          </cell>
          <cell r="C528" t="str">
            <v>ML</v>
          </cell>
          <cell r="D528">
            <v>9500</v>
          </cell>
          <cell r="E528">
            <v>570</v>
          </cell>
        </row>
        <row r="529">
          <cell r="A529">
            <v>497</v>
          </cell>
          <cell r="B529" t="str">
            <v>tubo rectangular 8 x 4</v>
          </cell>
          <cell r="C529" t="str">
            <v>ML</v>
          </cell>
          <cell r="D529">
            <v>4000</v>
          </cell>
          <cell r="E529">
            <v>240</v>
          </cell>
        </row>
        <row r="530">
          <cell r="A530">
            <v>498</v>
          </cell>
          <cell r="B530" t="str">
            <v>Varilla 1/4 " lisa</v>
          </cell>
          <cell r="C530" t="str">
            <v>kg</v>
          </cell>
          <cell r="D530">
            <v>2000</v>
          </cell>
          <cell r="E530">
            <v>120</v>
          </cell>
        </row>
        <row r="531">
          <cell r="A531">
            <v>499</v>
          </cell>
          <cell r="B531" t="str">
            <v>Varilla 5/8"</v>
          </cell>
          <cell r="C531" t="str">
            <v>ML</v>
          </cell>
          <cell r="D531">
            <v>2800</v>
          </cell>
          <cell r="E531">
            <v>168</v>
          </cell>
        </row>
        <row r="532">
          <cell r="A532">
            <v>500</v>
          </cell>
          <cell r="B532" t="str">
            <v>Varilla cuadrada de 10mm</v>
          </cell>
          <cell r="C532" t="str">
            <v>ML</v>
          </cell>
          <cell r="D532">
            <v>1450</v>
          </cell>
          <cell r="E532">
            <v>87</v>
          </cell>
        </row>
        <row r="533">
          <cell r="A533">
            <v>501</v>
          </cell>
          <cell r="B533" t="str">
            <v>Varilla de 1"</v>
          </cell>
          <cell r="C533" t="str">
            <v>ML</v>
          </cell>
          <cell r="D533">
            <v>10000</v>
          </cell>
          <cell r="E533">
            <v>600</v>
          </cell>
        </row>
        <row r="534">
          <cell r="A534">
            <v>502</v>
          </cell>
          <cell r="B534" t="str">
            <v>Varilla de 1/2 corrugada</v>
          </cell>
          <cell r="C534" t="str">
            <v>ML</v>
          </cell>
          <cell r="D534">
            <v>1900</v>
          </cell>
          <cell r="E534">
            <v>114</v>
          </cell>
        </row>
        <row r="535">
          <cell r="A535">
            <v>503</v>
          </cell>
          <cell r="B535" t="str">
            <v>Varilla de 1/2"</v>
          </cell>
          <cell r="C535" t="str">
            <v>ML</v>
          </cell>
          <cell r="D535">
            <v>1900</v>
          </cell>
          <cell r="E535">
            <v>114</v>
          </cell>
        </row>
        <row r="536">
          <cell r="A536">
            <v>504</v>
          </cell>
          <cell r="B536" t="str">
            <v>Varilla de 1/4 corrugada</v>
          </cell>
          <cell r="C536" t="str">
            <v>KG</v>
          </cell>
          <cell r="D536">
            <v>1900</v>
          </cell>
          <cell r="E536">
            <v>114</v>
          </cell>
        </row>
        <row r="537">
          <cell r="A537">
            <v>505</v>
          </cell>
          <cell r="B537" t="str">
            <v>Varilla de 3/8 corrugada</v>
          </cell>
          <cell r="C537" t="str">
            <v>ML</v>
          </cell>
          <cell r="D537">
            <v>1000</v>
          </cell>
          <cell r="E537">
            <v>60</v>
          </cell>
        </row>
        <row r="538">
          <cell r="A538">
            <v>506</v>
          </cell>
          <cell r="B538" t="str">
            <v>Varilla de 5/8" Corrugada</v>
          </cell>
          <cell r="C538" t="str">
            <v>ML</v>
          </cell>
          <cell r="D538">
            <v>3300</v>
          </cell>
          <cell r="E538">
            <v>198</v>
          </cell>
        </row>
        <row r="539">
          <cell r="A539">
            <v>507</v>
          </cell>
          <cell r="B539" t="str">
            <v>Cordon superior de 2" x 2" e=0.154"</v>
          </cell>
          <cell r="C539" t="str">
            <v>ML</v>
          </cell>
          <cell r="D539">
            <v>11200</v>
          </cell>
          <cell r="E539">
            <v>672</v>
          </cell>
        </row>
        <row r="540">
          <cell r="A540">
            <v>508</v>
          </cell>
          <cell r="B540" t="str">
            <v>Cordon superior de 2" x 1/8"</v>
          </cell>
          <cell r="C540" t="str">
            <v>ML</v>
          </cell>
          <cell r="D540">
            <v>10100</v>
          </cell>
          <cell r="E540">
            <v>606</v>
          </cell>
        </row>
        <row r="541">
          <cell r="A541">
            <v>509</v>
          </cell>
          <cell r="B541" t="str">
            <v>Cordon inferior de 1" x 1" e=0.095"</v>
          </cell>
          <cell r="C541" t="str">
            <v>ML</v>
          </cell>
          <cell r="D541">
            <v>8100</v>
          </cell>
          <cell r="E541">
            <v>486</v>
          </cell>
        </row>
        <row r="542">
          <cell r="A542">
            <v>510</v>
          </cell>
          <cell r="B542" t="str">
            <v xml:space="preserve">Cordon inferior de 1" x 3/16" </v>
          </cell>
          <cell r="C542" t="str">
            <v>ML</v>
          </cell>
          <cell r="D542">
            <v>7500</v>
          </cell>
          <cell r="E542">
            <v>450</v>
          </cell>
        </row>
        <row r="543">
          <cell r="A543">
            <v>511</v>
          </cell>
          <cell r="B543" t="str">
            <v>Cerpentin 1" x 1" e =0.095"</v>
          </cell>
          <cell r="C543" t="str">
            <v>ML</v>
          </cell>
          <cell r="D543">
            <v>2000</v>
          </cell>
          <cell r="E543">
            <v>120</v>
          </cell>
        </row>
        <row r="544">
          <cell r="A544">
            <v>512</v>
          </cell>
          <cell r="B544" t="str">
            <v xml:space="preserve">Cerpentin 1" x 3/16" </v>
          </cell>
          <cell r="C544" t="str">
            <v>ML</v>
          </cell>
          <cell r="D544">
            <v>2000</v>
          </cell>
          <cell r="E544">
            <v>120</v>
          </cell>
        </row>
        <row r="545">
          <cell r="A545">
            <v>513</v>
          </cell>
          <cell r="B545" t="str">
            <v>Correas metalicas Perfil Doble C 0,10 x 0,04 mt cal. 20</v>
          </cell>
          <cell r="C545" t="str">
            <v>ML</v>
          </cell>
          <cell r="D545">
            <v>6585</v>
          </cell>
          <cell r="E545">
            <v>395.09999999999997</v>
          </cell>
        </row>
        <row r="546">
          <cell r="A546">
            <v>514</v>
          </cell>
          <cell r="B546" t="str">
            <v>Esmalte color Blanco</v>
          </cell>
          <cell r="C546" t="str">
            <v>GL</v>
          </cell>
          <cell r="D546">
            <v>20600</v>
          </cell>
          <cell r="E546">
            <v>1236</v>
          </cell>
        </row>
        <row r="547">
          <cell r="A547">
            <v>515</v>
          </cell>
          <cell r="B547" t="str">
            <v>Medallon decorativo redondo</v>
          </cell>
          <cell r="C547" t="str">
            <v>UND</v>
          </cell>
          <cell r="D547">
            <v>5000</v>
          </cell>
          <cell r="E547">
            <v>300</v>
          </cell>
        </row>
        <row r="548">
          <cell r="A548">
            <v>516</v>
          </cell>
          <cell r="E548">
            <v>0</v>
          </cell>
        </row>
        <row r="549">
          <cell r="A549">
            <v>517</v>
          </cell>
          <cell r="E549">
            <v>0</v>
          </cell>
        </row>
        <row r="550">
          <cell r="A550">
            <v>518</v>
          </cell>
          <cell r="E550">
            <v>0</v>
          </cell>
        </row>
        <row r="551">
          <cell r="A551">
            <v>519</v>
          </cell>
          <cell r="E551">
            <v>0</v>
          </cell>
        </row>
        <row r="552">
          <cell r="A552">
            <v>520</v>
          </cell>
          <cell r="E552">
            <v>0</v>
          </cell>
        </row>
        <row r="553">
          <cell r="A553">
            <v>521</v>
          </cell>
          <cell r="E553">
            <v>0</v>
          </cell>
        </row>
        <row r="554">
          <cell r="A554">
            <v>522</v>
          </cell>
          <cell r="E554">
            <v>0</v>
          </cell>
        </row>
        <row r="555">
          <cell r="A555">
            <v>523</v>
          </cell>
          <cell r="E555">
            <v>0</v>
          </cell>
        </row>
        <row r="556">
          <cell r="A556">
            <v>524</v>
          </cell>
          <cell r="E556">
            <v>0</v>
          </cell>
        </row>
        <row r="557">
          <cell r="A557">
            <v>525</v>
          </cell>
          <cell r="E557">
            <v>0</v>
          </cell>
        </row>
        <row r="558">
          <cell r="A558">
            <v>526</v>
          </cell>
          <cell r="E558">
            <v>0</v>
          </cell>
        </row>
        <row r="559">
          <cell r="A559">
            <v>527</v>
          </cell>
          <cell r="E559">
            <v>0</v>
          </cell>
        </row>
        <row r="560">
          <cell r="A560">
            <v>528</v>
          </cell>
          <cell r="E560">
            <v>0</v>
          </cell>
        </row>
        <row r="561">
          <cell r="A561">
            <v>529</v>
          </cell>
          <cell r="E561">
            <v>0</v>
          </cell>
        </row>
        <row r="562">
          <cell r="A562">
            <v>530</v>
          </cell>
          <cell r="E562">
            <v>0</v>
          </cell>
        </row>
        <row r="563">
          <cell r="A563">
            <v>531</v>
          </cell>
          <cell r="E563">
            <v>0</v>
          </cell>
        </row>
        <row r="564">
          <cell r="A564">
            <v>532</v>
          </cell>
          <cell r="E564">
            <v>0</v>
          </cell>
        </row>
        <row r="565">
          <cell r="A565">
            <v>533</v>
          </cell>
          <cell r="E565">
            <v>0</v>
          </cell>
        </row>
        <row r="566">
          <cell r="A566">
            <v>534</v>
          </cell>
          <cell r="E566">
            <v>0</v>
          </cell>
        </row>
        <row r="567">
          <cell r="A567">
            <v>535</v>
          </cell>
          <cell r="E567">
            <v>0</v>
          </cell>
        </row>
        <row r="568">
          <cell r="A568">
            <v>536</v>
          </cell>
          <cell r="E568">
            <v>0</v>
          </cell>
        </row>
        <row r="569">
          <cell r="A569">
            <v>537</v>
          </cell>
          <cell r="E569">
            <v>0</v>
          </cell>
        </row>
        <row r="570">
          <cell r="A570">
            <v>538</v>
          </cell>
          <cell r="E570">
            <v>0</v>
          </cell>
        </row>
        <row r="571">
          <cell r="A571">
            <v>539</v>
          </cell>
          <cell r="E571">
            <v>0</v>
          </cell>
        </row>
        <row r="572">
          <cell r="A572">
            <v>540</v>
          </cell>
          <cell r="E572">
            <v>0</v>
          </cell>
        </row>
        <row r="573">
          <cell r="A573">
            <v>541</v>
          </cell>
          <cell r="E573">
            <v>0</v>
          </cell>
        </row>
        <row r="574">
          <cell r="A574">
            <v>542</v>
          </cell>
          <cell r="E574">
            <v>0</v>
          </cell>
        </row>
        <row r="575">
          <cell r="A575">
            <v>543</v>
          </cell>
          <cell r="E575">
            <v>0</v>
          </cell>
        </row>
        <row r="576">
          <cell r="A576">
            <v>544</v>
          </cell>
          <cell r="E576">
            <v>0</v>
          </cell>
        </row>
        <row r="577">
          <cell r="A577">
            <v>545</v>
          </cell>
          <cell r="E577">
            <v>0</v>
          </cell>
        </row>
        <row r="578">
          <cell r="A578">
            <v>546</v>
          </cell>
          <cell r="E578">
            <v>0</v>
          </cell>
        </row>
        <row r="579">
          <cell r="A579">
            <v>547</v>
          </cell>
          <cell r="E579">
            <v>0</v>
          </cell>
        </row>
        <row r="580">
          <cell r="A580">
            <v>548</v>
          </cell>
          <cell r="E580">
            <v>0</v>
          </cell>
        </row>
        <row r="581">
          <cell r="A581">
            <v>549</v>
          </cell>
          <cell r="E581">
            <v>0</v>
          </cell>
        </row>
        <row r="582">
          <cell r="A582">
            <v>550</v>
          </cell>
          <cell r="E582">
            <v>0</v>
          </cell>
        </row>
        <row r="584">
          <cell r="A584" t="str">
            <v>REF.</v>
          </cell>
          <cell r="B584" t="str">
            <v>MATERIAL CARPINTERIA DE MADERAS</v>
          </cell>
          <cell r="C584" t="str">
            <v>UNIDAD</v>
          </cell>
          <cell r="D584" t="str">
            <v>PRECIO</v>
          </cell>
          <cell r="E584" t="str">
            <v>TRANSPORTE</v>
          </cell>
        </row>
        <row r="586">
          <cell r="A586">
            <v>551</v>
          </cell>
          <cell r="B586" t="str">
            <v>Polin</v>
          </cell>
          <cell r="C586" t="str">
            <v>ML</v>
          </cell>
          <cell r="D586">
            <v>4000</v>
          </cell>
          <cell r="E586">
            <v>240</v>
          </cell>
        </row>
        <row r="587">
          <cell r="A587">
            <v>552</v>
          </cell>
          <cell r="B587" t="str">
            <v>Tabla burra de 0.30 x 3.00 mts</v>
          </cell>
          <cell r="C587" t="str">
            <v xml:space="preserve">UN </v>
          </cell>
          <cell r="D587">
            <v>17000</v>
          </cell>
          <cell r="E587">
            <v>1020</v>
          </cell>
        </row>
        <row r="588">
          <cell r="A588">
            <v>553</v>
          </cell>
          <cell r="B588" t="str">
            <v>Estacas, pintura, puntillas</v>
          </cell>
          <cell r="C588" t="str">
            <v>GLB</v>
          </cell>
          <cell r="D588">
            <v>900</v>
          </cell>
          <cell r="E588">
            <v>54</v>
          </cell>
        </row>
        <row r="589">
          <cell r="A589">
            <v>554</v>
          </cell>
          <cell r="B589" t="str">
            <v>Guadua</v>
          </cell>
          <cell r="C589" t="str">
            <v>ML</v>
          </cell>
          <cell r="D589">
            <v>2500</v>
          </cell>
          <cell r="E589">
            <v>150</v>
          </cell>
        </row>
        <row r="590">
          <cell r="A590">
            <v>555</v>
          </cell>
          <cell r="B590" t="str">
            <v>Liston de Madera</v>
          </cell>
          <cell r="C590" t="str">
            <v>UN</v>
          </cell>
          <cell r="D590">
            <v>800</v>
          </cell>
          <cell r="E590">
            <v>48</v>
          </cell>
        </row>
        <row r="591">
          <cell r="A591">
            <v>556</v>
          </cell>
          <cell r="E591">
            <v>0</v>
          </cell>
        </row>
        <row r="592">
          <cell r="A592">
            <v>557</v>
          </cell>
          <cell r="E592">
            <v>0</v>
          </cell>
        </row>
        <row r="593">
          <cell r="A593">
            <v>558</v>
          </cell>
          <cell r="E593">
            <v>0</v>
          </cell>
        </row>
        <row r="594">
          <cell r="A594">
            <v>559</v>
          </cell>
          <cell r="E594">
            <v>0</v>
          </cell>
        </row>
        <row r="595">
          <cell r="A595">
            <v>560</v>
          </cell>
          <cell r="E595">
            <v>0</v>
          </cell>
        </row>
        <row r="596">
          <cell r="A596">
            <v>561</v>
          </cell>
          <cell r="E596">
            <v>0</v>
          </cell>
        </row>
        <row r="597">
          <cell r="A597">
            <v>562</v>
          </cell>
          <cell r="E597">
            <v>0</v>
          </cell>
        </row>
        <row r="598">
          <cell r="A598">
            <v>563</v>
          </cell>
          <cell r="E598">
            <v>0</v>
          </cell>
        </row>
        <row r="599">
          <cell r="A599">
            <v>564</v>
          </cell>
          <cell r="E599">
            <v>0</v>
          </cell>
        </row>
        <row r="600">
          <cell r="A600">
            <v>565</v>
          </cell>
          <cell r="E600">
            <v>0</v>
          </cell>
        </row>
        <row r="601">
          <cell r="A601">
            <v>566</v>
          </cell>
          <cell r="E601">
            <v>0</v>
          </cell>
        </row>
        <row r="602">
          <cell r="A602">
            <v>567</v>
          </cell>
          <cell r="E602">
            <v>0</v>
          </cell>
        </row>
        <row r="603">
          <cell r="A603">
            <v>568</v>
          </cell>
          <cell r="E603">
            <v>0</v>
          </cell>
        </row>
        <row r="604">
          <cell r="A604">
            <v>569</v>
          </cell>
          <cell r="E604">
            <v>0</v>
          </cell>
        </row>
        <row r="605">
          <cell r="A605">
            <v>570</v>
          </cell>
          <cell r="E605">
            <v>0</v>
          </cell>
        </row>
        <row r="606">
          <cell r="A606">
            <v>571</v>
          </cell>
          <cell r="E606">
            <v>0</v>
          </cell>
        </row>
        <row r="607">
          <cell r="A607">
            <v>572</v>
          </cell>
          <cell r="E607">
            <v>0</v>
          </cell>
        </row>
        <row r="608">
          <cell r="A608">
            <v>573</v>
          </cell>
          <cell r="E608">
            <v>0</v>
          </cell>
        </row>
        <row r="609">
          <cell r="A609">
            <v>574</v>
          </cell>
          <cell r="E609">
            <v>0</v>
          </cell>
        </row>
        <row r="610">
          <cell r="A610">
            <v>575</v>
          </cell>
          <cell r="E610">
            <v>0</v>
          </cell>
        </row>
        <row r="611">
          <cell r="A611">
            <v>576</v>
          </cell>
          <cell r="E611">
            <v>0</v>
          </cell>
        </row>
        <row r="612">
          <cell r="A612">
            <v>577</v>
          </cell>
          <cell r="E612">
            <v>0</v>
          </cell>
        </row>
        <row r="613">
          <cell r="A613">
            <v>578</v>
          </cell>
          <cell r="E613">
            <v>0</v>
          </cell>
        </row>
        <row r="614">
          <cell r="A614">
            <v>579</v>
          </cell>
          <cell r="E614">
            <v>0</v>
          </cell>
        </row>
        <row r="615">
          <cell r="A615">
            <v>580</v>
          </cell>
          <cell r="E615">
            <v>0</v>
          </cell>
        </row>
        <row r="616">
          <cell r="A616">
            <v>581</v>
          </cell>
          <cell r="E616">
            <v>0</v>
          </cell>
        </row>
        <row r="617">
          <cell r="A617">
            <v>582</v>
          </cell>
          <cell r="E617">
            <v>0</v>
          </cell>
        </row>
        <row r="618">
          <cell r="A618">
            <v>583</v>
          </cell>
          <cell r="E618">
            <v>0</v>
          </cell>
        </row>
        <row r="619">
          <cell r="A619">
            <v>584</v>
          </cell>
          <cell r="E619">
            <v>0</v>
          </cell>
        </row>
        <row r="620">
          <cell r="A620">
            <v>585</v>
          </cell>
          <cell r="E620">
            <v>0</v>
          </cell>
        </row>
        <row r="621">
          <cell r="A621">
            <v>586</v>
          </cell>
          <cell r="E621">
            <v>0</v>
          </cell>
        </row>
        <row r="622">
          <cell r="A622">
            <v>587</v>
          </cell>
          <cell r="E622">
            <v>0</v>
          </cell>
        </row>
        <row r="623">
          <cell r="A623">
            <v>588</v>
          </cell>
          <cell r="E623">
            <v>0</v>
          </cell>
        </row>
        <row r="624">
          <cell r="A624">
            <v>589</v>
          </cell>
          <cell r="E624">
            <v>0</v>
          </cell>
        </row>
        <row r="625">
          <cell r="A625">
            <v>590</v>
          </cell>
          <cell r="E625">
            <v>0</v>
          </cell>
        </row>
        <row r="626">
          <cell r="A626">
            <v>591</v>
          </cell>
          <cell r="E626">
            <v>0</v>
          </cell>
        </row>
        <row r="627">
          <cell r="A627">
            <v>592</v>
          </cell>
          <cell r="E627">
            <v>0</v>
          </cell>
        </row>
        <row r="628">
          <cell r="A628">
            <v>593</v>
          </cell>
          <cell r="E628">
            <v>0</v>
          </cell>
        </row>
        <row r="629">
          <cell r="A629">
            <v>594</v>
          </cell>
          <cell r="E629">
            <v>0</v>
          </cell>
        </row>
        <row r="630">
          <cell r="A630">
            <v>595</v>
          </cell>
          <cell r="E630">
            <v>0</v>
          </cell>
        </row>
        <row r="631">
          <cell r="A631">
            <v>596</v>
          </cell>
          <cell r="E631">
            <v>0</v>
          </cell>
        </row>
        <row r="632">
          <cell r="A632">
            <v>597</v>
          </cell>
          <cell r="E632">
            <v>0</v>
          </cell>
        </row>
        <row r="633">
          <cell r="A633">
            <v>598</v>
          </cell>
          <cell r="E633">
            <v>0</v>
          </cell>
        </row>
        <row r="634">
          <cell r="A634">
            <v>599</v>
          </cell>
          <cell r="E634">
            <v>0</v>
          </cell>
        </row>
        <row r="635">
          <cell r="A635">
            <v>600</v>
          </cell>
          <cell r="E635">
            <v>0</v>
          </cell>
        </row>
        <row r="636">
          <cell r="A636">
            <v>601</v>
          </cell>
          <cell r="E636">
            <v>0</v>
          </cell>
        </row>
        <row r="637">
          <cell r="A637">
            <v>602</v>
          </cell>
          <cell r="E637">
            <v>0</v>
          </cell>
        </row>
        <row r="638">
          <cell r="A638">
            <v>603</v>
          </cell>
          <cell r="E638">
            <v>0</v>
          </cell>
        </row>
        <row r="639">
          <cell r="A639">
            <v>604</v>
          </cell>
          <cell r="E639">
            <v>0</v>
          </cell>
        </row>
        <row r="640">
          <cell r="A640">
            <v>605</v>
          </cell>
          <cell r="E640">
            <v>0</v>
          </cell>
        </row>
        <row r="641">
          <cell r="A641">
            <v>606</v>
          </cell>
          <cell r="E641">
            <v>0</v>
          </cell>
        </row>
        <row r="642">
          <cell r="A642">
            <v>607</v>
          </cell>
          <cell r="E642">
            <v>0</v>
          </cell>
        </row>
        <row r="643">
          <cell r="A643">
            <v>608</v>
          </cell>
          <cell r="E643">
            <v>0</v>
          </cell>
        </row>
        <row r="644">
          <cell r="A644">
            <v>609</v>
          </cell>
          <cell r="E644">
            <v>0</v>
          </cell>
        </row>
        <row r="645">
          <cell r="A645">
            <v>610</v>
          </cell>
          <cell r="E645">
            <v>0</v>
          </cell>
        </row>
        <row r="646">
          <cell r="A646">
            <v>611</v>
          </cell>
          <cell r="E646">
            <v>0</v>
          </cell>
        </row>
        <row r="647">
          <cell r="A647">
            <v>612</v>
          </cell>
          <cell r="E647">
            <v>0</v>
          </cell>
        </row>
        <row r="648">
          <cell r="A648">
            <v>613</v>
          </cell>
          <cell r="E648">
            <v>0</v>
          </cell>
        </row>
        <row r="649">
          <cell r="A649">
            <v>614</v>
          </cell>
          <cell r="E649">
            <v>0</v>
          </cell>
        </row>
        <row r="650">
          <cell r="A650">
            <v>615</v>
          </cell>
          <cell r="E650">
            <v>0</v>
          </cell>
        </row>
        <row r="651">
          <cell r="A651">
            <v>616</v>
          </cell>
          <cell r="E651">
            <v>0</v>
          </cell>
        </row>
        <row r="652">
          <cell r="A652">
            <v>617</v>
          </cell>
          <cell r="E652">
            <v>0</v>
          </cell>
        </row>
        <row r="653">
          <cell r="A653">
            <v>618</v>
          </cell>
          <cell r="E653">
            <v>0</v>
          </cell>
        </row>
        <row r="654">
          <cell r="A654">
            <v>619</v>
          </cell>
          <cell r="E654">
            <v>0</v>
          </cell>
        </row>
        <row r="655">
          <cell r="A655">
            <v>620</v>
          </cell>
          <cell r="E655">
            <v>0</v>
          </cell>
        </row>
        <row r="656">
          <cell r="A656">
            <v>621</v>
          </cell>
          <cell r="E656">
            <v>0</v>
          </cell>
        </row>
        <row r="657">
          <cell r="A657">
            <v>622</v>
          </cell>
          <cell r="E657">
            <v>0</v>
          </cell>
        </row>
        <row r="658">
          <cell r="A658">
            <v>623</v>
          </cell>
          <cell r="E658">
            <v>0</v>
          </cell>
        </row>
        <row r="659">
          <cell r="A659">
            <v>624</v>
          </cell>
          <cell r="E659">
            <v>0</v>
          </cell>
        </row>
        <row r="660">
          <cell r="A660">
            <v>625</v>
          </cell>
          <cell r="E660">
            <v>0</v>
          </cell>
        </row>
        <row r="661">
          <cell r="A661">
            <v>626</v>
          </cell>
          <cell r="E661">
            <v>0</v>
          </cell>
        </row>
        <row r="662">
          <cell r="A662">
            <v>627</v>
          </cell>
          <cell r="E662">
            <v>0</v>
          </cell>
        </row>
        <row r="663">
          <cell r="A663">
            <v>628</v>
          </cell>
          <cell r="E663">
            <v>0</v>
          </cell>
        </row>
        <row r="664">
          <cell r="A664">
            <v>629</v>
          </cell>
          <cell r="E664">
            <v>0</v>
          </cell>
        </row>
        <row r="665">
          <cell r="A665">
            <v>630</v>
          </cell>
          <cell r="E665">
            <v>0</v>
          </cell>
        </row>
        <row r="666">
          <cell r="A666">
            <v>631</v>
          </cell>
          <cell r="E666">
            <v>0</v>
          </cell>
        </row>
        <row r="667">
          <cell r="A667">
            <v>632</v>
          </cell>
          <cell r="E667">
            <v>0</v>
          </cell>
        </row>
        <row r="668">
          <cell r="A668">
            <v>633</v>
          </cell>
          <cell r="E668">
            <v>0</v>
          </cell>
        </row>
        <row r="669">
          <cell r="A669">
            <v>634</v>
          </cell>
          <cell r="E669">
            <v>0</v>
          </cell>
        </row>
        <row r="670">
          <cell r="A670">
            <v>635</v>
          </cell>
          <cell r="E670">
            <v>0</v>
          </cell>
        </row>
        <row r="671">
          <cell r="A671">
            <v>636</v>
          </cell>
          <cell r="E671">
            <v>0</v>
          </cell>
        </row>
        <row r="672">
          <cell r="A672">
            <v>637</v>
          </cell>
          <cell r="E672">
            <v>0</v>
          </cell>
        </row>
        <row r="673">
          <cell r="A673">
            <v>638</v>
          </cell>
          <cell r="E673">
            <v>0</v>
          </cell>
        </row>
        <row r="674">
          <cell r="A674">
            <v>639</v>
          </cell>
          <cell r="E674">
            <v>0</v>
          </cell>
        </row>
        <row r="675">
          <cell r="A675">
            <v>640</v>
          </cell>
          <cell r="E675">
            <v>0</v>
          </cell>
        </row>
        <row r="676">
          <cell r="A676">
            <v>641</v>
          </cell>
          <cell r="E676">
            <v>0</v>
          </cell>
        </row>
        <row r="677">
          <cell r="A677">
            <v>642</v>
          </cell>
          <cell r="E677">
            <v>0</v>
          </cell>
        </row>
        <row r="678">
          <cell r="A678">
            <v>643</v>
          </cell>
          <cell r="E678">
            <v>0</v>
          </cell>
        </row>
        <row r="679">
          <cell r="A679">
            <v>644</v>
          </cell>
          <cell r="E679">
            <v>0</v>
          </cell>
        </row>
        <row r="680">
          <cell r="A680">
            <v>645</v>
          </cell>
          <cell r="E680">
            <v>0</v>
          </cell>
        </row>
        <row r="681">
          <cell r="A681">
            <v>646</v>
          </cell>
          <cell r="E681">
            <v>0</v>
          </cell>
        </row>
        <row r="682">
          <cell r="A682">
            <v>647</v>
          </cell>
          <cell r="E682">
            <v>0</v>
          </cell>
        </row>
        <row r="683">
          <cell r="A683">
            <v>648</v>
          </cell>
          <cell r="E683">
            <v>0</v>
          </cell>
        </row>
        <row r="684">
          <cell r="A684">
            <v>649</v>
          </cell>
          <cell r="E684">
            <v>0</v>
          </cell>
        </row>
        <row r="685">
          <cell r="E685">
            <v>0</v>
          </cell>
        </row>
        <row r="686">
          <cell r="E686">
            <v>0</v>
          </cell>
        </row>
        <row r="687">
          <cell r="E687">
            <v>0</v>
          </cell>
        </row>
        <row r="688">
          <cell r="E688">
            <v>0</v>
          </cell>
        </row>
        <row r="689">
          <cell r="E689">
            <v>0</v>
          </cell>
        </row>
        <row r="690">
          <cell r="E690">
            <v>0</v>
          </cell>
        </row>
        <row r="691">
          <cell r="E691">
            <v>0</v>
          </cell>
        </row>
        <row r="692">
          <cell r="B692" t="str">
            <v>PUNTILLA 1 A 3"</v>
          </cell>
          <cell r="C692" t="str">
            <v>KG</v>
          </cell>
          <cell r="D692">
            <v>1500</v>
          </cell>
          <cell r="E692">
            <v>90</v>
          </cell>
        </row>
        <row r="693">
          <cell r="B693" t="str">
            <v>ALAMBRE NEGRO No 18</v>
          </cell>
          <cell r="C693" t="str">
            <v>KG</v>
          </cell>
          <cell r="D693">
            <v>2250</v>
          </cell>
          <cell r="E693">
            <v>135</v>
          </cell>
        </row>
        <row r="694">
          <cell r="B694" t="str">
            <v>POLIN</v>
          </cell>
          <cell r="C694" t="str">
            <v>ML</v>
          </cell>
          <cell r="D694">
            <v>1500</v>
          </cell>
          <cell r="E694">
            <v>90</v>
          </cell>
        </row>
        <row r="695">
          <cell r="B695" t="str">
            <v>CEMENTO</v>
          </cell>
          <cell r="C695" t="str">
            <v>KG</v>
          </cell>
          <cell r="D695">
            <v>300</v>
          </cell>
          <cell r="E695">
            <v>18</v>
          </cell>
        </row>
        <row r="696">
          <cell r="B696" t="str">
            <v xml:space="preserve">ARENA </v>
          </cell>
          <cell r="C696" t="str">
            <v>M³</v>
          </cell>
          <cell r="D696">
            <v>20000</v>
          </cell>
          <cell r="E696">
            <v>1200</v>
          </cell>
        </row>
        <row r="697">
          <cell r="B697" t="str">
            <v>GRAVILLA TRITURADA</v>
          </cell>
          <cell r="C697" t="str">
            <v>M³</v>
          </cell>
          <cell r="D697">
            <v>54000</v>
          </cell>
          <cell r="E697">
            <v>3240</v>
          </cell>
        </row>
        <row r="698">
          <cell r="B698" t="str">
            <v>AGUA</v>
          </cell>
          <cell r="C698" t="str">
            <v>LT</v>
          </cell>
          <cell r="D698">
            <v>5</v>
          </cell>
          <cell r="E698">
            <v>0.3</v>
          </cell>
        </row>
        <row r="699">
          <cell r="B699" t="str">
            <v xml:space="preserve">RECEBO </v>
          </cell>
          <cell r="C699" t="str">
            <v>M³</v>
          </cell>
          <cell r="D699">
            <v>16000</v>
          </cell>
          <cell r="E699">
            <v>960</v>
          </cell>
        </row>
        <row r="700">
          <cell r="B700" t="str">
            <v>HIERRO No 5</v>
          </cell>
          <cell r="C700" t="str">
            <v>KG</v>
          </cell>
          <cell r="D700">
            <v>2200</v>
          </cell>
          <cell r="E700">
            <v>132</v>
          </cell>
        </row>
        <row r="701">
          <cell r="B701" t="str">
            <v>HIERRO DE 3/8</v>
          </cell>
          <cell r="C701" t="str">
            <v>KG</v>
          </cell>
          <cell r="D701">
            <v>2200</v>
          </cell>
          <cell r="E701">
            <v>132</v>
          </cell>
        </row>
        <row r="702">
          <cell r="B702" t="str">
            <v>MALLA ELECTROSOLDADA Q2</v>
          </cell>
          <cell r="C702" t="str">
            <v>Und</v>
          </cell>
          <cell r="D702">
            <v>43000</v>
          </cell>
          <cell r="E702">
            <v>2580</v>
          </cell>
        </row>
        <row r="703">
          <cell r="B703" t="str">
            <v>LADRILLO TOLETE</v>
          </cell>
          <cell r="C703" t="str">
            <v>Und</v>
          </cell>
          <cell r="D703">
            <v>240</v>
          </cell>
          <cell r="E703">
            <v>14.399999999999999</v>
          </cell>
        </row>
        <row r="704">
          <cell r="B704" t="str">
            <v>BLOQUE No 5 HUECO 12X20X30</v>
          </cell>
          <cell r="C704" t="str">
            <v>Und</v>
          </cell>
          <cell r="D704">
            <v>670</v>
          </cell>
          <cell r="E704">
            <v>40.199999999999996</v>
          </cell>
        </row>
        <row r="705">
          <cell r="B705" t="str">
            <v>ARENA FINA</v>
          </cell>
          <cell r="C705" t="str">
            <v>M³</v>
          </cell>
          <cell r="D705">
            <v>20000</v>
          </cell>
          <cell r="E705">
            <v>1200</v>
          </cell>
        </row>
        <row r="706">
          <cell r="B706" t="str">
            <v>MALLA GALLINERO</v>
          </cell>
          <cell r="C706" t="str">
            <v>M²</v>
          </cell>
          <cell r="D706">
            <v>1250</v>
          </cell>
          <cell r="E706">
            <v>75</v>
          </cell>
        </row>
        <row r="707">
          <cell r="B707" t="str">
            <v>PINTURA EN ESMALTE</v>
          </cell>
          <cell r="C707" t="str">
            <v>GAL</v>
          </cell>
          <cell r="D707">
            <v>39600</v>
          </cell>
          <cell r="E707">
            <v>2376</v>
          </cell>
        </row>
        <row r="708">
          <cell r="B708" t="str">
            <v>VENTANA CUADRADA (0.50X0.50) INCLUYE VIDRIO</v>
          </cell>
          <cell r="C708" t="str">
            <v>Und</v>
          </cell>
          <cell r="D708">
            <v>80000</v>
          </cell>
          <cell r="E708">
            <v>4800</v>
          </cell>
        </row>
        <row r="709">
          <cell r="B709" t="str">
            <v>TEJA TERMOACUSTIC + CABELLETE</v>
          </cell>
          <cell r="C709" t="str">
            <v>M2</v>
          </cell>
          <cell r="D709">
            <v>24000</v>
          </cell>
          <cell r="E709">
            <v>1440</v>
          </cell>
        </row>
        <row r="710">
          <cell r="B710" t="str">
            <v>TORNILLO FIJA ALA</v>
          </cell>
          <cell r="C710" t="str">
            <v>Und.</v>
          </cell>
          <cell r="D710">
            <v>350</v>
          </cell>
          <cell r="E710">
            <v>21</v>
          </cell>
        </row>
        <row r="711">
          <cell r="B711" t="str">
            <v>TORNILLO AUTOPERFORANTE</v>
          </cell>
          <cell r="C711" t="str">
            <v>Und.</v>
          </cell>
          <cell r="D711">
            <v>300</v>
          </cell>
          <cell r="E711">
            <v>18</v>
          </cell>
        </row>
        <row r="712">
          <cell r="B712" t="str">
            <v>GRANIPLAST</v>
          </cell>
          <cell r="C712" t="str">
            <v>KG</v>
          </cell>
          <cell r="D712">
            <v>1200</v>
          </cell>
          <cell r="E712">
            <v>72</v>
          </cell>
        </row>
        <row r="713">
          <cell r="B713" t="str">
            <v>GRANITO #2</v>
          </cell>
          <cell r="C713" t="str">
            <v>BT</v>
          </cell>
          <cell r="D713">
            <v>6000</v>
          </cell>
          <cell r="E713">
            <v>360</v>
          </cell>
        </row>
        <row r="714">
          <cell r="B714" t="str">
            <v>TUBERIA PVC 4" SANITARIA</v>
          </cell>
          <cell r="C714" t="str">
            <v>ML</v>
          </cell>
          <cell r="D714">
            <v>6000</v>
          </cell>
          <cell r="E714">
            <v>360</v>
          </cell>
        </row>
        <row r="715">
          <cell r="B715" t="str">
            <v>ACCESORIOS</v>
          </cell>
          <cell r="C715" t="str">
            <v>Und</v>
          </cell>
          <cell r="D715">
            <v>2500</v>
          </cell>
          <cell r="E715">
            <v>150</v>
          </cell>
        </row>
        <row r="716">
          <cell r="B716" t="str">
            <v>CANALETA ACESCO 90X12</v>
          </cell>
          <cell r="C716" t="str">
            <v>ML</v>
          </cell>
          <cell r="D716">
            <v>20625</v>
          </cell>
          <cell r="E716">
            <v>1237.5</v>
          </cell>
        </row>
        <row r="717">
          <cell r="B717" t="str">
            <v>TUBOS FLUORESENTES 1.80 m</v>
          </cell>
          <cell r="C717" t="str">
            <v>Und.</v>
          </cell>
          <cell r="D717">
            <v>5000</v>
          </cell>
          <cell r="E717">
            <v>300</v>
          </cell>
        </row>
        <row r="718">
          <cell r="B718" t="str">
            <v>BALASTRA</v>
          </cell>
          <cell r="C718" t="str">
            <v>Und.</v>
          </cell>
          <cell r="D718">
            <v>27000</v>
          </cell>
          <cell r="E718">
            <v>1620</v>
          </cell>
        </row>
        <row r="719">
          <cell r="B719" t="str">
            <v>FOCKER</v>
          </cell>
          <cell r="C719" t="str">
            <v>Und.</v>
          </cell>
          <cell r="D719">
            <v>1100</v>
          </cell>
          <cell r="E719">
            <v>66</v>
          </cell>
        </row>
        <row r="720">
          <cell r="B720" t="str">
            <v>ALAMBRE TW #12</v>
          </cell>
          <cell r="C720" t="str">
            <v>ML</v>
          </cell>
          <cell r="D720">
            <v>600</v>
          </cell>
          <cell r="E720">
            <v>36</v>
          </cell>
        </row>
        <row r="721">
          <cell r="B721" t="str">
            <v>TUBO CONDUIT PVC 1/2"</v>
          </cell>
          <cell r="C721" t="str">
            <v>ML</v>
          </cell>
          <cell r="D721">
            <v>1100</v>
          </cell>
          <cell r="E721">
            <v>66</v>
          </cell>
        </row>
        <row r="722">
          <cell r="B722" t="str">
            <v>CAJILLA TACOS</v>
          </cell>
          <cell r="C722" t="str">
            <v>Und.</v>
          </cell>
          <cell r="D722">
            <v>7000</v>
          </cell>
          <cell r="E722">
            <v>420</v>
          </cell>
        </row>
        <row r="723">
          <cell r="B723" t="str">
            <v>INTERRUPTORES</v>
          </cell>
          <cell r="C723" t="str">
            <v>Und.</v>
          </cell>
          <cell r="D723">
            <v>2900</v>
          </cell>
          <cell r="E723">
            <v>174</v>
          </cell>
        </row>
        <row r="724">
          <cell r="B724" t="str">
            <v>VARILLA DE COBRE DE 1.80M D= 1/2"</v>
          </cell>
          <cell r="C724" t="str">
            <v>Und</v>
          </cell>
          <cell r="D724">
            <v>40000</v>
          </cell>
          <cell r="E724">
            <v>2400</v>
          </cell>
        </row>
        <row r="725">
          <cell r="B725" t="str">
            <v>ALAMBRE COBRE No 10</v>
          </cell>
          <cell r="C725" t="str">
            <v>ML</v>
          </cell>
          <cell r="D725">
            <v>1100</v>
          </cell>
          <cell r="E725">
            <v>66</v>
          </cell>
        </row>
        <row r="726">
          <cell r="B726" t="str">
            <v xml:space="preserve">ACOMETIDA EXTERNA </v>
          </cell>
          <cell r="C726" t="str">
            <v>GL</v>
          </cell>
          <cell r="D726">
            <v>500000</v>
          </cell>
          <cell r="E726">
            <v>30000</v>
          </cell>
        </row>
        <row r="727">
          <cell r="B727" t="str">
            <v xml:space="preserve">CANALETA EN LAMINA GALVANIZADA  0.25X0.35M, INCLUYE ANGULO Y SUPLEMENTO </v>
          </cell>
          <cell r="C727" t="str">
            <v>ML</v>
          </cell>
          <cell r="D727">
            <v>90000</v>
          </cell>
          <cell r="E727">
            <v>5400</v>
          </cell>
        </row>
        <row r="728">
          <cell r="B728" t="str">
            <v>ANGULO DE 2 1/2" X 3/16"</v>
          </cell>
          <cell r="C728" t="str">
            <v>ML</v>
          </cell>
          <cell r="D728">
            <v>71000</v>
          </cell>
          <cell r="E728">
            <v>4260</v>
          </cell>
        </row>
        <row r="729">
          <cell r="B729" t="str">
            <v>NIPLE GALVANIZADO 1/2"</v>
          </cell>
          <cell r="C729" t="str">
            <v>Und</v>
          </cell>
          <cell r="D729">
            <v>600</v>
          </cell>
          <cell r="E729">
            <v>36</v>
          </cell>
        </row>
        <row r="730">
          <cell r="B730" t="str">
            <v>DILATACION EN VIDRIO</v>
          </cell>
          <cell r="C730" t="str">
            <v>ML</v>
          </cell>
          <cell r="D730">
            <v>200</v>
          </cell>
          <cell r="E730">
            <v>12</v>
          </cell>
        </row>
        <row r="731">
          <cell r="B731" t="str">
            <v>ESTUCO PLASTICO PARA INTERIORES</v>
          </cell>
          <cell r="C731" t="str">
            <v>Gal</v>
          </cell>
          <cell r="D731">
            <v>12500</v>
          </cell>
          <cell r="E731">
            <v>750</v>
          </cell>
        </row>
        <row r="732">
          <cell r="B732" t="str">
            <v>VINILO VINILTEX TIPO I</v>
          </cell>
          <cell r="C732" t="str">
            <v>GaL</v>
          </cell>
          <cell r="D732">
            <v>41500</v>
          </cell>
          <cell r="E732">
            <v>2490</v>
          </cell>
        </row>
        <row r="733">
          <cell r="B733" t="str">
            <v>MORTERO 1:4</v>
          </cell>
          <cell r="C733" t="str">
            <v>M³</v>
          </cell>
          <cell r="D733">
            <v>442068</v>
          </cell>
          <cell r="E733">
            <v>26524.079999999998</v>
          </cell>
        </row>
        <row r="734">
          <cell r="B734" t="str">
            <v>BALDOSA DUROPISO MANCESA  30X30</v>
          </cell>
          <cell r="C734" t="str">
            <v>M²</v>
          </cell>
          <cell r="D734">
            <v>20500</v>
          </cell>
          <cell r="E734">
            <v>1230</v>
          </cell>
        </row>
        <row r="735">
          <cell r="B735" t="str">
            <v>CEMENTO BLANCO</v>
          </cell>
          <cell r="C735" t="str">
            <v>KG</v>
          </cell>
          <cell r="D735">
            <v>970</v>
          </cell>
          <cell r="E735">
            <v>58.199999999999996</v>
          </cell>
        </row>
        <row r="736">
          <cell r="B736" t="str">
            <v>CONCRETO DE 3000 PSI</v>
          </cell>
          <cell r="C736" t="str">
            <v>M³</v>
          </cell>
          <cell r="D736" t="e">
            <v>#REF!</v>
          </cell>
          <cell r="E736" t="e">
            <v>#REF!</v>
          </cell>
        </row>
        <row r="737">
          <cell r="B737" t="str">
            <v>PROCTOR MODIFICADO</v>
          </cell>
          <cell r="C737" t="str">
            <v>Und</v>
          </cell>
          <cell r="D737">
            <v>70000</v>
          </cell>
          <cell r="E737">
            <v>4200</v>
          </cell>
        </row>
        <row r="738">
          <cell r="B738" t="str">
            <v>ENSAYO DE LABORATORIO</v>
          </cell>
          <cell r="C738" t="str">
            <v>M³</v>
          </cell>
          <cell r="D738">
            <v>3500</v>
          </cell>
          <cell r="E738">
            <v>210</v>
          </cell>
        </row>
        <row r="739">
          <cell r="B739" t="str">
            <v>TUBERIA PRESION PVC 1/2"</v>
          </cell>
          <cell r="C739" t="str">
            <v>ML</v>
          </cell>
          <cell r="D739">
            <v>1150</v>
          </cell>
          <cell r="E739">
            <v>69</v>
          </cell>
        </row>
        <row r="740">
          <cell r="B740" t="str">
            <v>ADAPTADOR MACHO 1/2</v>
          </cell>
          <cell r="C740" t="str">
            <v>Und</v>
          </cell>
          <cell r="D740">
            <v>300</v>
          </cell>
          <cell r="E740">
            <v>18</v>
          </cell>
        </row>
        <row r="741">
          <cell r="B741" t="str">
            <v>CODO PVC 1/2"</v>
          </cell>
          <cell r="C741" t="str">
            <v>Und</v>
          </cell>
          <cell r="D741">
            <v>300</v>
          </cell>
          <cell r="E741">
            <v>18</v>
          </cell>
        </row>
        <row r="742">
          <cell r="B742" t="str">
            <v>TEE GALVANIZADA DE 1/2"</v>
          </cell>
          <cell r="C742" t="str">
            <v>Und</v>
          </cell>
          <cell r="D742">
            <v>600</v>
          </cell>
          <cell r="E742">
            <v>36</v>
          </cell>
        </row>
        <row r="743">
          <cell r="B743" t="str">
            <v xml:space="preserve">IMPREMANTE </v>
          </cell>
          <cell r="C743" t="str">
            <v>GL</v>
          </cell>
          <cell r="D743">
            <v>22000</v>
          </cell>
          <cell r="E743">
            <v>1320</v>
          </cell>
        </row>
        <row r="744">
          <cell r="B744" t="str">
            <v>MANTO FIBERGLASS 600 XT</v>
          </cell>
          <cell r="C744" t="str">
            <v>M²</v>
          </cell>
          <cell r="D744">
            <v>11500</v>
          </cell>
          <cell r="E744">
            <v>690</v>
          </cell>
        </row>
        <row r="745">
          <cell r="B745" t="str">
            <v>CONCRETO DE 2500 PSI</v>
          </cell>
          <cell r="C745" t="str">
            <v>M³</v>
          </cell>
          <cell r="E745">
            <v>0</v>
          </cell>
        </row>
        <row r="746">
          <cell r="B746" t="str">
            <v>ENSAYO DE LABORATORIO</v>
          </cell>
          <cell r="C746" t="str">
            <v>M³</v>
          </cell>
          <cell r="D746">
            <v>5000</v>
          </cell>
          <cell r="E746">
            <v>300</v>
          </cell>
        </row>
        <row r="747">
          <cell r="B747" t="str">
            <v>TUBERIA PVC 3" SANITARIA</v>
          </cell>
          <cell r="C747" t="str">
            <v>ML</v>
          </cell>
          <cell r="D747">
            <v>4850</v>
          </cell>
          <cell r="E747">
            <v>291</v>
          </cell>
        </row>
        <row r="748">
          <cell r="B748" t="str">
            <v>CODO 3"X90 CXC SANITARIO</v>
          </cell>
          <cell r="C748" t="str">
            <v>Und</v>
          </cell>
          <cell r="D748">
            <v>3400</v>
          </cell>
          <cell r="E748">
            <v>204</v>
          </cell>
        </row>
        <row r="749">
          <cell r="B749" t="str">
            <v>CODO 4"X90 CXC SANITARIO</v>
          </cell>
          <cell r="C749" t="str">
            <v>Und</v>
          </cell>
          <cell r="D749">
            <v>5500</v>
          </cell>
          <cell r="E749">
            <v>330</v>
          </cell>
        </row>
        <row r="750">
          <cell r="B750" t="str">
            <v xml:space="preserve">LIMPIADOR PVC </v>
          </cell>
          <cell r="C750" t="str">
            <v>Und</v>
          </cell>
          <cell r="D750">
            <v>12500</v>
          </cell>
          <cell r="E750">
            <v>750</v>
          </cell>
        </row>
        <row r="751">
          <cell r="B751" t="str">
            <v>SOLDADURA PVC</v>
          </cell>
          <cell r="C751" t="str">
            <v>Und</v>
          </cell>
          <cell r="D751">
            <v>3500</v>
          </cell>
          <cell r="E751">
            <v>210</v>
          </cell>
        </row>
        <row r="752">
          <cell r="B752" t="str">
            <v>TUBERIA PVC 4" SANITARIA</v>
          </cell>
          <cell r="C752" t="str">
            <v>ML</v>
          </cell>
          <cell r="D752">
            <v>7000</v>
          </cell>
          <cell r="E752">
            <v>420</v>
          </cell>
        </row>
        <row r="753">
          <cell r="B753" t="str">
            <v xml:space="preserve">Arena </v>
          </cell>
          <cell r="C753" t="str">
            <v>M3</v>
          </cell>
          <cell r="D753">
            <v>35000</v>
          </cell>
          <cell r="E753">
            <v>2100</v>
          </cell>
        </row>
        <row r="754">
          <cell r="B754" t="str">
            <v>Gravilla</v>
          </cell>
          <cell r="C754" t="str">
            <v>M3</v>
          </cell>
          <cell r="D754">
            <v>40000</v>
          </cell>
          <cell r="E754">
            <v>2400</v>
          </cell>
        </row>
        <row r="755">
          <cell r="B755" t="str">
            <v>Varilla de 1/2"</v>
          </cell>
          <cell r="C755" t="str">
            <v>ML</v>
          </cell>
          <cell r="D755">
            <v>1900</v>
          </cell>
          <cell r="E755">
            <v>114</v>
          </cell>
        </row>
        <row r="756">
          <cell r="B756" t="str">
            <v>Platina 11/2" x 3/16</v>
          </cell>
          <cell r="C756" t="str">
            <v>ML</v>
          </cell>
          <cell r="D756">
            <v>3600</v>
          </cell>
          <cell r="E756">
            <v>216</v>
          </cell>
        </row>
        <row r="757">
          <cell r="B757" t="str">
            <v>Angulo de 2 1/2" x 1/4</v>
          </cell>
          <cell r="C757" t="str">
            <v>ML</v>
          </cell>
          <cell r="D757">
            <v>13300</v>
          </cell>
          <cell r="E757">
            <v>798</v>
          </cell>
        </row>
        <row r="758">
          <cell r="B758" t="str">
            <v>Angulo de 11/2" x 3/16</v>
          </cell>
          <cell r="C758" t="str">
            <v>ML</v>
          </cell>
          <cell r="D758">
            <v>6400</v>
          </cell>
          <cell r="E758">
            <v>384</v>
          </cell>
        </row>
        <row r="759">
          <cell r="B759" t="str">
            <v>Varilla de 5/8" Corrugada</v>
          </cell>
          <cell r="C759" t="str">
            <v>ML</v>
          </cell>
          <cell r="D759">
            <v>3300</v>
          </cell>
          <cell r="E759">
            <v>198</v>
          </cell>
        </row>
        <row r="760">
          <cell r="B760" t="str">
            <v>Corredera</v>
          </cell>
          <cell r="C760" t="str">
            <v>UN</v>
          </cell>
          <cell r="D760">
            <v>1200</v>
          </cell>
          <cell r="E760">
            <v>72</v>
          </cell>
        </row>
        <row r="761">
          <cell r="B761" t="str">
            <v>Chapa marca Vera sencilla</v>
          </cell>
          <cell r="C761" t="str">
            <v>UN</v>
          </cell>
          <cell r="D761">
            <v>25000</v>
          </cell>
          <cell r="E761">
            <v>1500</v>
          </cell>
        </row>
        <row r="762">
          <cell r="B762" t="str">
            <v>Corredera</v>
          </cell>
          <cell r="C762" t="str">
            <v>UN</v>
          </cell>
          <cell r="D762">
            <v>2500</v>
          </cell>
          <cell r="E762">
            <v>150</v>
          </cell>
        </row>
        <row r="763">
          <cell r="B763" t="str">
            <v>Angulo de 11/2"x1/8"</v>
          </cell>
          <cell r="C763" t="str">
            <v>ML</v>
          </cell>
          <cell r="D763">
            <v>6500</v>
          </cell>
          <cell r="E763">
            <v>390</v>
          </cell>
        </row>
        <row r="764">
          <cell r="B764" t="str">
            <v>Correa tipo canal</v>
          </cell>
          <cell r="C764" t="str">
            <v>ML</v>
          </cell>
          <cell r="D764">
            <v>6600</v>
          </cell>
          <cell r="E764">
            <v>396</v>
          </cell>
        </row>
        <row r="765">
          <cell r="B765" t="str">
            <v>Perno de 3/4"</v>
          </cell>
          <cell r="C765" t="str">
            <v>UN</v>
          </cell>
          <cell r="D765">
            <v>1500</v>
          </cell>
          <cell r="E765">
            <v>90</v>
          </cell>
        </row>
        <row r="766">
          <cell r="B766" t="str">
            <v>Malla eslabonada de 2x2 cal 10</v>
          </cell>
          <cell r="C766" t="str">
            <v>M2</v>
          </cell>
          <cell r="D766">
            <v>10000</v>
          </cell>
          <cell r="E766">
            <v>600</v>
          </cell>
        </row>
        <row r="767">
          <cell r="B767" t="str">
            <v>Tubo galvanizado de 2"</v>
          </cell>
          <cell r="C767" t="str">
            <v>ML</v>
          </cell>
          <cell r="D767">
            <v>8000</v>
          </cell>
          <cell r="E767">
            <v>480</v>
          </cell>
        </row>
        <row r="768">
          <cell r="B768" t="str">
            <v>Angulo de 1"x1/8"</v>
          </cell>
          <cell r="C768" t="str">
            <v>ML</v>
          </cell>
          <cell r="D768">
            <v>2000</v>
          </cell>
          <cell r="E768">
            <v>120</v>
          </cell>
        </row>
        <row r="769">
          <cell r="B769" t="str">
            <v>Platina de 1/2"x1/8"</v>
          </cell>
          <cell r="C769" t="str">
            <v>ML</v>
          </cell>
          <cell r="D769">
            <v>1300</v>
          </cell>
          <cell r="E769">
            <v>78</v>
          </cell>
        </row>
      </sheetData>
      <sheetData sheetId="1" refreshError="1"/>
      <sheetData sheetId="2" refreshError="1"/>
      <sheetData sheetId="3" refreshError="1"/>
      <sheetData sheetId="4" refreshError="1"/>
      <sheetData sheetId="5" refreshError="1"/>
      <sheetData sheetId="6" refreshError="1"/>
      <sheetData sheetId="7"/>
      <sheetData sheetId="8" refreshError="1"/>
      <sheetData sheetId="9"/>
      <sheetData sheetId="10" refreshError="1"/>
      <sheetData sheetId="11" refreshError="1"/>
      <sheetData sheetId="12"/>
      <sheetData sheetId="13" refreshError="1"/>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sheetData sheetId="38"/>
      <sheetData sheetId="39" refreshError="1"/>
      <sheetData sheetId="40" refreshError="1"/>
      <sheetData sheetId="41"/>
      <sheetData sheetId="42" refreshError="1"/>
      <sheetData sheetId="43"/>
      <sheetData sheetId="44"/>
      <sheetData sheetId="45"/>
      <sheetData sheetId="46" refreshError="1"/>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MODELO APU"/>
      <sheetName val="APUB1"/>
      <sheetName val="APUB2"/>
      <sheetName val="APUB3"/>
      <sheetName val="APUB4"/>
      <sheetName val="APUB5"/>
      <sheetName val="MEMORIAS"/>
      <sheetName val="PRESUPUESTO RIVERA CIC"/>
      <sheetName val="LOCALIZACION Y REPLANTEO"/>
      <sheetName val="CERRAMIENTO PROV."/>
      <sheetName val="DEMOLICION"/>
      <sheetName val="DEMOLICION  DE  PAVIMENTO"/>
      <sheetName val="NIVELACION DE TAPAS"/>
      <sheetName val="EXCAV. MANUAL"/>
      <sheetName val="EXCAV.  ROCA"/>
      <sheetName val="CORTE DE TERRENO"/>
      <sheetName val="RELLENO"/>
      <sheetName val="SARDINEL"/>
      <sheetName val="BORDILLO FUND. ,20X,20 "/>
      <sheetName val="BORDILLO PREFABRICADO"/>
      <sheetName val="PISO"/>
      <sheetName val="CONC. ESTAMPADO"/>
      <sheetName val="L. TOPEROL"/>
      <sheetName val="L. VERDE CLARA. LISA"/>
      <sheetName val="L. CHOCOLATE LISA"/>
      <sheetName val="ADOQ.REC-VERDE"/>
      <sheetName val="ADOQ.REC-CHOC"/>
      <sheetName val="ADOQ.REC-GRIS"/>
      <sheetName val="PISO-CAUCHO"/>
      <sheetName val="GRAMA-SINT"/>
      <sheetName val="PISO-MALLA"/>
      <sheetName val="BROD-MATERAS"/>
      <sheetName val="MATERA-RED"/>
      <sheetName val="BANCA M30"/>
      <sheetName val="BOLARDOS"/>
      <sheetName val="PROTECTOR ARBOL"/>
      <sheetName val="ALCORQUE"/>
      <sheetName val="CANECA MEDIANA"/>
      <sheetName val="CICLOPARQUEO"/>
      <sheetName val="DISPENSADORES"/>
      <sheetName val="CEBRA"/>
      <sheetName val="RELOJ"/>
      <sheetName val="FLECHA"/>
      <sheetName val="PARE"/>
      <sheetName val="SENALIZACION VIAL VERTICAL"/>
      <sheetName val="LINEAS BORDE"/>
      <sheetName val="ARBUSTOS"/>
      <sheetName val="GRAMA"/>
      <sheetName val="LOGO"/>
      <sheetName val="LUMINARIA"/>
      <sheetName val="REFLECTOR"/>
      <sheetName val="ACOMETIDA"/>
      <sheetName val="CIMENTACION"/>
      <sheetName val="VIGA AEREA"/>
      <sheetName val="COLUMNETA"/>
      <sheetName val="ALFAJIA"/>
      <sheetName val="P.PISO"/>
      <sheetName val="ALISTADO"/>
      <sheetName val="MURO"/>
      <sheetName val="PAÑETES"/>
      <sheetName val="EN.PISO"/>
      <sheetName val="EN. PARED"/>
      <sheetName val="GUARDAES"/>
      <sheetName val="MESON"/>
    </sheetNames>
    <sheetDataSet>
      <sheetData sheetId="0">
        <row r="1">
          <cell r="A1" t="str">
            <v>REF.</v>
          </cell>
          <cell r="B1" t="str">
            <v>MATERIAL PLAYA</v>
          </cell>
          <cell r="C1" t="str">
            <v>UNIDAD</v>
          </cell>
          <cell r="D1" t="str">
            <v>PRECIO</v>
          </cell>
          <cell r="E1" t="str">
            <v>TRANSPORTE</v>
          </cell>
        </row>
        <row r="2">
          <cell r="A2">
            <v>1</v>
          </cell>
          <cell r="B2" t="str">
            <v>Abono agricola</v>
          </cell>
          <cell r="C2" t="str">
            <v>KG</v>
          </cell>
          <cell r="D2">
            <v>3800</v>
          </cell>
          <cell r="E2">
            <v>228</v>
          </cell>
        </row>
        <row r="3">
          <cell r="A3">
            <v>2</v>
          </cell>
          <cell r="B3" t="str">
            <v>Arena fina</v>
          </cell>
          <cell r="C3" t="str">
            <v>M3</v>
          </cell>
          <cell r="D3">
            <v>60000</v>
          </cell>
          <cell r="E3">
            <v>20000</v>
          </cell>
        </row>
        <row r="4">
          <cell r="A4">
            <v>3</v>
          </cell>
          <cell r="B4" t="str">
            <v>Arena para concreto</v>
          </cell>
          <cell r="C4" t="str">
            <v>M3</v>
          </cell>
          <cell r="D4">
            <v>65000</v>
          </cell>
          <cell r="E4">
            <v>20000</v>
          </cell>
        </row>
        <row r="5">
          <cell r="A5">
            <v>4</v>
          </cell>
          <cell r="B5" t="str">
            <v>Base granular (debe cumplir con especificaciòn Art.330/02 INVIAS,e=0.2 mts</v>
          </cell>
          <cell r="C5" t="str">
            <v>M3</v>
          </cell>
          <cell r="D5">
            <v>63854</v>
          </cell>
          <cell r="E5">
            <v>3831.24</v>
          </cell>
        </row>
        <row r="6">
          <cell r="A6">
            <v>5</v>
          </cell>
          <cell r="B6" t="str">
            <v>Grama</v>
          </cell>
          <cell r="C6" t="str">
            <v>M2</v>
          </cell>
          <cell r="D6">
            <v>2000</v>
          </cell>
          <cell r="E6">
            <v>120</v>
          </cell>
        </row>
        <row r="7">
          <cell r="A7">
            <v>6</v>
          </cell>
          <cell r="B7" t="str">
            <v>GRANITO #2</v>
          </cell>
          <cell r="C7" t="str">
            <v>BT</v>
          </cell>
          <cell r="D7">
            <v>6000</v>
          </cell>
          <cell r="E7">
            <v>360</v>
          </cell>
        </row>
        <row r="8">
          <cell r="A8">
            <v>7</v>
          </cell>
          <cell r="B8" t="str">
            <v>Gravilla de 3/4" a 1"</v>
          </cell>
          <cell r="C8" t="str">
            <v>M3</v>
          </cell>
          <cell r="D8">
            <v>80524</v>
          </cell>
          <cell r="E8">
            <v>4831.4399999999996</v>
          </cell>
        </row>
        <row r="9">
          <cell r="A9">
            <v>8</v>
          </cell>
          <cell r="B9" t="str">
            <v>Guadua</v>
          </cell>
          <cell r="C9" t="str">
            <v>ML</v>
          </cell>
          <cell r="D9">
            <v>2600</v>
          </cell>
          <cell r="E9">
            <v>156</v>
          </cell>
        </row>
        <row r="10">
          <cell r="A10">
            <v>9</v>
          </cell>
          <cell r="B10" t="str">
            <v>Recebo</v>
          </cell>
          <cell r="C10" t="str">
            <v>M3</v>
          </cell>
          <cell r="D10">
            <v>34610</v>
          </cell>
          <cell r="E10">
            <v>2076.6</v>
          </cell>
        </row>
        <row r="11">
          <cell r="A11">
            <v>10</v>
          </cell>
          <cell r="B11" t="str">
            <v>Sub - base granular para via</v>
          </cell>
          <cell r="C11" t="str">
            <v>M3</v>
          </cell>
          <cell r="D11">
            <v>15800</v>
          </cell>
          <cell r="E11">
            <v>948</v>
          </cell>
        </row>
        <row r="12">
          <cell r="A12">
            <v>11</v>
          </cell>
          <cell r="B12" t="str">
            <v>Tierra negra</v>
          </cell>
          <cell r="C12" t="str">
            <v>M3</v>
          </cell>
          <cell r="D12">
            <v>36200</v>
          </cell>
          <cell r="E12">
            <v>2172</v>
          </cell>
        </row>
        <row r="13">
          <cell r="A13">
            <v>12</v>
          </cell>
          <cell r="B13" t="str">
            <v>Triturado</v>
          </cell>
          <cell r="C13" t="str">
            <v>M3</v>
          </cell>
          <cell r="D13">
            <v>75000</v>
          </cell>
          <cell r="E13">
            <v>40000</v>
          </cell>
        </row>
        <row r="14">
          <cell r="A14">
            <v>13</v>
          </cell>
          <cell r="B14" t="str">
            <v>Piedra media zonga</v>
          </cell>
          <cell r="C14" t="str">
            <v>M3</v>
          </cell>
          <cell r="D14">
            <v>57000</v>
          </cell>
          <cell r="E14">
            <v>3420</v>
          </cell>
        </row>
        <row r="15">
          <cell r="A15">
            <v>14</v>
          </cell>
          <cell r="B15" t="str">
            <v>Arbol nativo, h &gt; 1,50 mts.</v>
          </cell>
          <cell r="C15" t="str">
            <v>UN</v>
          </cell>
          <cell r="D15">
            <v>28000</v>
          </cell>
          <cell r="E15">
            <v>1680</v>
          </cell>
        </row>
        <row r="16">
          <cell r="A16">
            <v>15</v>
          </cell>
          <cell r="B16" t="str">
            <v>Material granular</v>
          </cell>
          <cell r="C16" t="str">
            <v>M3</v>
          </cell>
          <cell r="E16">
            <v>0</v>
          </cell>
        </row>
        <row r="17">
          <cell r="A17">
            <v>16</v>
          </cell>
          <cell r="B17" t="str">
            <v xml:space="preserve">Sub - base granular </v>
          </cell>
          <cell r="C17" t="str">
            <v>M3</v>
          </cell>
          <cell r="D17">
            <v>62165</v>
          </cell>
          <cell r="E17">
            <v>3729.8999999999996</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43500</v>
          </cell>
          <cell r="E25">
            <v>2175</v>
          </cell>
        </row>
        <row r="26">
          <cell r="A26">
            <v>22</v>
          </cell>
          <cell r="B26" t="str">
            <v>Adoquin en concreto, tipo  PEATONAL, en concreto, de 0,20 x 0,10 mts., e= 0,06 mts.,  COLOR GRIS</v>
          </cell>
          <cell r="C26" t="str">
            <v>M2</v>
          </cell>
          <cell r="D26">
            <v>50000</v>
          </cell>
          <cell r="E26">
            <v>2500</v>
          </cell>
        </row>
        <row r="27">
          <cell r="A27">
            <v>23</v>
          </cell>
          <cell r="B27" t="str">
            <v>Adoquin en concreto, tipo VEHICULAR ,  de 0,20 x 0,10 mts., e= 0,08 mts.,  COLOR VERDE</v>
          </cell>
          <cell r="C27" t="str">
            <v>M2</v>
          </cell>
          <cell r="D27">
            <v>72000</v>
          </cell>
          <cell r="E27">
            <v>3600</v>
          </cell>
        </row>
        <row r="28">
          <cell r="A28">
            <v>24</v>
          </cell>
          <cell r="B28" t="str">
            <v>Adoquin en concreto, tipo VEHICULAR ,  de 0,20 x 0,10 mts., e= 0,08 mts.,  COLOR CHOCOLATE</v>
          </cell>
          <cell r="C28" t="str">
            <v>M2</v>
          </cell>
          <cell r="D28">
            <v>66000</v>
          </cell>
          <cell r="E28">
            <v>3300</v>
          </cell>
        </row>
        <row r="29">
          <cell r="A29">
            <v>25</v>
          </cell>
          <cell r="B29" t="str">
            <v>Adoquin en concreto, tipo VEHICULAR,  de 0,20 x 0,10 mts., e= 0,08 mts.,  COLOR GRIS</v>
          </cell>
          <cell r="C29" t="str">
            <v>M2</v>
          </cell>
          <cell r="D29">
            <v>29958</v>
          </cell>
          <cell r="E29">
            <v>1497.9</v>
          </cell>
        </row>
        <row r="30">
          <cell r="A30">
            <v>26</v>
          </cell>
          <cell r="B30" t="str">
            <v>Banca prefabricada en concreto, sin espaldar, incluye soporte. L= 1,50 mts</v>
          </cell>
          <cell r="C30" t="str">
            <v>UN</v>
          </cell>
          <cell r="E30">
            <v>0</v>
          </cell>
        </row>
        <row r="31">
          <cell r="A31">
            <v>27</v>
          </cell>
          <cell r="B31" t="str">
            <v>Bolardo en concreto H=0,85mts, tipo IDU</v>
          </cell>
          <cell r="C31" t="str">
            <v>UN</v>
          </cell>
          <cell r="D31">
            <v>30000</v>
          </cell>
          <cell r="E31">
            <v>1500</v>
          </cell>
        </row>
        <row r="32">
          <cell r="A32">
            <v>28</v>
          </cell>
          <cell r="B32" t="str">
            <v>Bordillos en concreto,  prefabricado sec.,10x,25x,80</v>
          </cell>
          <cell r="C32" t="str">
            <v>UN</v>
          </cell>
          <cell r="D32">
            <v>7000</v>
          </cell>
          <cell r="E32">
            <v>350</v>
          </cell>
        </row>
        <row r="33">
          <cell r="A33">
            <v>29</v>
          </cell>
          <cell r="B33" t="str">
            <v>Cemento Blanco</v>
          </cell>
          <cell r="C33" t="str">
            <v>KG</v>
          </cell>
          <cell r="D33">
            <v>760</v>
          </cell>
          <cell r="E33">
            <v>38</v>
          </cell>
        </row>
        <row r="34">
          <cell r="A34">
            <v>30</v>
          </cell>
          <cell r="B34" t="str">
            <v>Cemento gris</v>
          </cell>
          <cell r="C34" t="str">
            <v>KG</v>
          </cell>
          <cell r="D34">
            <v>650</v>
          </cell>
          <cell r="E34">
            <v>32.5</v>
          </cell>
        </row>
        <row r="35">
          <cell r="A35">
            <v>31</v>
          </cell>
          <cell r="B35" t="str">
            <v>Loseta prefabricada en concreto,  e = 0,06 mts de 0,40 x 0,40 mts. Color Gris LISA</v>
          </cell>
          <cell r="C35" t="str">
            <v>M2</v>
          </cell>
          <cell r="D35">
            <v>32000</v>
          </cell>
          <cell r="E35">
            <v>1600</v>
          </cell>
        </row>
        <row r="36">
          <cell r="A36">
            <v>32</v>
          </cell>
          <cell r="B36" t="str">
            <v>Loseta prefabricada en concreto,  e = 0,06 mts de 0,40 x 0,40 mts. Color ROJO A RAYAS</v>
          </cell>
          <cell r="C36" t="str">
            <v>M2</v>
          </cell>
          <cell r="D36">
            <v>49130</v>
          </cell>
          <cell r="E36">
            <v>2456.5</v>
          </cell>
        </row>
        <row r="37">
          <cell r="A37">
            <v>33</v>
          </cell>
          <cell r="B37" t="str">
            <v>Loseta prefabricada en concreto,  e = 0,06 mts de 0,40 x 0,40 mts.COLOR GRIS - TOPEROL</v>
          </cell>
          <cell r="C37" t="str">
            <v>M2</v>
          </cell>
          <cell r="D37">
            <v>47500</v>
          </cell>
          <cell r="E37">
            <v>2375</v>
          </cell>
        </row>
        <row r="38">
          <cell r="A38">
            <v>34</v>
          </cell>
          <cell r="B38" t="str">
            <v>Loseta prefabricada en concreto,  e = 0,06 mts de 0,40 x 0,40 mts.COLOR GRIS LISA</v>
          </cell>
          <cell r="C38" t="str">
            <v>M2</v>
          </cell>
          <cell r="D38">
            <v>47500</v>
          </cell>
          <cell r="E38">
            <v>2375</v>
          </cell>
        </row>
        <row r="39">
          <cell r="A39">
            <v>35</v>
          </cell>
          <cell r="B39" t="str">
            <v>Loseta prefabricada en concreto,  e = 0,06 mts de 0,40 x 0,40 mts.COLOR GRIS A RAYAS</v>
          </cell>
          <cell r="C39" t="str">
            <v>M2</v>
          </cell>
          <cell r="D39">
            <v>47500</v>
          </cell>
          <cell r="E39">
            <v>2375</v>
          </cell>
        </row>
        <row r="40">
          <cell r="A40">
            <v>36</v>
          </cell>
          <cell r="B40" t="str">
            <v>Loseta prefabricada en concreto,  e = 0,06 mts de 0,40 x 0,40 mts.COLOR AZUL LISA</v>
          </cell>
          <cell r="C40" t="str">
            <v>M2</v>
          </cell>
          <cell r="D40">
            <v>47500</v>
          </cell>
          <cell r="E40">
            <v>2375</v>
          </cell>
        </row>
        <row r="41">
          <cell r="A41">
            <v>37</v>
          </cell>
          <cell r="B41" t="str">
            <v>Loseta prefabricada en concreto,  e = 0,06 mts de 0,40 x 0,40 mts.COLOR AZUL A RAYAS</v>
          </cell>
          <cell r="C41" t="str">
            <v>M2</v>
          </cell>
          <cell r="D41">
            <v>47500</v>
          </cell>
          <cell r="E41">
            <v>2375</v>
          </cell>
        </row>
        <row r="42">
          <cell r="A42">
            <v>38</v>
          </cell>
          <cell r="B42" t="str">
            <v>Loseta prefabricada en concreto,  e = 0,06 mts de 0,40 x 0,40 mts.COLOR BLANCA</v>
          </cell>
          <cell r="C42" t="str">
            <v>M2</v>
          </cell>
          <cell r="D42">
            <v>47500</v>
          </cell>
          <cell r="E42">
            <v>2375</v>
          </cell>
        </row>
        <row r="43">
          <cell r="A43">
            <v>39</v>
          </cell>
          <cell r="B43" t="str">
            <v>Loseta prefabricada en concreto,  e = 0,06 mts de 0,40 x 0,40 mts.COLOR AMARILLO A CUADROS</v>
          </cell>
          <cell r="C43" t="str">
            <v>M2</v>
          </cell>
          <cell r="D43">
            <v>47500</v>
          </cell>
          <cell r="E43">
            <v>2375</v>
          </cell>
        </row>
        <row r="44">
          <cell r="A44">
            <v>40</v>
          </cell>
          <cell r="B44" t="str">
            <v>Loseta prefabricada en concreto,  e = 0,06 mts de 0,40 x 0,40 mts.COLOR OCRE LISA. A RAYAS O A CUADROS.</v>
          </cell>
          <cell r="C44" t="str">
            <v>M2</v>
          </cell>
          <cell r="D44">
            <v>47500</v>
          </cell>
          <cell r="E44">
            <v>2375</v>
          </cell>
        </row>
        <row r="45">
          <cell r="A45">
            <v>41</v>
          </cell>
          <cell r="B45" t="str">
            <v>Loseta prefabricada en concreto,  e = 0,06 mts de 0,40 x 0,40 mts.COLOR VERDE A CUADROS</v>
          </cell>
          <cell r="C45" t="str">
            <v>M2</v>
          </cell>
          <cell r="D45">
            <v>47500</v>
          </cell>
          <cell r="E45">
            <v>2375</v>
          </cell>
        </row>
        <row r="46">
          <cell r="A46">
            <v>42</v>
          </cell>
          <cell r="B46" t="str">
            <v>Loseta prefabricada en concreto,  e = 0,06 mts de 0,40 x 0,40 mts.COLOR NEGRA LISA, A RAYAS O A CUADROS</v>
          </cell>
          <cell r="C46" t="str">
            <v>M2</v>
          </cell>
          <cell r="D46">
            <v>47500</v>
          </cell>
          <cell r="E46">
            <v>2375</v>
          </cell>
        </row>
        <row r="47">
          <cell r="A47">
            <v>43</v>
          </cell>
          <cell r="B47" t="str">
            <v>Sardinel prefabricado en concreto de 1,00 x 0,17 x 0,45 mts. Redondo</v>
          </cell>
          <cell r="C47" t="str">
            <v>UN</v>
          </cell>
          <cell r="D47">
            <v>17500</v>
          </cell>
          <cell r="E47">
            <v>875</v>
          </cell>
        </row>
        <row r="48">
          <cell r="A48">
            <v>44</v>
          </cell>
          <cell r="B48" t="str">
            <v xml:space="preserve">Pegacol </v>
          </cell>
          <cell r="C48" t="str">
            <v>KG</v>
          </cell>
          <cell r="D48">
            <v>550</v>
          </cell>
          <cell r="E48">
            <v>27.5</v>
          </cell>
        </row>
        <row r="49">
          <cell r="A49">
            <v>45</v>
          </cell>
          <cell r="B49" t="str">
            <v>FLEXA NYCON</v>
          </cell>
          <cell r="C49" t="str">
            <v>BOL</v>
          </cell>
          <cell r="D49">
            <v>25000</v>
          </cell>
          <cell r="E49">
            <v>1250</v>
          </cell>
        </row>
        <row r="50">
          <cell r="A50">
            <v>46</v>
          </cell>
          <cell r="B50" t="str">
            <v>Cañuelas prefabricadas</v>
          </cell>
          <cell r="C50" t="str">
            <v>UN</v>
          </cell>
          <cell r="D50">
            <v>15000</v>
          </cell>
          <cell r="E50">
            <v>750</v>
          </cell>
        </row>
        <row r="51">
          <cell r="A51">
            <v>47</v>
          </cell>
          <cell r="B51" t="str">
            <v>FLEXTHANE-200</v>
          </cell>
          <cell r="C51" t="str">
            <v>UN</v>
          </cell>
          <cell r="D51">
            <v>1000</v>
          </cell>
          <cell r="E51">
            <v>50</v>
          </cell>
        </row>
        <row r="52">
          <cell r="A52">
            <v>48</v>
          </cell>
          <cell r="B52" t="str">
            <v>FLEXABACKET ROOD 1/4"</v>
          </cell>
          <cell r="C52" t="str">
            <v>ML</v>
          </cell>
          <cell r="D52">
            <v>500</v>
          </cell>
          <cell r="E52">
            <v>25</v>
          </cell>
        </row>
        <row r="53">
          <cell r="A53">
            <v>49</v>
          </cell>
          <cell r="B53" t="str">
            <v>DECOPAVITEX SISTEM</v>
          </cell>
          <cell r="C53" t="str">
            <v>M2</v>
          </cell>
          <cell r="D53">
            <v>28492</v>
          </cell>
          <cell r="E53">
            <v>1424.6000000000001</v>
          </cell>
        </row>
        <row r="54">
          <cell r="A54">
            <v>50</v>
          </cell>
          <cell r="B54" t="str">
            <v>Loseta prefabricada en concreto,  e = 0,06 mts de 0,40 x 0,40 mts.COLOR VERDE LISA</v>
          </cell>
          <cell r="C54" t="str">
            <v>M2</v>
          </cell>
          <cell r="D54">
            <v>45000</v>
          </cell>
          <cell r="E54">
            <v>2250</v>
          </cell>
        </row>
        <row r="55">
          <cell r="A55">
            <v>51</v>
          </cell>
          <cell r="B55" t="str">
            <v>Loseta prefabricada en concreto,  e = 0,06 mts de 0,40 x 0,40 mts.COLOR VERDE A RAYAS</v>
          </cell>
          <cell r="C55" t="str">
            <v>M2</v>
          </cell>
          <cell r="D55">
            <v>45000</v>
          </cell>
          <cell r="E55">
            <v>2250</v>
          </cell>
        </row>
        <row r="56">
          <cell r="A56">
            <v>52</v>
          </cell>
          <cell r="B56" t="str">
            <v>Loseta prefabricada en concreto,  e = 0,06 mts de 0,40 x 0,40 mts.COLOR OCRE LISA. A RAYAS O A CUADROS.</v>
          </cell>
          <cell r="C56" t="str">
            <v>M2</v>
          </cell>
          <cell r="D56">
            <v>38000</v>
          </cell>
          <cell r="E56">
            <v>1900</v>
          </cell>
        </row>
        <row r="57">
          <cell r="A57">
            <v>53</v>
          </cell>
          <cell r="B57" t="str">
            <v>Loseta prefabricada en concreto,  e = 0,06 mts de 0,40 x 0,40 mts.COLOR OCRE LISA. A RAYAS O A CUADROS.</v>
          </cell>
          <cell r="C57" t="str">
            <v>M2</v>
          </cell>
          <cell r="D57">
            <v>38000</v>
          </cell>
          <cell r="E57">
            <v>1900</v>
          </cell>
        </row>
        <row r="58">
          <cell r="A58">
            <v>54</v>
          </cell>
          <cell r="B58" t="str">
            <v>Adoquin en concreto, tipo VEHICULAR,  de 0,20 x 0,10 mts., e= 0,08 mts.,  COLOR NEGRO</v>
          </cell>
          <cell r="C58" t="str">
            <v>M2</v>
          </cell>
          <cell r="D58">
            <v>48500</v>
          </cell>
          <cell r="E58">
            <v>2425</v>
          </cell>
        </row>
        <row r="59">
          <cell r="A59">
            <v>55</v>
          </cell>
          <cell r="B59" t="str">
            <v>Adoquin en concreto, tipo VEHICULAR,  de 0,20 x 0,10 mts., e= 0,08 mts.,  COLOR ROJO,</v>
          </cell>
          <cell r="C59" t="str">
            <v>M2</v>
          </cell>
          <cell r="D59">
            <v>48500</v>
          </cell>
          <cell r="E59">
            <v>2425</v>
          </cell>
          <cell r="I59">
            <v>0.89900000000000002</v>
          </cell>
        </row>
        <row r="60">
          <cell r="A60">
            <v>56</v>
          </cell>
          <cell r="B60" t="str">
            <v>Adoquin en concreto, tipo  PEATONAL, de 0,20 x 0,10 mts., e= 0,06 mts.,  COLOR ROJO</v>
          </cell>
          <cell r="C60" t="str">
            <v>M2</v>
          </cell>
          <cell r="D60">
            <v>43500</v>
          </cell>
          <cell r="E60">
            <v>2175</v>
          </cell>
        </row>
        <row r="61">
          <cell r="A61">
            <v>57</v>
          </cell>
          <cell r="B61" t="str">
            <v>Bloque de concreto Split No 14 COLOR GRIS</v>
          </cell>
          <cell r="C61" t="str">
            <v>UN</v>
          </cell>
          <cell r="D61">
            <v>3700</v>
          </cell>
          <cell r="E61">
            <v>222</v>
          </cell>
        </row>
        <row r="62">
          <cell r="A62">
            <v>58</v>
          </cell>
          <cell r="B62" t="str">
            <v>Bloque de concreto Split No 15 COLOR OCRE</v>
          </cell>
          <cell r="C62" t="str">
            <v>UN</v>
          </cell>
          <cell r="D62">
            <v>5100</v>
          </cell>
          <cell r="E62">
            <v>306</v>
          </cell>
        </row>
        <row r="63">
          <cell r="A63">
            <v>59</v>
          </cell>
          <cell r="B63" t="str">
            <v>Loseta prefabricada en concreto,  e = 0,06 mts de 0,40 x 0,40 mts.COLOR CHOCOLATE LISA.</v>
          </cell>
          <cell r="C63" t="str">
            <v>M2</v>
          </cell>
          <cell r="D63">
            <v>47500</v>
          </cell>
          <cell r="E63">
            <v>2375</v>
          </cell>
        </row>
        <row r="64">
          <cell r="A64">
            <v>60</v>
          </cell>
          <cell r="E64">
            <v>0</v>
          </cell>
          <cell r="J64">
            <v>45000</v>
          </cell>
        </row>
        <row r="65">
          <cell r="A65">
            <v>61</v>
          </cell>
          <cell r="E65">
            <v>0</v>
          </cell>
          <cell r="J65">
            <v>30000</v>
          </cell>
        </row>
        <row r="66">
          <cell r="A66">
            <v>62</v>
          </cell>
          <cell r="E66">
            <v>0</v>
          </cell>
          <cell r="J66">
            <v>120000</v>
          </cell>
        </row>
        <row r="67">
          <cell r="A67">
            <v>63</v>
          </cell>
          <cell r="E67">
            <v>0</v>
          </cell>
          <cell r="J67">
            <v>50000</v>
          </cell>
        </row>
        <row r="68">
          <cell r="A68">
            <v>64</v>
          </cell>
          <cell r="E68">
            <v>0</v>
          </cell>
        </row>
        <row r="69">
          <cell r="A69">
            <v>65</v>
          </cell>
          <cell r="E69">
            <v>0</v>
          </cell>
        </row>
        <row r="70">
          <cell r="A70">
            <v>66</v>
          </cell>
          <cell r="E70">
            <v>0</v>
          </cell>
        </row>
        <row r="71">
          <cell r="A71">
            <v>67</v>
          </cell>
          <cell r="E71">
            <v>0</v>
          </cell>
        </row>
        <row r="72">
          <cell r="A72">
            <v>68</v>
          </cell>
          <cell r="E72">
            <v>0</v>
          </cell>
        </row>
        <row r="73">
          <cell r="A73">
            <v>69</v>
          </cell>
          <cell r="E73">
            <v>0</v>
          </cell>
        </row>
        <row r="74">
          <cell r="A74">
            <v>70</v>
          </cell>
          <cell r="E74">
            <v>0</v>
          </cell>
          <cell r="G74" t="str">
            <v>No.</v>
          </cell>
          <cell r="H74" t="str">
            <v>DESCRIPCION</v>
          </cell>
          <cell r="I74" t="str">
            <v>UNID.</v>
          </cell>
          <cell r="J74" t="str">
            <v>VR. UNIT.</v>
          </cell>
        </row>
        <row r="75">
          <cell r="G75">
            <v>1</v>
          </cell>
          <cell r="H75" t="str">
            <v>Concreto 2500psi</v>
          </cell>
          <cell r="I75" t="str">
            <v>M3</v>
          </cell>
          <cell r="J75">
            <v>507123</v>
          </cell>
        </row>
        <row r="76">
          <cell r="A76" t="str">
            <v>REF.</v>
          </cell>
          <cell r="B76" t="str">
            <v>MATERIAL GRESS</v>
          </cell>
          <cell r="C76" t="str">
            <v>UNIDAD</v>
          </cell>
          <cell r="D76" t="str">
            <v>PRECIO</v>
          </cell>
          <cell r="E76" t="str">
            <v>TRANSPORTE</v>
          </cell>
          <cell r="G76">
            <v>2</v>
          </cell>
          <cell r="H76" t="str">
            <v>Formaleta</v>
          </cell>
          <cell r="I76" t="str">
            <v>M2</v>
          </cell>
          <cell r="J76">
            <v>15000</v>
          </cell>
        </row>
        <row r="77">
          <cell r="G77">
            <v>3</v>
          </cell>
        </row>
        <row r="78">
          <cell r="G78">
            <v>4</v>
          </cell>
        </row>
        <row r="79">
          <cell r="A79">
            <v>71</v>
          </cell>
          <cell r="B79" t="str">
            <v>Baldosa Duropiso Mancesa  30X30</v>
          </cell>
          <cell r="C79" t="str">
            <v>M²</v>
          </cell>
          <cell r="D79">
            <v>20500</v>
          </cell>
          <cell r="E79">
            <v>1230</v>
          </cell>
          <cell r="G79">
            <v>5</v>
          </cell>
        </row>
        <row r="80">
          <cell r="A80">
            <v>72</v>
          </cell>
          <cell r="B80" t="str">
            <v xml:space="preserve">Bloque No 4 Hueco </v>
          </cell>
          <cell r="C80" t="str">
            <v>Und</v>
          </cell>
          <cell r="D80">
            <v>650</v>
          </cell>
          <cell r="E80">
            <v>39</v>
          </cell>
          <cell r="G80">
            <v>6</v>
          </cell>
          <cell r="H80" t="str">
            <v>Mortero 1:4</v>
          </cell>
          <cell r="I80" t="str">
            <v>M3</v>
          </cell>
          <cell r="J80">
            <v>442068</v>
          </cell>
        </row>
        <row r="81">
          <cell r="A81">
            <v>73</v>
          </cell>
          <cell r="B81" t="str">
            <v>Bloque No 5 Hueco 12X20X30</v>
          </cell>
          <cell r="C81" t="str">
            <v>Und</v>
          </cell>
          <cell r="D81">
            <v>850</v>
          </cell>
          <cell r="E81">
            <v>51</v>
          </cell>
          <cell r="G81">
            <v>7</v>
          </cell>
          <cell r="H81" t="str">
            <v>Mortero 1:6</v>
          </cell>
          <cell r="I81" t="str">
            <v>M3</v>
          </cell>
          <cell r="J81">
            <v>383118</v>
          </cell>
        </row>
        <row r="82">
          <cell r="A82">
            <v>74</v>
          </cell>
          <cell r="B82" t="str">
            <v>Ladrillo Tolete</v>
          </cell>
          <cell r="C82" t="str">
            <v>Und</v>
          </cell>
          <cell r="D82">
            <v>240</v>
          </cell>
          <cell r="E82">
            <v>14.399999999999999</v>
          </cell>
          <cell r="G82">
            <v>8</v>
          </cell>
          <cell r="H82" t="str">
            <v>Concreto 3000psi</v>
          </cell>
          <cell r="I82" t="str">
            <v>M3</v>
          </cell>
          <cell r="J82">
            <v>515853</v>
          </cell>
        </row>
        <row r="83">
          <cell r="A83">
            <v>75</v>
          </cell>
          <cell r="B83" t="str">
            <v>Tuberia de gres, D= 6"</v>
          </cell>
          <cell r="C83" t="str">
            <v>ML</v>
          </cell>
          <cell r="E83">
            <v>0</v>
          </cell>
          <cell r="G83">
            <v>9</v>
          </cell>
          <cell r="H83" t="str">
            <v>Concreto Ciclópeo</v>
          </cell>
          <cell r="I83" t="str">
            <v>M3</v>
          </cell>
          <cell r="J83" t="e">
            <v>#REF!</v>
          </cell>
        </row>
        <row r="84">
          <cell r="A84">
            <v>76</v>
          </cell>
          <cell r="B84" t="str">
            <v>Adoquines de arcilla   para piso, e =.06 mt ,20 mt x,10 mt, deacuerdo a la NTC 2017.</v>
          </cell>
          <cell r="C84" t="str">
            <v>ML</v>
          </cell>
          <cell r="D84">
            <v>22500</v>
          </cell>
          <cell r="E84">
            <v>1350</v>
          </cell>
          <cell r="G84">
            <v>10</v>
          </cell>
          <cell r="H84" t="str">
            <v>Acero de refuerzo</v>
          </cell>
          <cell r="I84" t="str">
            <v>KG</v>
          </cell>
          <cell r="J84" t="e">
            <v>#REF!</v>
          </cell>
        </row>
        <row r="85">
          <cell r="A85">
            <v>77</v>
          </cell>
          <cell r="B85" t="str">
            <v>Tuberia de gres, D= 8"</v>
          </cell>
          <cell r="C85" t="str">
            <v>ML</v>
          </cell>
          <cell r="D85">
            <v>13100</v>
          </cell>
          <cell r="E85">
            <v>786</v>
          </cell>
          <cell r="G85">
            <v>11</v>
          </cell>
          <cell r="H85" t="str">
            <v>Concreto 3500psi</v>
          </cell>
          <cell r="I85" t="str">
            <v>M3</v>
          </cell>
          <cell r="J85">
            <v>261847</v>
          </cell>
        </row>
        <row r="86">
          <cell r="A86">
            <v>79</v>
          </cell>
          <cell r="B86" t="str">
            <v>Piso en gres de 0.10 x 0.20</v>
          </cell>
          <cell r="C86" t="str">
            <v>M²</v>
          </cell>
          <cell r="D86">
            <v>12500</v>
          </cell>
          <cell r="E86">
            <v>750</v>
          </cell>
          <cell r="G86">
            <v>12</v>
          </cell>
        </row>
        <row r="87">
          <cell r="A87">
            <v>80</v>
          </cell>
          <cell r="B87" t="str">
            <v>Ceramica Minimal Petroleo 45x45 Alfa</v>
          </cell>
          <cell r="C87" t="str">
            <v>M²</v>
          </cell>
          <cell r="D87">
            <v>28000</v>
          </cell>
          <cell r="E87">
            <v>1680</v>
          </cell>
          <cell r="G87">
            <v>13</v>
          </cell>
        </row>
        <row r="88">
          <cell r="A88">
            <v>81</v>
          </cell>
          <cell r="B88" t="str">
            <v>Ceramica  Blanco 20x20</v>
          </cell>
          <cell r="C88" t="str">
            <v>M²</v>
          </cell>
          <cell r="D88">
            <v>13000</v>
          </cell>
          <cell r="E88">
            <v>780</v>
          </cell>
          <cell r="G88">
            <v>14</v>
          </cell>
        </row>
        <row r="89">
          <cell r="A89">
            <v>82</v>
          </cell>
          <cell r="B89" t="str">
            <v xml:space="preserve">Ladrillo a la vista semiprensado por ambas caras </v>
          </cell>
          <cell r="C89" t="str">
            <v>Und</v>
          </cell>
          <cell r="D89">
            <v>1200</v>
          </cell>
          <cell r="E89">
            <v>72</v>
          </cell>
          <cell r="G89">
            <v>15</v>
          </cell>
        </row>
        <row r="90">
          <cell r="A90">
            <v>83</v>
          </cell>
          <cell r="B90" t="str">
            <v>Piso MIKONOS ARD Gris  (33,8 X 33,8) cm</v>
          </cell>
          <cell r="C90" t="str">
            <v>M²</v>
          </cell>
          <cell r="D90">
            <v>26000</v>
          </cell>
          <cell r="E90">
            <v>1560</v>
          </cell>
          <cell r="G90">
            <v>16</v>
          </cell>
        </row>
        <row r="91">
          <cell r="A91">
            <v>84</v>
          </cell>
          <cell r="B91" t="str">
            <v>Enchape pared AMARA Color Gris  (28,7 X 57,5) cm</v>
          </cell>
          <cell r="C91" t="str">
            <v>M²</v>
          </cell>
          <cell r="D91">
            <v>29500</v>
          </cell>
          <cell r="E91">
            <v>1770</v>
          </cell>
          <cell r="G91">
            <v>17</v>
          </cell>
        </row>
        <row r="92">
          <cell r="A92">
            <v>85</v>
          </cell>
          <cell r="E92">
            <v>0</v>
          </cell>
          <cell r="G92">
            <v>18</v>
          </cell>
        </row>
        <row r="93">
          <cell r="A93">
            <v>86</v>
          </cell>
          <cell r="E93">
            <v>0</v>
          </cell>
          <cell r="G93">
            <v>19</v>
          </cell>
        </row>
        <row r="94">
          <cell r="A94">
            <v>87</v>
          </cell>
          <cell r="E94">
            <v>0</v>
          </cell>
          <cell r="G94">
            <v>20</v>
          </cell>
        </row>
        <row r="95">
          <cell r="A95">
            <v>88</v>
          </cell>
          <cell r="E95">
            <v>0</v>
          </cell>
          <cell r="G95">
            <v>21</v>
          </cell>
        </row>
        <row r="96">
          <cell r="A96">
            <v>89</v>
          </cell>
          <cell r="E96">
            <v>0</v>
          </cell>
          <cell r="G96">
            <v>22</v>
          </cell>
        </row>
        <row r="97">
          <cell r="A97">
            <v>90</v>
          </cell>
          <cell r="E97">
            <v>0</v>
          </cell>
          <cell r="G97">
            <v>23</v>
          </cell>
        </row>
        <row r="98">
          <cell r="A98">
            <v>91</v>
          </cell>
          <cell r="E98">
            <v>0</v>
          </cell>
          <cell r="G98">
            <v>24</v>
          </cell>
        </row>
        <row r="99">
          <cell r="A99">
            <v>92</v>
          </cell>
          <cell r="E99">
            <v>0</v>
          </cell>
          <cell r="G99">
            <v>25</v>
          </cell>
        </row>
        <row r="100">
          <cell r="A100">
            <v>93</v>
          </cell>
          <cell r="E100">
            <v>0</v>
          </cell>
          <cell r="G100">
            <v>26</v>
          </cell>
        </row>
        <row r="101">
          <cell r="A101">
            <v>94</v>
          </cell>
          <cell r="E101">
            <v>0</v>
          </cell>
          <cell r="G101">
            <v>27</v>
          </cell>
        </row>
        <row r="102">
          <cell r="A102">
            <v>95</v>
          </cell>
          <cell r="E102">
            <v>0</v>
          </cell>
          <cell r="G102">
            <v>28</v>
          </cell>
        </row>
        <row r="103">
          <cell r="A103">
            <v>96</v>
          </cell>
          <cell r="E103">
            <v>0</v>
          </cell>
          <cell r="G103">
            <v>29</v>
          </cell>
        </row>
        <row r="104">
          <cell r="A104">
            <v>97</v>
          </cell>
          <cell r="E104">
            <v>0</v>
          </cell>
          <cell r="G104">
            <v>30</v>
          </cell>
        </row>
        <row r="105">
          <cell r="A105">
            <v>98</v>
          </cell>
          <cell r="E105">
            <v>0</v>
          </cell>
          <cell r="G105">
            <v>31</v>
          </cell>
        </row>
        <row r="106">
          <cell r="A106">
            <v>99</v>
          </cell>
          <cell r="E106">
            <v>0</v>
          </cell>
          <cell r="G106">
            <v>32</v>
          </cell>
        </row>
        <row r="107">
          <cell r="A107">
            <v>100</v>
          </cell>
          <cell r="E107">
            <v>0</v>
          </cell>
          <cell r="G107">
            <v>33</v>
          </cell>
        </row>
        <row r="108">
          <cell r="A108">
            <v>101</v>
          </cell>
          <cell r="E108">
            <v>0</v>
          </cell>
          <cell r="G108">
            <v>34</v>
          </cell>
        </row>
        <row r="109">
          <cell r="A109">
            <v>102</v>
          </cell>
          <cell r="E109">
            <v>0</v>
          </cell>
          <cell r="G109">
            <v>35</v>
          </cell>
        </row>
        <row r="110">
          <cell r="A110">
            <v>103</v>
          </cell>
          <cell r="E110">
            <v>0</v>
          </cell>
          <cell r="G110">
            <v>36</v>
          </cell>
        </row>
        <row r="111">
          <cell r="A111">
            <v>104</v>
          </cell>
          <cell r="E111">
            <v>0</v>
          </cell>
          <cell r="G111">
            <v>37</v>
          </cell>
        </row>
        <row r="112">
          <cell r="A112">
            <v>105</v>
          </cell>
          <cell r="E112">
            <v>0</v>
          </cell>
          <cell r="G112">
            <v>38</v>
          </cell>
        </row>
        <row r="113">
          <cell r="A113">
            <v>106</v>
          </cell>
          <cell r="E113">
            <v>0</v>
          </cell>
          <cell r="G113">
            <v>39</v>
          </cell>
        </row>
        <row r="114">
          <cell r="A114">
            <v>107</v>
          </cell>
          <cell r="E114">
            <v>0</v>
          </cell>
          <cell r="G114">
            <v>40</v>
          </cell>
        </row>
        <row r="115">
          <cell r="A115">
            <v>108</v>
          </cell>
          <cell r="E115">
            <v>0</v>
          </cell>
          <cell r="G115">
            <v>41</v>
          </cell>
        </row>
        <row r="116">
          <cell r="A116">
            <v>109</v>
          </cell>
          <cell r="E116">
            <v>0</v>
          </cell>
          <cell r="G116">
            <v>42</v>
          </cell>
        </row>
        <row r="117">
          <cell r="A117">
            <v>110</v>
          </cell>
          <cell r="E117">
            <v>0</v>
          </cell>
          <cell r="G117">
            <v>43</v>
          </cell>
        </row>
        <row r="118">
          <cell r="G118">
            <v>44</v>
          </cell>
        </row>
        <row r="119">
          <cell r="A119" t="str">
            <v>REF.</v>
          </cell>
          <cell r="B119" t="str">
            <v>MATERIAL ELECTRICO</v>
          </cell>
          <cell r="C119" t="str">
            <v>UNIDAD</v>
          </cell>
          <cell r="D119" t="str">
            <v>PRECIO</v>
          </cell>
          <cell r="E119" t="str">
            <v>TRANSPORTE</v>
          </cell>
          <cell r="G119">
            <v>45</v>
          </cell>
        </row>
        <row r="120">
          <cell r="G120">
            <v>46</v>
          </cell>
        </row>
        <row r="121">
          <cell r="A121">
            <v>111</v>
          </cell>
          <cell r="B121" t="str">
            <v>Poste Cemento 750 Kg x 12mrs</v>
          </cell>
          <cell r="C121" t="str">
            <v>UN</v>
          </cell>
          <cell r="E121">
            <v>0</v>
          </cell>
          <cell r="G121">
            <v>47</v>
          </cell>
        </row>
        <row r="122">
          <cell r="A122">
            <v>112</v>
          </cell>
          <cell r="B122" t="str">
            <v>Cable ACSR Nº 1/0</v>
          </cell>
          <cell r="C122" t="str">
            <v>ML</v>
          </cell>
          <cell r="E122">
            <v>0</v>
          </cell>
          <cell r="G122">
            <v>48</v>
          </cell>
        </row>
        <row r="123">
          <cell r="A123">
            <v>113</v>
          </cell>
          <cell r="B123" t="str">
            <v>Conectores Linea Viva</v>
          </cell>
          <cell r="C123" t="str">
            <v>UN</v>
          </cell>
          <cell r="E123">
            <v>0</v>
          </cell>
          <cell r="G123">
            <v>49</v>
          </cell>
        </row>
        <row r="124">
          <cell r="A124">
            <v>114</v>
          </cell>
          <cell r="B124" t="str">
            <v>Pernos de Maquina de 10"</v>
          </cell>
          <cell r="C124" t="str">
            <v>UN</v>
          </cell>
          <cell r="E124">
            <v>0</v>
          </cell>
          <cell r="G124">
            <v>50</v>
          </cell>
        </row>
        <row r="125">
          <cell r="A125">
            <v>115</v>
          </cell>
          <cell r="B125" t="str">
            <v>Cruceta Metalica de 2 1/2 x 2 1/2 x 3/16 x 2 x 1</v>
          </cell>
          <cell r="C125" t="str">
            <v>UN</v>
          </cell>
          <cell r="E125">
            <v>0</v>
          </cell>
          <cell r="G125">
            <v>51</v>
          </cell>
        </row>
        <row r="126">
          <cell r="A126">
            <v>116</v>
          </cell>
          <cell r="B126" t="str">
            <v>Diagonal de 0.6mts</v>
          </cell>
          <cell r="C126" t="str">
            <v>UN</v>
          </cell>
          <cell r="E126">
            <v>0</v>
          </cell>
          <cell r="G126">
            <v>52</v>
          </cell>
        </row>
        <row r="127">
          <cell r="A127">
            <v>117</v>
          </cell>
          <cell r="B127" t="str">
            <v xml:space="preserve">Aislador tipo disco de 6" </v>
          </cell>
          <cell r="C127" t="str">
            <v>UN</v>
          </cell>
          <cell r="E127">
            <v>0</v>
          </cell>
          <cell r="G127">
            <v>53</v>
          </cell>
        </row>
        <row r="128">
          <cell r="A128">
            <v>118</v>
          </cell>
          <cell r="B128" t="str">
            <v>Grapa de retención</v>
          </cell>
          <cell r="C128" t="str">
            <v>UN</v>
          </cell>
          <cell r="E128">
            <v>0</v>
          </cell>
          <cell r="G128">
            <v>54</v>
          </cell>
        </row>
        <row r="129">
          <cell r="A129">
            <v>119</v>
          </cell>
          <cell r="B129" t="str">
            <v>Tuercas de ojo</v>
          </cell>
          <cell r="C129" t="str">
            <v>UN</v>
          </cell>
          <cell r="E129">
            <v>0</v>
          </cell>
          <cell r="G129">
            <v>55</v>
          </cell>
        </row>
        <row r="130">
          <cell r="A130">
            <v>120</v>
          </cell>
          <cell r="B130" t="str">
            <v>Collarines de 5 a 6</v>
          </cell>
          <cell r="C130" t="str">
            <v>UN</v>
          </cell>
          <cell r="E130">
            <v>0</v>
          </cell>
          <cell r="G130">
            <v>56</v>
          </cell>
        </row>
        <row r="131">
          <cell r="A131">
            <v>121</v>
          </cell>
          <cell r="B131" t="str">
            <v>Cruceta para Transformador</v>
          </cell>
          <cell r="C131" t="str">
            <v>UN</v>
          </cell>
          <cell r="E131">
            <v>0</v>
          </cell>
          <cell r="G131">
            <v>57</v>
          </cell>
        </row>
        <row r="132">
          <cell r="A132">
            <v>122</v>
          </cell>
          <cell r="B132" t="str">
            <v>Corta Circuitos</v>
          </cell>
          <cell r="C132" t="str">
            <v>UN</v>
          </cell>
          <cell r="E132">
            <v>0</v>
          </cell>
          <cell r="G132">
            <v>58</v>
          </cell>
        </row>
        <row r="133">
          <cell r="A133">
            <v>123</v>
          </cell>
          <cell r="B133" t="str">
            <v>Para Rayos</v>
          </cell>
          <cell r="C133" t="str">
            <v>UN</v>
          </cell>
          <cell r="E133">
            <v>0</v>
          </cell>
          <cell r="G133">
            <v>59</v>
          </cell>
        </row>
        <row r="134">
          <cell r="A134">
            <v>124</v>
          </cell>
          <cell r="B134" t="str">
            <v>Polo a Tierra</v>
          </cell>
          <cell r="C134" t="str">
            <v>UN</v>
          </cell>
          <cell r="E134">
            <v>0</v>
          </cell>
          <cell r="G134">
            <v>60</v>
          </cell>
        </row>
        <row r="135">
          <cell r="A135">
            <v>125</v>
          </cell>
          <cell r="B135" t="str">
            <v xml:space="preserve">Transformador  </v>
          </cell>
          <cell r="C135" t="str">
            <v>UN</v>
          </cell>
          <cell r="E135">
            <v>0</v>
          </cell>
          <cell r="G135">
            <v>61</v>
          </cell>
        </row>
        <row r="136">
          <cell r="A136">
            <v>126</v>
          </cell>
          <cell r="B136" t="str">
            <v>Tubo de 2"</v>
          </cell>
          <cell r="C136" t="str">
            <v>ML</v>
          </cell>
          <cell r="E136">
            <v>0</v>
          </cell>
          <cell r="G136">
            <v>62</v>
          </cell>
        </row>
        <row r="137">
          <cell r="A137">
            <v>127</v>
          </cell>
          <cell r="B137" t="str">
            <v>Cable Nº 6 THHN</v>
          </cell>
          <cell r="C137" t="str">
            <v>ML</v>
          </cell>
          <cell r="E137">
            <v>0</v>
          </cell>
          <cell r="G137">
            <v>63</v>
          </cell>
        </row>
        <row r="138">
          <cell r="A138">
            <v>128</v>
          </cell>
          <cell r="B138" t="str">
            <v>Caja Contador</v>
          </cell>
          <cell r="C138" t="str">
            <v>UN</v>
          </cell>
          <cell r="E138">
            <v>0</v>
          </cell>
          <cell r="G138">
            <v>64</v>
          </cell>
        </row>
        <row r="139">
          <cell r="A139">
            <v>129</v>
          </cell>
          <cell r="B139" t="str">
            <v>Contador</v>
          </cell>
          <cell r="C139" t="str">
            <v>UN</v>
          </cell>
          <cell r="E139">
            <v>0</v>
          </cell>
          <cell r="G139">
            <v>65</v>
          </cell>
        </row>
        <row r="140">
          <cell r="A140">
            <v>130</v>
          </cell>
          <cell r="B140" t="str">
            <v>Automatico de protección</v>
          </cell>
          <cell r="C140" t="str">
            <v>UN</v>
          </cell>
          <cell r="E140">
            <v>0</v>
          </cell>
          <cell r="G140">
            <v>66</v>
          </cell>
        </row>
        <row r="141">
          <cell r="A141">
            <v>131</v>
          </cell>
          <cell r="B141" t="str">
            <v>Caja Circuitos</v>
          </cell>
          <cell r="C141" t="str">
            <v>UN</v>
          </cell>
          <cell r="E141">
            <v>0</v>
          </cell>
          <cell r="G141">
            <v>67</v>
          </cell>
        </row>
        <row r="142">
          <cell r="A142">
            <v>132</v>
          </cell>
          <cell r="B142" t="str">
            <v>Automaticos</v>
          </cell>
          <cell r="C142" t="str">
            <v>ML</v>
          </cell>
          <cell r="E142">
            <v>0</v>
          </cell>
          <cell r="G142">
            <v>68</v>
          </cell>
        </row>
        <row r="143">
          <cell r="A143">
            <v>133</v>
          </cell>
          <cell r="B143" t="str">
            <v>Linea Tierra</v>
          </cell>
          <cell r="C143" t="str">
            <v>ML</v>
          </cell>
          <cell r="E143">
            <v>0</v>
          </cell>
          <cell r="G143">
            <v>69</v>
          </cell>
        </row>
        <row r="144">
          <cell r="A144">
            <v>134</v>
          </cell>
          <cell r="B144" t="str">
            <v>Cinta Bandy de 3/4</v>
          </cell>
          <cell r="C144" t="str">
            <v>ML</v>
          </cell>
          <cell r="E144">
            <v>0</v>
          </cell>
          <cell r="G144">
            <v>70</v>
          </cell>
        </row>
        <row r="145">
          <cell r="A145">
            <v>135</v>
          </cell>
          <cell r="B145" t="str">
            <v>Hebillas de 3/4</v>
          </cell>
          <cell r="C145" t="str">
            <v>UN</v>
          </cell>
          <cell r="E145">
            <v>0</v>
          </cell>
          <cell r="G145">
            <v>71</v>
          </cell>
        </row>
        <row r="146">
          <cell r="A146">
            <v>136</v>
          </cell>
          <cell r="B146" t="str">
            <v>Vigetas</v>
          </cell>
          <cell r="C146" t="str">
            <v>UN</v>
          </cell>
          <cell r="E146">
            <v>0</v>
          </cell>
          <cell r="G146">
            <v>72</v>
          </cell>
        </row>
        <row r="147">
          <cell r="A147">
            <v>137</v>
          </cell>
          <cell r="B147" t="str">
            <v>Varilla de 1.50mts anclaje</v>
          </cell>
          <cell r="C147" t="str">
            <v>UN</v>
          </cell>
          <cell r="E147">
            <v>0</v>
          </cell>
          <cell r="G147">
            <v>73</v>
          </cell>
        </row>
        <row r="148">
          <cell r="A148">
            <v>138</v>
          </cell>
          <cell r="B148" t="str">
            <v>Arandela de 4 x 4</v>
          </cell>
          <cell r="C148" t="str">
            <v>UN</v>
          </cell>
          <cell r="E148">
            <v>0</v>
          </cell>
          <cell r="G148">
            <v>74</v>
          </cell>
        </row>
        <row r="149">
          <cell r="A149">
            <v>139</v>
          </cell>
          <cell r="B149" t="str">
            <v>Arandela de 2 x 2</v>
          </cell>
          <cell r="C149" t="str">
            <v>CUARTO</v>
          </cell>
          <cell r="E149">
            <v>0</v>
          </cell>
          <cell r="G149">
            <v>75</v>
          </cell>
        </row>
        <row r="150">
          <cell r="A150">
            <v>140</v>
          </cell>
          <cell r="B150" t="str">
            <v>Arandela de presion para 1 1/2</v>
          </cell>
          <cell r="C150" t="str">
            <v>UN</v>
          </cell>
          <cell r="E150">
            <v>0</v>
          </cell>
          <cell r="G150">
            <v>76</v>
          </cell>
        </row>
        <row r="151">
          <cell r="A151">
            <v>141</v>
          </cell>
          <cell r="B151" t="str">
            <v>Pernos de Maquina de 2"  x 1 1/2</v>
          </cell>
          <cell r="C151" t="str">
            <v>UN</v>
          </cell>
          <cell r="E151">
            <v>0</v>
          </cell>
          <cell r="G151">
            <v>77</v>
          </cell>
        </row>
        <row r="152">
          <cell r="A152">
            <v>142</v>
          </cell>
          <cell r="B152" t="str">
            <v>Cable Acero de 3/8</v>
          </cell>
          <cell r="C152" t="str">
            <v>UN</v>
          </cell>
          <cell r="E152">
            <v>0</v>
          </cell>
          <cell r="G152">
            <v>78</v>
          </cell>
        </row>
        <row r="153">
          <cell r="A153">
            <v>143</v>
          </cell>
          <cell r="B153" t="str">
            <v>Aisladores Tipo Tensor</v>
          </cell>
          <cell r="C153" t="str">
            <v>UN</v>
          </cell>
          <cell r="E153">
            <v>0</v>
          </cell>
          <cell r="G153">
            <v>79</v>
          </cell>
        </row>
        <row r="154">
          <cell r="A154">
            <v>144</v>
          </cell>
          <cell r="B154" t="str">
            <v>Guarda Cabos</v>
          </cell>
          <cell r="C154" t="str">
            <v>ML</v>
          </cell>
          <cell r="E154">
            <v>0</v>
          </cell>
          <cell r="G154">
            <v>80</v>
          </cell>
        </row>
        <row r="155">
          <cell r="A155">
            <v>145</v>
          </cell>
          <cell r="B155" t="str">
            <v>Grapa 3 pernos</v>
          </cell>
          <cell r="C155" t="str">
            <v>ML</v>
          </cell>
          <cell r="E155">
            <v>0</v>
          </cell>
        </row>
        <row r="156">
          <cell r="A156">
            <v>146</v>
          </cell>
          <cell r="B156" t="str">
            <v>Ducto de 2"</v>
          </cell>
          <cell r="C156" t="str">
            <v>ML</v>
          </cell>
          <cell r="E156">
            <v>0</v>
          </cell>
        </row>
        <row r="157">
          <cell r="A157">
            <v>147</v>
          </cell>
          <cell r="B157" t="str">
            <v>Ducto de 1 1/2"</v>
          </cell>
          <cell r="C157" t="str">
            <v>UN</v>
          </cell>
          <cell r="E157">
            <v>0</v>
          </cell>
        </row>
        <row r="158">
          <cell r="A158">
            <v>148</v>
          </cell>
          <cell r="B158" t="str">
            <v>Curva de 1 1/2"</v>
          </cell>
          <cell r="C158" t="str">
            <v>UN</v>
          </cell>
          <cell r="E158">
            <v>0</v>
          </cell>
        </row>
        <row r="159">
          <cell r="A159">
            <v>149</v>
          </cell>
          <cell r="B159" t="str">
            <v>Tapa Col Roll 0.5 x 0.5mts</v>
          </cell>
          <cell r="C159" t="str">
            <v>UN</v>
          </cell>
          <cell r="E159">
            <v>0</v>
          </cell>
        </row>
        <row r="160">
          <cell r="A160">
            <v>150</v>
          </cell>
          <cell r="B160" t="str">
            <v>Angulo</v>
          </cell>
          <cell r="C160" t="str">
            <v>UN</v>
          </cell>
          <cell r="E160">
            <v>0</v>
          </cell>
        </row>
        <row r="161">
          <cell r="A161">
            <v>151</v>
          </cell>
          <cell r="B161" t="str">
            <v>Cable Nº 4 Alum. Encauchetado</v>
          </cell>
          <cell r="C161" t="str">
            <v>UN</v>
          </cell>
          <cell r="E161">
            <v>0</v>
          </cell>
        </row>
        <row r="162">
          <cell r="A162">
            <v>152</v>
          </cell>
          <cell r="B162" t="str">
            <v>Cable Nº 10 Cobre THHN</v>
          </cell>
          <cell r="C162" t="str">
            <v>UN</v>
          </cell>
          <cell r="E162">
            <v>0</v>
          </cell>
        </row>
        <row r="163">
          <cell r="A163">
            <v>153</v>
          </cell>
          <cell r="B163" t="str">
            <v>Conectores para Ponchar AP1</v>
          </cell>
          <cell r="C163" t="str">
            <v>CUARTO</v>
          </cell>
          <cell r="E163">
            <v>0</v>
          </cell>
        </row>
        <row r="164">
          <cell r="A164">
            <v>154</v>
          </cell>
          <cell r="B164" t="str">
            <v>Protecciones Sumergibles para empalme</v>
          </cell>
          <cell r="C164" t="str">
            <v>UN</v>
          </cell>
          <cell r="E164">
            <v>0</v>
          </cell>
        </row>
        <row r="165">
          <cell r="A165">
            <v>155</v>
          </cell>
          <cell r="B165" t="str">
            <v>Cinta Nº 33</v>
          </cell>
          <cell r="C165" t="str">
            <v>UN</v>
          </cell>
          <cell r="E165">
            <v>0</v>
          </cell>
        </row>
        <row r="166">
          <cell r="A166">
            <v>156</v>
          </cell>
          <cell r="B166" t="str">
            <v>Cinta Nº 23</v>
          </cell>
          <cell r="C166" t="str">
            <v>UN</v>
          </cell>
          <cell r="E166">
            <v>0</v>
          </cell>
        </row>
        <row r="167">
          <cell r="A167">
            <v>157</v>
          </cell>
          <cell r="B167" t="str">
            <v>Ducto de 3" corrugado 35 x 3T para cajilla</v>
          </cell>
          <cell r="C167" t="str">
            <v>UN</v>
          </cell>
          <cell r="E167">
            <v>0</v>
          </cell>
        </row>
        <row r="168">
          <cell r="A168">
            <v>158</v>
          </cell>
          <cell r="B168" t="str">
            <v>Tubo de desague A - LL</v>
          </cell>
          <cell r="C168" t="str">
            <v>ML</v>
          </cell>
          <cell r="E168">
            <v>0</v>
          </cell>
        </row>
        <row r="169">
          <cell r="A169">
            <v>159</v>
          </cell>
          <cell r="B169" t="str">
            <v>Poste metálico de 4" de diámetro, 3 mts  de altura, pintado con base metálica para instalación o anclaje en pedestal, para dos luminarias. (según diseño )</v>
          </cell>
          <cell r="C169" t="str">
            <v>UN</v>
          </cell>
          <cell r="E169">
            <v>0</v>
          </cell>
        </row>
        <row r="170">
          <cell r="A170">
            <v>160</v>
          </cell>
          <cell r="B170" t="str">
            <v>Poste metálico de 4" de diámetro, 4 mts  de altura, pintado con base metálica para instalación o anclaje en pedestal, para cuatro luminarias. (según diseño)</v>
          </cell>
          <cell r="C170" t="str">
            <v>UN</v>
          </cell>
          <cell r="E170">
            <v>0</v>
          </cell>
        </row>
        <row r="171">
          <cell r="A171">
            <v>161</v>
          </cell>
          <cell r="E171">
            <v>0</v>
          </cell>
        </row>
        <row r="172">
          <cell r="A172">
            <v>162</v>
          </cell>
          <cell r="B172" t="str">
            <v>Transformador trifásico de 15 KVA, 13200/220 voltios</v>
          </cell>
          <cell r="C172" t="str">
            <v>UN</v>
          </cell>
          <cell r="D172">
            <v>4657500</v>
          </cell>
          <cell r="E172">
            <v>279450</v>
          </cell>
        </row>
        <row r="173">
          <cell r="A173">
            <v>163</v>
          </cell>
          <cell r="E173">
            <v>0</v>
          </cell>
        </row>
        <row r="174">
          <cell r="A174">
            <v>164</v>
          </cell>
          <cell r="E174">
            <v>0</v>
          </cell>
        </row>
        <row r="175">
          <cell r="A175">
            <v>165</v>
          </cell>
          <cell r="E175">
            <v>0</v>
          </cell>
        </row>
        <row r="176">
          <cell r="A176">
            <v>166</v>
          </cell>
          <cell r="E176">
            <v>0</v>
          </cell>
        </row>
        <row r="177">
          <cell r="A177">
            <v>167</v>
          </cell>
          <cell r="E177">
            <v>0</v>
          </cell>
        </row>
        <row r="178">
          <cell r="A178">
            <v>168</v>
          </cell>
          <cell r="E178">
            <v>0</v>
          </cell>
        </row>
        <row r="179">
          <cell r="A179">
            <v>169</v>
          </cell>
          <cell r="E179">
            <v>0</v>
          </cell>
        </row>
        <row r="180">
          <cell r="A180">
            <v>170</v>
          </cell>
          <cell r="E180">
            <v>0</v>
          </cell>
        </row>
        <row r="181">
          <cell r="A181">
            <v>171</v>
          </cell>
          <cell r="E181">
            <v>0</v>
          </cell>
        </row>
        <row r="182">
          <cell r="A182">
            <v>172</v>
          </cell>
          <cell r="E182">
            <v>0</v>
          </cell>
        </row>
        <row r="183">
          <cell r="A183">
            <v>173</v>
          </cell>
          <cell r="E183">
            <v>0</v>
          </cell>
        </row>
        <row r="184">
          <cell r="A184">
            <v>174</v>
          </cell>
          <cell r="E184">
            <v>0</v>
          </cell>
        </row>
        <row r="185">
          <cell r="A185">
            <v>175</v>
          </cell>
          <cell r="E185">
            <v>0</v>
          </cell>
        </row>
        <row r="186">
          <cell r="A186">
            <v>176</v>
          </cell>
          <cell r="E186">
            <v>0</v>
          </cell>
        </row>
        <row r="187">
          <cell r="A187">
            <v>177</v>
          </cell>
          <cell r="E187">
            <v>0</v>
          </cell>
        </row>
        <row r="188">
          <cell r="A188">
            <v>178</v>
          </cell>
          <cell r="E188">
            <v>0</v>
          </cell>
        </row>
        <row r="189">
          <cell r="A189">
            <v>179</v>
          </cell>
          <cell r="E189">
            <v>0</v>
          </cell>
        </row>
        <row r="190">
          <cell r="A190">
            <v>180</v>
          </cell>
          <cell r="E190">
            <v>0</v>
          </cell>
        </row>
        <row r="191">
          <cell r="A191">
            <v>181</v>
          </cell>
          <cell r="E191">
            <v>0</v>
          </cell>
        </row>
        <row r="192">
          <cell r="A192">
            <v>182</v>
          </cell>
          <cell r="E192">
            <v>0</v>
          </cell>
        </row>
        <row r="193">
          <cell r="A193">
            <v>183</v>
          </cell>
          <cell r="E193">
            <v>0</v>
          </cell>
        </row>
        <row r="194">
          <cell r="A194">
            <v>184</v>
          </cell>
          <cell r="E194">
            <v>0</v>
          </cell>
        </row>
        <row r="195">
          <cell r="A195">
            <v>185</v>
          </cell>
          <cell r="E195">
            <v>0</v>
          </cell>
        </row>
        <row r="196">
          <cell r="A196">
            <v>186</v>
          </cell>
          <cell r="E196">
            <v>0</v>
          </cell>
        </row>
        <row r="197">
          <cell r="A197">
            <v>187</v>
          </cell>
          <cell r="E197">
            <v>0</v>
          </cell>
        </row>
        <row r="198">
          <cell r="A198">
            <v>188</v>
          </cell>
          <cell r="E198">
            <v>0</v>
          </cell>
        </row>
        <row r="199">
          <cell r="A199">
            <v>189</v>
          </cell>
          <cell r="B199" t="str">
            <v>Caneca metálica mediana, en malla tipo cafetera, pivotante, sobre paral tubular metálico, con logotipo de la Alcaldia, según diseño</v>
          </cell>
          <cell r="C199" t="str">
            <v>UN</v>
          </cell>
          <cell r="D199">
            <v>170000</v>
          </cell>
          <cell r="E199">
            <v>10200</v>
          </cell>
        </row>
        <row r="200">
          <cell r="A200">
            <v>190</v>
          </cell>
          <cell r="E200">
            <v>0</v>
          </cell>
        </row>
        <row r="202">
          <cell r="A202" t="str">
            <v>REF.</v>
          </cell>
          <cell r="B202" t="str">
            <v>MATERIAL ACEROS</v>
          </cell>
          <cell r="C202" t="str">
            <v>UNIDAD</v>
          </cell>
          <cell r="D202" t="str">
            <v>PRECIO</v>
          </cell>
          <cell r="E202" t="str">
            <v>TRANSPORTE</v>
          </cell>
        </row>
        <row r="204">
          <cell r="A204">
            <v>191</v>
          </cell>
          <cell r="B204" t="str">
            <v>Acero de refuerzo A-37  A-60</v>
          </cell>
          <cell r="C204" t="str">
            <v>KG</v>
          </cell>
          <cell r="D204">
            <v>2800</v>
          </cell>
          <cell r="E204">
            <v>168</v>
          </cell>
        </row>
        <row r="205">
          <cell r="A205">
            <v>192</v>
          </cell>
          <cell r="B205" t="str">
            <v>Acero Fy = 60.000 PSI</v>
          </cell>
          <cell r="C205" t="str">
            <v>KG</v>
          </cell>
          <cell r="D205">
            <v>2800</v>
          </cell>
          <cell r="E205">
            <v>168</v>
          </cell>
        </row>
        <row r="206">
          <cell r="A206">
            <v>193</v>
          </cell>
          <cell r="B206" t="str">
            <v>Alambre negro</v>
          </cell>
          <cell r="C206" t="str">
            <v>KG</v>
          </cell>
          <cell r="D206">
            <v>3800</v>
          </cell>
          <cell r="E206">
            <v>228</v>
          </cell>
        </row>
        <row r="207">
          <cell r="A207">
            <v>194</v>
          </cell>
          <cell r="B207" t="str">
            <v>Caneca metálica PEQUEÑA, en malla tipo cafetera, pivotante, sobre paral tubular metálico, con logotipo de la Alcaldia, según diseño</v>
          </cell>
          <cell r="C207" t="str">
            <v>UN</v>
          </cell>
          <cell r="D207">
            <v>94334</v>
          </cell>
          <cell r="E207">
            <v>5660.04</v>
          </cell>
        </row>
        <row r="208">
          <cell r="A208">
            <v>195</v>
          </cell>
          <cell r="B208" t="str">
            <v>Caseta metálica para venta de dulcería  Según diseño y con logotipo de la Alcaldía.</v>
          </cell>
          <cell r="C208" t="str">
            <v>UN</v>
          </cell>
          <cell r="D208">
            <v>4485453</v>
          </cell>
          <cell r="E208">
            <v>269127.18</v>
          </cell>
        </row>
        <row r="209">
          <cell r="A209">
            <v>196</v>
          </cell>
          <cell r="B209" t="str">
            <v>Caseta metálica, para venta de revistas. Según diseño y con logotipo de la Alcaldía.</v>
          </cell>
          <cell r="C209" t="str">
            <v>UN</v>
          </cell>
          <cell r="D209">
            <v>5866830</v>
          </cell>
          <cell r="E209">
            <v>352009.8</v>
          </cell>
        </row>
        <row r="210">
          <cell r="A210">
            <v>197</v>
          </cell>
          <cell r="B210" t="str">
            <v xml:space="preserve">Estructura metalica para cabinas Telefonicas, según detalle </v>
          </cell>
          <cell r="C210" t="str">
            <v>UN</v>
          </cell>
          <cell r="E210">
            <v>0</v>
          </cell>
        </row>
        <row r="211">
          <cell r="A211">
            <v>198</v>
          </cell>
          <cell r="B211" t="str">
            <v>Estructura para aro base de pozo</v>
          </cell>
          <cell r="C211" t="str">
            <v>UN</v>
          </cell>
          <cell r="D211">
            <v>140000</v>
          </cell>
          <cell r="E211">
            <v>8400</v>
          </cell>
        </row>
        <row r="212">
          <cell r="A212">
            <v>199</v>
          </cell>
          <cell r="B212" t="str">
            <v>Estructura para tapa de pozo</v>
          </cell>
          <cell r="C212" t="str">
            <v>UN</v>
          </cell>
          <cell r="D212">
            <v>140000</v>
          </cell>
          <cell r="E212">
            <v>8400</v>
          </cell>
        </row>
        <row r="213">
          <cell r="A213">
            <v>200</v>
          </cell>
          <cell r="B213" t="str">
            <v>Hidrante tipo humedo de 3" norma AWWA-C503</v>
          </cell>
          <cell r="C213" t="str">
            <v>UN</v>
          </cell>
          <cell r="D213">
            <v>1210000</v>
          </cell>
          <cell r="E213">
            <v>72600</v>
          </cell>
        </row>
        <row r="214">
          <cell r="A214">
            <v>201</v>
          </cell>
          <cell r="B214" t="str">
            <v>Hidrante tipo humedo de 4" norma AWWA-C503</v>
          </cell>
          <cell r="C214" t="str">
            <v>UN</v>
          </cell>
          <cell r="D214">
            <v>1980000</v>
          </cell>
          <cell r="E214">
            <v>118800</v>
          </cell>
        </row>
        <row r="215">
          <cell r="A215">
            <v>202</v>
          </cell>
          <cell r="B215" t="str">
            <v xml:space="preserve">Llave de corte de 2" </v>
          </cell>
          <cell r="C215" t="str">
            <v>UN</v>
          </cell>
          <cell r="E215">
            <v>0</v>
          </cell>
        </row>
        <row r="216">
          <cell r="A216">
            <v>203</v>
          </cell>
          <cell r="B216" t="str">
            <v>Malla Electrosoldada</v>
          </cell>
          <cell r="C216" t="str">
            <v>M²</v>
          </cell>
          <cell r="D216">
            <v>16850</v>
          </cell>
          <cell r="E216">
            <v>1011</v>
          </cell>
        </row>
        <row r="217">
          <cell r="A217">
            <v>204</v>
          </cell>
          <cell r="B217" t="str">
            <v>Malla Gallinero</v>
          </cell>
          <cell r="C217" t="str">
            <v>M²</v>
          </cell>
          <cell r="D217">
            <v>1250</v>
          </cell>
          <cell r="E217">
            <v>75</v>
          </cell>
        </row>
        <row r="218">
          <cell r="A218">
            <v>205</v>
          </cell>
          <cell r="B218" t="str">
            <v>Niple Galvanizado 1/2"</v>
          </cell>
          <cell r="C218" t="str">
            <v>Und</v>
          </cell>
          <cell r="D218">
            <v>600</v>
          </cell>
          <cell r="E218">
            <v>36</v>
          </cell>
        </row>
        <row r="219">
          <cell r="A219">
            <v>206</v>
          </cell>
          <cell r="B219" t="str">
            <v>Platina de 3/16" x 1"</v>
          </cell>
          <cell r="C219" t="str">
            <v>ML</v>
          </cell>
          <cell r="D219">
            <v>3800</v>
          </cell>
          <cell r="E219">
            <v>228</v>
          </cell>
        </row>
        <row r="220">
          <cell r="A220">
            <v>207</v>
          </cell>
          <cell r="B220" t="str">
            <v>Puntillas</v>
          </cell>
          <cell r="C220" t="str">
            <v>LB</v>
          </cell>
          <cell r="D220">
            <v>1500</v>
          </cell>
          <cell r="E220">
            <v>90</v>
          </cell>
        </row>
        <row r="221">
          <cell r="A221">
            <v>208</v>
          </cell>
          <cell r="B221" t="str">
            <v>Registro de corte</v>
          </cell>
          <cell r="C221" t="str">
            <v>UN</v>
          </cell>
          <cell r="D221">
            <v>20000</v>
          </cell>
          <cell r="E221">
            <v>1200</v>
          </cell>
        </row>
        <row r="222">
          <cell r="A222">
            <v>209</v>
          </cell>
          <cell r="B222" t="str">
            <v>Registro de incorporación en bronce</v>
          </cell>
          <cell r="C222" t="str">
            <v>UN</v>
          </cell>
          <cell r="D222">
            <v>12000</v>
          </cell>
          <cell r="E222">
            <v>720</v>
          </cell>
        </row>
        <row r="223">
          <cell r="A223">
            <v>210</v>
          </cell>
          <cell r="B223" t="str">
            <v>Rejilla en angulo de 1½" x 1/4" para sumidero A. LL., según diseño EPN</v>
          </cell>
          <cell r="C223" t="str">
            <v>UN</v>
          </cell>
          <cell r="D223">
            <v>180000</v>
          </cell>
          <cell r="E223">
            <v>10800</v>
          </cell>
        </row>
        <row r="224">
          <cell r="A224">
            <v>211</v>
          </cell>
          <cell r="B224" t="str">
            <v>Rejilla en varilla de 5/8" cada 3 cm y marco en angulo de 1"x31/6", bisagrada según modelo de EPN</v>
          </cell>
          <cell r="C224" t="str">
            <v>ML</v>
          </cell>
          <cell r="E224">
            <v>0</v>
          </cell>
        </row>
        <row r="225">
          <cell r="A225">
            <v>212</v>
          </cell>
          <cell r="B225" t="str">
            <v>Tapa valvula tipo Chorote - Tráfico liviano</v>
          </cell>
          <cell r="C225" t="str">
            <v>UN</v>
          </cell>
          <cell r="D225">
            <v>85000</v>
          </cell>
          <cell r="E225">
            <v>5100</v>
          </cell>
        </row>
        <row r="226">
          <cell r="A226">
            <v>213</v>
          </cell>
          <cell r="B226" t="str">
            <v>Tee estándar de 12"x3" derivación a brida PN 10 - Hierro dúctil</v>
          </cell>
          <cell r="C226" t="str">
            <v>UN</v>
          </cell>
          <cell r="E226">
            <v>0</v>
          </cell>
        </row>
        <row r="227">
          <cell r="A227">
            <v>214</v>
          </cell>
          <cell r="B227" t="str">
            <v>Tee estándar de 12"x4" derivación a brida PN 10 - Hierro dúctil</v>
          </cell>
          <cell r="C227" t="str">
            <v>UN</v>
          </cell>
          <cell r="E227">
            <v>0</v>
          </cell>
        </row>
        <row r="228">
          <cell r="A228">
            <v>215</v>
          </cell>
          <cell r="B228" t="str">
            <v>Tee estándar de 16"x12" derivación a brida PN 10 - Hierro dúctil</v>
          </cell>
          <cell r="C228" t="str">
            <v>UN</v>
          </cell>
          <cell r="E228">
            <v>0</v>
          </cell>
        </row>
        <row r="229">
          <cell r="A229">
            <v>216</v>
          </cell>
          <cell r="B229" t="str">
            <v>Tee estándar de 8"x12" derivación a brida PN 10 - Hierro dúctil</v>
          </cell>
          <cell r="C229" t="str">
            <v>UN</v>
          </cell>
          <cell r="E229">
            <v>0</v>
          </cell>
        </row>
        <row r="230">
          <cell r="A230">
            <v>217</v>
          </cell>
          <cell r="B230" t="str">
            <v>Tee estándar de 8"x3" derivación a brida PN 10 - Hierro dúctil</v>
          </cell>
          <cell r="C230" t="str">
            <v>UN</v>
          </cell>
          <cell r="E230">
            <v>0</v>
          </cell>
        </row>
        <row r="231">
          <cell r="A231">
            <v>218</v>
          </cell>
          <cell r="B231" t="str">
            <v>Tee estándar de 8"x4" derivación a brida PN 10 - Hierro dúctil</v>
          </cell>
          <cell r="C231" t="str">
            <v>UN</v>
          </cell>
          <cell r="E231">
            <v>0</v>
          </cell>
        </row>
        <row r="232">
          <cell r="A232">
            <v>219</v>
          </cell>
          <cell r="B232" t="str">
            <v>Tee estándar de 8"x6" derivación a brida PN 10 - Hierro dúctil</v>
          </cell>
          <cell r="C232" t="str">
            <v>UN</v>
          </cell>
          <cell r="E232">
            <v>0</v>
          </cell>
        </row>
        <row r="233">
          <cell r="A233">
            <v>220</v>
          </cell>
          <cell r="B233" t="str">
            <v>TEE GALVANIZADA DE 1/2"</v>
          </cell>
          <cell r="C233" t="str">
            <v>Und</v>
          </cell>
          <cell r="D233">
            <v>600</v>
          </cell>
          <cell r="E233">
            <v>36</v>
          </cell>
        </row>
        <row r="234">
          <cell r="A234">
            <v>221</v>
          </cell>
          <cell r="B234" t="str">
            <v>Tornillo Autoperforante</v>
          </cell>
          <cell r="C234" t="str">
            <v>Und.</v>
          </cell>
          <cell r="D234">
            <v>300</v>
          </cell>
          <cell r="E234">
            <v>18</v>
          </cell>
        </row>
        <row r="235">
          <cell r="A235">
            <v>222</v>
          </cell>
          <cell r="B235" t="str">
            <v>Tornillo Fija Ala</v>
          </cell>
          <cell r="C235" t="str">
            <v>Und.</v>
          </cell>
          <cell r="D235">
            <v>350</v>
          </cell>
          <cell r="E235">
            <v>21</v>
          </cell>
        </row>
        <row r="236">
          <cell r="A236">
            <v>223</v>
          </cell>
          <cell r="B236" t="str">
            <v>Valvula de compuerta elastica de 3" en Hierro Ductil (ASTM-A-536)</v>
          </cell>
          <cell r="C236" t="str">
            <v>UN</v>
          </cell>
          <cell r="E236">
            <v>0</v>
          </cell>
        </row>
        <row r="237">
          <cell r="A237">
            <v>224</v>
          </cell>
          <cell r="B237" t="str">
            <v>Valvula de compuerta elastica de 4" en Hierro Ductil (ASTM-A-536)</v>
          </cell>
          <cell r="C237" t="str">
            <v>UN</v>
          </cell>
          <cell r="E237">
            <v>0</v>
          </cell>
        </row>
        <row r="238">
          <cell r="A238">
            <v>225</v>
          </cell>
          <cell r="B238" t="str">
            <v>Valvula de compuerta elastica de 6" en Hierro Ductil (ASTM-A-536)</v>
          </cell>
          <cell r="C238" t="str">
            <v>UN</v>
          </cell>
          <cell r="E238">
            <v>0</v>
          </cell>
        </row>
        <row r="239">
          <cell r="A239">
            <v>226</v>
          </cell>
          <cell r="B239" t="str">
            <v>Valvula de compuerta elastica de 8" en Hierro Ductil (ASTM-A-536)</v>
          </cell>
          <cell r="C239" t="str">
            <v>UN</v>
          </cell>
          <cell r="E239">
            <v>0</v>
          </cell>
        </row>
        <row r="240">
          <cell r="A240">
            <v>227</v>
          </cell>
          <cell r="B240" t="str">
            <v>Valvula de mariposa de 16" en Hierro Ductil (ASTM-A-536) brida PN 10</v>
          </cell>
          <cell r="C240" t="str">
            <v>UN</v>
          </cell>
          <cell r="E240">
            <v>0</v>
          </cell>
        </row>
        <row r="241">
          <cell r="A241">
            <v>228</v>
          </cell>
          <cell r="B241" t="str">
            <v>Valvula de mariposa de 20" en Hierro Ductil (ASTM-A-536) brida PN 10</v>
          </cell>
          <cell r="C241" t="str">
            <v>UN</v>
          </cell>
          <cell r="E241">
            <v>0</v>
          </cell>
        </row>
        <row r="242">
          <cell r="A242">
            <v>229</v>
          </cell>
          <cell r="B242" t="str">
            <v>Hoja de Segueta</v>
          </cell>
          <cell r="C242" t="str">
            <v>UN</v>
          </cell>
          <cell r="D242">
            <v>2500</v>
          </cell>
          <cell r="E242">
            <v>150</v>
          </cell>
        </row>
        <row r="243">
          <cell r="A243">
            <v>230</v>
          </cell>
          <cell r="B243" t="str">
            <v xml:space="preserve">poste galvanizado de 2" </v>
          </cell>
          <cell r="C243" t="str">
            <v>UN</v>
          </cell>
          <cell r="D243">
            <v>78000</v>
          </cell>
          <cell r="E243">
            <v>4680</v>
          </cell>
        </row>
        <row r="244">
          <cell r="A244">
            <v>231</v>
          </cell>
          <cell r="B244" t="str">
            <v>Malla eslabonada de 2x2 cal. 10</v>
          </cell>
          <cell r="C244" t="str">
            <v>M²</v>
          </cell>
          <cell r="D244">
            <v>14500</v>
          </cell>
          <cell r="E244">
            <v>870</v>
          </cell>
        </row>
        <row r="245">
          <cell r="A245">
            <v>232</v>
          </cell>
          <cell r="B245" t="str">
            <v>Platina de 3/16" x 1"</v>
          </cell>
          <cell r="C245" t="str">
            <v>ML</v>
          </cell>
          <cell r="D245">
            <v>3800</v>
          </cell>
          <cell r="E245">
            <v>228</v>
          </cell>
        </row>
        <row r="246">
          <cell r="A246">
            <v>233</v>
          </cell>
          <cell r="B246" t="str">
            <v xml:space="preserve">angulo de 1"x1/8" </v>
          </cell>
          <cell r="E246">
            <v>0</v>
          </cell>
        </row>
        <row r="247">
          <cell r="A247">
            <v>234</v>
          </cell>
          <cell r="B247" t="str">
            <v>Hierros Ø1/2"</v>
          </cell>
          <cell r="C247" t="str">
            <v>KG</v>
          </cell>
          <cell r="D247">
            <v>2200</v>
          </cell>
          <cell r="E247">
            <v>132</v>
          </cell>
        </row>
        <row r="248">
          <cell r="A248">
            <v>235</v>
          </cell>
          <cell r="B248" t="str">
            <v>Hierros Ø3/8"</v>
          </cell>
          <cell r="C248" t="str">
            <v>KG</v>
          </cell>
          <cell r="D248">
            <v>2100</v>
          </cell>
          <cell r="E248">
            <v>126</v>
          </cell>
        </row>
        <row r="249">
          <cell r="A249">
            <v>236</v>
          </cell>
          <cell r="E249">
            <v>0</v>
          </cell>
        </row>
        <row r="250">
          <cell r="A250">
            <v>237</v>
          </cell>
          <cell r="E250">
            <v>0</v>
          </cell>
        </row>
        <row r="251">
          <cell r="A251">
            <v>238</v>
          </cell>
          <cell r="E251">
            <v>0</v>
          </cell>
        </row>
        <row r="252">
          <cell r="A252">
            <v>239</v>
          </cell>
          <cell r="E252">
            <v>0</v>
          </cell>
        </row>
        <row r="253">
          <cell r="A253">
            <v>240</v>
          </cell>
          <cell r="E253">
            <v>0</v>
          </cell>
        </row>
        <row r="254">
          <cell r="A254">
            <v>241</v>
          </cell>
          <cell r="E254">
            <v>0</v>
          </cell>
        </row>
        <row r="255">
          <cell r="A255">
            <v>242</v>
          </cell>
          <cell r="E255">
            <v>0</v>
          </cell>
        </row>
        <row r="256">
          <cell r="A256">
            <v>243</v>
          </cell>
          <cell r="E256">
            <v>0</v>
          </cell>
        </row>
        <row r="257">
          <cell r="A257">
            <v>244</v>
          </cell>
          <cell r="E257">
            <v>0</v>
          </cell>
        </row>
        <row r="258">
          <cell r="A258">
            <v>245</v>
          </cell>
          <cell r="E258">
            <v>0</v>
          </cell>
        </row>
        <row r="259">
          <cell r="A259">
            <v>246</v>
          </cell>
          <cell r="E259">
            <v>0</v>
          </cell>
        </row>
        <row r="260">
          <cell r="A260">
            <v>247</v>
          </cell>
          <cell r="E260">
            <v>0</v>
          </cell>
        </row>
        <row r="261">
          <cell r="A261">
            <v>248</v>
          </cell>
          <cell r="E261">
            <v>0</v>
          </cell>
        </row>
        <row r="262">
          <cell r="A262">
            <v>249</v>
          </cell>
          <cell r="E262">
            <v>0</v>
          </cell>
        </row>
        <row r="263">
          <cell r="A263">
            <v>250</v>
          </cell>
          <cell r="E263">
            <v>0</v>
          </cell>
        </row>
        <row r="265">
          <cell r="A265" t="str">
            <v>REF.</v>
          </cell>
          <cell r="B265" t="str">
            <v>MATERIAL DE CUBIERTA</v>
          </cell>
          <cell r="C265" t="str">
            <v>UNIDAD</v>
          </cell>
          <cell r="D265" t="str">
            <v>PRECIO</v>
          </cell>
          <cell r="E265" t="str">
            <v>TRANSPORTE</v>
          </cell>
        </row>
        <row r="267">
          <cell r="A267">
            <v>251</v>
          </cell>
          <cell r="B267" t="str">
            <v xml:space="preserve">Amarres </v>
          </cell>
          <cell r="C267" t="str">
            <v>UN</v>
          </cell>
          <cell r="D267">
            <v>50</v>
          </cell>
          <cell r="E267">
            <v>3</v>
          </cell>
        </row>
        <row r="268">
          <cell r="A268">
            <v>252</v>
          </cell>
          <cell r="B268" t="str">
            <v>Caballete</v>
          </cell>
          <cell r="C268" t="str">
            <v>ML</v>
          </cell>
          <cell r="E268">
            <v>0</v>
          </cell>
        </row>
        <row r="269">
          <cell r="A269">
            <v>253</v>
          </cell>
          <cell r="B269" t="str">
            <v>Correas en perfil cerrado de 4x10 cal 18 de 6.00mts</v>
          </cell>
          <cell r="C269" t="str">
            <v>UN</v>
          </cell>
          <cell r="D269">
            <v>42500</v>
          </cell>
          <cell r="E269">
            <v>2550</v>
          </cell>
        </row>
        <row r="270">
          <cell r="A270">
            <v>254</v>
          </cell>
          <cell r="B270" t="str">
            <v>Ganchos</v>
          </cell>
          <cell r="C270" t="str">
            <v>UN</v>
          </cell>
          <cell r="D270">
            <v>780</v>
          </cell>
          <cell r="E270">
            <v>46.8</v>
          </cell>
        </row>
        <row r="271">
          <cell r="A271">
            <v>255</v>
          </cell>
          <cell r="B271" t="str">
            <v>Teja Termoacustic + Caballete</v>
          </cell>
          <cell r="C271" t="str">
            <v>M2</v>
          </cell>
          <cell r="D271">
            <v>24000</v>
          </cell>
          <cell r="E271">
            <v>1440</v>
          </cell>
        </row>
        <row r="272">
          <cell r="A272">
            <v>256</v>
          </cell>
          <cell r="B272" t="str">
            <v xml:space="preserve">Teja Termoacustic Ondulada - color Azul </v>
          </cell>
          <cell r="C272" t="str">
            <v>M2</v>
          </cell>
          <cell r="D272">
            <v>38500</v>
          </cell>
          <cell r="E272">
            <v>2310</v>
          </cell>
        </row>
        <row r="273">
          <cell r="A273">
            <v>257</v>
          </cell>
          <cell r="B273" t="str">
            <v>Teja Termoacustic Ondulada - color Terracota</v>
          </cell>
          <cell r="C273" t="str">
            <v>M2</v>
          </cell>
          <cell r="D273">
            <v>31000</v>
          </cell>
          <cell r="E273">
            <v>1860</v>
          </cell>
        </row>
        <row r="274">
          <cell r="A274">
            <v>258</v>
          </cell>
          <cell r="E274">
            <v>0</v>
          </cell>
        </row>
        <row r="275">
          <cell r="A275">
            <v>259</v>
          </cell>
          <cell r="E275">
            <v>0</v>
          </cell>
        </row>
        <row r="276">
          <cell r="A276">
            <v>260</v>
          </cell>
          <cell r="E276">
            <v>0</v>
          </cell>
        </row>
        <row r="277">
          <cell r="A277">
            <v>261</v>
          </cell>
          <cell r="E277">
            <v>0</v>
          </cell>
        </row>
        <row r="278">
          <cell r="A278">
            <v>262</v>
          </cell>
          <cell r="E278">
            <v>0</v>
          </cell>
        </row>
        <row r="279">
          <cell r="A279">
            <v>263</v>
          </cell>
          <cell r="E279">
            <v>0</v>
          </cell>
        </row>
        <row r="280">
          <cell r="A280">
            <v>264</v>
          </cell>
          <cell r="E280">
            <v>0</v>
          </cell>
        </row>
        <row r="281">
          <cell r="A281">
            <v>265</v>
          </cell>
          <cell r="E281">
            <v>0</v>
          </cell>
        </row>
        <row r="282">
          <cell r="A282">
            <v>266</v>
          </cell>
          <cell r="E282">
            <v>0</v>
          </cell>
        </row>
        <row r="283">
          <cell r="A283">
            <v>267</v>
          </cell>
          <cell r="E283">
            <v>0</v>
          </cell>
        </row>
        <row r="284">
          <cell r="A284">
            <v>268</v>
          </cell>
          <cell r="E284">
            <v>0</v>
          </cell>
        </row>
        <row r="285">
          <cell r="A285">
            <v>269</v>
          </cell>
          <cell r="E285">
            <v>0</v>
          </cell>
        </row>
        <row r="286">
          <cell r="A286">
            <v>270</v>
          </cell>
          <cell r="E286">
            <v>0</v>
          </cell>
        </row>
        <row r="287">
          <cell r="A287">
            <v>271</v>
          </cell>
          <cell r="E287">
            <v>0</v>
          </cell>
        </row>
        <row r="288">
          <cell r="A288">
            <v>272</v>
          </cell>
          <cell r="E288">
            <v>0</v>
          </cell>
        </row>
        <row r="289">
          <cell r="A289">
            <v>273</v>
          </cell>
          <cell r="E289">
            <v>0</v>
          </cell>
        </row>
        <row r="290">
          <cell r="A290">
            <v>274</v>
          </cell>
          <cell r="E290">
            <v>0</v>
          </cell>
        </row>
        <row r="291">
          <cell r="A291">
            <v>275</v>
          </cell>
          <cell r="E291">
            <v>0</v>
          </cell>
        </row>
        <row r="292">
          <cell r="A292">
            <v>276</v>
          </cell>
          <cell r="E292">
            <v>0</v>
          </cell>
        </row>
        <row r="293">
          <cell r="A293">
            <v>277</v>
          </cell>
          <cell r="E293">
            <v>0</v>
          </cell>
        </row>
        <row r="294">
          <cell r="A294">
            <v>278</v>
          </cell>
          <cell r="E294">
            <v>0</v>
          </cell>
        </row>
        <row r="295">
          <cell r="A295">
            <v>279</v>
          </cell>
          <cell r="E295">
            <v>0</v>
          </cell>
        </row>
        <row r="296">
          <cell r="A296">
            <v>280</v>
          </cell>
          <cell r="E296">
            <v>0</v>
          </cell>
        </row>
        <row r="298">
          <cell r="A298" t="str">
            <v>REF.</v>
          </cell>
          <cell r="B298" t="str">
            <v>MATERIAL DE PVC</v>
          </cell>
          <cell r="C298" t="str">
            <v>UNIDAD</v>
          </cell>
          <cell r="D298" t="str">
            <v>PRECIO</v>
          </cell>
          <cell r="E298" t="str">
            <v>TRANSPORTE</v>
          </cell>
        </row>
        <row r="300">
          <cell r="A300">
            <v>281</v>
          </cell>
          <cell r="B300" t="str">
            <v>Adaptador macho PF + UAD</v>
          </cell>
          <cell r="C300" t="str">
            <v>UN</v>
          </cell>
          <cell r="D300">
            <v>1166</v>
          </cell>
          <cell r="E300">
            <v>69.959999999999994</v>
          </cell>
        </row>
        <row r="301">
          <cell r="A301">
            <v>282</v>
          </cell>
          <cell r="B301" t="str">
            <v>Adaptador Novafor 6"</v>
          </cell>
          <cell r="C301" t="str">
            <v>UN</v>
          </cell>
          <cell r="D301">
            <v>17663</v>
          </cell>
          <cell r="E301">
            <v>1059.78</v>
          </cell>
        </row>
        <row r="302">
          <cell r="A302">
            <v>283</v>
          </cell>
          <cell r="B302" t="str">
            <v>Adaptador PVC-AC de 12" union Z</v>
          </cell>
          <cell r="C302" t="str">
            <v>UN</v>
          </cell>
          <cell r="D302">
            <v>268652</v>
          </cell>
          <cell r="E302">
            <v>16119.119999999999</v>
          </cell>
        </row>
        <row r="303">
          <cell r="A303">
            <v>284</v>
          </cell>
          <cell r="B303" t="str">
            <v>Adaptador PVC-AC de 3"</v>
          </cell>
          <cell r="C303" t="str">
            <v>UN</v>
          </cell>
          <cell r="D303">
            <v>16600</v>
          </cell>
          <cell r="E303">
            <v>996</v>
          </cell>
        </row>
        <row r="304">
          <cell r="A304">
            <v>285</v>
          </cell>
          <cell r="B304" t="str">
            <v>Adaptador PVC-AC de 4"</v>
          </cell>
          <cell r="C304" t="str">
            <v>UN</v>
          </cell>
          <cell r="D304">
            <v>18490</v>
          </cell>
          <cell r="E304">
            <v>1109.3999999999999</v>
          </cell>
        </row>
        <row r="305">
          <cell r="A305">
            <v>286</v>
          </cell>
          <cell r="B305" t="str">
            <v>Adaptador PVC-AC de 6" union Z</v>
          </cell>
          <cell r="C305" t="str">
            <v>UN</v>
          </cell>
          <cell r="D305">
            <v>44830</v>
          </cell>
          <cell r="E305">
            <v>2689.7999999999997</v>
          </cell>
        </row>
        <row r="306">
          <cell r="A306">
            <v>287</v>
          </cell>
          <cell r="B306" t="str">
            <v>Adaptador PVC-AC de 8" union Z</v>
          </cell>
          <cell r="C306" t="str">
            <v>UN</v>
          </cell>
          <cell r="D306">
            <v>61648</v>
          </cell>
          <cell r="E306">
            <v>3698.8799999999997</v>
          </cell>
        </row>
        <row r="307">
          <cell r="A307">
            <v>288</v>
          </cell>
          <cell r="B307" t="str">
            <v>Codo de gran radio PVC 3"x90º UZ-RDE 21</v>
          </cell>
          <cell r="C307" t="str">
            <v>UN</v>
          </cell>
          <cell r="D307">
            <v>47099</v>
          </cell>
          <cell r="E307">
            <v>2825.94</v>
          </cell>
        </row>
        <row r="308">
          <cell r="A308">
            <v>289</v>
          </cell>
          <cell r="B308" t="str">
            <v>Codo de gran radio PVC 4"x90º UZ-RDE 21</v>
          </cell>
          <cell r="C308" t="str">
            <v>UN</v>
          </cell>
          <cell r="D308">
            <v>90433</v>
          </cell>
          <cell r="E308">
            <v>5425.98</v>
          </cell>
        </row>
        <row r="309">
          <cell r="A309">
            <v>290</v>
          </cell>
          <cell r="B309" t="str">
            <v>Collar de derivación de 8" x 2"</v>
          </cell>
          <cell r="C309" t="str">
            <v>UN</v>
          </cell>
          <cell r="D309">
            <v>604406</v>
          </cell>
          <cell r="E309">
            <v>36264.36</v>
          </cell>
        </row>
        <row r="310">
          <cell r="A310">
            <v>291</v>
          </cell>
          <cell r="B310" t="str">
            <v>Collar de derivación PVC  3" x 1/2"</v>
          </cell>
          <cell r="C310" t="str">
            <v>UN</v>
          </cell>
          <cell r="D310">
            <v>11020</v>
          </cell>
          <cell r="E310">
            <v>661.19999999999993</v>
          </cell>
        </row>
        <row r="311">
          <cell r="A311">
            <v>292</v>
          </cell>
          <cell r="B311" t="str">
            <v>Lubricante para tubo PVC union mecánica</v>
          </cell>
          <cell r="C311" t="str">
            <v>LB</v>
          </cell>
          <cell r="D311">
            <v>11136</v>
          </cell>
          <cell r="E311">
            <v>668.16</v>
          </cell>
        </row>
        <row r="312">
          <cell r="A312">
            <v>293</v>
          </cell>
          <cell r="B312" t="str">
            <v>Manguera PVC  PF+UAD de 1/2"</v>
          </cell>
          <cell r="C312" t="str">
            <v>ML</v>
          </cell>
          <cell r="E312">
            <v>0</v>
          </cell>
        </row>
        <row r="313">
          <cell r="A313">
            <v>294</v>
          </cell>
          <cell r="B313" t="str">
            <v xml:space="preserve">Tapon soldar de 2" PVC </v>
          </cell>
          <cell r="C313" t="str">
            <v>UN</v>
          </cell>
          <cell r="E313">
            <v>0</v>
          </cell>
        </row>
        <row r="314">
          <cell r="A314">
            <v>295</v>
          </cell>
          <cell r="B314" t="str">
            <v xml:space="preserve">Tee PVC-RDE 21 de 3" x 3" x 2"  </v>
          </cell>
          <cell r="C314" t="str">
            <v>UN</v>
          </cell>
          <cell r="E314">
            <v>0</v>
          </cell>
        </row>
        <row r="315">
          <cell r="A315">
            <v>296</v>
          </cell>
          <cell r="B315" t="str">
            <v xml:space="preserve">Tee PVC-RDE 21 de 3" x 3" x 3"  </v>
          </cell>
          <cell r="C315" t="str">
            <v>UN</v>
          </cell>
          <cell r="E315">
            <v>0</v>
          </cell>
        </row>
        <row r="316">
          <cell r="A316">
            <v>297</v>
          </cell>
          <cell r="B316" t="str">
            <v xml:space="preserve">Tee PVC-RDE 21 de 4" x 4" x 4"  </v>
          </cell>
          <cell r="C316" t="str">
            <v>UN</v>
          </cell>
          <cell r="E316">
            <v>0</v>
          </cell>
        </row>
        <row r="317">
          <cell r="A317">
            <v>360</v>
          </cell>
          <cell r="B317" t="str">
            <v>Tubo PVC  D = 6" sello hermético NTC 3722</v>
          </cell>
          <cell r="C317" t="str">
            <v>ML</v>
          </cell>
          <cell r="E317">
            <v>0</v>
          </cell>
        </row>
        <row r="318">
          <cell r="A318">
            <v>298</v>
          </cell>
          <cell r="B318" t="str">
            <v>Tubo PVC  D = 12" sello hermético NTC 3722</v>
          </cell>
          <cell r="C318" t="str">
            <v>ML</v>
          </cell>
          <cell r="E318">
            <v>0</v>
          </cell>
        </row>
        <row r="319">
          <cell r="A319">
            <v>299</v>
          </cell>
          <cell r="B319" t="str">
            <v>Tubo PVC  D = 16" sello hermético NTC 3722</v>
          </cell>
          <cell r="C319" t="str">
            <v>ML</v>
          </cell>
          <cell r="E319">
            <v>0</v>
          </cell>
        </row>
        <row r="320">
          <cell r="A320">
            <v>300</v>
          </cell>
          <cell r="B320" t="str">
            <v>Tubo PVC  D = 20" sello hermético NTC 3722</v>
          </cell>
          <cell r="C320" t="str">
            <v>ML</v>
          </cell>
          <cell r="E320">
            <v>0</v>
          </cell>
        </row>
        <row r="321">
          <cell r="A321">
            <v>301</v>
          </cell>
          <cell r="B321" t="str">
            <v>Tubo PVC  D = 24" sello hermético NTC 3722</v>
          </cell>
          <cell r="C321" t="str">
            <v>ML</v>
          </cell>
          <cell r="E321">
            <v>0</v>
          </cell>
        </row>
        <row r="322">
          <cell r="A322">
            <v>302</v>
          </cell>
          <cell r="B322" t="str">
            <v>Tubo PVC  D= 160mm, pared estructural y sello hermético</v>
          </cell>
          <cell r="C322" t="str">
            <v>ML</v>
          </cell>
          <cell r="D322">
            <v>21103.333333333332</v>
          </cell>
          <cell r="E322">
            <v>1266.1999999999998</v>
          </cell>
        </row>
        <row r="323">
          <cell r="A323">
            <v>303</v>
          </cell>
          <cell r="B323" t="str">
            <v>Tubo PVC  D= 315mm,  pared estructural y sello hermético</v>
          </cell>
          <cell r="C323" t="str">
            <v>ML</v>
          </cell>
          <cell r="D323">
            <v>65542</v>
          </cell>
          <cell r="E323">
            <v>3932.52</v>
          </cell>
        </row>
        <row r="324">
          <cell r="A324">
            <v>304</v>
          </cell>
          <cell r="B324" t="str">
            <v xml:space="preserve">Tubo PVC  RDE 21 D= 12" union mecanica </v>
          </cell>
          <cell r="C324" t="str">
            <v>ML</v>
          </cell>
          <cell r="E324">
            <v>0</v>
          </cell>
        </row>
        <row r="325">
          <cell r="A325">
            <v>305</v>
          </cell>
          <cell r="B325" t="str">
            <v xml:space="preserve">Tubo PVC  RDE 21 D= 16" union mecanica </v>
          </cell>
          <cell r="C325" t="str">
            <v>ML</v>
          </cell>
          <cell r="E325">
            <v>0</v>
          </cell>
        </row>
        <row r="326">
          <cell r="A326">
            <v>306</v>
          </cell>
          <cell r="B326" t="str">
            <v xml:space="preserve">Tubo PVC  RDE 21 D= 2" union mecanica </v>
          </cell>
          <cell r="C326" t="str">
            <v>ML</v>
          </cell>
          <cell r="E326">
            <v>0</v>
          </cell>
        </row>
        <row r="327">
          <cell r="A327">
            <v>307</v>
          </cell>
          <cell r="B327" t="str">
            <v xml:space="preserve">Tubo PVC  RDE 21 D= 3" union mecanica </v>
          </cell>
          <cell r="C327" t="str">
            <v>ML</v>
          </cell>
          <cell r="E327">
            <v>0</v>
          </cell>
        </row>
        <row r="328">
          <cell r="A328">
            <v>308</v>
          </cell>
          <cell r="B328" t="str">
            <v xml:space="preserve">Tubo PVC  RDE 21 D= 4" union mecanica </v>
          </cell>
          <cell r="C328" t="str">
            <v>ML</v>
          </cell>
          <cell r="E328">
            <v>0</v>
          </cell>
        </row>
        <row r="329">
          <cell r="A329">
            <v>309</v>
          </cell>
          <cell r="B329" t="str">
            <v xml:space="preserve">Tubo PVC  RDE 21 D= 8" union mecanica </v>
          </cell>
          <cell r="C329" t="str">
            <v>ML</v>
          </cell>
          <cell r="E329">
            <v>0</v>
          </cell>
        </row>
        <row r="330">
          <cell r="A330">
            <v>310</v>
          </cell>
          <cell r="B330" t="str">
            <v>Tubo PVC D= 21", pared estructural y sello hermético.</v>
          </cell>
          <cell r="C330" t="str">
            <v>ML</v>
          </cell>
          <cell r="E330">
            <v>0</v>
          </cell>
        </row>
        <row r="331">
          <cell r="A331">
            <v>311</v>
          </cell>
          <cell r="B331" t="str">
            <v>Tubo PVC D= 27", pared estructural y sello hermético.</v>
          </cell>
          <cell r="C331" t="str">
            <v>ML</v>
          </cell>
          <cell r="E331">
            <v>0</v>
          </cell>
        </row>
        <row r="332">
          <cell r="A332">
            <v>312</v>
          </cell>
          <cell r="B332" t="str">
            <v>Unión para Tubería PVC de pared estructural de 27"</v>
          </cell>
          <cell r="C332" t="str">
            <v>UN</v>
          </cell>
          <cell r="E332">
            <v>0</v>
          </cell>
        </row>
        <row r="333">
          <cell r="A333">
            <v>313</v>
          </cell>
          <cell r="B333" t="str">
            <v>Unión rápida PVC 12"  RDE 21</v>
          </cell>
          <cell r="C333" t="str">
            <v>UN</v>
          </cell>
          <cell r="E333">
            <v>0</v>
          </cell>
        </row>
        <row r="334">
          <cell r="A334">
            <v>314</v>
          </cell>
          <cell r="B334" t="str">
            <v>Unión rápida PVC 2"  RDE 21</v>
          </cell>
          <cell r="C334" t="str">
            <v>UN</v>
          </cell>
          <cell r="E334">
            <v>0</v>
          </cell>
        </row>
        <row r="335">
          <cell r="A335">
            <v>315</v>
          </cell>
          <cell r="B335" t="str">
            <v>Unión rápida PVC 3"  RDE 21</v>
          </cell>
          <cell r="C335" t="str">
            <v>UN</v>
          </cell>
          <cell r="E335">
            <v>0</v>
          </cell>
        </row>
        <row r="336">
          <cell r="A336">
            <v>316</v>
          </cell>
          <cell r="B336" t="str">
            <v>Unión rápida PVC 4"  RDE 21</v>
          </cell>
          <cell r="C336" t="str">
            <v>UN</v>
          </cell>
          <cell r="E336">
            <v>0</v>
          </cell>
        </row>
        <row r="337">
          <cell r="A337">
            <v>317</v>
          </cell>
          <cell r="B337" t="str">
            <v>Unión rápida PVC 6"  RDE 21</v>
          </cell>
          <cell r="C337" t="str">
            <v>UN</v>
          </cell>
          <cell r="E337">
            <v>0</v>
          </cell>
        </row>
        <row r="338">
          <cell r="A338">
            <v>318</v>
          </cell>
          <cell r="B338" t="str">
            <v>Unión rápida PVC 8"  RDE 21</v>
          </cell>
          <cell r="C338" t="str">
            <v>UN</v>
          </cell>
          <cell r="E338">
            <v>0</v>
          </cell>
        </row>
        <row r="339">
          <cell r="A339">
            <v>319</v>
          </cell>
          <cell r="B339" t="str">
            <v>Unión reparación PVC 3"  RDE 21</v>
          </cell>
          <cell r="C339" t="str">
            <v>UN</v>
          </cell>
          <cell r="E339">
            <v>0</v>
          </cell>
        </row>
        <row r="340">
          <cell r="A340">
            <v>320</v>
          </cell>
          <cell r="B340" t="str">
            <v>Unión reparación PVC 4"  RDE 21</v>
          </cell>
          <cell r="C340" t="str">
            <v>UN</v>
          </cell>
          <cell r="E340">
            <v>0</v>
          </cell>
        </row>
        <row r="341">
          <cell r="A341">
            <v>321</v>
          </cell>
          <cell r="B341" t="str">
            <v xml:space="preserve">Union Universal de 16" </v>
          </cell>
          <cell r="C341" t="str">
            <v>UN</v>
          </cell>
          <cell r="E341">
            <v>0</v>
          </cell>
        </row>
        <row r="342">
          <cell r="A342">
            <v>322</v>
          </cell>
          <cell r="B342" t="str">
            <v xml:space="preserve">Union Universal de 20" </v>
          </cell>
          <cell r="C342" t="str">
            <v>UN</v>
          </cell>
          <cell r="E342">
            <v>0</v>
          </cell>
        </row>
        <row r="343">
          <cell r="A343">
            <v>323</v>
          </cell>
          <cell r="B343" t="str">
            <v xml:space="preserve">Unión reparación PVC 6"  </v>
          </cell>
          <cell r="C343" t="str">
            <v>UN</v>
          </cell>
          <cell r="D343">
            <v>24288</v>
          </cell>
          <cell r="E343">
            <v>1457.28</v>
          </cell>
        </row>
        <row r="344">
          <cell r="A344">
            <v>324</v>
          </cell>
          <cell r="B344" t="str">
            <v xml:space="preserve">Codo de 90º PVC de 2" </v>
          </cell>
          <cell r="C344" t="str">
            <v>UN</v>
          </cell>
          <cell r="D344">
            <v>5500</v>
          </cell>
          <cell r="E344">
            <v>330</v>
          </cell>
        </row>
        <row r="345">
          <cell r="A345">
            <v>325</v>
          </cell>
          <cell r="B345" t="str">
            <v>Tubo de PVC 2"</v>
          </cell>
          <cell r="C345" t="str">
            <v>ML</v>
          </cell>
          <cell r="D345">
            <v>6787.333333333333</v>
          </cell>
          <cell r="E345">
            <v>407.23999999999995</v>
          </cell>
        </row>
        <row r="346">
          <cell r="A346">
            <v>326</v>
          </cell>
          <cell r="B346" t="str">
            <v>Unión PVC de 2"</v>
          </cell>
          <cell r="C346" t="str">
            <v>UN</v>
          </cell>
          <cell r="D346">
            <v>2200</v>
          </cell>
          <cell r="E346">
            <v>132</v>
          </cell>
        </row>
        <row r="347">
          <cell r="A347">
            <v>327</v>
          </cell>
          <cell r="B347" t="str">
            <v>Soldadura PVC 1/4 de Gal.</v>
          </cell>
          <cell r="C347" t="str">
            <v>UN</v>
          </cell>
          <cell r="D347">
            <v>49390</v>
          </cell>
          <cell r="E347">
            <v>2963.4</v>
          </cell>
        </row>
        <row r="348">
          <cell r="A348">
            <v>328</v>
          </cell>
          <cell r="B348" t="str">
            <v>Limpiador PVC 1/4 de Gal</v>
          </cell>
          <cell r="C348" t="str">
            <v>UN</v>
          </cell>
          <cell r="D348">
            <v>23707</v>
          </cell>
          <cell r="E348">
            <v>1422.4199999999998</v>
          </cell>
        </row>
        <row r="349">
          <cell r="A349">
            <v>329</v>
          </cell>
          <cell r="B349" t="str">
            <v>Sifon de Piso 2" PVC</v>
          </cell>
          <cell r="C349" t="str">
            <v>UN</v>
          </cell>
          <cell r="D349">
            <v>4000</v>
          </cell>
          <cell r="E349">
            <v>240</v>
          </cell>
        </row>
        <row r="350">
          <cell r="A350">
            <v>330</v>
          </cell>
          <cell r="B350" t="str">
            <v>Tubo de PVC 4"</v>
          </cell>
          <cell r="C350" t="str">
            <v>ML</v>
          </cell>
          <cell r="D350">
            <v>14129.666666666666</v>
          </cell>
          <cell r="E350">
            <v>847.78</v>
          </cell>
        </row>
        <row r="351">
          <cell r="A351">
            <v>331</v>
          </cell>
          <cell r="B351" t="str">
            <v>Unión PVC de 4"</v>
          </cell>
          <cell r="C351" t="str">
            <v>UN</v>
          </cell>
          <cell r="D351">
            <v>4200</v>
          </cell>
          <cell r="E351">
            <v>252</v>
          </cell>
        </row>
        <row r="352">
          <cell r="A352">
            <v>332</v>
          </cell>
          <cell r="B352" t="str">
            <v xml:space="preserve">Codo de 90º PVC de 4" </v>
          </cell>
          <cell r="C352" t="str">
            <v>UN</v>
          </cell>
          <cell r="D352">
            <v>8018</v>
          </cell>
          <cell r="E352">
            <v>481.08</v>
          </cell>
        </row>
        <row r="353">
          <cell r="A353">
            <v>333</v>
          </cell>
          <cell r="B353" t="str">
            <v>Tubo de PVC 6"</v>
          </cell>
          <cell r="C353" t="str">
            <v>ML</v>
          </cell>
          <cell r="D353">
            <v>29923.833333333332</v>
          </cell>
          <cell r="E353">
            <v>1795.4299999999998</v>
          </cell>
        </row>
        <row r="354">
          <cell r="A354">
            <v>334</v>
          </cell>
          <cell r="B354" t="str">
            <v>Codo reventilado 90 1/8º cxc PVC</v>
          </cell>
          <cell r="C354" t="str">
            <v>UN</v>
          </cell>
          <cell r="D354">
            <v>13682</v>
          </cell>
          <cell r="E354">
            <v>820.92</v>
          </cell>
        </row>
        <row r="355">
          <cell r="A355">
            <v>335</v>
          </cell>
          <cell r="B355" t="str">
            <v>Tubo de PVC 6" ALL</v>
          </cell>
          <cell r="C355" t="str">
            <v>ML</v>
          </cell>
          <cell r="D355">
            <v>20090.5</v>
          </cell>
          <cell r="E355">
            <v>1205.43</v>
          </cell>
        </row>
        <row r="356">
          <cell r="A356">
            <v>336</v>
          </cell>
          <cell r="B356" t="str">
            <v>Tubo de PVC 4" ALL</v>
          </cell>
          <cell r="C356" t="str">
            <v>ML</v>
          </cell>
          <cell r="D356">
            <v>9963</v>
          </cell>
          <cell r="E356">
            <v>597.78</v>
          </cell>
        </row>
        <row r="357">
          <cell r="A357">
            <v>337</v>
          </cell>
          <cell r="B357" t="str">
            <v>Tubo de PVC 2" ALL</v>
          </cell>
          <cell r="C357" t="str">
            <v>ML</v>
          </cell>
          <cell r="D357">
            <v>4980</v>
          </cell>
          <cell r="E357">
            <v>298.8</v>
          </cell>
        </row>
        <row r="358">
          <cell r="A358">
            <v>338</v>
          </cell>
          <cell r="B358" t="str">
            <v xml:space="preserve">Codo de 90º PVC de 1/2" </v>
          </cell>
          <cell r="C358" t="str">
            <v>UN</v>
          </cell>
          <cell r="D358">
            <v>500</v>
          </cell>
          <cell r="E358">
            <v>30</v>
          </cell>
        </row>
        <row r="359">
          <cell r="A359">
            <v>339</v>
          </cell>
          <cell r="B359" t="str">
            <v>Tubo de PVC 1/2"</v>
          </cell>
          <cell r="C359" t="str">
            <v>ML</v>
          </cell>
          <cell r="D359">
            <v>2083.3333333333335</v>
          </cell>
          <cell r="E359">
            <v>125</v>
          </cell>
        </row>
        <row r="360">
          <cell r="A360">
            <v>340</v>
          </cell>
          <cell r="B360" t="str">
            <v>Unión PVC de 1/2"</v>
          </cell>
          <cell r="C360" t="str">
            <v>UN</v>
          </cell>
          <cell r="D360">
            <v>350</v>
          </cell>
          <cell r="E360">
            <v>21</v>
          </cell>
        </row>
        <row r="361">
          <cell r="A361">
            <v>341</v>
          </cell>
          <cell r="B361" t="str">
            <v>Registro de 1/2"</v>
          </cell>
          <cell r="C361" t="str">
            <v>UN</v>
          </cell>
          <cell r="D361">
            <v>12500</v>
          </cell>
          <cell r="E361">
            <v>750</v>
          </cell>
        </row>
        <row r="362">
          <cell r="A362">
            <v>342</v>
          </cell>
          <cell r="B362" t="str">
            <v>Tanque plastico de 1000 litros</v>
          </cell>
          <cell r="C362" t="str">
            <v>UN</v>
          </cell>
          <cell r="D362">
            <v>180000</v>
          </cell>
          <cell r="E362">
            <v>10800</v>
          </cell>
        </row>
        <row r="363">
          <cell r="A363">
            <v>343</v>
          </cell>
          <cell r="B363" t="str">
            <v>Tee de PVC 1/2"</v>
          </cell>
          <cell r="C363" t="str">
            <v>UN</v>
          </cell>
          <cell r="D363">
            <v>650</v>
          </cell>
          <cell r="E363">
            <v>39</v>
          </cell>
        </row>
        <row r="364">
          <cell r="A364">
            <v>344</v>
          </cell>
          <cell r="B364" t="str">
            <v>Adaptador macho 1/2"</v>
          </cell>
          <cell r="C364" t="str">
            <v>UN</v>
          </cell>
          <cell r="D364">
            <v>400</v>
          </cell>
          <cell r="E364">
            <v>24</v>
          </cell>
        </row>
        <row r="365">
          <cell r="A365">
            <v>345</v>
          </cell>
          <cell r="B365" t="str">
            <v>Adaptador hembra 1/2"</v>
          </cell>
          <cell r="C365" t="str">
            <v>UN</v>
          </cell>
          <cell r="D365">
            <v>350</v>
          </cell>
          <cell r="E365">
            <v>21</v>
          </cell>
        </row>
        <row r="366">
          <cell r="A366">
            <v>346</v>
          </cell>
          <cell r="B366" t="str">
            <v>Llave terminal</v>
          </cell>
          <cell r="C366" t="str">
            <v>UN</v>
          </cell>
          <cell r="D366">
            <v>4000</v>
          </cell>
          <cell r="E366">
            <v>240</v>
          </cell>
        </row>
        <row r="367">
          <cell r="A367">
            <v>347</v>
          </cell>
          <cell r="B367" t="str">
            <v>Tubo de PVC 1/2" agujerada</v>
          </cell>
          <cell r="C367" t="str">
            <v>ML</v>
          </cell>
          <cell r="D367">
            <v>2860</v>
          </cell>
          <cell r="E367">
            <v>171.6</v>
          </cell>
        </row>
        <row r="368">
          <cell r="A368">
            <v>348</v>
          </cell>
          <cell r="E368">
            <v>0</v>
          </cell>
        </row>
        <row r="369">
          <cell r="A369">
            <v>349</v>
          </cell>
          <cell r="E369">
            <v>0</v>
          </cell>
        </row>
        <row r="370">
          <cell r="A370">
            <v>350</v>
          </cell>
          <cell r="E370">
            <v>0</v>
          </cell>
        </row>
        <row r="371">
          <cell r="A371">
            <v>351</v>
          </cell>
          <cell r="E371">
            <v>0</v>
          </cell>
        </row>
        <row r="372">
          <cell r="A372">
            <v>352</v>
          </cell>
          <cell r="E372">
            <v>0</v>
          </cell>
        </row>
        <row r="373">
          <cell r="A373">
            <v>353</v>
          </cell>
          <cell r="E373">
            <v>0</v>
          </cell>
        </row>
        <row r="374">
          <cell r="A374">
            <v>354</v>
          </cell>
          <cell r="E374">
            <v>0</v>
          </cell>
        </row>
        <row r="375">
          <cell r="A375">
            <v>355</v>
          </cell>
          <cell r="E375">
            <v>0</v>
          </cell>
        </row>
        <row r="376">
          <cell r="A376">
            <v>356</v>
          </cell>
          <cell r="E376">
            <v>0</v>
          </cell>
        </row>
        <row r="377">
          <cell r="A377">
            <v>357</v>
          </cell>
          <cell r="E377">
            <v>0</v>
          </cell>
        </row>
        <row r="378">
          <cell r="A378">
            <v>358</v>
          </cell>
          <cell r="E378">
            <v>0</v>
          </cell>
        </row>
        <row r="379">
          <cell r="A379">
            <v>359</v>
          </cell>
          <cell r="E379">
            <v>0</v>
          </cell>
        </row>
        <row r="380">
          <cell r="A380">
            <v>360</v>
          </cell>
          <cell r="E380">
            <v>0</v>
          </cell>
        </row>
        <row r="382">
          <cell r="A382" t="str">
            <v>REF.</v>
          </cell>
          <cell r="B382" t="str">
            <v>MATERIAL DE PINTURAS</v>
          </cell>
          <cell r="C382" t="str">
            <v>UNIDAD</v>
          </cell>
          <cell r="D382" t="str">
            <v>PRECIO</v>
          </cell>
          <cell r="E382" t="str">
            <v>TRANSPORTE</v>
          </cell>
        </row>
        <row r="384">
          <cell r="A384">
            <v>361</v>
          </cell>
          <cell r="B384" t="str">
            <v>GRANIPLAST</v>
          </cell>
          <cell r="C384" t="str">
            <v>KG</v>
          </cell>
          <cell r="D384">
            <v>1200</v>
          </cell>
          <cell r="E384">
            <v>72</v>
          </cell>
        </row>
        <row r="385">
          <cell r="A385">
            <v>362</v>
          </cell>
          <cell r="B385" t="str">
            <v>Pintura en esmalte</v>
          </cell>
          <cell r="C385" t="str">
            <v>GL</v>
          </cell>
          <cell r="D385">
            <v>39000</v>
          </cell>
          <cell r="E385">
            <v>2340</v>
          </cell>
        </row>
        <row r="386">
          <cell r="A386">
            <v>363</v>
          </cell>
          <cell r="B386" t="str">
            <v>Solvente para esmalte</v>
          </cell>
          <cell r="C386" t="str">
            <v>GL</v>
          </cell>
          <cell r="D386">
            <v>6000</v>
          </cell>
          <cell r="E386">
            <v>360</v>
          </cell>
        </row>
        <row r="387">
          <cell r="A387">
            <v>364</v>
          </cell>
          <cell r="B387" t="str">
            <v>Anticoorosivo</v>
          </cell>
          <cell r="C387" t="str">
            <v>Gl</v>
          </cell>
          <cell r="D387">
            <v>36000</v>
          </cell>
          <cell r="E387">
            <v>2160</v>
          </cell>
        </row>
        <row r="388">
          <cell r="A388">
            <v>365</v>
          </cell>
          <cell r="B388" t="str">
            <v>Vinilo tipo A</v>
          </cell>
          <cell r="C388" t="str">
            <v>Gl</v>
          </cell>
          <cell r="D388">
            <v>35000</v>
          </cell>
          <cell r="E388">
            <v>2100</v>
          </cell>
        </row>
        <row r="389">
          <cell r="A389">
            <v>366</v>
          </cell>
          <cell r="B389" t="str">
            <v>CINTA DE ENMASCARAR</v>
          </cell>
          <cell r="C389" t="str">
            <v>UND</v>
          </cell>
          <cell r="D389">
            <v>4000</v>
          </cell>
          <cell r="E389">
            <v>240</v>
          </cell>
        </row>
        <row r="390">
          <cell r="A390">
            <v>367</v>
          </cell>
          <cell r="E390">
            <v>0</v>
          </cell>
        </row>
        <row r="391">
          <cell r="A391">
            <v>368</v>
          </cell>
          <cell r="E391">
            <v>0</v>
          </cell>
        </row>
        <row r="392">
          <cell r="A392">
            <v>369</v>
          </cell>
          <cell r="E392">
            <v>0</v>
          </cell>
        </row>
        <row r="393">
          <cell r="A393">
            <v>370</v>
          </cell>
          <cell r="E393">
            <v>0</v>
          </cell>
        </row>
        <row r="394">
          <cell r="A394">
            <v>371</v>
          </cell>
          <cell r="E394">
            <v>0</v>
          </cell>
        </row>
        <row r="395">
          <cell r="A395">
            <v>372</v>
          </cell>
          <cell r="E395">
            <v>0</v>
          </cell>
        </row>
        <row r="396">
          <cell r="A396">
            <v>373</v>
          </cell>
          <cell r="E396">
            <v>0</v>
          </cell>
        </row>
        <row r="397">
          <cell r="A397">
            <v>374</v>
          </cell>
          <cell r="E397">
            <v>0</v>
          </cell>
        </row>
        <row r="398">
          <cell r="A398">
            <v>375</v>
          </cell>
          <cell r="E398">
            <v>0</v>
          </cell>
        </row>
        <row r="399">
          <cell r="A399">
            <v>376</v>
          </cell>
          <cell r="E399">
            <v>0</v>
          </cell>
        </row>
        <row r="400">
          <cell r="A400">
            <v>377</v>
          </cell>
          <cell r="E400">
            <v>0</v>
          </cell>
        </row>
        <row r="401">
          <cell r="A401">
            <v>378</v>
          </cell>
          <cell r="E401">
            <v>0</v>
          </cell>
        </row>
        <row r="402">
          <cell r="A402">
            <v>379</v>
          </cell>
          <cell r="E402">
            <v>0</v>
          </cell>
        </row>
        <row r="403">
          <cell r="A403">
            <v>380</v>
          </cell>
          <cell r="E403">
            <v>0</v>
          </cell>
        </row>
        <row r="404">
          <cell r="A404">
            <v>381</v>
          </cell>
          <cell r="E404">
            <v>0</v>
          </cell>
        </row>
        <row r="405">
          <cell r="A405">
            <v>382</v>
          </cell>
          <cell r="E405">
            <v>0</v>
          </cell>
        </row>
        <row r="406">
          <cell r="A406">
            <v>383</v>
          </cell>
          <cell r="E406">
            <v>0</v>
          </cell>
        </row>
        <row r="407">
          <cell r="A407">
            <v>384</v>
          </cell>
          <cell r="E407">
            <v>0</v>
          </cell>
        </row>
        <row r="408">
          <cell r="A408">
            <v>385</v>
          </cell>
          <cell r="E408">
            <v>0</v>
          </cell>
        </row>
        <row r="409">
          <cell r="A409">
            <v>386</v>
          </cell>
          <cell r="E409">
            <v>0</v>
          </cell>
        </row>
        <row r="410">
          <cell r="A410">
            <v>387</v>
          </cell>
          <cell r="E410">
            <v>0</v>
          </cell>
        </row>
        <row r="411">
          <cell r="A411">
            <v>388</v>
          </cell>
          <cell r="E411">
            <v>0</v>
          </cell>
        </row>
        <row r="412">
          <cell r="A412">
            <v>389</v>
          </cell>
          <cell r="E412">
            <v>0</v>
          </cell>
        </row>
        <row r="413">
          <cell r="A413">
            <v>390</v>
          </cell>
          <cell r="E413">
            <v>0</v>
          </cell>
        </row>
        <row r="415">
          <cell r="A415" t="str">
            <v>REF.</v>
          </cell>
          <cell r="B415" t="str">
            <v>MATERIAL VARIOS</v>
          </cell>
          <cell r="C415" t="str">
            <v>UNIDAD</v>
          </cell>
          <cell r="D415" t="str">
            <v>PRECIO</v>
          </cell>
          <cell r="E415" t="str">
            <v>TRANSPORTE</v>
          </cell>
        </row>
        <row r="417">
          <cell r="A417">
            <v>391</v>
          </cell>
          <cell r="B417" t="str">
            <v>Agua</v>
          </cell>
          <cell r="C417" t="str">
            <v>LT</v>
          </cell>
          <cell r="D417">
            <v>10</v>
          </cell>
          <cell r="E417">
            <v>0.6</v>
          </cell>
        </row>
        <row r="418">
          <cell r="A418">
            <v>392</v>
          </cell>
          <cell r="B418" t="str">
            <v>Arbol nativo, h &gt; 1,50 mts.</v>
          </cell>
          <cell r="C418" t="str">
            <v>UN</v>
          </cell>
          <cell r="D418">
            <v>20000</v>
          </cell>
          <cell r="E418">
            <v>1200</v>
          </cell>
        </row>
        <row r="419">
          <cell r="A419">
            <v>393</v>
          </cell>
          <cell r="B419" t="str">
            <v xml:space="preserve">Cemento asfáltico grado de penetraciòn 80-100 (debe cumplir con especificación INVIAS, art.410/02). </v>
          </cell>
          <cell r="C419" t="str">
            <v>GL</v>
          </cell>
          <cell r="D419">
            <v>4500</v>
          </cell>
          <cell r="E419">
            <v>270</v>
          </cell>
        </row>
        <row r="420">
          <cell r="A420">
            <v>394</v>
          </cell>
          <cell r="B420" t="str">
            <v>Cemento asfaltico para bacheo tipo MDC-0 debe cumplir especificaciòn INVIAS art.450/02.E=0.05</v>
          </cell>
          <cell r="C420" t="str">
            <v>M3</v>
          </cell>
          <cell r="D420">
            <v>285000</v>
          </cell>
          <cell r="E420">
            <v>17100</v>
          </cell>
        </row>
        <row r="421">
          <cell r="A421">
            <v>395</v>
          </cell>
          <cell r="B421" t="str">
            <v>Digitacion de plano, incluye impresión</v>
          </cell>
          <cell r="C421" t="str">
            <v>UN</v>
          </cell>
          <cell r="D421">
            <v>80000</v>
          </cell>
          <cell r="E421">
            <v>4800</v>
          </cell>
        </row>
        <row r="422">
          <cell r="A422">
            <v>396</v>
          </cell>
          <cell r="B422" t="str">
            <v>Imprimante para via</v>
          </cell>
          <cell r="C422" t="str">
            <v>LT</v>
          </cell>
          <cell r="D422">
            <v>1100</v>
          </cell>
          <cell r="E422">
            <v>66</v>
          </cell>
        </row>
        <row r="423">
          <cell r="A423">
            <v>397</v>
          </cell>
          <cell r="B423" t="str">
            <v>Kit Silla Yee 300x160mm.  Incluye: silla yee, abrazadera y empaque de caucho.</v>
          </cell>
          <cell r="C423" t="str">
            <v>UN</v>
          </cell>
          <cell r="D423">
            <v>88941</v>
          </cell>
          <cell r="E423">
            <v>5336.46</v>
          </cell>
        </row>
        <row r="424">
          <cell r="A424">
            <v>398</v>
          </cell>
          <cell r="B424" t="str">
            <v>Mogador informativo</v>
          </cell>
          <cell r="C424" t="str">
            <v>UN</v>
          </cell>
          <cell r="D424">
            <v>2450000</v>
          </cell>
          <cell r="E424">
            <v>147000</v>
          </cell>
        </row>
        <row r="425">
          <cell r="A425">
            <v>399</v>
          </cell>
          <cell r="B425" t="str">
            <v>Polipropileno de color</v>
          </cell>
          <cell r="C425" t="str">
            <v>M2</v>
          </cell>
          <cell r="D425">
            <v>1900</v>
          </cell>
          <cell r="E425">
            <v>114</v>
          </cell>
        </row>
        <row r="426">
          <cell r="A426">
            <v>400</v>
          </cell>
          <cell r="B426" t="str">
            <v>Señalización horizontal: Flecha con microesfera marca 3M al 60% con pintura reflectiva tipo T. P., según norma INVIAS</v>
          </cell>
          <cell r="C426" t="str">
            <v>UN</v>
          </cell>
          <cell r="D426">
            <v>31000</v>
          </cell>
          <cell r="E426">
            <v>1860</v>
          </cell>
        </row>
        <row r="427">
          <cell r="A427">
            <v>401</v>
          </cell>
          <cell r="B427" t="str">
            <v>Señalización horizontal: Linea de cebra con microesfera marca 3M al 60% con pintura reflectiva tipo T. P., según norma INVIAS</v>
          </cell>
          <cell r="C427" t="str">
            <v>ML</v>
          </cell>
          <cell r="D427">
            <v>7000</v>
          </cell>
          <cell r="E427">
            <v>420</v>
          </cell>
        </row>
        <row r="428">
          <cell r="A428">
            <v>402</v>
          </cell>
          <cell r="B428" t="str">
            <v>Señalización Vertical: Señal preventiva o reglamentaria; en angulo 2" x 2" x 1/4", según norma INVIAS</v>
          </cell>
          <cell r="C428" t="str">
            <v>UN</v>
          </cell>
          <cell r="D428">
            <v>250000</v>
          </cell>
          <cell r="E428">
            <v>15000</v>
          </cell>
        </row>
        <row r="429">
          <cell r="A429">
            <v>403</v>
          </cell>
          <cell r="B429" t="str">
            <v>Señalización horizontal: Pare con microesfera marca 3M al 60% con pintura reflectiva tipo T. P., según norma INVIAS</v>
          </cell>
          <cell r="C429" t="str">
            <v>UN</v>
          </cell>
          <cell r="D429">
            <v>29500</v>
          </cell>
          <cell r="E429">
            <v>1770</v>
          </cell>
        </row>
        <row r="430">
          <cell r="A430">
            <v>404</v>
          </cell>
          <cell r="B430" t="str">
            <v>Señalización horizontal: Lineas centrales con microesfera marca 3M al 60% con pintura reflectiva tipo T. P., según norma INVIAS</v>
          </cell>
          <cell r="C430" t="str">
            <v>ML</v>
          </cell>
          <cell r="D430">
            <v>6500</v>
          </cell>
          <cell r="E430">
            <v>390</v>
          </cell>
        </row>
        <row r="431">
          <cell r="A431">
            <v>405</v>
          </cell>
          <cell r="B431" t="str">
            <v>Señalización horizontal: Lineas de borde con microesfera marca 3M al 60% con pintura reflectiva tipo T. P., según norma INVIAS</v>
          </cell>
          <cell r="C431" t="str">
            <v>ML</v>
          </cell>
          <cell r="D431">
            <v>6500</v>
          </cell>
          <cell r="E431">
            <v>390</v>
          </cell>
        </row>
        <row r="432">
          <cell r="A432">
            <v>406</v>
          </cell>
          <cell r="B432" t="str">
            <v>Impermeabilizante SIKA</v>
          </cell>
          <cell r="C432" t="str">
            <v>Kg</v>
          </cell>
          <cell r="D432">
            <v>68900</v>
          </cell>
          <cell r="E432">
            <v>4134</v>
          </cell>
        </row>
        <row r="433">
          <cell r="A433">
            <v>407</v>
          </cell>
          <cell r="B433" t="str">
            <v>Lavamanos Institucional Briggs</v>
          </cell>
          <cell r="C433" t="str">
            <v>UN</v>
          </cell>
          <cell r="D433">
            <v>130000</v>
          </cell>
          <cell r="E433">
            <v>7800</v>
          </cell>
        </row>
        <row r="434">
          <cell r="A434">
            <v>408</v>
          </cell>
          <cell r="B434" t="str">
            <v>Sanitario</v>
          </cell>
          <cell r="C434" t="str">
            <v>GL</v>
          </cell>
          <cell r="D434">
            <v>112000</v>
          </cell>
          <cell r="E434">
            <v>6720</v>
          </cell>
        </row>
        <row r="435">
          <cell r="A435">
            <v>409</v>
          </cell>
          <cell r="B435" t="str">
            <v>Juego de cancha multiple en tuberia de 2"</v>
          </cell>
          <cell r="C435" t="str">
            <v>GL</v>
          </cell>
          <cell r="D435">
            <v>3600000</v>
          </cell>
          <cell r="E435">
            <v>216000</v>
          </cell>
        </row>
        <row r="436">
          <cell r="A436">
            <v>410</v>
          </cell>
          <cell r="B436" t="str">
            <v>Vidrio liso 4 mm</v>
          </cell>
          <cell r="C436" t="str">
            <v>M2</v>
          </cell>
          <cell r="D436">
            <v>19500</v>
          </cell>
          <cell r="E436">
            <v>1170</v>
          </cell>
        </row>
        <row r="437">
          <cell r="A437">
            <v>411</v>
          </cell>
          <cell r="B437" t="str">
            <v>Vidrio templado de 5 mm</v>
          </cell>
          <cell r="C437" t="str">
            <v>M2</v>
          </cell>
          <cell r="D437">
            <v>23400</v>
          </cell>
          <cell r="E437">
            <v>1404</v>
          </cell>
        </row>
        <row r="438">
          <cell r="A438">
            <v>412</v>
          </cell>
          <cell r="E438">
            <v>0</v>
          </cell>
        </row>
        <row r="439">
          <cell r="A439">
            <v>413</v>
          </cell>
          <cell r="E439">
            <v>0</v>
          </cell>
        </row>
        <row r="440">
          <cell r="A440">
            <v>414</v>
          </cell>
          <cell r="E440">
            <v>0</v>
          </cell>
        </row>
        <row r="441">
          <cell r="A441">
            <v>415</v>
          </cell>
          <cell r="E441">
            <v>0</v>
          </cell>
        </row>
        <row r="442">
          <cell r="A442">
            <v>416</v>
          </cell>
          <cell r="E442">
            <v>0</v>
          </cell>
        </row>
        <row r="443">
          <cell r="A443">
            <v>417</v>
          </cell>
          <cell r="E443">
            <v>0</v>
          </cell>
        </row>
        <row r="444">
          <cell r="A444">
            <v>418</v>
          </cell>
          <cell r="E444">
            <v>0</v>
          </cell>
        </row>
        <row r="445">
          <cell r="A445">
            <v>419</v>
          </cell>
          <cell r="E445">
            <v>0</v>
          </cell>
        </row>
        <row r="446">
          <cell r="A446">
            <v>420</v>
          </cell>
          <cell r="E446">
            <v>0</v>
          </cell>
        </row>
        <row r="447">
          <cell r="A447">
            <v>421</v>
          </cell>
          <cell r="E447">
            <v>0</v>
          </cell>
        </row>
        <row r="448">
          <cell r="A448">
            <v>422</v>
          </cell>
          <cell r="E448">
            <v>0</v>
          </cell>
        </row>
        <row r="449">
          <cell r="A449">
            <v>423</v>
          </cell>
          <cell r="E449">
            <v>0</v>
          </cell>
        </row>
        <row r="450">
          <cell r="A450">
            <v>424</v>
          </cell>
          <cell r="E450">
            <v>0</v>
          </cell>
        </row>
        <row r="451">
          <cell r="A451">
            <v>425</v>
          </cell>
          <cell r="E451">
            <v>0</v>
          </cell>
        </row>
        <row r="452">
          <cell r="A452">
            <v>426</v>
          </cell>
          <cell r="E452">
            <v>0</v>
          </cell>
        </row>
        <row r="453">
          <cell r="A453">
            <v>427</v>
          </cell>
          <cell r="E453">
            <v>0</v>
          </cell>
        </row>
        <row r="454">
          <cell r="A454">
            <v>428</v>
          </cell>
          <cell r="E454">
            <v>0</v>
          </cell>
        </row>
        <row r="455">
          <cell r="A455">
            <v>429</v>
          </cell>
          <cell r="E455">
            <v>0</v>
          </cell>
        </row>
        <row r="456">
          <cell r="A456">
            <v>430</v>
          </cell>
          <cell r="E456">
            <v>0</v>
          </cell>
        </row>
        <row r="457">
          <cell r="A457">
            <v>431</v>
          </cell>
          <cell r="E457">
            <v>0</v>
          </cell>
        </row>
        <row r="458">
          <cell r="A458">
            <v>432</v>
          </cell>
          <cell r="E458">
            <v>0</v>
          </cell>
        </row>
        <row r="459">
          <cell r="A459">
            <v>433</v>
          </cell>
          <cell r="E459">
            <v>0</v>
          </cell>
        </row>
        <row r="460">
          <cell r="A460">
            <v>434</v>
          </cell>
          <cell r="E460">
            <v>0</v>
          </cell>
        </row>
        <row r="461">
          <cell r="A461">
            <v>435</v>
          </cell>
          <cell r="E461">
            <v>0</v>
          </cell>
        </row>
        <row r="462">
          <cell r="A462">
            <v>436</v>
          </cell>
          <cell r="E462">
            <v>0</v>
          </cell>
        </row>
        <row r="463">
          <cell r="A463">
            <v>435</v>
          </cell>
          <cell r="E463">
            <v>0</v>
          </cell>
        </row>
        <row r="464">
          <cell r="A464">
            <v>436</v>
          </cell>
          <cell r="E464">
            <v>0</v>
          </cell>
        </row>
        <row r="465">
          <cell r="A465">
            <v>437</v>
          </cell>
          <cell r="E465">
            <v>0</v>
          </cell>
        </row>
        <row r="466">
          <cell r="A466">
            <v>438</v>
          </cell>
          <cell r="E466">
            <v>0</v>
          </cell>
        </row>
        <row r="467">
          <cell r="A467">
            <v>439</v>
          </cell>
          <cell r="E467">
            <v>0</v>
          </cell>
        </row>
        <row r="468">
          <cell r="A468">
            <v>440</v>
          </cell>
          <cell r="E468">
            <v>0</v>
          </cell>
        </row>
        <row r="469">
          <cell r="A469">
            <v>441</v>
          </cell>
          <cell r="E469">
            <v>0</v>
          </cell>
        </row>
        <row r="470">
          <cell r="A470">
            <v>442</v>
          </cell>
          <cell r="E470">
            <v>0</v>
          </cell>
        </row>
        <row r="471">
          <cell r="A471">
            <v>443</v>
          </cell>
          <cell r="E471">
            <v>0</v>
          </cell>
        </row>
        <row r="472">
          <cell r="A472">
            <v>444</v>
          </cell>
          <cell r="E472">
            <v>0</v>
          </cell>
        </row>
        <row r="473">
          <cell r="A473">
            <v>445</v>
          </cell>
          <cell r="E473">
            <v>0</v>
          </cell>
        </row>
        <row r="474">
          <cell r="A474">
            <v>446</v>
          </cell>
          <cell r="E474">
            <v>0</v>
          </cell>
        </row>
        <row r="475">
          <cell r="A475">
            <v>447</v>
          </cell>
          <cell r="E475">
            <v>0</v>
          </cell>
        </row>
        <row r="476">
          <cell r="A476">
            <v>448</v>
          </cell>
          <cell r="E476">
            <v>0</v>
          </cell>
        </row>
        <row r="477">
          <cell r="A477">
            <v>449</v>
          </cell>
          <cell r="E477">
            <v>0</v>
          </cell>
        </row>
        <row r="478">
          <cell r="A478">
            <v>450</v>
          </cell>
          <cell r="E478">
            <v>0</v>
          </cell>
        </row>
        <row r="479">
          <cell r="A479">
            <v>450</v>
          </cell>
          <cell r="E479">
            <v>0</v>
          </cell>
        </row>
        <row r="481">
          <cell r="A481" t="str">
            <v>REF.</v>
          </cell>
          <cell r="B481" t="str">
            <v>MATERIAL CARPINTERIA METALICA</v>
          </cell>
          <cell r="C481" t="str">
            <v>UNIDAD</v>
          </cell>
          <cell r="D481" t="str">
            <v>PRECIO</v>
          </cell>
          <cell r="E481" t="str">
            <v>TRANSPORTE</v>
          </cell>
        </row>
        <row r="483">
          <cell r="A483">
            <v>451</v>
          </cell>
          <cell r="B483" t="str">
            <v>Alambre Negro</v>
          </cell>
          <cell r="C483" t="str">
            <v>KG</v>
          </cell>
          <cell r="D483">
            <v>1500</v>
          </cell>
          <cell r="E483">
            <v>90</v>
          </cell>
        </row>
        <row r="484">
          <cell r="A484">
            <v>452</v>
          </cell>
          <cell r="B484" t="str">
            <v>Angulo 1/8"x2"</v>
          </cell>
          <cell r="C484" t="str">
            <v>ML</v>
          </cell>
          <cell r="D484">
            <v>7500</v>
          </cell>
          <cell r="E484">
            <v>450</v>
          </cell>
        </row>
        <row r="485">
          <cell r="A485">
            <v>453</v>
          </cell>
          <cell r="B485" t="str">
            <v>Angulo 3/16"x2"</v>
          </cell>
          <cell r="C485" t="str">
            <v>ML</v>
          </cell>
          <cell r="D485">
            <v>10100</v>
          </cell>
          <cell r="E485">
            <v>606</v>
          </cell>
        </row>
        <row r="486">
          <cell r="A486">
            <v>454</v>
          </cell>
          <cell r="B486" t="str">
            <v>Angulo de 1"x1/8"</v>
          </cell>
          <cell r="C486" t="str">
            <v>ML</v>
          </cell>
          <cell r="D486">
            <v>1950</v>
          </cell>
          <cell r="E486">
            <v>117</v>
          </cell>
        </row>
        <row r="487">
          <cell r="A487">
            <v>455</v>
          </cell>
          <cell r="B487" t="str">
            <v>Angulo de 1"x1/8"</v>
          </cell>
          <cell r="C487" t="str">
            <v>ML</v>
          </cell>
          <cell r="D487">
            <v>2000</v>
          </cell>
          <cell r="E487">
            <v>120</v>
          </cell>
        </row>
        <row r="488">
          <cell r="A488">
            <v>456</v>
          </cell>
          <cell r="B488" t="str">
            <v>Angulo de 11/2" x 3/16</v>
          </cell>
          <cell r="C488" t="str">
            <v>ML</v>
          </cell>
          <cell r="D488">
            <v>6400</v>
          </cell>
          <cell r="E488">
            <v>384</v>
          </cell>
        </row>
        <row r="489">
          <cell r="A489">
            <v>457</v>
          </cell>
          <cell r="B489" t="str">
            <v>Angulo de 11/2"x1/8"</v>
          </cell>
          <cell r="C489" t="str">
            <v>ML</v>
          </cell>
          <cell r="D489">
            <v>6500</v>
          </cell>
          <cell r="E489">
            <v>390</v>
          </cell>
        </row>
        <row r="490">
          <cell r="A490">
            <v>458</v>
          </cell>
          <cell r="B490" t="str">
            <v>Angulo de 2 1/2" x 1/4</v>
          </cell>
          <cell r="C490" t="str">
            <v>ML</v>
          </cell>
          <cell r="D490">
            <v>13300</v>
          </cell>
          <cell r="E490">
            <v>798</v>
          </cell>
        </row>
        <row r="491">
          <cell r="A491">
            <v>459</v>
          </cell>
          <cell r="B491" t="str">
            <v>Angulo de 3/4"x1/8"</v>
          </cell>
          <cell r="C491" t="str">
            <v>ML</v>
          </cell>
          <cell r="D491">
            <v>1450</v>
          </cell>
          <cell r="E491">
            <v>87</v>
          </cell>
        </row>
        <row r="492">
          <cell r="A492">
            <v>460</v>
          </cell>
          <cell r="B492" t="str">
            <v>Anticorrosivo</v>
          </cell>
          <cell r="C492" t="str">
            <v>GL</v>
          </cell>
          <cell r="D492">
            <v>22000</v>
          </cell>
          <cell r="E492">
            <v>1320</v>
          </cell>
        </row>
        <row r="493">
          <cell r="A493">
            <v>461</v>
          </cell>
          <cell r="B493" t="str">
            <v xml:space="preserve">Arena </v>
          </cell>
          <cell r="C493" t="str">
            <v>M3</v>
          </cell>
          <cell r="D493">
            <v>35000</v>
          </cell>
          <cell r="E493">
            <v>2100</v>
          </cell>
        </row>
        <row r="494">
          <cell r="A494">
            <v>462</v>
          </cell>
          <cell r="B494" t="str">
            <v>Basculante tipo mariposa</v>
          </cell>
          <cell r="C494" t="str">
            <v>UN</v>
          </cell>
          <cell r="D494">
            <v>600</v>
          </cell>
          <cell r="E494">
            <v>36</v>
          </cell>
        </row>
        <row r="495">
          <cell r="A495">
            <v>463</v>
          </cell>
          <cell r="B495" t="str">
            <v xml:space="preserve">Bisagra </v>
          </cell>
          <cell r="C495" t="str">
            <v>UN</v>
          </cell>
          <cell r="D495">
            <v>750</v>
          </cell>
          <cell r="E495">
            <v>45</v>
          </cell>
        </row>
        <row r="496">
          <cell r="A496">
            <v>464</v>
          </cell>
          <cell r="B496" t="str">
            <v>Bisagra de 1/2"</v>
          </cell>
          <cell r="C496" t="str">
            <v>UN</v>
          </cell>
          <cell r="D496">
            <v>350</v>
          </cell>
          <cell r="E496">
            <v>21</v>
          </cell>
        </row>
        <row r="497">
          <cell r="A497">
            <v>465</v>
          </cell>
          <cell r="B497" t="str">
            <v>Bisagra de 5/8"</v>
          </cell>
          <cell r="C497" t="str">
            <v>UN</v>
          </cell>
          <cell r="D497">
            <v>500</v>
          </cell>
          <cell r="E497">
            <v>30</v>
          </cell>
        </row>
        <row r="498">
          <cell r="A498">
            <v>466</v>
          </cell>
          <cell r="B498" t="str">
            <v xml:space="preserve">Cemento Gris </v>
          </cell>
          <cell r="C498" t="str">
            <v>Saco</v>
          </cell>
          <cell r="D498">
            <v>12000</v>
          </cell>
          <cell r="E498">
            <v>720</v>
          </cell>
        </row>
        <row r="499">
          <cell r="A499">
            <v>467</v>
          </cell>
          <cell r="B499" t="str">
            <v>Chapa marca Vera sencilla</v>
          </cell>
          <cell r="C499" t="str">
            <v>UN</v>
          </cell>
          <cell r="D499">
            <v>18000</v>
          </cell>
          <cell r="E499">
            <v>1080</v>
          </cell>
        </row>
        <row r="500">
          <cell r="A500">
            <v>468</v>
          </cell>
          <cell r="B500" t="str">
            <v>Chapa marca Vera sencilla</v>
          </cell>
          <cell r="C500" t="str">
            <v>UN</v>
          </cell>
          <cell r="D500">
            <v>25000</v>
          </cell>
          <cell r="E500">
            <v>1500</v>
          </cell>
        </row>
        <row r="501">
          <cell r="A501">
            <v>469</v>
          </cell>
          <cell r="B501" t="str">
            <v>Correa tipo canal</v>
          </cell>
          <cell r="C501" t="str">
            <v>ML</v>
          </cell>
          <cell r="D501">
            <v>6600</v>
          </cell>
          <cell r="E501">
            <v>396</v>
          </cell>
        </row>
        <row r="502">
          <cell r="A502">
            <v>470</v>
          </cell>
          <cell r="B502" t="str">
            <v>Corredera</v>
          </cell>
          <cell r="C502" t="str">
            <v>UN</v>
          </cell>
          <cell r="D502">
            <v>1200</v>
          </cell>
          <cell r="E502">
            <v>72</v>
          </cell>
        </row>
        <row r="503">
          <cell r="A503">
            <v>471</v>
          </cell>
          <cell r="B503" t="str">
            <v>Corredera</v>
          </cell>
          <cell r="C503" t="str">
            <v>UN</v>
          </cell>
          <cell r="D503">
            <v>2500</v>
          </cell>
          <cell r="E503">
            <v>150</v>
          </cell>
        </row>
        <row r="504">
          <cell r="A504">
            <v>472</v>
          </cell>
          <cell r="B504" t="str">
            <v>Equipo electrico soldadura</v>
          </cell>
          <cell r="C504" t="str">
            <v>DIA</v>
          </cell>
          <cell r="D504">
            <v>30000</v>
          </cell>
          <cell r="E504">
            <v>1800</v>
          </cell>
        </row>
        <row r="505">
          <cell r="A505">
            <v>473</v>
          </cell>
          <cell r="B505" t="str">
            <v>Gasolina</v>
          </cell>
          <cell r="C505" t="str">
            <v>GL</v>
          </cell>
          <cell r="D505">
            <v>6000</v>
          </cell>
          <cell r="E505">
            <v>360</v>
          </cell>
        </row>
        <row r="506">
          <cell r="A506">
            <v>474</v>
          </cell>
          <cell r="B506" t="str">
            <v>Gravilla</v>
          </cell>
          <cell r="C506" t="str">
            <v>M3</v>
          </cell>
          <cell r="D506">
            <v>40000</v>
          </cell>
          <cell r="E506">
            <v>2400</v>
          </cell>
        </row>
        <row r="507">
          <cell r="A507">
            <v>475</v>
          </cell>
          <cell r="B507" t="str">
            <v>Lamina C.R. Cal.18</v>
          </cell>
          <cell r="C507" t="str">
            <v>M2</v>
          </cell>
          <cell r="D507">
            <v>26000</v>
          </cell>
          <cell r="E507">
            <v>1560</v>
          </cell>
        </row>
        <row r="508">
          <cell r="A508">
            <v>476</v>
          </cell>
          <cell r="B508" t="str">
            <v>Lamina C.R. Cal.20</v>
          </cell>
          <cell r="C508" t="str">
            <v>M2</v>
          </cell>
          <cell r="D508">
            <v>19500</v>
          </cell>
          <cell r="E508">
            <v>1170</v>
          </cell>
        </row>
        <row r="509">
          <cell r="A509">
            <v>477</v>
          </cell>
          <cell r="B509" t="str">
            <v>Lamina cal 16</v>
          </cell>
          <cell r="C509" t="str">
            <v>M2</v>
          </cell>
          <cell r="D509">
            <v>30500</v>
          </cell>
          <cell r="E509">
            <v>1830</v>
          </cell>
        </row>
        <row r="510">
          <cell r="A510">
            <v>478</v>
          </cell>
          <cell r="B510" t="str">
            <v>Malla eslabonada de 2x2 cal 10</v>
          </cell>
          <cell r="C510" t="str">
            <v>M2</v>
          </cell>
          <cell r="D510">
            <v>10000</v>
          </cell>
          <cell r="E510">
            <v>600</v>
          </cell>
        </row>
        <row r="511">
          <cell r="A511">
            <v>479</v>
          </cell>
          <cell r="B511" t="str">
            <v>Manija sencilla</v>
          </cell>
          <cell r="C511" t="str">
            <v>UN</v>
          </cell>
          <cell r="D511">
            <v>2000</v>
          </cell>
          <cell r="E511">
            <v>120</v>
          </cell>
        </row>
        <row r="512">
          <cell r="A512">
            <v>480</v>
          </cell>
          <cell r="B512" t="str">
            <v>Masilla</v>
          </cell>
          <cell r="C512" t="str">
            <v>GL</v>
          </cell>
          <cell r="D512">
            <v>18000</v>
          </cell>
          <cell r="E512">
            <v>1080</v>
          </cell>
        </row>
        <row r="513">
          <cell r="A513">
            <v>481</v>
          </cell>
          <cell r="B513" t="str">
            <v xml:space="preserve">Medallon de lujo </v>
          </cell>
          <cell r="C513" t="str">
            <v>UN</v>
          </cell>
          <cell r="D513">
            <v>5000</v>
          </cell>
          <cell r="E513">
            <v>300</v>
          </cell>
        </row>
        <row r="514">
          <cell r="A514">
            <v>482</v>
          </cell>
          <cell r="B514" t="str">
            <v>Pasador para puerta</v>
          </cell>
          <cell r="C514" t="str">
            <v>UN</v>
          </cell>
          <cell r="D514">
            <v>4000</v>
          </cell>
          <cell r="E514">
            <v>240</v>
          </cell>
        </row>
        <row r="515">
          <cell r="A515">
            <v>483</v>
          </cell>
          <cell r="B515" t="str">
            <v>Perno de 3/4"</v>
          </cell>
          <cell r="C515" t="str">
            <v>UN</v>
          </cell>
          <cell r="D515">
            <v>1500</v>
          </cell>
          <cell r="E515">
            <v>90</v>
          </cell>
        </row>
        <row r="516">
          <cell r="A516">
            <v>484</v>
          </cell>
          <cell r="B516" t="str">
            <v>Platina 1 1/2" x 1/8"</v>
          </cell>
          <cell r="C516" t="str">
            <v>ML</v>
          </cell>
          <cell r="D516">
            <v>1800</v>
          </cell>
          <cell r="E516">
            <v>108</v>
          </cell>
        </row>
        <row r="517">
          <cell r="A517">
            <v>485</v>
          </cell>
          <cell r="B517" t="str">
            <v>Platina 11/2" x 3/16</v>
          </cell>
          <cell r="C517" t="str">
            <v>ML</v>
          </cell>
          <cell r="D517">
            <v>3600</v>
          </cell>
          <cell r="E517">
            <v>216</v>
          </cell>
        </row>
        <row r="518">
          <cell r="A518">
            <v>486</v>
          </cell>
          <cell r="B518" t="str">
            <v>Platina de 1/2"x1/8"</v>
          </cell>
          <cell r="C518" t="str">
            <v>ML</v>
          </cell>
          <cell r="D518">
            <v>1300</v>
          </cell>
          <cell r="E518">
            <v>78</v>
          </cell>
        </row>
        <row r="519">
          <cell r="A519">
            <v>487</v>
          </cell>
          <cell r="B519" t="str">
            <v>Soldadura W.A. 6013</v>
          </cell>
          <cell r="C519" t="str">
            <v>KG</v>
          </cell>
          <cell r="D519">
            <v>4500</v>
          </cell>
          <cell r="E519">
            <v>270</v>
          </cell>
        </row>
        <row r="520">
          <cell r="A520">
            <v>488</v>
          </cell>
          <cell r="B520" t="str">
            <v>Tubo Aguas Negras 21/2"</v>
          </cell>
          <cell r="C520" t="str">
            <v>ML</v>
          </cell>
          <cell r="D520">
            <v>8550</v>
          </cell>
          <cell r="E520">
            <v>513</v>
          </cell>
        </row>
        <row r="521">
          <cell r="A521">
            <v>489</v>
          </cell>
          <cell r="B521" t="str">
            <v>Tubo cuadrado 11/2"</v>
          </cell>
          <cell r="C521" t="str">
            <v>ML</v>
          </cell>
          <cell r="D521">
            <v>2700</v>
          </cell>
          <cell r="E521">
            <v>162</v>
          </cell>
        </row>
        <row r="522">
          <cell r="A522">
            <v>490</v>
          </cell>
          <cell r="B522" t="str">
            <v>Tubo cuadrado de 1" cal 20</v>
          </cell>
          <cell r="C522" t="str">
            <v>Ml</v>
          </cell>
          <cell r="D522">
            <v>1500</v>
          </cell>
          <cell r="E522">
            <v>90</v>
          </cell>
        </row>
        <row r="523">
          <cell r="A523">
            <v>491</v>
          </cell>
          <cell r="B523" t="str">
            <v>Tubo cuadrado de 3/4"</v>
          </cell>
          <cell r="C523" t="str">
            <v>ML</v>
          </cell>
          <cell r="D523">
            <v>1350</v>
          </cell>
          <cell r="E523">
            <v>81</v>
          </cell>
        </row>
        <row r="524">
          <cell r="A524">
            <v>492</v>
          </cell>
          <cell r="B524" t="str">
            <v>Tubo de 2 x 1 cal. 20</v>
          </cell>
          <cell r="C524" t="str">
            <v>ML</v>
          </cell>
          <cell r="D524">
            <v>2500</v>
          </cell>
          <cell r="E524">
            <v>150</v>
          </cell>
        </row>
        <row r="525">
          <cell r="A525">
            <v>493</v>
          </cell>
          <cell r="B525" t="str">
            <v>Tubo en acero 3/4"</v>
          </cell>
          <cell r="C525" t="str">
            <v>ML</v>
          </cell>
          <cell r="D525">
            <v>2200</v>
          </cell>
          <cell r="E525">
            <v>132</v>
          </cell>
        </row>
        <row r="526">
          <cell r="A526">
            <v>494</v>
          </cell>
          <cell r="B526" t="str">
            <v>Tubo en acero cromado de 2"</v>
          </cell>
          <cell r="C526" t="str">
            <v>ML</v>
          </cell>
          <cell r="D526">
            <v>9100</v>
          </cell>
          <cell r="E526">
            <v>546</v>
          </cell>
        </row>
        <row r="527">
          <cell r="A527">
            <v>495</v>
          </cell>
          <cell r="B527" t="str">
            <v>Tubo galvanizado de 2"</v>
          </cell>
          <cell r="C527" t="str">
            <v>ML</v>
          </cell>
          <cell r="D527">
            <v>8000</v>
          </cell>
          <cell r="E527">
            <v>480</v>
          </cell>
        </row>
        <row r="528">
          <cell r="A528">
            <v>496</v>
          </cell>
          <cell r="B528" t="str">
            <v>tubo rectangular 10x4 Cal. 16</v>
          </cell>
          <cell r="C528" t="str">
            <v>ML</v>
          </cell>
          <cell r="D528">
            <v>9500</v>
          </cell>
          <cell r="E528">
            <v>570</v>
          </cell>
        </row>
        <row r="529">
          <cell r="A529">
            <v>497</v>
          </cell>
          <cell r="B529" t="str">
            <v>tubo rectangular 8 x 4</v>
          </cell>
          <cell r="C529" t="str">
            <v>ML</v>
          </cell>
          <cell r="D529">
            <v>4000</v>
          </cell>
          <cell r="E529">
            <v>240</v>
          </cell>
        </row>
        <row r="530">
          <cell r="A530">
            <v>498</v>
          </cell>
          <cell r="B530" t="str">
            <v>Varilla 1/4 " lisa</v>
          </cell>
          <cell r="C530" t="str">
            <v>kg</v>
          </cell>
          <cell r="D530">
            <v>2000</v>
          </cell>
          <cell r="E530">
            <v>120</v>
          </cell>
        </row>
        <row r="531">
          <cell r="A531">
            <v>499</v>
          </cell>
          <cell r="B531" t="str">
            <v>Varilla 5/8"</v>
          </cell>
          <cell r="C531" t="str">
            <v>ML</v>
          </cell>
          <cell r="D531">
            <v>2800</v>
          </cell>
          <cell r="E531">
            <v>168</v>
          </cell>
        </row>
        <row r="532">
          <cell r="A532">
            <v>500</v>
          </cell>
          <cell r="B532" t="str">
            <v>Varilla cuadrada de 10mm</v>
          </cell>
          <cell r="C532" t="str">
            <v>ML</v>
          </cell>
          <cell r="D532">
            <v>1450</v>
          </cell>
          <cell r="E532">
            <v>87</v>
          </cell>
        </row>
        <row r="533">
          <cell r="A533">
            <v>501</v>
          </cell>
          <cell r="B533" t="str">
            <v>Varilla de 1"</v>
          </cell>
          <cell r="C533" t="str">
            <v>ML</v>
          </cell>
          <cell r="D533">
            <v>10000</v>
          </cell>
          <cell r="E533">
            <v>600</v>
          </cell>
        </row>
        <row r="534">
          <cell r="A534">
            <v>502</v>
          </cell>
          <cell r="B534" t="str">
            <v>Varilla de 1/2 corrugada</v>
          </cell>
          <cell r="C534" t="str">
            <v>ML</v>
          </cell>
          <cell r="D534">
            <v>1900</v>
          </cell>
          <cell r="E534">
            <v>114</v>
          </cell>
        </row>
        <row r="535">
          <cell r="A535">
            <v>503</v>
          </cell>
          <cell r="B535" t="str">
            <v>Varilla de 1/2"</v>
          </cell>
          <cell r="C535" t="str">
            <v>ML</v>
          </cell>
          <cell r="D535">
            <v>1900</v>
          </cell>
          <cell r="E535">
            <v>114</v>
          </cell>
        </row>
        <row r="536">
          <cell r="A536">
            <v>504</v>
          </cell>
          <cell r="B536" t="str">
            <v>Varilla de 1/4 corrugada</v>
          </cell>
          <cell r="C536" t="str">
            <v>KG</v>
          </cell>
          <cell r="D536">
            <v>1900</v>
          </cell>
          <cell r="E536">
            <v>114</v>
          </cell>
        </row>
        <row r="537">
          <cell r="A537">
            <v>505</v>
          </cell>
          <cell r="B537" t="str">
            <v>Varilla de 3/8 corrugada</v>
          </cell>
          <cell r="C537" t="str">
            <v>ML</v>
          </cell>
          <cell r="D537">
            <v>1000</v>
          </cell>
          <cell r="E537">
            <v>60</v>
          </cell>
        </row>
        <row r="538">
          <cell r="A538">
            <v>506</v>
          </cell>
          <cell r="B538" t="str">
            <v>Varilla de 5/8" Corrugada</v>
          </cell>
          <cell r="C538" t="str">
            <v>ML</v>
          </cell>
          <cell r="D538">
            <v>3300</v>
          </cell>
          <cell r="E538">
            <v>198</v>
          </cell>
        </row>
        <row r="539">
          <cell r="A539">
            <v>507</v>
          </cell>
          <cell r="B539" t="str">
            <v>Cordon superior de 2" x 2" e=0.154"</v>
          </cell>
          <cell r="C539" t="str">
            <v>ML</v>
          </cell>
          <cell r="D539">
            <v>11200</v>
          </cell>
          <cell r="E539">
            <v>672</v>
          </cell>
        </row>
        <row r="540">
          <cell r="A540">
            <v>508</v>
          </cell>
          <cell r="B540" t="str">
            <v>Cordon superior de 2" x 1/8"</v>
          </cell>
          <cell r="C540" t="str">
            <v>ML</v>
          </cell>
          <cell r="D540">
            <v>10100</v>
          </cell>
          <cell r="E540">
            <v>606</v>
          </cell>
        </row>
        <row r="541">
          <cell r="A541">
            <v>509</v>
          </cell>
          <cell r="B541" t="str">
            <v>Cordon inferior de 1" x 1" e=0.095"</v>
          </cell>
          <cell r="C541" t="str">
            <v>ML</v>
          </cell>
          <cell r="D541">
            <v>8100</v>
          </cell>
          <cell r="E541">
            <v>486</v>
          </cell>
        </row>
        <row r="542">
          <cell r="A542">
            <v>510</v>
          </cell>
          <cell r="B542" t="str">
            <v xml:space="preserve">Cordon inferior de 1" x 3/16" </v>
          </cell>
          <cell r="C542" t="str">
            <v>ML</v>
          </cell>
          <cell r="D542">
            <v>7500</v>
          </cell>
          <cell r="E542">
            <v>450</v>
          </cell>
        </row>
        <row r="543">
          <cell r="A543">
            <v>511</v>
          </cell>
          <cell r="B543" t="str">
            <v>Cerpentin 1" x 1" e =0.095"</v>
          </cell>
          <cell r="C543" t="str">
            <v>ML</v>
          </cell>
          <cell r="D543">
            <v>2000</v>
          </cell>
          <cell r="E543">
            <v>120</v>
          </cell>
        </row>
        <row r="544">
          <cell r="A544">
            <v>512</v>
          </cell>
          <cell r="B544" t="str">
            <v xml:space="preserve">Cerpentin 1" x 3/16" </v>
          </cell>
          <cell r="C544" t="str">
            <v>ML</v>
          </cell>
          <cell r="D544">
            <v>2000</v>
          </cell>
          <cell r="E544">
            <v>120</v>
          </cell>
        </row>
        <row r="545">
          <cell r="A545">
            <v>513</v>
          </cell>
          <cell r="B545" t="str">
            <v>Correas metalicas Perfil Doble C 0,10 x 0,04 mt cal. 20</v>
          </cell>
          <cell r="C545" t="str">
            <v>ML</v>
          </cell>
          <cell r="D545">
            <v>6585</v>
          </cell>
          <cell r="E545">
            <v>395.09999999999997</v>
          </cell>
        </row>
        <row r="546">
          <cell r="A546">
            <v>514</v>
          </cell>
          <cell r="B546" t="str">
            <v>Esmalte color Blanco</v>
          </cell>
          <cell r="C546" t="str">
            <v>GL</v>
          </cell>
          <cell r="D546">
            <v>20600</v>
          </cell>
          <cell r="E546">
            <v>1236</v>
          </cell>
        </row>
        <row r="547">
          <cell r="A547">
            <v>515</v>
          </cell>
          <cell r="B547" t="str">
            <v>Medallon decorativo redondo</v>
          </cell>
          <cell r="C547" t="str">
            <v>UND</v>
          </cell>
          <cell r="D547">
            <v>5000</v>
          </cell>
          <cell r="E547">
            <v>300</v>
          </cell>
        </row>
        <row r="548">
          <cell r="A548">
            <v>516</v>
          </cell>
          <cell r="E548">
            <v>0</v>
          </cell>
        </row>
        <row r="549">
          <cell r="A549">
            <v>517</v>
          </cell>
          <cell r="E549">
            <v>0</v>
          </cell>
        </row>
        <row r="550">
          <cell r="A550">
            <v>518</v>
          </cell>
          <cell r="E550">
            <v>0</v>
          </cell>
        </row>
        <row r="551">
          <cell r="A551">
            <v>519</v>
          </cell>
          <cell r="E551">
            <v>0</v>
          </cell>
        </row>
        <row r="552">
          <cell r="A552">
            <v>520</v>
          </cell>
          <cell r="E552">
            <v>0</v>
          </cell>
        </row>
        <row r="553">
          <cell r="A553">
            <v>521</v>
          </cell>
          <cell r="E553">
            <v>0</v>
          </cell>
        </row>
        <row r="554">
          <cell r="A554">
            <v>522</v>
          </cell>
          <cell r="E554">
            <v>0</v>
          </cell>
        </row>
        <row r="555">
          <cell r="A555">
            <v>523</v>
          </cell>
          <cell r="E555">
            <v>0</v>
          </cell>
        </row>
        <row r="556">
          <cell r="A556">
            <v>524</v>
          </cell>
          <cell r="E556">
            <v>0</v>
          </cell>
        </row>
        <row r="557">
          <cell r="A557">
            <v>525</v>
          </cell>
          <cell r="E557">
            <v>0</v>
          </cell>
        </row>
        <row r="558">
          <cell r="A558">
            <v>526</v>
          </cell>
          <cell r="E558">
            <v>0</v>
          </cell>
        </row>
        <row r="559">
          <cell r="A559">
            <v>527</v>
          </cell>
          <cell r="E559">
            <v>0</v>
          </cell>
        </row>
        <row r="560">
          <cell r="A560">
            <v>528</v>
          </cell>
          <cell r="E560">
            <v>0</v>
          </cell>
        </row>
        <row r="561">
          <cell r="A561">
            <v>529</v>
          </cell>
          <cell r="E561">
            <v>0</v>
          </cell>
        </row>
        <row r="562">
          <cell r="A562">
            <v>530</v>
          </cell>
          <cell r="E562">
            <v>0</v>
          </cell>
        </row>
        <row r="563">
          <cell r="A563">
            <v>531</v>
          </cell>
          <cell r="E563">
            <v>0</v>
          </cell>
        </row>
        <row r="564">
          <cell r="A564">
            <v>532</v>
          </cell>
          <cell r="E564">
            <v>0</v>
          </cell>
        </row>
        <row r="565">
          <cell r="A565">
            <v>533</v>
          </cell>
          <cell r="E565">
            <v>0</v>
          </cell>
        </row>
        <row r="566">
          <cell r="A566">
            <v>534</v>
          </cell>
          <cell r="E566">
            <v>0</v>
          </cell>
        </row>
        <row r="567">
          <cell r="A567">
            <v>535</v>
          </cell>
          <cell r="E567">
            <v>0</v>
          </cell>
        </row>
        <row r="568">
          <cell r="A568">
            <v>536</v>
          </cell>
          <cell r="E568">
            <v>0</v>
          </cell>
        </row>
        <row r="569">
          <cell r="A569">
            <v>537</v>
          </cell>
          <cell r="E569">
            <v>0</v>
          </cell>
        </row>
        <row r="570">
          <cell r="A570">
            <v>538</v>
          </cell>
          <cell r="E570">
            <v>0</v>
          </cell>
        </row>
        <row r="571">
          <cell r="A571">
            <v>539</v>
          </cell>
          <cell r="E571">
            <v>0</v>
          </cell>
        </row>
        <row r="572">
          <cell r="A572">
            <v>540</v>
          </cell>
          <cell r="E572">
            <v>0</v>
          </cell>
        </row>
        <row r="573">
          <cell r="A573">
            <v>541</v>
          </cell>
          <cell r="E573">
            <v>0</v>
          </cell>
        </row>
        <row r="574">
          <cell r="A574">
            <v>542</v>
          </cell>
          <cell r="E574">
            <v>0</v>
          </cell>
        </row>
        <row r="575">
          <cell r="A575">
            <v>543</v>
          </cell>
          <cell r="E575">
            <v>0</v>
          </cell>
        </row>
        <row r="576">
          <cell r="A576">
            <v>544</v>
          </cell>
          <cell r="E576">
            <v>0</v>
          </cell>
        </row>
        <row r="577">
          <cell r="A577">
            <v>545</v>
          </cell>
          <cell r="E577">
            <v>0</v>
          </cell>
        </row>
        <row r="578">
          <cell r="A578">
            <v>546</v>
          </cell>
          <cell r="E578">
            <v>0</v>
          </cell>
        </row>
        <row r="579">
          <cell r="A579">
            <v>547</v>
          </cell>
          <cell r="E579">
            <v>0</v>
          </cell>
        </row>
        <row r="580">
          <cell r="A580">
            <v>548</v>
          </cell>
          <cell r="E580">
            <v>0</v>
          </cell>
        </row>
        <row r="581">
          <cell r="A581">
            <v>549</v>
          </cell>
          <cell r="E581">
            <v>0</v>
          </cell>
        </row>
        <row r="582">
          <cell r="A582">
            <v>550</v>
          </cell>
          <cell r="E582">
            <v>0</v>
          </cell>
        </row>
        <row r="584">
          <cell r="A584" t="str">
            <v>REF.</v>
          </cell>
          <cell r="B584" t="str">
            <v>MATERIAL CARPINTERIA DE MADERAS</v>
          </cell>
          <cell r="C584" t="str">
            <v>UNIDAD</v>
          </cell>
          <cell r="D584" t="str">
            <v>PRECIO</v>
          </cell>
          <cell r="E584" t="str">
            <v>TRANSPORTE</v>
          </cell>
        </row>
        <row r="586">
          <cell r="A586">
            <v>551</v>
          </cell>
          <cell r="B586" t="str">
            <v>Polin</v>
          </cell>
          <cell r="C586" t="str">
            <v>ML</v>
          </cell>
          <cell r="D586">
            <v>4000</v>
          </cell>
          <cell r="E586">
            <v>240</v>
          </cell>
        </row>
        <row r="587">
          <cell r="A587">
            <v>552</v>
          </cell>
          <cell r="B587" t="str">
            <v>Tabla burra de 0.30 x 3.00 mts</v>
          </cell>
          <cell r="C587" t="str">
            <v xml:space="preserve">UN </v>
          </cell>
          <cell r="D587">
            <v>17000</v>
          </cell>
          <cell r="E587">
            <v>1020</v>
          </cell>
        </row>
        <row r="588">
          <cell r="A588">
            <v>553</v>
          </cell>
          <cell r="B588" t="str">
            <v>Estacas, pintura, puntillas</v>
          </cell>
          <cell r="C588" t="str">
            <v>GLB</v>
          </cell>
          <cell r="D588">
            <v>900</v>
          </cell>
          <cell r="E588">
            <v>54</v>
          </cell>
        </row>
        <row r="589">
          <cell r="A589">
            <v>554</v>
          </cell>
          <cell r="B589" t="str">
            <v>Guadua</v>
          </cell>
          <cell r="C589" t="str">
            <v>ML</v>
          </cell>
          <cell r="D589">
            <v>2500</v>
          </cell>
          <cell r="E589">
            <v>150</v>
          </cell>
        </row>
        <row r="590">
          <cell r="A590">
            <v>555</v>
          </cell>
          <cell r="B590" t="str">
            <v>Liston de Madera</v>
          </cell>
          <cell r="C590" t="str">
            <v>UN</v>
          </cell>
          <cell r="D590">
            <v>800</v>
          </cell>
          <cell r="E590">
            <v>48</v>
          </cell>
        </row>
        <row r="591">
          <cell r="A591">
            <v>556</v>
          </cell>
          <cell r="E591">
            <v>0</v>
          </cell>
        </row>
        <row r="592">
          <cell r="A592">
            <v>557</v>
          </cell>
          <cell r="E592">
            <v>0</v>
          </cell>
        </row>
        <row r="593">
          <cell r="A593">
            <v>558</v>
          </cell>
          <cell r="E593">
            <v>0</v>
          </cell>
        </row>
        <row r="594">
          <cell r="A594">
            <v>559</v>
          </cell>
          <cell r="E594">
            <v>0</v>
          </cell>
        </row>
        <row r="595">
          <cell r="A595">
            <v>560</v>
          </cell>
          <cell r="E595">
            <v>0</v>
          </cell>
        </row>
        <row r="596">
          <cell r="A596">
            <v>561</v>
          </cell>
          <cell r="E596">
            <v>0</v>
          </cell>
        </row>
        <row r="597">
          <cell r="A597">
            <v>562</v>
          </cell>
          <cell r="E597">
            <v>0</v>
          </cell>
        </row>
        <row r="598">
          <cell r="A598">
            <v>563</v>
          </cell>
          <cell r="E598">
            <v>0</v>
          </cell>
        </row>
        <row r="599">
          <cell r="A599">
            <v>564</v>
          </cell>
          <cell r="E599">
            <v>0</v>
          </cell>
        </row>
        <row r="600">
          <cell r="A600">
            <v>565</v>
          </cell>
          <cell r="E600">
            <v>0</v>
          </cell>
        </row>
        <row r="601">
          <cell r="A601">
            <v>566</v>
          </cell>
          <cell r="E601">
            <v>0</v>
          </cell>
        </row>
        <row r="602">
          <cell r="A602">
            <v>567</v>
          </cell>
          <cell r="E602">
            <v>0</v>
          </cell>
        </row>
        <row r="603">
          <cell r="A603">
            <v>568</v>
          </cell>
          <cell r="E603">
            <v>0</v>
          </cell>
        </row>
        <row r="604">
          <cell r="A604">
            <v>569</v>
          </cell>
          <cell r="E604">
            <v>0</v>
          </cell>
        </row>
        <row r="605">
          <cell r="A605">
            <v>570</v>
          </cell>
          <cell r="E605">
            <v>0</v>
          </cell>
        </row>
        <row r="606">
          <cell r="A606">
            <v>571</v>
          </cell>
          <cell r="E606">
            <v>0</v>
          </cell>
        </row>
        <row r="607">
          <cell r="A607">
            <v>572</v>
          </cell>
          <cell r="E607">
            <v>0</v>
          </cell>
        </row>
        <row r="608">
          <cell r="A608">
            <v>573</v>
          </cell>
          <cell r="E608">
            <v>0</v>
          </cell>
        </row>
        <row r="609">
          <cell r="A609">
            <v>574</v>
          </cell>
          <cell r="E609">
            <v>0</v>
          </cell>
        </row>
        <row r="610">
          <cell r="A610">
            <v>575</v>
          </cell>
          <cell r="E610">
            <v>0</v>
          </cell>
        </row>
        <row r="611">
          <cell r="A611">
            <v>576</v>
          </cell>
          <cell r="E611">
            <v>0</v>
          </cell>
        </row>
        <row r="612">
          <cell r="A612">
            <v>577</v>
          </cell>
          <cell r="E612">
            <v>0</v>
          </cell>
        </row>
        <row r="613">
          <cell r="A613">
            <v>578</v>
          </cell>
          <cell r="E613">
            <v>0</v>
          </cell>
        </row>
        <row r="614">
          <cell r="A614">
            <v>579</v>
          </cell>
          <cell r="E614">
            <v>0</v>
          </cell>
        </row>
        <row r="615">
          <cell r="A615">
            <v>580</v>
          </cell>
          <cell r="E615">
            <v>0</v>
          </cell>
        </row>
        <row r="616">
          <cell r="A616">
            <v>581</v>
          </cell>
          <cell r="E616">
            <v>0</v>
          </cell>
        </row>
        <row r="617">
          <cell r="A617">
            <v>582</v>
          </cell>
          <cell r="E617">
            <v>0</v>
          </cell>
        </row>
        <row r="618">
          <cell r="A618">
            <v>583</v>
          </cell>
          <cell r="E618">
            <v>0</v>
          </cell>
        </row>
        <row r="619">
          <cell r="A619">
            <v>584</v>
          </cell>
          <cell r="E619">
            <v>0</v>
          </cell>
        </row>
        <row r="620">
          <cell r="A620">
            <v>585</v>
          </cell>
          <cell r="E620">
            <v>0</v>
          </cell>
        </row>
        <row r="621">
          <cell r="A621">
            <v>586</v>
          </cell>
          <cell r="E621">
            <v>0</v>
          </cell>
        </row>
        <row r="622">
          <cell r="A622">
            <v>587</v>
          </cell>
          <cell r="E622">
            <v>0</v>
          </cell>
        </row>
        <row r="623">
          <cell r="A623">
            <v>588</v>
          </cell>
          <cell r="E623">
            <v>0</v>
          </cell>
        </row>
        <row r="624">
          <cell r="A624">
            <v>589</v>
          </cell>
          <cell r="E624">
            <v>0</v>
          </cell>
        </row>
        <row r="625">
          <cell r="A625">
            <v>590</v>
          </cell>
          <cell r="E625">
            <v>0</v>
          </cell>
        </row>
        <row r="626">
          <cell r="A626">
            <v>591</v>
          </cell>
          <cell r="E626">
            <v>0</v>
          </cell>
        </row>
        <row r="627">
          <cell r="A627">
            <v>592</v>
          </cell>
          <cell r="E627">
            <v>0</v>
          </cell>
        </row>
        <row r="628">
          <cell r="A628">
            <v>593</v>
          </cell>
          <cell r="E628">
            <v>0</v>
          </cell>
        </row>
        <row r="629">
          <cell r="A629">
            <v>594</v>
          </cell>
          <cell r="E629">
            <v>0</v>
          </cell>
        </row>
        <row r="630">
          <cell r="A630">
            <v>595</v>
          </cell>
          <cell r="E630">
            <v>0</v>
          </cell>
        </row>
        <row r="631">
          <cell r="A631">
            <v>596</v>
          </cell>
          <cell r="E631">
            <v>0</v>
          </cell>
        </row>
        <row r="632">
          <cell r="A632">
            <v>597</v>
          </cell>
          <cell r="E632">
            <v>0</v>
          </cell>
        </row>
        <row r="633">
          <cell r="A633">
            <v>598</v>
          </cell>
          <cell r="E633">
            <v>0</v>
          </cell>
        </row>
        <row r="634">
          <cell r="A634">
            <v>599</v>
          </cell>
          <cell r="E634">
            <v>0</v>
          </cell>
        </row>
        <row r="635">
          <cell r="A635">
            <v>600</v>
          </cell>
          <cell r="E635">
            <v>0</v>
          </cell>
        </row>
        <row r="636">
          <cell r="A636">
            <v>601</v>
          </cell>
          <cell r="E636">
            <v>0</v>
          </cell>
        </row>
        <row r="637">
          <cell r="A637">
            <v>602</v>
          </cell>
          <cell r="E637">
            <v>0</v>
          </cell>
        </row>
        <row r="638">
          <cell r="A638">
            <v>603</v>
          </cell>
          <cell r="E638">
            <v>0</v>
          </cell>
        </row>
        <row r="639">
          <cell r="A639">
            <v>604</v>
          </cell>
          <cell r="E639">
            <v>0</v>
          </cell>
        </row>
        <row r="640">
          <cell r="A640">
            <v>605</v>
          </cell>
          <cell r="E640">
            <v>0</v>
          </cell>
        </row>
        <row r="641">
          <cell r="A641">
            <v>606</v>
          </cell>
          <cell r="E641">
            <v>0</v>
          </cell>
        </row>
        <row r="642">
          <cell r="A642">
            <v>607</v>
          </cell>
          <cell r="E642">
            <v>0</v>
          </cell>
        </row>
        <row r="643">
          <cell r="A643">
            <v>608</v>
          </cell>
          <cell r="E643">
            <v>0</v>
          </cell>
        </row>
        <row r="644">
          <cell r="A644">
            <v>609</v>
          </cell>
          <cell r="E644">
            <v>0</v>
          </cell>
        </row>
        <row r="645">
          <cell r="A645">
            <v>610</v>
          </cell>
          <cell r="E645">
            <v>0</v>
          </cell>
        </row>
        <row r="646">
          <cell r="A646">
            <v>611</v>
          </cell>
          <cell r="E646">
            <v>0</v>
          </cell>
        </row>
        <row r="647">
          <cell r="A647">
            <v>612</v>
          </cell>
          <cell r="E647">
            <v>0</v>
          </cell>
        </row>
        <row r="648">
          <cell r="A648">
            <v>613</v>
          </cell>
          <cell r="E648">
            <v>0</v>
          </cell>
        </row>
        <row r="649">
          <cell r="A649">
            <v>614</v>
          </cell>
          <cell r="E649">
            <v>0</v>
          </cell>
        </row>
        <row r="650">
          <cell r="A650">
            <v>615</v>
          </cell>
          <cell r="E650">
            <v>0</v>
          </cell>
        </row>
        <row r="651">
          <cell r="A651">
            <v>616</v>
          </cell>
          <cell r="E651">
            <v>0</v>
          </cell>
        </row>
        <row r="652">
          <cell r="A652">
            <v>617</v>
          </cell>
          <cell r="E652">
            <v>0</v>
          </cell>
        </row>
        <row r="653">
          <cell r="A653">
            <v>618</v>
          </cell>
          <cell r="E653">
            <v>0</v>
          </cell>
        </row>
        <row r="654">
          <cell r="A654">
            <v>619</v>
          </cell>
          <cell r="E654">
            <v>0</v>
          </cell>
        </row>
        <row r="655">
          <cell r="A655">
            <v>620</v>
          </cell>
          <cell r="E655">
            <v>0</v>
          </cell>
        </row>
        <row r="656">
          <cell r="A656">
            <v>621</v>
          </cell>
          <cell r="E656">
            <v>0</v>
          </cell>
        </row>
        <row r="657">
          <cell r="A657">
            <v>622</v>
          </cell>
          <cell r="E657">
            <v>0</v>
          </cell>
        </row>
        <row r="658">
          <cell r="A658">
            <v>623</v>
          </cell>
          <cell r="E658">
            <v>0</v>
          </cell>
        </row>
        <row r="659">
          <cell r="A659">
            <v>624</v>
          </cell>
          <cell r="E659">
            <v>0</v>
          </cell>
        </row>
        <row r="660">
          <cell r="A660">
            <v>625</v>
          </cell>
          <cell r="E660">
            <v>0</v>
          </cell>
        </row>
        <row r="661">
          <cell r="A661">
            <v>626</v>
          </cell>
          <cell r="E661">
            <v>0</v>
          </cell>
        </row>
        <row r="662">
          <cell r="A662">
            <v>627</v>
          </cell>
          <cell r="E662">
            <v>0</v>
          </cell>
        </row>
        <row r="663">
          <cell r="A663">
            <v>628</v>
          </cell>
          <cell r="E663">
            <v>0</v>
          </cell>
        </row>
        <row r="664">
          <cell r="A664">
            <v>629</v>
          </cell>
          <cell r="E664">
            <v>0</v>
          </cell>
        </row>
        <row r="665">
          <cell r="A665">
            <v>630</v>
          </cell>
          <cell r="E665">
            <v>0</v>
          </cell>
        </row>
        <row r="666">
          <cell r="A666">
            <v>631</v>
          </cell>
          <cell r="E666">
            <v>0</v>
          </cell>
        </row>
        <row r="667">
          <cell r="A667">
            <v>632</v>
          </cell>
          <cell r="E667">
            <v>0</v>
          </cell>
        </row>
        <row r="668">
          <cell r="A668">
            <v>633</v>
          </cell>
          <cell r="E668">
            <v>0</v>
          </cell>
        </row>
        <row r="669">
          <cell r="A669">
            <v>634</v>
          </cell>
          <cell r="E669">
            <v>0</v>
          </cell>
        </row>
        <row r="670">
          <cell r="A670">
            <v>635</v>
          </cell>
          <cell r="E670">
            <v>0</v>
          </cell>
        </row>
        <row r="671">
          <cell r="A671">
            <v>636</v>
          </cell>
          <cell r="E671">
            <v>0</v>
          </cell>
        </row>
        <row r="672">
          <cell r="A672">
            <v>637</v>
          </cell>
          <cell r="E672">
            <v>0</v>
          </cell>
        </row>
        <row r="673">
          <cell r="A673">
            <v>638</v>
          </cell>
          <cell r="E673">
            <v>0</v>
          </cell>
        </row>
        <row r="674">
          <cell r="A674">
            <v>639</v>
          </cell>
          <cell r="E674">
            <v>0</v>
          </cell>
        </row>
        <row r="675">
          <cell r="A675">
            <v>640</v>
          </cell>
          <cell r="E675">
            <v>0</v>
          </cell>
        </row>
        <row r="676">
          <cell r="A676">
            <v>641</v>
          </cell>
          <cell r="E676">
            <v>0</v>
          </cell>
        </row>
        <row r="677">
          <cell r="A677">
            <v>642</v>
          </cell>
          <cell r="E677">
            <v>0</v>
          </cell>
        </row>
        <row r="678">
          <cell r="A678">
            <v>643</v>
          </cell>
          <cell r="E678">
            <v>0</v>
          </cell>
        </row>
        <row r="679">
          <cell r="A679">
            <v>644</v>
          </cell>
          <cell r="E679">
            <v>0</v>
          </cell>
        </row>
        <row r="680">
          <cell r="A680">
            <v>645</v>
          </cell>
          <cell r="E680">
            <v>0</v>
          </cell>
        </row>
        <row r="681">
          <cell r="A681">
            <v>646</v>
          </cell>
          <cell r="E681">
            <v>0</v>
          </cell>
        </row>
        <row r="682">
          <cell r="A682">
            <v>647</v>
          </cell>
          <cell r="E682">
            <v>0</v>
          </cell>
        </row>
        <row r="683">
          <cell r="A683">
            <v>648</v>
          </cell>
          <cell r="E683">
            <v>0</v>
          </cell>
        </row>
        <row r="684">
          <cell r="A684">
            <v>649</v>
          </cell>
          <cell r="E684">
            <v>0</v>
          </cell>
        </row>
        <row r="685">
          <cell r="E685">
            <v>0</v>
          </cell>
        </row>
        <row r="686">
          <cell r="E686">
            <v>0</v>
          </cell>
        </row>
        <row r="687">
          <cell r="E687">
            <v>0</v>
          </cell>
        </row>
        <row r="688">
          <cell r="E688">
            <v>0</v>
          </cell>
        </row>
        <row r="689">
          <cell r="E689">
            <v>0</v>
          </cell>
        </row>
        <row r="690">
          <cell r="E690">
            <v>0</v>
          </cell>
        </row>
        <row r="691">
          <cell r="E691">
            <v>0</v>
          </cell>
        </row>
        <row r="692">
          <cell r="B692" t="str">
            <v>PUNTILLA 1 A 3"</v>
          </cell>
          <cell r="C692" t="str">
            <v>KG</v>
          </cell>
          <cell r="D692">
            <v>1500</v>
          </cell>
          <cell r="E692">
            <v>90</v>
          </cell>
        </row>
        <row r="693">
          <cell r="B693" t="str">
            <v>ALAMBRE NEGRO No 18</v>
          </cell>
          <cell r="C693" t="str">
            <v>KG</v>
          </cell>
          <cell r="D693">
            <v>2250</v>
          </cell>
          <cell r="E693">
            <v>135</v>
          </cell>
        </row>
        <row r="694">
          <cell r="B694" t="str">
            <v>POLIN</v>
          </cell>
          <cell r="C694" t="str">
            <v>ML</v>
          </cell>
          <cell r="D694">
            <v>1500</v>
          </cell>
          <cell r="E694">
            <v>90</v>
          </cell>
        </row>
        <row r="695">
          <cell r="B695" t="str">
            <v>CEMENTO</v>
          </cell>
          <cell r="C695" t="str">
            <v>KG</v>
          </cell>
          <cell r="D695">
            <v>300</v>
          </cell>
          <cell r="E695">
            <v>18</v>
          </cell>
        </row>
        <row r="696">
          <cell r="B696" t="str">
            <v xml:space="preserve">ARENA </v>
          </cell>
          <cell r="C696" t="str">
            <v>M³</v>
          </cell>
          <cell r="D696">
            <v>20000</v>
          </cell>
          <cell r="E696">
            <v>1200</v>
          </cell>
        </row>
        <row r="697">
          <cell r="B697" t="str">
            <v>GRAVILLA TRITURADA</v>
          </cell>
          <cell r="C697" t="str">
            <v>M³</v>
          </cell>
          <cell r="D697">
            <v>54000</v>
          </cell>
          <cell r="E697">
            <v>3240</v>
          </cell>
        </row>
        <row r="698">
          <cell r="B698" t="str">
            <v>AGUA</v>
          </cell>
          <cell r="C698" t="str">
            <v>LT</v>
          </cell>
          <cell r="D698">
            <v>5</v>
          </cell>
          <cell r="E698">
            <v>0.3</v>
          </cell>
        </row>
        <row r="699">
          <cell r="B699" t="str">
            <v xml:space="preserve">RECEBO </v>
          </cell>
          <cell r="C699" t="str">
            <v>M³</v>
          </cell>
          <cell r="D699">
            <v>16000</v>
          </cell>
          <cell r="E699">
            <v>960</v>
          </cell>
        </row>
        <row r="700">
          <cell r="B700" t="str">
            <v>HIERRO No 5</v>
          </cell>
          <cell r="C700" t="str">
            <v>KG</v>
          </cell>
          <cell r="D700">
            <v>2200</v>
          </cell>
          <cell r="E700">
            <v>132</v>
          </cell>
        </row>
        <row r="701">
          <cell r="B701" t="str">
            <v>HIERRO DE 3/8</v>
          </cell>
          <cell r="C701" t="str">
            <v>KG</v>
          </cell>
          <cell r="D701">
            <v>2200</v>
          </cell>
          <cell r="E701">
            <v>132</v>
          </cell>
        </row>
        <row r="702">
          <cell r="B702" t="str">
            <v>MALLA ELECTROSOLDADA Q2</v>
          </cell>
          <cell r="C702" t="str">
            <v>Und</v>
          </cell>
          <cell r="D702">
            <v>43000</v>
          </cell>
          <cell r="E702">
            <v>2580</v>
          </cell>
        </row>
        <row r="703">
          <cell r="B703" t="str">
            <v>LADRILLO TOLETE</v>
          </cell>
          <cell r="C703" t="str">
            <v>Und</v>
          </cell>
          <cell r="D703">
            <v>240</v>
          </cell>
          <cell r="E703">
            <v>14.399999999999999</v>
          </cell>
        </row>
        <row r="704">
          <cell r="B704" t="str">
            <v>BLOQUE No 5 HUECO 12X20X30</v>
          </cell>
          <cell r="C704" t="str">
            <v>Und</v>
          </cell>
          <cell r="D704">
            <v>670</v>
          </cell>
          <cell r="E704">
            <v>40.199999999999996</v>
          </cell>
        </row>
        <row r="705">
          <cell r="B705" t="str">
            <v>ARENA FINA</v>
          </cell>
          <cell r="C705" t="str">
            <v>M³</v>
          </cell>
          <cell r="D705">
            <v>20000</v>
          </cell>
          <cell r="E705">
            <v>1200</v>
          </cell>
        </row>
        <row r="706">
          <cell r="B706" t="str">
            <v>MALLA GALLINERO</v>
          </cell>
          <cell r="C706" t="str">
            <v>M²</v>
          </cell>
          <cell r="D706">
            <v>1250</v>
          </cell>
          <cell r="E706">
            <v>75</v>
          </cell>
        </row>
        <row r="707">
          <cell r="B707" t="str">
            <v>PINTURA EN ESMALTE</v>
          </cell>
          <cell r="C707" t="str">
            <v>GAL</v>
          </cell>
          <cell r="D707">
            <v>39600</v>
          </cell>
          <cell r="E707">
            <v>2376</v>
          </cell>
        </row>
        <row r="708">
          <cell r="B708" t="str">
            <v>VENTANA CUADRADA (0.50X0.50) INCLUYE VIDRIO</v>
          </cell>
          <cell r="C708" t="str">
            <v>Und</v>
          </cell>
          <cell r="D708">
            <v>80000</v>
          </cell>
          <cell r="E708">
            <v>4800</v>
          </cell>
        </row>
        <row r="709">
          <cell r="B709" t="str">
            <v>TEJA TERMOACUSTIC + CABELLETE</v>
          </cell>
          <cell r="C709" t="str">
            <v>M2</v>
          </cell>
          <cell r="D709">
            <v>24000</v>
          </cell>
          <cell r="E709">
            <v>1440</v>
          </cell>
        </row>
        <row r="710">
          <cell r="B710" t="str">
            <v>TORNILLO FIJA ALA</v>
          </cell>
          <cell r="C710" t="str">
            <v>Und.</v>
          </cell>
          <cell r="D710">
            <v>350</v>
          </cell>
          <cell r="E710">
            <v>21</v>
          </cell>
        </row>
        <row r="711">
          <cell r="B711" t="str">
            <v>TORNILLO AUTOPERFORANTE</v>
          </cell>
          <cell r="C711" t="str">
            <v>Und.</v>
          </cell>
          <cell r="D711">
            <v>300</v>
          </cell>
          <cell r="E711">
            <v>18</v>
          </cell>
        </row>
        <row r="712">
          <cell r="B712" t="str">
            <v>GRANIPLAST</v>
          </cell>
          <cell r="C712" t="str">
            <v>KG</v>
          </cell>
          <cell r="D712">
            <v>1200</v>
          </cell>
          <cell r="E712">
            <v>72</v>
          </cell>
        </row>
        <row r="713">
          <cell r="B713" t="str">
            <v>GRANITO #2</v>
          </cell>
          <cell r="C713" t="str">
            <v>BT</v>
          </cell>
          <cell r="D713">
            <v>6000</v>
          </cell>
          <cell r="E713">
            <v>360</v>
          </cell>
        </row>
        <row r="714">
          <cell r="B714" t="str">
            <v>TUBERIA PVC 4" SANITARIA</v>
          </cell>
          <cell r="C714" t="str">
            <v>ML</v>
          </cell>
          <cell r="D714">
            <v>6000</v>
          </cell>
          <cell r="E714">
            <v>360</v>
          </cell>
        </row>
        <row r="715">
          <cell r="B715" t="str">
            <v>ACCESORIOS</v>
          </cell>
          <cell r="C715" t="str">
            <v>Und</v>
          </cell>
          <cell r="D715">
            <v>2500</v>
          </cell>
          <cell r="E715">
            <v>150</v>
          </cell>
        </row>
        <row r="716">
          <cell r="B716" t="str">
            <v>CANALETA ACESCO 90X12</v>
          </cell>
          <cell r="C716" t="str">
            <v>ML</v>
          </cell>
          <cell r="D716">
            <v>20625</v>
          </cell>
          <cell r="E716">
            <v>1237.5</v>
          </cell>
        </row>
        <row r="717">
          <cell r="B717" t="str">
            <v>TUBOS FLUORESENTES 1.80 m</v>
          </cell>
          <cell r="C717" t="str">
            <v>Und.</v>
          </cell>
          <cell r="D717">
            <v>5000</v>
          </cell>
          <cell r="E717">
            <v>300</v>
          </cell>
        </row>
        <row r="718">
          <cell r="B718" t="str">
            <v>BALASTRA</v>
          </cell>
          <cell r="C718" t="str">
            <v>Und.</v>
          </cell>
          <cell r="D718">
            <v>27000</v>
          </cell>
          <cell r="E718">
            <v>1620</v>
          </cell>
        </row>
        <row r="719">
          <cell r="B719" t="str">
            <v>FOCKER</v>
          </cell>
          <cell r="C719" t="str">
            <v>Und.</v>
          </cell>
          <cell r="D719">
            <v>1100</v>
          </cell>
          <cell r="E719">
            <v>66</v>
          </cell>
        </row>
        <row r="720">
          <cell r="B720" t="str">
            <v>ALAMBRE TW #12</v>
          </cell>
          <cell r="C720" t="str">
            <v>ML</v>
          </cell>
          <cell r="D720">
            <v>600</v>
          </cell>
          <cell r="E720">
            <v>36</v>
          </cell>
        </row>
        <row r="721">
          <cell r="B721" t="str">
            <v>TUBO CONDUIT PVC 1/2"</v>
          </cell>
          <cell r="C721" t="str">
            <v>ML</v>
          </cell>
          <cell r="D721">
            <v>1100</v>
          </cell>
          <cell r="E721">
            <v>66</v>
          </cell>
        </row>
        <row r="722">
          <cell r="B722" t="str">
            <v>CAJILLA TACOS</v>
          </cell>
          <cell r="C722" t="str">
            <v>Und.</v>
          </cell>
          <cell r="D722">
            <v>7000</v>
          </cell>
          <cell r="E722">
            <v>420</v>
          </cell>
        </row>
        <row r="723">
          <cell r="B723" t="str">
            <v>INTERRUPTORES</v>
          </cell>
          <cell r="C723" t="str">
            <v>Und.</v>
          </cell>
          <cell r="D723">
            <v>2900</v>
          </cell>
          <cell r="E723">
            <v>174</v>
          </cell>
        </row>
        <row r="724">
          <cell r="B724" t="str">
            <v>VARILLA DE COBRE DE 1.80M D= 1/2"</v>
          </cell>
          <cell r="C724" t="str">
            <v>Und</v>
          </cell>
          <cell r="D724">
            <v>40000</v>
          </cell>
          <cell r="E724">
            <v>2400</v>
          </cell>
        </row>
        <row r="725">
          <cell r="B725" t="str">
            <v>ALAMBRE COBRE No 10</v>
          </cell>
          <cell r="C725" t="str">
            <v>ML</v>
          </cell>
          <cell r="D725">
            <v>1100</v>
          </cell>
          <cell r="E725">
            <v>66</v>
          </cell>
        </row>
        <row r="726">
          <cell r="B726" t="str">
            <v xml:space="preserve">ACOMETIDA EXTERNA </v>
          </cell>
          <cell r="C726" t="str">
            <v>GL</v>
          </cell>
          <cell r="D726">
            <v>500000</v>
          </cell>
          <cell r="E726">
            <v>30000</v>
          </cell>
        </row>
        <row r="727">
          <cell r="B727" t="str">
            <v xml:space="preserve">CANALETA EN LAMINA GALVANIZADA  0.25X0.35M, INCLUYE ANGULO Y SUPLEMENTO </v>
          </cell>
          <cell r="C727" t="str">
            <v>ML</v>
          </cell>
          <cell r="D727">
            <v>90000</v>
          </cell>
          <cell r="E727">
            <v>5400</v>
          </cell>
        </row>
        <row r="728">
          <cell r="B728" t="str">
            <v>ANGULO DE 2 1/2" X 3/16"</v>
          </cell>
          <cell r="C728" t="str">
            <v>ML</v>
          </cell>
          <cell r="D728">
            <v>71000</v>
          </cell>
          <cell r="E728">
            <v>4260</v>
          </cell>
        </row>
        <row r="729">
          <cell r="B729" t="str">
            <v>NIPLE GALVANIZADO 1/2"</v>
          </cell>
          <cell r="C729" t="str">
            <v>Und</v>
          </cell>
          <cell r="D729">
            <v>600</v>
          </cell>
          <cell r="E729">
            <v>36</v>
          </cell>
        </row>
        <row r="730">
          <cell r="B730" t="str">
            <v>DILATACION EN VIDRIO</v>
          </cell>
          <cell r="C730" t="str">
            <v>ML</v>
          </cell>
          <cell r="D730">
            <v>200</v>
          </cell>
          <cell r="E730">
            <v>12</v>
          </cell>
        </row>
        <row r="731">
          <cell r="B731" t="str">
            <v>ESTUCO PLASTICO PARA INTERIORES</v>
          </cell>
          <cell r="C731" t="str">
            <v>Gal</v>
          </cell>
          <cell r="D731">
            <v>12500</v>
          </cell>
          <cell r="E731">
            <v>750</v>
          </cell>
        </row>
        <row r="732">
          <cell r="B732" t="str">
            <v>VINILO VINILTEX TIPO I</v>
          </cell>
          <cell r="C732" t="str">
            <v>GaL</v>
          </cell>
          <cell r="D732">
            <v>41500</v>
          </cell>
          <cell r="E732">
            <v>2490</v>
          </cell>
        </row>
        <row r="733">
          <cell r="B733" t="str">
            <v>MORTERO 1:4</v>
          </cell>
          <cell r="C733" t="str">
            <v>M³</v>
          </cell>
          <cell r="D733">
            <v>442068</v>
          </cell>
          <cell r="E733">
            <v>26524.079999999998</v>
          </cell>
        </row>
        <row r="734">
          <cell r="B734" t="str">
            <v>BALDOSA DUROPISO MANCESA  30X30</v>
          </cell>
          <cell r="C734" t="str">
            <v>M²</v>
          </cell>
          <cell r="D734">
            <v>20500</v>
          </cell>
          <cell r="E734">
            <v>1230</v>
          </cell>
        </row>
        <row r="735">
          <cell r="B735" t="str">
            <v>CEMENTO BLANCO</v>
          </cell>
          <cell r="C735" t="str">
            <v>KG</v>
          </cell>
          <cell r="D735">
            <v>970</v>
          </cell>
          <cell r="E735">
            <v>58.199999999999996</v>
          </cell>
        </row>
        <row r="736">
          <cell r="B736" t="str">
            <v>CONCRETO DE 3000 PSI</v>
          </cell>
          <cell r="C736" t="str">
            <v>M³</v>
          </cell>
          <cell r="D736" t="e">
            <v>#REF!</v>
          </cell>
          <cell r="E736" t="e">
            <v>#REF!</v>
          </cell>
        </row>
        <row r="737">
          <cell r="B737" t="str">
            <v>PROCTOR MODIFICADO</v>
          </cell>
          <cell r="C737" t="str">
            <v>Und</v>
          </cell>
          <cell r="D737">
            <v>70000</v>
          </cell>
          <cell r="E737">
            <v>4200</v>
          </cell>
        </row>
        <row r="738">
          <cell r="B738" t="str">
            <v>ENSAYO DE LABORATORIO</v>
          </cell>
          <cell r="C738" t="str">
            <v>M³</v>
          </cell>
          <cell r="D738">
            <v>3500</v>
          </cell>
          <cell r="E738">
            <v>210</v>
          </cell>
        </row>
        <row r="739">
          <cell r="B739" t="str">
            <v>TUBERIA PRESION PVC 1/2"</v>
          </cell>
          <cell r="C739" t="str">
            <v>ML</v>
          </cell>
          <cell r="D739">
            <v>1150</v>
          </cell>
          <cell r="E739">
            <v>69</v>
          </cell>
        </row>
        <row r="740">
          <cell r="B740" t="str">
            <v>ADAPTADOR MACHO 1/2</v>
          </cell>
          <cell r="C740" t="str">
            <v>Und</v>
          </cell>
          <cell r="D740">
            <v>300</v>
          </cell>
          <cell r="E740">
            <v>18</v>
          </cell>
        </row>
        <row r="741">
          <cell r="B741" t="str">
            <v>CODO PVC 1/2"</v>
          </cell>
          <cell r="C741" t="str">
            <v>Und</v>
          </cell>
          <cell r="D741">
            <v>300</v>
          </cell>
          <cell r="E741">
            <v>18</v>
          </cell>
        </row>
        <row r="742">
          <cell r="B742" t="str">
            <v>TEE GALVANIZADA DE 1/2"</v>
          </cell>
          <cell r="C742" t="str">
            <v>Und</v>
          </cell>
          <cell r="D742">
            <v>600</v>
          </cell>
          <cell r="E742">
            <v>36</v>
          </cell>
        </row>
        <row r="743">
          <cell r="B743" t="str">
            <v xml:space="preserve">IMPREMANTE </v>
          </cell>
          <cell r="C743" t="str">
            <v>GL</v>
          </cell>
          <cell r="D743">
            <v>22000</v>
          </cell>
          <cell r="E743">
            <v>1320</v>
          </cell>
        </row>
        <row r="744">
          <cell r="B744" t="str">
            <v>MANTO FIBERGLASS 600 XT</v>
          </cell>
          <cell r="C744" t="str">
            <v>M²</v>
          </cell>
          <cell r="D744">
            <v>11500</v>
          </cell>
          <cell r="E744">
            <v>690</v>
          </cell>
        </row>
        <row r="745">
          <cell r="B745" t="str">
            <v>CONCRETO DE 2500 PSI</v>
          </cell>
          <cell r="C745" t="str">
            <v>M³</v>
          </cell>
          <cell r="E745">
            <v>0</v>
          </cell>
        </row>
        <row r="746">
          <cell r="B746" t="str">
            <v>ENSAYO DE LABORATORIO</v>
          </cell>
          <cell r="C746" t="str">
            <v>M³</v>
          </cell>
          <cell r="D746">
            <v>5000</v>
          </cell>
          <cell r="E746">
            <v>300</v>
          </cell>
        </row>
        <row r="747">
          <cell r="B747" t="str">
            <v>TUBERIA PVC 3" SANITARIA</v>
          </cell>
          <cell r="C747" t="str">
            <v>ML</v>
          </cell>
          <cell r="D747">
            <v>4850</v>
          </cell>
          <cell r="E747">
            <v>291</v>
          </cell>
        </row>
        <row r="748">
          <cell r="B748" t="str">
            <v>CODO 3"X90 CXC SANITARIO</v>
          </cell>
          <cell r="C748" t="str">
            <v>Und</v>
          </cell>
          <cell r="D748">
            <v>3400</v>
          </cell>
          <cell r="E748">
            <v>204</v>
          </cell>
        </row>
        <row r="749">
          <cell r="B749" t="str">
            <v>CODO 4"X90 CXC SANITARIO</v>
          </cell>
          <cell r="C749" t="str">
            <v>Und</v>
          </cell>
          <cell r="D749">
            <v>5500</v>
          </cell>
          <cell r="E749">
            <v>330</v>
          </cell>
        </row>
        <row r="750">
          <cell r="B750" t="str">
            <v xml:space="preserve">LIMPIADOR PVC </v>
          </cell>
          <cell r="C750" t="str">
            <v>Und</v>
          </cell>
          <cell r="D750">
            <v>12500</v>
          </cell>
          <cell r="E750">
            <v>750</v>
          </cell>
        </row>
        <row r="751">
          <cell r="B751" t="str">
            <v>SOLDADURA PVC</v>
          </cell>
          <cell r="C751" t="str">
            <v>Und</v>
          </cell>
          <cell r="D751">
            <v>3500</v>
          </cell>
          <cell r="E751">
            <v>210</v>
          </cell>
        </row>
        <row r="752">
          <cell r="B752" t="str">
            <v>TUBERIA PVC 4" SANITARIA</v>
          </cell>
          <cell r="C752" t="str">
            <v>ML</v>
          </cell>
          <cell r="D752">
            <v>7000</v>
          </cell>
          <cell r="E752">
            <v>420</v>
          </cell>
        </row>
        <row r="753">
          <cell r="B753" t="str">
            <v xml:space="preserve">Arena </v>
          </cell>
          <cell r="C753" t="str">
            <v>M3</v>
          </cell>
          <cell r="D753">
            <v>35000</v>
          </cell>
          <cell r="E753">
            <v>2100</v>
          </cell>
        </row>
        <row r="754">
          <cell r="B754" t="str">
            <v>Gravilla</v>
          </cell>
          <cell r="C754" t="str">
            <v>M3</v>
          </cell>
          <cell r="D754">
            <v>40000</v>
          </cell>
          <cell r="E754">
            <v>2400</v>
          </cell>
        </row>
        <row r="755">
          <cell r="B755" t="str">
            <v>Varilla de 1/2"</v>
          </cell>
          <cell r="C755" t="str">
            <v>ML</v>
          </cell>
          <cell r="D755">
            <v>1900</v>
          </cell>
          <cell r="E755">
            <v>114</v>
          </cell>
        </row>
        <row r="756">
          <cell r="B756" t="str">
            <v>Platina 11/2" x 3/16</v>
          </cell>
          <cell r="C756" t="str">
            <v>ML</v>
          </cell>
          <cell r="D756">
            <v>3600</v>
          </cell>
          <cell r="E756">
            <v>216</v>
          </cell>
        </row>
        <row r="757">
          <cell r="B757" t="str">
            <v>Angulo de 2 1/2" x 1/4</v>
          </cell>
          <cell r="C757" t="str">
            <v>ML</v>
          </cell>
          <cell r="D757">
            <v>13300</v>
          </cell>
          <cell r="E757">
            <v>798</v>
          </cell>
        </row>
        <row r="758">
          <cell r="B758" t="str">
            <v>Angulo de 11/2" x 3/16</v>
          </cell>
          <cell r="C758" t="str">
            <v>ML</v>
          </cell>
          <cell r="D758">
            <v>6400</v>
          </cell>
          <cell r="E758">
            <v>384</v>
          </cell>
        </row>
        <row r="759">
          <cell r="B759" t="str">
            <v>Varilla de 5/8" Corrugada</v>
          </cell>
          <cell r="C759" t="str">
            <v>ML</v>
          </cell>
          <cell r="D759">
            <v>3300</v>
          </cell>
          <cell r="E759">
            <v>198</v>
          </cell>
        </row>
        <row r="760">
          <cell r="B760" t="str">
            <v>Corredera</v>
          </cell>
          <cell r="C760" t="str">
            <v>UN</v>
          </cell>
          <cell r="D760">
            <v>1200</v>
          </cell>
          <cell r="E760">
            <v>72</v>
          </cell>
        </row>
        <row r="761">
          <cell r="B761" t="str">
            <v>Chapa marca Vera sencilla</v>
          </cell>
          <cell r="C761" t="str">
            <v>UN</v>
          </cell>
          <cell r="D761">
            <v>25000</v>
          </cell>
          <cell r="E761">
            <v>1500</v>
          </cell>
        </row>
        <row r="762">
          <cell r="B762" t="str">
            <v>Corredera</v>
          </cell>
          <cell r="C762" t="str">
            <v>UN</v>
          </cell>
          <cell r="D762">
            <v>2500</v>
          </cell>
          <cell r="E762">
            <v>150</v>
          </cell>
        </row>
        <row r="763">
          <cell r="B763" t="str">
            <v>Angulo de 11/2"x1/8"</v>
          </cell>
          <cell r="C763" t="str">
            <v>ML</v>
          </cell>
          <cell r="D763">
            <v>6500</v>
          </cell>
          <cell r="E763">
            <v>390</v>
          </cell>
        </row>
        <row r="764">
          <cell r="B764" t="str">
            <v>Correa tipo canal</v>
          </cell>
          <cell r="C764" t="str">
            <v>ML</v>
          </cell>
          <cell r="D764">
            <v>6600</v>
          </cell>
          <cell r="E764">
            <v>396</v>
          </cell>
        </row>
        <row r="765">
          <cell r="B765" t="str">
            <v>Perno de 3/4"</v>
          </cell>
          <cell r="C765" t="str">
            <v>UN</v>
          </cell>
          <cell r="D765">
            <v>1500</v>
          </cell>
          <cell r="E765">
            <v>90</v>
          </cell>
        </row>
        <row r="766">
          <cell r="B766" t="str">
            <v>Malla eslabonada de 2x2 cal 10</v>
          </cell>
          <cell r="C766" t="str">
            <v>M2</v>
          </cell>
          <cell r="D766">
            <v>10000</v>
          </cell>
          <cell r="E766">
            <v>600</v>
          </cell>
        </row>
        <row r="767">
          <cell r="B767" t="str">
            <v>Tubo galvanizado de 2"</v>
          </cell>
          <cell r="C767" t="str">
            <v>ML</v>
          </cell>
          <cell r="D767">
            <v>8000</v>
          </cell>
          <cell r="E767">
            <v>480</v>
          </cell>
        </row>
        <row r="768">
          <cell r="B768" t="str">
            <v>Angulo de 1"x1/8"</v>
          </cell>
          <cell r="C768" t="str">
            <v>ML</v>
          </cell>
          <cell r="D768">
            <v>2000</v>
          </cell>
          <cell r="E768">
            <v>120</v>
          </cell>
        </row>
        <row r="769">
          <cell r="B769" t="str">
            <v>Platina de 1/2"x1/8"</v>
          </cell>
          <cell r="C769" t="str">
            <v>ML</v>
          </cell>
          <cell r="D769">
            <v>1300</v>
          </cell>
          <cell r="E769">
            <v>78</v>
          </cell>
        </row>
      </sheetData>
      <sheetData sheetId="1" refreshError="1"/>
      <sheetData sheetId="2" refreshError="1"/>
      <sheetData sheetId="3" refreshError="1"/>
      <sheetData sheetId="4" refreshError="1"/>
      <sheetData sheetId="5" refreshError="1"/>
      <sheetData sheetId="6" refreshError="1"/>
      <sheetData sheetId="7"/>
      <sheetData sheetId="8" refreshError="1"/>
      <sheetData sheetId="9"/>
      <sheetData sheetId="10" refreshError="1"/>
      <sheetData sheetId="11" refreshError="1"/>
      <sheetData sheetId="12"/>
      <sheetData sheetId="13" refreshError="1"/>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sheetData sheetId="38"/>
      <sheetData sheetId="39" refreshError="1"/>
      <sheetData sheetId="40" refreshError="1"/>
      <sheetData sheetId="41"/>
      <sheetData sheetId="42" refreshError="1"/>
      <sheetData sheetId="43"/>
      <sheetData sheetId="44"/>
      <sheetData sheetId="45"/>
      <sheetData sheetId="46" refreshError="1"/>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
      <sheetName val="PU (2)"/>
      <sheetName val="PRESUPUESTOS-REV1"/>
      <sheetName val="PESOS"/>
      <sheetName val="G&amp;G"/>
      <sheetName val="Datos"/>
      <sheetName val="CABG"/>
      <sheetName val="COSTOS UNITARIOS"/>
      <sheetName val="CA-2909"/>
      <sheetName val="TRAYECTO 1"/>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APU´s"/>
      <sheetName val="Información"/>
      <sheetName val="ACTIVIDADES"/>
      <sheetName val="BD"/>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ARIFAS MATERIALES"/>
      <sheetName val="TARIFAS EQUIPOS "/>
      <sheetName val="TARIFA SALARIOS"/>
      <sheetName val="PRES"/>
      <sheetName val="Tramo 2"/>
      <sheetName val="Accidentalidad"/>
      <sheetName val="Causa Posible"/>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Base de Datos"/>
      <sheetName val="Elementos Involucrados"/>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SNP7 Anclajes pasivos6j_x0000_"/>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Lista ICCU"/>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atrimonio neto personal"/>
      <sheetName val="Cálculos"/>
      <sheetName val="Paral. 1"/>
      <sheetName val="Paral. 2"/>
      <sheetName val="Paral. 3"/>
      <sheetName val="Paral.4"/>
      <sheetName val="AMOBLAMINETO"/>
      <sheetName val="sap"/>
      <sheetName val="P2"/>
      <sheetName val="P1"/>
      <sheetName val="31-05-18"/>
      <sheetName val="F-7857-308"/>
      <sheetName val="Equipo Menor"/>
      <sheetName val="ALQUILADO F-7857-308 "/>
      <sheetName val="Real Para tarifas"/>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ó&gt;"/>
      <sheetName val="PR 1"/>
      <sheetName val="_x0000_㈀㰰⌀_x0000_㈀㰮⌀_x0000_䰀଒v_x0000__x0000__x0000_頀"/>
      <sheetName val="MATERIALES Y RECURSOS"/>
      <sheetName val="ó&gt;????j0$?#???j_$?#???LÓu????"/>
      <sheetName val="CORTE DE OBRA N° 1"/>
      <sheetName val="memoria"/>
      <sheetName val="memoria 1"/>
      <sheetName val="EMPRESAS"/>
      <sheetName val="REAJUSTESACTA1PROVI"/>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quot;PAGA&quot;"/>
      <sheetName val="BASE"/>
      <sheetName val="Base de Diseño"/>
      <sheetName val="civ_roma"/>
      <sheetName val="octubre"/>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TARIFAS_MATERIALES4"/>
      <sheetName val="TARIFAS_EQUIPOS_4"/>
      <sheetName val="TARIFA_SALARIOS4"/>
      <sheetName val="SNP7_Anclajes_pasivos6j"/>
      <sheetName val="MYE_OBRA4"/>
      <sheetName val="MDC-1_COLOCACION_4"/>
      <sheetName val="D-20_COLOCACION_4"/>
      <sheetName val="TRANSPORTE_MEZCLA_ASFALTICA4"/>
      <sheetName val="EXT_microagomerado4"/>
      <sheetName val="Indicadores_Y_Listas4"/>
      <sheetName val="Grafico_Avance4"/>
      <sheetName val="Tramo_24"/>
      <sheetName val="BASE_DE_DATOS_DE_PRECIOS4"/>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TARIFAS_MATERIALES1"/>
      <sheetName val="TARIFAS_EQUIPOS_1"/>
      <sheetName val="TARIFA_SALARIOS1"/>
      <sheetName val="MYE_OBRA1"/>
      <sheetName val="MDC-1_COLOCACION_1"/>
      <sheetName val="D-20_COLOCACION_1"/>
      <sheetName val="TRANSPORTE_MEZCLA_ASFALTICA1"/>
      <sheetName val="EXT_microagomerado1"/>
      <sheetName val="Indicadores_Y_Listas1"/>
      <sheetName val="Grafico_Avance1"/>
      <sheetName val="Tramo_21"/>
      <sheetName val="BASE_DE_DATOS_DE_PRECIOS1"/>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ARIFAS_MATERIALES"/>
      <sheetName val="TARIFAS_EQUIPOS_"/>
      <sheetName val="TARIFA_SALARIOS"/>
      <sheetName val="MYE_OBRA"/>
      <sheetName val="MDC-1_COLOCACION_"/>
      <sheetName val="D-20_COLOCACION_"/>
      <sheetName val="TRANSPORTE_MEZCLA_ASFALTICA"/>
      <sheetName val="EXT_microagomerado"/>
      <sheetName val="Indicadores_Y_Listas"/>
      <sheetName val="Grafico_Avance"/>
      <sheetName val="Tramo_2"/>
      <sheetName val="BASE_DE_DATOS_DE_PRECIOS"/>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Base_de_Datos"/>
      <sheetName val="Causa_Posible"/>
      <sheetName val="Elementos_Involucrados"/>
      <sheetName val="CRA_MODI"/>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TARIFAS_MATERIALES2"/>
      <sheetName val="TARIFAS_EQUIPOS_2"/>
      <sheetName val="TARIFA_SALARIOS2"/>
      <sheetName val="MYE_OBRA2"/>
      <sheetName val="MDC-1_COLOCACION_2"/>
      <sheetName val="D-20_COLOCACION_2"/>
      <sheetName val="TRANSPORTE_MEZCLA_ASFALTICA2"/>
      <sheetName val="EXT_microagomerado2"/>
      <sheetName val="Indicadores_Y_Listas2"/>
      <sheetName val="Grafico_Avance2"/>
      <sheetName val="Tramo_22"/>
      <sheetName val="BASE_DE_DATOS_DE_PRECIOS2"/>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TARIFAS_MATERIALES3"/>
      <sheetName val="TARIFAS_EQUIPOS_3"/>
      <sheetName val="TARIFA_SALARIOS3"/>
      <sheetName val="MYE_OBRA3"/>
      <sheetName val="MDC-1_COLOCACION_3"/>
      <sheetName val="D-20_COLOCACION_3"/>
      <sheetName val="TRANSPORTE_MEZCLA_ASFALTICA3"/>
      <sheetName val="EXT_microagomerado3"/>
      <sheetName val="Indicadores_Y_Listas3"/>
      <sheetName val="Grafico_Avance3"/>
      <sheetName val="Tramo_23"/>
      <sheetName val="BASE_DE_DATOS_DE_PRECIOS3"/>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Equipo_Menor"/>
      <sheetName val="ALQUILADO_F-7857-308_"/>
      <sheetName val="Real_Para_tarifas"/>
      <sheetName val="Paral__1"/>
      <sheetName val="Paral__2"/>
      <sheetName val="Paral__3"/>
      <sheetName val="Paral_4"/>
      <sheetName val="Skid Lifting Lug"/>
      <sheetName val="CABLE CONTROL"/>
      <sheetName val="PSM Monthly"/>
      <sheetName val="BQMPALOC"/>
      <sheetName val="ACTA No.5"/>
      <sheetName val="Datos_CO"/>
      <sheetName val="CCONC"/>
      <sheetName val="ACTA PROVEEDORES"/>
      <sheetName val="ACTA INICIO"/>
      <sheetName val="ACTA PARCIAL"/>
      <sheetName val="ACTA TERMINACION"/>
      <sheetName val="IV. MANO DE OBRA AIU"/>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Indicadores_Y_Listas7"/>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Resistividad "/>
      <sheetName val="PRESUPUESTOS-REV1.xls"/>
      <sheetName val="RELACION DE PRECIOS"/>
      <sheetName val="ACTA 5"/>
      <sheetName val="MODIF. 2"/>
      <sheetName val="MODIF. 3"/>
      <sheetName val="cant"/>
      <sheetName val="par mar19"/>
      <sheetName val="par"/>
      <sheetName val="resum96"/>
      <sheetName val="INSUMOS"/>
      <sheetName val="TRANS"/>
      <sheetName val="CUADRI"/>
      <sheetName val="EQUI"/>
      <sheetName val="CANT OBRA"/>
      <sheetName val="Programacion"/>
      <sheetName val="ó&gt;_x0000__x0001__x0000__x0000__"/>
      <sheetName val="PRESUPUESTO V5"/>
      <sheetName val="1. Preliminares"/>
      <sheetName val="2. Demoliciones"/>
      <sheetName val="3. Elementos y Estructuras"/>
      <sheetName val="4. HVAC"/>
      <sheetName val="8. Recubrimientos y Acabados"/>
      <sheetName val="9. Otros"/>
      <sheetName val="10. Tramites y Licencias"/>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PI93"/>
      <sheetName val="BCE-ENERO-2004"/>
      <sheetName val="Relación De Equipos"/>
      <sheetName val="DUB-823"/>
      <sheetName val="GPI 526"/>
      <sheetName val="SKJ452"/>
      <sheetName val="ITA878"/>
      <sheetName val="AEA-944"/>
      <sheetName val="XXJ617"/>
      <sheetName val="SNG_855"/>
      <sheetName val="VEA 374"/>
      <sheetName val="HFB024"/>
      <sheetName val="PAJ825"/>
      <sheetName val="M.OBRA"/>
      <sheetName val="Listas de apoyo Social"/>
      <sheetName val="Listas de apoyo"/>
      <sheetName val="Base de datos cuadrillas"/>
      <sheetName val="Item"/>
      <sheetName val="Patrimonio_neto_personal"/>
      <sheetName val="Lista_ICCU"/>
      <sheetName val="PRESUPUESTOS-REV1_xls"/>
      <sheetName val="Patrimonio_neto_personal1"/>
      <sheetName val="Paral__11"/>
      <sheetName val="Paral__21"/>
      <sheetName val="Paral__31"/>
      <sheetName val="Paral_41"/>
      <sheetName val="Lista_ICCU1"/>
      <sheetName val="PRESUPUESTOS-REV1_xls1"/>
      <sheetName val="MDC-1_COLOCACION_6"/>
      <sheetName val="D-20_COLOCACION_6"/>
      <sheetName val="TRANSPORTE_MEZCLA_ASFALTICA6"/>
      <sheetName val="EXT_microagomerado6"/>
      <sheetName val="Tramo_26"/>
      <sheetName val="MYE_OBRA6"/>
      <sheetName val="Grafico_Avance6"/>
      <sheetName val="Equipo_Menor4"/>
      <sheetName val="ALQUILADO_F-7857-308_4"/>
      <sheetName val="Real_Para_tarifas4"/>
      <sheetName val="BASE_DE_DATOS_DE_PRECIOS6"/>
      <sheetName val="Patrimonio_neto_personal4"/>
      <sheetName val="Paral__14"/>
      <sheetName val="Paral__24"/>
      <sheetName val="Paral__34"/>
      <sheetName val="Paral_44"/>
      <sheetName val="Lista_ICCU4"/>
      <sheetName val="PRESUPUESTOS-REV1_xls4"/>
      <sheetName val="Equipo_Menor2"/>
      <sheetName val="ALQUILADO_F-7857-308_2"/>
      <sheetName val="Real_Para_tarifas2"/>
      <sheetName val="Patrimonio_neto_personal2"/>
      <sheetName val="Paral__12"/>
      <sheetName val="Paral__22"/>
      <sheetName val="Paral__32"/>
      <sheetName val="Paral_42"/>
      <sheetName val="Lista_ICCU2"/>
      <sheetName val="PRESUPUESTOS-REV1_xls2"/>
      <sheetName val="Equipo_Menor3"/>
      <sheetName val="ALQUILADO_F-7857-308_3"/>
      <sheetName val="Real_Para_tarifas3"/>
      <sheetName val="Patrimonio_neto_personal3"/>
      <sheetName val="Paral__13"/>
      <sheetName val="Paral__23"/>
      <sheetName val="Paral__33"/>
      <sheetName val="Paral_43"/>
      <sheetName val="Lista_ICCU3"/>
      <sheetName val="PRESUPUESTOS-REV1_xls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PREACTA 28"/>
      <sheetName val="[PRESUPUESTOS-R_x0000_耽1._x0000__x0000_㙊辎簎䣼ꦱ_xdb30_疏揤S"/>
      <sheetName val="HER"/>
      <sheetName val="MAT"/>
      <sheetName val="PER"/>
      <sheetName val="Mensilizzato"/>
      <sheetName val="AIU"/>
      <sheetName val="Constantes Generales"/>
      <sheetName val="Prestaciones Sociales"/>
      <sheetName val="ZF"/>
      <sheetName val="HE-BA"/>
      <sheetName val="for2-consor"/>
      <sheetName val="MC SF GAVIONES"/>
      <sheetName val="Dominios"/>
      <sheetName val="Equipo"/>
      <sheetName val="otros"/>
      <sheetName val="PROY_ORIGINAL34"/>
      <sheetName val="PU_(2)33"/>
      <sheetName val="COSTOS_UNITARIOS28"/>
      <sheetName val="TRAYECTO_128"/>
      <sheetName val="200P_128"/>
      <sheetName val="210_2_228"/>
      <sheetName val="320_128"/>
      <sheetName val="640_128"/>
      <sheetName val="500P_128"/>
      <sheetName val="500P_228"/>
      <sheetName val="600_128"/>
      <sheetName val="610_128"/>
      <sheetName val="630_428"/>
      <sheetName val="640P_228"/>
      <sheetName val="640_1_(2)28"/>
      <sheetName val="672P_128"/>
      <sheetName val="2P_128"/>
      <sheetName val="900_228"/>
      <sheetName val="materiales_de_insumo28"/>
      <sheetName val="jornales_y_prestaciones28"/>
      <sheetName val="210_128"/>
      <sheetName val="310_128"/>
      <sheetName val="600_428"/>
      <sheetName val="661_128"/>
      <sheetName val="673_128"/>
      <sheetName val="673_228"/>
      <sheetName val="673_328"/>
      <sheetName val="672_128"/>
      <sheetName val="3P_128"/>
      <sheetName val="3P_228"/>
      <sheetName val="6_1P28"/>
      <sheetName val="6_2P28"/>
      <sheetName val="6_4P28"/>
      <sheetName val="INFORME_SEMANAL25"/>
      <sheetName val="201_725"/>
      <sheetName val="211_125"/>
      <sheetName val="320_225"/>
      <sheetName val="330_125"/>
      <sheetName val="330_225"/>
      <sheetName val="411_225"/>
      <sheetName val="450_2P25"/>
      <sheetName val="450_9P25"/>
      <sheetName val="461_125"/>
      <sheetName val="465_125"/>
      <sheetName val="464_1P25"/>
      <sheetName val="600_225"/>
      <sheetName val="630_525"/>
      <sheetName val="630_625"/>
      <sheetName val="630_725"/>
      <sheetName val="681_125"/>
      <sheetName val="670_P25"/>
      <sheetName val="671_P25"/>
      <sheetName val="674_225"/>
      <sheetName val="450_3P25"/>
      <sheetName val="621_1P25"/>
      <sheetName val="610_2P25"/>
      <sheetName val="230_225"/>
      <sheetName val="230_2P25"/>
      <sheetName val="621_1-1P25"/>
      <sheetName val="621_1_2P25"/>
      <sheetName val="PESO_VARILLAS25"/>
      <sheetName val="FORMATO_PREACTA28"/>
      <sheetName val="FORMATO_FECHA)28"/>
      <sheetName val="DESMONTE_LIMP_28"/>
      <sheetName val="REGISTRO_FOTOGRAFICO28"/>
      <sheetName val="S200_1_DESM__LIMP_B_28"/>
      <sheetName val="S200_2_DESM__LIMP__NB28"/>
      <sheetName val="S201_7_DEMO__ESTRUCTURAS28"/>
      <sheetName val="Remocion_alcantarillas_28"/>
      <sheetName val="Excav__Mat__Comun_28"/>
      <sheetName val="s201_15-remoción_de_alcantari28"/>
      <sheetName val="s210_2_2-Exc_de_expl28"/>
      <sheetName val="s210_2_1-Exc_en_roca28"/>
      <sheetName val="s211_1_REMOCION_DERR_28"/>
      <sheetName val="s220_1_Terraplenes28"/>
      <sheetName val="s221_1_Pedraplen28"/>
      <sheetName val="S900_3_TRANS__DERRUMBE28"/>
      <sheetName val="s231_1_Geotextil28"/>
      <sheetName val="S230_2_Mejora__de_la_Sub-Ra28"/>
      <sheetName val="S320_1_Sub_base28"/>
      <sheetName val="S330_1_BASE_GRANULAR28"/>
      <sheetName val="CONFM__DE_CALZADA_EXISTENTE28"/>
      <sheetName val="S310_1_Confor__calzada_existe28"/>
      <sheetName val="_S450_1_MEZCLA_MDC-128"/>
      <sheetName val="_S450_2MEZCLA_MDC-228"/>
      <sheetName val="S420_1_RIEGO_DE_IMPRIMACION_28"/>
      <sheetName val="S421_1_RIEGO_LIGA_CRR-128"/>
      <sheetName val="S460_1_FRESADO_28"/>
      <sheetName val="Excav__REPARACION_PAVIMENTO_28"/>
      <sheetName val="S465_1_EXC__PAV__ASFALTICO28"/>
      <sheetName val="S500_1_PAVIMENTO_CONCRETO28"/>
      <sheetName val="S510_1_PAVIMENTO_ADOQUIN28"/>
      <sheetName val="S600_1_EXCAV__VARIAS_28"/>
      <sheetName val="Relleno_Estructuras28"/>
      <sheetName val="eXCAVACIONES_VARIAS_EN_ROCA_28"/>
      <sheetName val="S600_2_EXCAV__ROCA28"/>
      <sheetName val="S610_1_Relleno_Estructuras28"/>
      <sheetName val="S623_1_Anclajes_28"/>
      <sheetName val="S623P1_Pantalla_Concreto28"/>
      <sheetName val="S630_3_Concretos_C28"/>
      <sheetName val="S630_4a_Concretos_D28"/>
      <sheetName val="S630_4b_Concretos_D28"/>
      <sheetName val="S630_6_CONCRETO_F28"/>
      <sheetName val="CONCRETO_G28"/>
      <sheetName val="S630_7_CONCRETO_G28"/>
      <sheetName val="s640_1_Acero_refuerzo28"/>
      <sheetName val="S642_13_Juntas_dilatacion28"/>
      <sheetName val="S644_2_Tuberia_PVC_4&quot;28"/>
      <sheetName val="_TUBERIA_36&quot;28"/>
      <sheetName val="S632_1_Baranda28"/>
      <sheetName val="_S661_1_TUBERIA_36&quot;_28"/>
      <sheetName val="S673_1_MAT__FILTRANTE28"/>
      <sheetName val="S673_2_GEOTEXTIL28"/>
      <sheetName val="TRANS__EXPLANACION28"/>
      <sheetName val="_S673_3_GEODREN_PLANAR_6&quot;28"/>
      <sheetName val="S681_1_GAVIONES28"/>
      <sheetName val="S700_1_Demarcacion28"/>
      <sheetName val="S700_2_Marca_víal28"/>
      <sheetName val="S701_1_tachas_reflectivas28"/>
      <sheetName val="S710_1_1_SEÑ_VERT__28"/>
      <sheetName val="S710_2_SEÑ_VERT_V28"/>
      <sheetName val="S710_1_2_SEÑ_VERT_28"/>
      <sheetName val="S730_1Defensas_28"/>
      <sheetName val="S800_2_CERCAS28"/>
      <sheetName val="S810_1_PROTECCION_TALUDES28"/>
      <sheetName val="S900_2Trans_explan28"/>
      <sheetName val="Tratamiento_fisuras28"/>
      <sheetName val="MARCAS_VIALES28"/>
      <sheetName val="Geomalla_con_fibra_de_vidrio28"/>
      <sheetName val="Anclajes_pasivos_4#628"/>
      <sheetName val="SNP1-geomalla_fibra_Vidrio28"/>
      <sheetName val="SNP2-geomalla_Biaxial28"/>
      <sheetName val="SNP3_concreto_3500_28"/>
      <sheetName val="SNP4_CEM__ASFALTICO28"/>
      <sheetName val="SNP5_MTTO_RUTINARIO28"/>
      <sheetName val="SNP6_Drenes28"/>
      <sheetName val="SNP7_Anclajes_pasivos_4#628"/>
      <sheetName val="SNP8_Anclajes_activos_2_Tor28"/>
      <sheetName val="SNP9_Anclajes_activos_4_Tor28"/>
      <sheetName val="SNP10_MATERIAL_3&quot;_TRIT28"/>
      <sheetName val="SNP11_Material_Relleno28"/>
      <sheetName val="SNP12_CUNETAS_3_00028"/>
      <sheetName val="SNP13_PARCHEO28"/>
      <sheetName val="SNP14_SELLO_JUNTAS28"/>
      <sheetName val="SNP15_Pilotes28"/>
      <sheetName val="SNP16_EXCAV__PAVIMENTO28"/>
      <sheetName val="SNP17_TRANS_BASE28"/>
      <sheetName val="SNP18_AFIRMADO_3&quot;28"/>
      <sheetName val="alcantarilla_K69+10328"/>
      <sheetName val="alcantarilla_K68+43728"/>
      <sheetName val="alcantarilla_K67+45528"/>
      <sheetName val="BOX_110+520_PUENTE_EL_VERDE28"/>
      <sheetName val="Muro_K99+070328"/>
      <sheetName val="MURO_K104+45428"/>
      <sheetName val="Muro_K109+057028"/>
      <sheetName val="BOX_K28"/>
      <sheetName val="VALOR_ENSAYOS28"/>
      <sheetName val="resumen_preacta28"/>
      <sheetName val="Resalto_en_asfalto28"/>
      <sheetName val="Mat_fresado_para_ampliacion28"/>
      <sheetName val="Tuberia_filtro_D=6&quot;28"/>
      <sheetName val="Realce_de_bordillo28"/>
      <sheetName val="Remocion_tuberia_d=24&quot;28"/>
      <sheetName val="GRAVA_ATRAQUES_DE_ALCANTARILL28"/>
      <sheetName val="210_1_124"/>
      <sheetName val="210_1_224"/>
      <sheetName val="210_2_124"/>
      <sheetName val="220_124"/>
      <sheetName val="420_124"/>
      <sheetName val="421_124"/>
      <sheetName val="630_4_124"/>
      <sheetName val="640_1_124"/>
      <sheetName val="4P_1_124"/>
      <sheetName val="671_124"/>
      <sheetName val="673P_124"/>
      <sheetName val="674p_224"/>
      <sheetName val="640_1_224"/>
      <sheetName val="640_1_424"/>
      <sheetName val="630_3_124"/>
      <sheetName val="700_124"/>
      <sheetName val="701_224"/>
      <sheetName val="710_124"/>
      <sheetName val="730_124"/>
      <sheetName val="TORTA_EST24"/>
      <sheetName val="MATERIALES_Y_RECURSOS"/>
      <sheetName val="TARIFAS_MATERIALES6"/>
      <sheetName val="TARIFAS_EQUIPOS_6"/>
      <sheetName val="TARIFA_SALARIOS6"/>
      <sheetName val="Indicadores_Y_Listas24"/>
      <sheetName val="CORTE_DE_OBRA_N°_1"/>
      <sheetName val="memoria_1"/>
      <sheetName val="Skid_Lifting_Lug"/>
      <sheetName val="CABLE_CONTROL"/>
      <sheetName val="PSM_Monthly"/>
      <sheetName val="ACTA_No_5"/>
      <sheetName val="ACTA_PROVEEDORES"/>
      <sheetName val="ACTA_INICIO"/>
      <sheetName val="ACTA_PARCIAL"/>
      <sheetName val="ACTA_TERMINACION"/>
      <sheetName val="IV__MANO_DE_OBRA_AIU"/>
      <sheetName val="Resistividad_"/>
      <sheetName val="RELACION_DE_PRECIOS"/>
      <sheetName val="ACTA_5"/>
      <sheetName val="MODIF__2"/>
      <sheetName val="MODIF__3"/>
      <sheetName val="par_mar19"/>
      <sheetName val="GPI_526"/>
      <sheetName val="VEA_374"/>
      <sheetName val="RESUMEN S.T.I.M.S.T "/>
      <sheetName val="strsumm0"/>
      <sheetName val="C"/>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efreshError="1"/>
      <sheetData sheetId="446">
        <row r="2">
          <cell r="A2">
            <v>0</v>
          </cell>
        </row>
      </sheetData>
      <sheetData sheetId="447" refreshError="1"/>
      <sheetData sheetId="448" refreshError="1"/>
      <sheetData sheetId="449" refreshError="1"/>
      <sheetData sheetId="450">
        <row r="2">
          <cell r="A2">
            <v>0</v>
          </cell>
        </row>
      </sheetData>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ow r="2">
          <cell r="A2">
            <v>0</v>
          </cell>
        </row>
      </sheetData>
      <sheetData sheetId="480" refreshError="1"/>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efreshError="1"/>
      <sheetData sheetId="562" refreshError="1"/>
      <sheetData sheetId="563" refreshError="1"/>
      <sheetData sheetId="564" refreshError="1"/>
      <sheetData sheetId="565" refreshError="1"/>
      <sheetData sheetId="566" refreshError="1"/>
      <sheetData sheetId="567" refreshError="1"/>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ow r="2">
          <cell r="A2">
            <v>0</v>
          </cell>
        </row>
      </sheetData>
      <sheetData sheetId="719"/>
      <sheetData sheetId="720"/>
      <sheetData sheetId="721"/>
      <sheetData sheetId="722"/>
      <sheetData sheetId="723"/>
      <sheetData sheetId="724" refreshError="1"/>
      <sheetData sheetId="725" refreshError="1"/>
      <sheetData sheetId="726" refreshError="1"/>
      <sheetData sheetId="727" refreshError="1"/>
      <sheetData sheetId="728" refreshError="1"/>
      <sheetData sheetId="729" refreshError="1"/>
      <sheetData sheetId="730" refreshError="1"/>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refreshError="1"/>
      <sheetData sheetId="749"/>
      <sheetData sheetId="750"/>
      <sheetData sheetId="751"/>
      <sheetData sheetId="752">
        <row r="2">
          <cell r="A2">
            <v>0</v>
          </cell>
        </row>
      </sheetData>
      <sheetData sheetId="753" refreshError="1"/>
      <sheetData sheetId="754" refreshError="1"/>
      <sheetData sheetId="755" refreshError="1"/>
      <sheetData sheetId="756">
        <row r="2">
          <cell r="A2">
            <v>0</v>
          </cell>
        </row>
      </sheetData>
      <sheetData sheetId="757" refreshError="1"/>
      <sheetData sheetId="758" refreshError="1"/>
      <sheetData sheetId="759" refreshError="1"/>
      <sheetData sheetId="760" refreshError="1"/>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efreshError="1"/>
      <sheetData sheetId="877" refreshError="1"/>
      <sheetData sheetId="878" refreshError="1"/>
      <sheetData sheetId="879" refreshError="1"/>
      <sheetData sheetId="880" refreshError="1"/>
      <sheetData sheetId="881" refreshError="1"/>
      <sheetData sheetId="882" refreshError="1"/>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ow r="2">
          <cell r="A2">
            <v>0</v>
          </cell>
        </row>
      </sheetData>
      <sheetData sheetId="1028" refreshError="1"/>
      <sheetData sheetId="1029" refreshError="1"/>
      <sheetData sheetId="1030"/>
      <sheetData sheetId="1031" refreshError="1"/>
      <sheetData sheetId="1032" refreshError="1"/>
      <sheetData sheetId="1033">
        <row r="2">
          <cell r="A2">
            <v>0</v>
          </cell>
        </row>
      </sheetData>
      <sheetData sheetId="1034">
        <row r="2">
          <cell r="A2">
            <v>0</v>
          </cell>
        </row>
      </sheetData>
      <sheetData sheetId="1035">
        <row r="2">
          <cell r="A2">
            <v>0</v>
          </cell>
        </row>
      </sheetData>
      <sheetData sheetId="1036">
        <row r="2">
          <cell r="A2">
            <v>0</v>
          </cell>
        </row>
      </sheetData>
      <sheetData sheetId="1037" refreshError="1"/>
      <sheetData sheetId="1038">
        <row r="2">
          <cell r="A2">
            <v>0</v>
          </cell>
        </row>
      </sheetData>
      <sheetData sheetId="1039">
        <row r="2">
          <cell r="A2">
            <v>0</v>
          </cell>
        </row>
      </sheetData>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ow r="2">
          <cell r="A2">
            <v>0</v>
          </cell>
        </row>
      </sheetData>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efreshError="1"/>
      <sheetData sheetId="1678" refreshError="1"/>
      <sheetData sheetId="1679" refreshError="1"/>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t="str">
            <v>“CONSTRUCCIÓN DE OBRAS CIVILES, ELÉCTRICAS, MECÁNICAS E INSTRUMENTACIÓN REQUERIDAS POR ECOPETROL Y SU GRUPO EMPRESARIAL PARA LA VIGENCIA 2017-2020 CON OPCIÓN DE DOS AÑOS”</v>
          </cell>
        </row>
      </sheetData>
      <sheetData sheetId="1686">
        <row r="2">
          <cell r="A2" t="str">
            <v>“CONSTRUCCIÓN DE OBRAS CIVILES, ELÉCTRICAS, MECÁNICAS E INSTRUMENTACIÓN REQUERIDAS POR ECOPETROL Y SU GRUPO EMPRESARIAL PARA LA VIGENCIA 2017-2020 CON OPCIÓN DE DOS AÑOS”</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efreshError="1"/>
      <sheetData sheetId="1694" refreshError="1"/>
      <sheetData sheetId="1695">
        <row r="2">
          <cell r="A2">
            <v>0</v>
          </cell>
        </row>
      </sheetData>
      <sheetData sheetId="1696"/>
      <sheetData sheetId="1697" refreshError="1"/>
      <sheetData sheetId="1698" refreshError="1"/>
      <sheetData sheetId="1699"/>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sheetData sheetId="1713"/>
      <sheetData sheetId="1714"/>
      <sheetData sheetId="1715"/>
      <sheetData sheetId="1716"/>
      <sheetData sheetId="1717"/>
      <sheetData sheetId="1718"/>
      <sheetData sheetId="1719"/>
      <sheetData sheetId="1720" refreshError="1"/>
      <sheetData sheetId="1721" refreshError="1"/>
      <sheetData sheetId="1722"/>
      <sheetData sheetId="1723"/>
      <sheetData sheetId="1724" refreshError="1"/>
      <sheetData sheetId="1725" refreshError="1"/>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sheetData sheetId="1736"/>
      <sheetData sheetId="1737"/>
      <sheetData sheetId="1738"/>
      <sheetData sheetId="1739"/>
      <sheetData sheetId="1740"/>
      <sheetData sheetId="1741"/>
      <sheetData sheetId="1742"/>
      <sheetData sheetId="1743"/>
      <sheetData sheetId="1744" refreshError="1"/>
      <sheetData sheetId="1745" refreshError="1"/>
      <sheetData sheetId="1746" refreshError="1"/>
      <sheetData sheetId="1747" refreshError="1"/>
      <sheetData sheetId="1748" refreshError="1"/>
      <sheetData sheetId="1749">
        <row r="2">
          <cell r="A2">
            <v>0</v>
          </cell>
        </row>
      </sheetData>
      <sheetData sheetId="1750">
        <row r="2">
          <cell r="A2">
            <v>0</v>
          </cell>
        </row>
      </sheetData>
      <sheetData sheetId="1751" refreshError="1"/>
      <sheetData sheetId="1752" refreshError="1"/>
      <sheetData sheetId="1753" refreshError="1"/>
      <sheetData sheetId="1754" refreshError="1"/>
      <sheetData sheetId="1755" refreshError="1"/>
      <sheetData sheetId="1756" refreshError="1"/>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sheetData sheetId="1766"/>
      <sheetData sheetId="1767"/>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ow r="2">
          <cell r="B2" t="str">
            <v>Patrimonio
neto
personal</v>
          </cell>
        </row>
      </sheetData>
      <sheetData sheetId="1778" refreshError="1"/>
      <sheetData sheetId="1779" refreshError="1"/>
      <sheetData sheetId="1780" refreshError="1"/>
      <sheetData sheetId="1781">
        <row r="2">
          <cell r="B2" t="str">
            <v>Patrimonio
neto
personal</v>
          </cell>
        </row>
      </sheetData>
      <sheetData sheetId="1782">
        <row r="2">
          <cell r="A2">
            <v>0</v>
          </cell>
        </row>
      </sheetData>
      <sheetData sheetId="1783">
        <row r="2">
          <cell r="A2">
            <v>0</v>
          </cell>
        </row>
      </sheetData>
      <sheetData sheetId="1784">
        <row r="2">
          <cell r="A2" t="str">
            <v>“CONSTRUCCIÓN DE OBRAS CIVILES, ELÉCTRICAS, MECÁNICAS E INSTRUMENTACIÓN REQUERIDAS POR ECOPETROL Y SU GRUPO EMPRESARIAL PARA LA VIGENCIA 2017-2020 CON OPCIÓN DE DOS AÑOS”</v>
          </cell>
        </row>
      </sheetData>
      <sheetData sheetId="1785" refreshError="1"/>
      <sheetData sheetId="1786" refreshError="1"/>
      <sheetData sheetId="1787" refreshError="1"/>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efreshError="1"/>
      <sheetData sheetId="1803" refreshError="1"/>
      <sheetData sheetId="1804" refreshError="1"/>
      <sheetData sheetId="1805" refreshError="1"/>
      <sheetData sheetId="1806" refreshError="1"/>
      <sheetData sheetId="1807">
        <row r="2">
          <cell r="A2">
            <v>0</v>
          </cell>
        </row>
      </sheetData>
      <sheetData sheetId="1808"/>
      <sheetData sheetId="1809"/>
      <sheetData sheetId="1810"/>
      <sheetData sheetId="1811"/>
      <sheetData sheetId="1812"/>
      <sheetData sheetId="1813">
        <row r="2">
          <cell r="A2">
            <v>0</v>
          </cell>
        </row>
      </sheetData>
      <sheetData sheetId="1814"/>
      <sheetData sheetId="1815">
        <row r="2">
          <cell r="A2">
            <v>0</v>
          </cell>
        </row>
      </sheetData>
      <sheetData sheetId="1816"/>
      <sheetData sheetId="1817">
        <row r="2">
          <cell r="A2">
            <v>0</v>
          </cell>
        </row>
      </sheetData>
      <sheetData sheetId="1818">
        <row r="5">
          <cell r="B5">
            <v>0</v>
          </cell>
        </row>
      </sheetData>
      <sheetData sheetId="1819"/>
      <sheetData sheetId="1820">
        <row r="2">
          <cell r="A2">
            <v>0</v>
          </cell>
        </row>
      </sheetData>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sheetData sheetId="1951"/>
      <sheetData sheetId="1952"/>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sheetData sheetId="2020"/>
      <sheetData sheetId="2021"/>
      <sheetData sheetId="2022">
        <row r="2">
          <cell r="A2">
            <v>0</v>
          </cell>
        </row>
      </sheetData>
      <sheetData sheetId="2023"/>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sheetData sheetId="2030"/>
      <sheetData sheetId="2031"/>
      <sheetData sheetId="2032">
        <row r="2">
          <cell r="A2">
            <v>0</v>
          </cell>
        </row>
      </sheetData>
      <sheetData sheetId="2033"/>
      <sheetData sheetId="2034">
        <row r="2">
          <cell r="A2">
            <v>0</v>
          </cell>
        </row>
      </sheetData>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row r="2">
          <cell r="B2">
            <v>0</v>
          </cell>
        </row>
      </sheetData>
      <sheetData sheetId="2050"/>
      <sheetData sheetId="2051"/>
      <sheetData sheetId="2052"/>
      <sheetData sheetId="2053"/>
      <sheetData sheetId="2054"/>
      <sheetData sheetId="2055"/>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sheetData sheetId="2241"/>
      <sheetData sheetId="2242"/>
      <sheetData sheetId="2243"/>
      <sheetData sheetId="2244"/>
      <sheetData sheetId="2245"/>
      <sheetData sheetId="2246"/>
      <sheetData sheetId="2247"/>
      <sheetData sheetId="2248"/>
      <sheetData sheetId="2249"/>
      <sheetData sheetId="2250"/>
      <sheetData sheetId="2251" refreshError="1"/>
      <sheetData sheetId="2252"/>
      <sheetData sheetId="2253"/>
      <sheetData sheetId="2254">
        <row r="2">
          <cell r="A2">
            <v>0</v>
          </cell>
        </row>
      </sheetData>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sheetData sheetId="2454"/>
      <sheetData sheetId="2455"/>
      <sheetData sheetId="2456"/>
      <sheetData sheetId="2457"/>
      <sheetData sheetId="2458"/>
      <sheetData sheetId="2459"/>
      <sheetData sheetId="2460"/>
      <sheetData sheetId="2461">
        <row r="2">
          <cell r="A2">
            <v>0</v>
          </cell>
        </row>
      </sheetData>
      <sheetData sheetId="2462"/>
      <sheetData sheetId="2463"/>
      <sheetData sheetId="2464"/>
      <sheetData sheetId="2465"/>
      <sheetData sheetId="2466"/>
      <sheetData sheetId="2467">
        <row r="2">
          <cell r="A2">
            <v>0</v>
          </cell>
        </row>
      </sheetData>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row r="2">
          <cell r="B2">
            <v>0</v>
          </cell>
        </row>
      </sheetData>
      <sheetData sheetId="2483"/>
      <sheetData sheetId="2484"/>
      <sheetData sheetId="2485"/>
      <sheetData sheetId="2486"/>
      <sheetData sheetId="2487"/>
      <sheetData sheetId="2488"/>
      <sheetData sheetId="2489">
        <row r="2">
          <cell r="B2">
            <v>0</v>
          </cell>
        </row>
      </sheetData>
      <sheetData sheetId="2490"/>
      <sheetData sheetId="2491"/>
      <sheetData sheetId="2492"/>
      <sheetData sheetId="2493"/>
      <sheetData sheetId="2494"/>
      <sheetData sheetId="2495"/>
      <sheetData sheetId="2496"/>
      <sheetData sheetId="2497"/>
      <sheetData sheetId="2498"/>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sheetData sheetId="2684"/>
      <sheetData sheetId="2685"/>
      <sheetData sheetId="2686"/>
      <sheetData sheetId="2687"/>
      <sheetData sheetId="2688"/>
      <sheetData sheetId="2689"/>
      <sheetData sheetId="2690"/>
      <sheetData sheetId="2691">
        <row r="2">
          <cell r="A2">
            <v>0</v>
          </cell>
        </row>
      </sheetData>
      <sheetData sheetId="2692"/>
      <sheetData sheetId="2693"/>
      <sheetData sheetId="2694"/>
      <sheetData sheetId="2695"/>
      <sheetData sheetId="2696"/>
      <sheetData sheetId="2697">
        <row r="2">
          <cell r="A2">
            <v>0</v>
          </cell>
        </row>
      </sheetData>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row r="2">
          <cell r="B2">
            <v>0</v>
          </cell>
        </row>
      </sheetData>
      <sheetData sheetId="2713"/>
      <sheetData sheetId="2714"/>
      <sheetData sheetId="2715"/>
      <sheetData sheetId="2716"/>
      <sheetData sheetId="2717"/>
      <sheetData sheetId="2718"/>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sheetData sheetId="2904"/>
      <sheetData sheetId="2905"/>
      <sheetData sheetId="2906"/>
      <sheetData sheetId="2907"/>
      <sheetData sheetId="2908"/>
      <sheetData sheetId="2909"/>
      <sheetData sheetId="2910"/>
      <sheetData sheetId="2911">
        <row r="2">
          <cell r="A2">
            <v>0</v>
          </cell>
        </row>
      </sheetData>
      <sheetData sheetId="2912"/>
      <sheetData sheetId="2913"/>
      <sheetData sheetId="2914"/>
      <sheetData sheetId="2915">
        <row r="2">
          <cell r="A2">
            <v>0</v>
          </cell>
        </row>
      </sheetData>
      <sheetData sheetId="2916"/>
      <sheetData sheetId="2917">
        <row r="2">
          <cell r="A2">
            <v>0</v>
          </cell>
        </row>
      </sheetData>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row r="2">
          <cell r="B2">
            <v>0</v>
          </cell>
        </row>
      </sheetData>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refreshError="1"/>
      <sheetData sheetId="2947" refreshError="1"/>
      <sheetData sheetId="2948" refreshError="1"/>
      <sheetData sheetId="2949"/>
      <sheetData sheetId="2950">
        <row r="2">
          <cell r="B2" t="str">
            <v>Patrimonio
neto
personal</v>
          </cell>
        </row>
      </sheetData>
      <sheetData sheetId="2951" refreshError="1"/>
      <sheetData sheetId="2952" refreshError="1"/>
      <sheetData sheetId="2953" refreshError="1"/>
      <sheetData sheetId="2954" refreshError="1"/>
      <sheetData sheetId="2955" refreshError="1"/>
      <sheetData sheetId="2956" refreshError="1"/>
      <sheetData sheetId="2957"/>
      <sheetData sheetId="2958"/>
      <sheetData sheetId="2959"/>
      <sheetData sheetId="2960"/>
      <sheetData sheetId="2961"/>
      <sheetData sheetId="2962"/>
      <sheetData sheetId="2963"/>
      <sheetData sheetId="2964"/>
      <sheetData sheetId="2965"/>
      <sheetData sheetId="2966"/>
      <sheetData sheetId="2967"/>
      <sheetData sheetId="2968">
        <row r="2">
          <cell r="A2">
            <v>0</v>
          </cell>
        </row>
      </sheetData>
      <sheetData sheetId="2969"/>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sheetData sheetId="3107"/>
      <sheetData sheetId="3108"/>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sheetData sheetId="3191">
        <row r="2">
          <cell r="A2">
            <v>0</v>
          </cell>
        </row>
      </sheetData>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row r="2">
          <cell r="A2">
            <v>0</v>
          </cell>
        </row>
      </sheetData>
      <sheetData sheetId="3219"/>
      <sheetData sheetId="3220"/>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sheetData sheetId="3307"/>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sheetData sheetId="3328">
        <row r="2">
          <cell r="A2">
            <v>0</v>
          </cell>
        </row>
      </sheetData>
      <sheetData sheetId="3329"/>
      <sheetData sheetId="3330"/>
      <sheetData sheetId="3331"/>
      <sheetData sheetId="3332">
        <row r="2">
          <cell r="A2">
            <v>0</v>
          </cell>
        </row>
      </sheetData>
      <sheetData sheetId="3333">
        <row r="2">
          <cell r="A2">
            <v>0</v>
          </cell>
        </row>
      </sheetData>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row r="2">
          <cell r="A2">
            <v>0</v>
          </cell>
        </row>
      </sheetData>
      <sheetData sheetId="3352"/>
      <sheetData sheetId="3353"/>
      <sheetData sheetId="3354">
        <row r="2">
          <cell r="A2">
            <v>0</v>
          </cell>
        </row>
      </sheetData>
      <sheetData sheetId="3355">
        <row r="2">
          <cell r="A2">
            <v>0</v>
          </cell>
        </row>
      </sheetData>
      <sheetData sheetId="3356">
        <row r="2">
          <cell r="A2">
            <v>0</v>
          </cell>
        </row>
      </sheetData>
      <sheetData sheetId="3357"/>
      <sheetData sheetId="3358"/>
      <sheetData sheetId="3359">
        <row r="2">
          <cell r="A2">
            <v>0</v>
          </cell>
        </row>
      </sheetData>
      <sheetData sheetId="3360">
        <row r="2">
          <cell r="A2">
            <v>0</v>
          </cell>
        </row>
      </sheetData>
      <sheetData sheetId="3361">
        <row r="2">
          <cell r="A2">
            <v>0</v>
          </cell>
        </row>
      </sheetData>
      <sheetData sheetId="3362"/>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sheetData sheetId="3371"/>
      <sheetData sheetId="3372">
        <row r="2">
          <cell r="A2">
            <v>0</v>
          </cell>
        </row>
      </sheetData>
      <sheetData sheetId="3373"/>
      <sheetData sheetId="3374"/>
      <sheetData sheetId="3375"/>
      <sheetData sheetId="3376"/>
      <sheetData sheetId="3377"/>
      <sheetData sheetId="3378"/>
      <sheetData sheetId="3379"/>
      <sheetData sheetId="3380"/>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sheetData sheetId="3444"/>
      <sheetData sheetId="3445"/>
      <sheetData sheetId="3446"/>
      <sheetData sheetId="3447"/>
      <sheetData sheetId="3448"/>
      <sheetData sheetId="3449"/>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sheetData sheetId="3512"/>
      <sheetData sheetId="3513">
        <row r="2">
          <cell r="A2">
            <v>0</v>
          </cell>
        </row>
      </sheetData>
      <sheetData sheetId="3514"/>
      <sheetData sheetId="3515">
        <row r="2">
          <cell r="A2">
            <v>0</v>
          </cell>
        </row>
      </sheetData>
      <sheetData sheetId="3516">
        <row r="2">
          <cell r="A2">
            <v>0</v>
          </cell>
        </row>
      </sheetData>
      <sheetData sheetId="3517">
        <row r="2">
          <cell r="A2">
            <v>0</v>
          </cell>
        </row>
      </sheetData>
      <sheetData sheetId="3518"/>
      <sheetData sheetId="3519"/>
      <sheetData sheetId="3520">
        <row r="2">
          <cell r="A2">
            <v>0</v>
          </cell>
        </row>
      </sheetData>
      <sheetData sheetId="3521">
        <row r="2">
          <cell r="A2">
            <v>0</v>
          </cell>
        </row>
      </sheetData>
      <sheetData sheetId="3522">
        <row r="2">
          <cell r="A2">
            <v>0</v>
          </cell>
        </row>
      </sheetData>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row r="2">
          <cell r="A2">
            <v>0</v>
          </cell>
        </row>
      </sheetData>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row r="2">
          <cell r="A2">
            <v>0</v>
          </cell>
        </row>
      </sheetData>
      <sheetData sheetId="3682"/>
      <sheetData sheetId="3683"/>
      <sheetData sheetId="3684"/>
      <sheetData sheetId="3685">
        <row r="2">
          <cell r="A2">
            <v>0</v>
          </cell>
        </row>
      </sheetData>
      <sheetData sheetId="3686">
        <row r="2">
          <cell r="A2">
            <v>0</v>
          </cell>
        </row>
      </sheetData>
      <sheetData sheetId="3687"/>
      <sheetData sheetId="3688"/>
      <sheetData sheetId="3689"/>
      <sheetData sheetId="3690">
        <row r="2">
          <cell r="A2">
            <v>0</v>
          </cell>
        </row>
      </sheetData>
      <sheetData sheetId="3691">
        <row r="2">
          <cell r="A2">
            <v>0</v>
          </cell>
        </row>
      </sheetData>
      <sheetData sheetId="3692"/>
      <sheetData sheetId="3693"/>
      <sheetData sheetId="3694"/>
      <sheetData sheetId="3695">
        <row r="2">
          <cell r="A2">
            <v>0</v>
          </cell>
        </row>
      </sheetData>
      <sheetData sheetId="3696">
        <row r="2">
          <cell r="A2">
            <v>0</v>
          </cell>
        </row>
      </sheetData>
      <sheetData sheetId="3697"/>
      <sheetData sheetId="3698">
        <row r="2">
          <cell r="A2">
            <v>0</v>
          </cell>
        </row>
      </sheetData>
      <sheetData sheetId="3699"/>
      <sheetData sheetId="3700"/>
      <sheetData sheetId="3701"/>
      <sheetData sheetId="3702">
        <row r="2">
          <cell r="A2">
            <v>0</v>
          </cell>
        </row>
      </sheetData>
      <sheetData sheetId="3703">
        <row r="2">
          <cell r="A2">
            <v>0</v>
          </cell>
        </row>
      </sheetData>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row r="2">
          <cell r="A2">
            <v>0</v>
          </cell>
        </row>
      </sheetData>
      <sheetData sheetId="3721">
        <row r="2">
          <cell r="A2">
            <v>0</v>
          </cell>
        </row>
      </sheetData>
      <sheetData sheetId="3722"/>
      <sheetData sheetId="3723"/>
      <sheetData sheetId="3724"/>
      <sheetData sheetId="3725">
        <row r="2">
          <cell r="A2">
            <v>0</v>
          </cell>
        </row>
      </sheetData>
      <sheetData sheetId="3726">
        <row r="2">
          <cell r="A2">
            <v>0</v>
          </cell>
        </row>
      </sheetData>
      <sheetData sheetId="3727"/>
      <sheetData sheetId="3728"/>
      <sheetData sheetId="3729"/>
      <sheetData sheetId="3730">
        <row r="2">
          <cell r="A2">
            <v>0</v>
          </cell>
        </row>
      </sheetData>
      <sheetData sheetId="3731">
        <row r="2">
          <cell r="A2">
            <v>0</v>
          </cell>
        </row>
      </sheetData>
      <sheetData sheetId="3732"/>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sheetData sheetId="3741"/>
      <sheetData sheetId="3742">
        <row r="2">
          <cell r="A2">
            <v>0</v>
          </cell>
        </row>
      </sheetData>
      <sheetData sheetId="3743"/>
      <sheetData sheetId="3744"/>
      <sheetData sheetId="3745"/>
      <sheetData sheetId="3746"/>
      <sheetData sheetId="3747"/>
      <sheetData sheetId="3748"/>
      <sheetData sheetId="3749"/>
      <sheetData sheetId="3750"/>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sheetData sheetId="3814"/>
      <sheetData sheetId="3815"/>
      <sheetData sheetId="3816"/>
      <sheetData sheetId="3817"/>
      <sheetData sheetId="3818"/>
      <sheetData sheetId="3819"/>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sheetData sheetId="3835"/>
      <sheetData sheetId="3836"/>
      <sheetData sheetId="3837">
        <row r="2">
          <cell r="A2">
            <v>0</v>
          </cell>
        </row>
      </sheetData>
      <sheetData sheetId="3838"/>
      <sheetData sheetId="3839"/>
      <sheetData sheetId="3840"/>
      <sheetData sheetId="3841"/>
      <sheetData sheetId="3842">
        <row r="2">
          <cell r="A2">
            <v>0</v>
          </cell>
        </row>
      </sheetData>
      <sheetData sheetId="3843"/>
      <sheetData sheetId="3844"/>
      <sheetData sheetId="3845"/>
      <sheetData sheetId="3846"/>
      <sheetData sheetId="3847">
        <row r="2">
          <cell r="A2">
            <v>0</v>
          </cell>
        </row>
      </sheetData>
      <sheetData sheetId="3848"/>
      <sheetData sheetId="3849"/>
      <sheetData sheetId="3850"/>
      <sheetData sheetId="3851"/>
      <sheetData sheetId="3852">
        <row r="2">
          <cell r="A2">
            <v>0</v>
          </cell>
        </row>
      </sheetData>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row r="2">
          <cell r="A2">
            <v>0</v>
          </cell>
        </row>
      </sheetData>
      <sheetData sheetId="3870"/>
      <sheetData sheetId="3871"/>
      <sheetData sheetId="3872"/>
      <sheetData sheetId="3873"/>
      <sheetData sheetId="3874">
        <row r="2">
          <cell r="A2">
            <v>0</v>
          </cell>
        </row>
      </sheetData>
      <sheetData sheetId="3875"/>
      <sheetData sheetId="3876"/>
      <sheetData sheetId="3877"/>
      <sheetData sheetId="3878"/>
      <sheetData sheetId="3879">
        <row r="2">
          <cell r="A2">
            <v>0</v>
          </cell>
        </row>
      </sheetData>
      <sheetData sheetId="3880"/>
      <sheetData sheetId="3881"/>
      <sheetData sheetId="3882"/>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row r="2">
          <cell r="A2">
            <v>0</v>
          </cell>
        </row>
      </sheetData>
      <sheetData sheetId="4052"/>
      <sheetData sheetId="4053"/>
      <sheetData sheetId="4054"/>
      <sheetData sheetId="4055">
        <row r="2">
          <cell r="A2">
            <v>0</v>
          </cell>
        </row>
      </sheetData>
      <sheetData sheetId="4056">
        <row r="2">
          <cell r="A2">
            <v>0</v>
          </cell>
        </row>
      </sheetData>
      <sheetData sheetId="4057"/>
      <sheetData sheetId="4058"/>
      <sheetData sheetId="4059"/>
      <sheetData sheetId="4060">
        <row r="2">
          <cell r="A2">
            <v>0</v>
          </cell>
        </row>
      </sheetData>
      <sheetData sheetId="4061">
        <row r="2">
          <cell r="A2">
            <v>0</v>
          </cell>
        </row>
      </sheetData>
      <sheetData sheetId="4062"/>
      <sheetData sheetId="4063"/>
      <sheetData sheetId="4064"/>
      <sheetData sheetId="4065">
        <row r="2">
          <cell r="A2">
            <v>0</v>
          </cell>
        </row>
      </sheetData>
      <sheetData sheetId="4066">
        <row r="2">
          <cell r="A2">
            <v>0</v>
          </cell>
        </row>
      </sheetData>
      <sheetData sheetId="4067"/>
      <sheetData sheetId="4068">
        <row r="2">
          <cell r="A2">
            <v>0</v>
          </cell>
        </row>
      </sheetData>
      <sheetData sheetId="4069"/>
      <sheetData sheetId="4070"/>
      <sheetData sheetId="4071"/>
      <sheetData sheetId="4072">
        <row r="2">
          <cell r="A2">
            <v>0</v>
          </cell>
        </row>
      </sheetData>
      <sheetData sheetId="4073">
        <row r="2">
          <cell r="A2">
            <v>0</v>
          </cell>
        </row>
      </sheetData>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row r="2">
          <cell r="A2">
            <v>0</v>
          </cell>
        </row>
      </sheetData>
      <sheetData sheetId="4091">
        <row r="2">
          <cell r="A2">
            <v>0</v>
          </cell>
        </row>
      </sheetData>
      <sheetData sheetId="4092"/>
      <sheetData sheetId="4093"/>
      <sheetData sheetId="4094"/>
      <sheetData sheetId="4095">
        <row r="2">
          <cell r="A2">
            <v>0</v>
          </cell>
        </row>
      </sheetData>
      <sheetData sheetId="4096">
        <row r="2">
          <cell r="A2">
            <v>0</v>
          </cell>
        </row>
      </sheetData>
      <sheetData sheetId="4097"/>
      <sheetData sheetId="4098"/>
      <sheetData sheetId="4099"/>
      <sheetData sheetId="4100">
        <row r="2">
          <cell r="A2">
            <v>0</v>
          </cell>
        </row>
      </sheetData>
      <sheetData sheetId="4101">
        <row r="2">
          <cell r="A2">
            <v>0</v>
          </cell>
        </row>
      </sheetData>
      <sheetData sheetId="4102"/>
      <sheetData sheetId="4103">
        <row r="2">
          <cell r="A2">
            <v>0</v>
          </cell>
        </row>
      </sheetData>
      <sheetData sheetId="4104">
        <row r="2">
          <cell r="A2">
            <v>0</v>
          </cell>
        </row>
      </sheetData>
      <sheetData sheetId="4105">
        <row r="2">
          <cell r="A2">
            <v>0</v>
          </cell>
        </row>
      </sheetData>
      <sheetData sheetId="4106">
        <row r="2">
          <cell r="A2">
            <v>0</v>
          </cell>
        </row>
      </sheetData>
      <sheetData sheetId="4107">
        <row r="2">
          <cell r="A2">
            <v>0</v>
          </cell>
        </row>
      </sheetData>
      <sheetData sheetId="4108">
        <row r="2">
          <cell r="A2">
            <v>0</v>
          </cell>
        </row>
      </sheetData>
      <sheetData sheetId="4109">
        <row r="2">
          <cell r="A2">
            <v>0</v>
          </cell>
        </row>
      </sheetData>
      <sheetData sheetId="4110"/>
      <sheetData sheetId="4111"/>
      <sheetData sheetId="4112">
        <row r="2">
          <cell r="A2">
            <v>0</v>
          </cell>
        </row>
      </sheetData>
      <sheetData sheetId="4113"/>
      <sheetData sheetId="4114"/>
      <sheetData sheetId="4115"/>
      <sheetData sheetId="4116"/>
      <sheetData sheetId="4117"/>
      <sheetData sheetId="4118"/>
      <sheetData sheetId="4119"/>
      <sheetData sheetId="4120"/>
      <sheetData sheetId="4121">
        <row r="2">
          <cell r="A2">
            <v>0</v>
          </cell>
        </row>
      </sheetData>
      <sheetData sheetId="4122">
        <row r="2">
          <cell r="A2">
            <v>0</v>
          </cell>
        </row>
      </sheetData>
      <sheetData sheetId="4123">
        <row r="2">
          <cell r="A2">
            <v>0</v>
          </cell>
        </row>
      </sheetData>
      <sheetData sheetId="4124">
        <row r="2">
          <cell r="A2">
            <v>0</v>
          </cell>
        </row>
      </sheetData>
      <sheetData sheetId="4125">
        <row r="2">
          <cell r="A2">
            <v>0</v>
          </cell>
        </row>
      </sheetData>
      <sheetData sheetId="4126">
        <row r="2">
          <cell r="A2">
            <v>0</v>
          </cell>
        </row>
      </sheetData>
      <sheetData sheetId="4127">
        <row r="2">
          <cell r="A2">
            <v>0</v>
          </cell>
        </row>
      </sheetData>
      <sheetData sheetId="4128">
        <row r="2">
          <cell r="A2">
            <v>0</v>
          </cell>
        </row>
      </sheetData>
      <sheetData sheetId="4129">
        <row r="2">
          <cell r="A2">
            <v>0</v>
          </cell>
        </row>
      </sheetData>
      <sheetData sheetId="4130">
        <row r="2">
          <cell r="A2">
            <v>0</v>
          </cell>
        </row>
      </sheetData>
      <sheetData sheetId="4131">
        <row r="2">
          <cell r="A2">
            <v>0</v>
          </cell>
        </row>
      </sheetData>
      <sheetData sheetId="4132">
        <row r="2">
          <cell r="A2">
            <v>0</v>
          </cell>
        </row>
      </sheetData>
      <sheetData sheetId="4133">
        <row r="2">
          <cell r="A2">
            <v>0</v>
          </cell>
        </row>
      </sheetData>
      <sheetData sheetId="4134">
        <row r="2">
          <cell r="A2">
            <v>0</v>
          </cell>
        </row>
      </sheetData>
      <sheetData sheetId="4135">
        <row r="2">
          <cell r="A2">
            <v>0</v>
          </cell>
        </row>
      </sheetData>
      <sheetData sheetId="4136">
        <row r="2">
          <cell r="A2">
            <v>0</v>
          </cell>
        </row>
      </sheetData>
      <sheetData sheetId="4137">
        <row r="2">
          <cell r="A2">
            <v>0</v>
          </cell>
        </row>
      </sheetData>
      <sheetData sheetId="4138">
        <row r="2">
          <cell r="A2">
            <v>0</v>
          </cell>
        </row>
      </sheetData>
      <sheetData sheetId="4139">
        <row r="2">
          <cell r="A2">
            <v>0</v>
          </cell>
        </row>
      </sheetData>
      <sheetData sheetId="4140">
        <row r="2">
          <cell r="A2">
            <v>0</v>
          </cell>
        </row>
      </sheetData>
      <sheetData sheetId="4141">
        <row r="2">
          <cell r="A2">
            <v>0</v>
          </cell>
        </row>
      </sheetData>
      <sheetData sheetId="4142">
        <row r="2">
          <cell r="A2">
            <v>0</v>
          </cell>
        </row>
      </sheetData>
      <sheetData sheetId="4143">
        <row r="2">
          <cell r="A2">
            <v>0</v>
          </cell>
        </row>
      </sheetData>
      <sheetData sheetId="4144">
        <row r="2">
          <cell r="A2">
            <v>0</v>
          </cell>
        </row>
      </sheetData>
      <sheetData sheetId="4145">
        <row r="2">
          <cell r="A2">
            <v>0</v>
          </cell>
        </row>
      </sheetData>
      <sheetData sheetId="4146">
        <row r="2">
          <cell r="A2">
            <v>0</v>
          </cell>
        </row>
      </sheetData>
      <sheetData sheetId="4147">
        <row r="2">
          <cell r="A2">
            <v>0</v>
          </cell>
        </row>
      </sheetData>
      <sheetData sheetId="4148">
        <row r="2">
          <cell r="A2">
            <v>0</v>
          </cell>
        </row>
      </sheetData>
      <sheetData sheetId="4149">
        <row r="2">
          <cell r="A2">
            <v>0</v>
          </cell>
        </row>
      </sheetData>
      <sheetData sheetId="4150">
        <row r="2">
          <cell r="A2">
            <v>0</v>
          </cell>
        </row>
      </sheetData>
      <sheetData sheetId="4151">
        <row r="2">
          <cell r="A2">
            <v>0</v>
          </cell>
        </row>
      </sheetData>
      <sheetData sheetId="4152">
        <row r="2">
          <cell r="A2">
            <v>0</v>
          </cell>
        </row>
      </sheetData>
      <sheetData sheetId="4153">
        <row r="2">
          <cell r="A2">
            <v>0</v>
          </cell>
        </row>
      </sheetData>
      <sheetData sheetId="4154">
        <row r="2">
          <cell r="A2">
            <v>0</v>
          </cell>
        </row>
      </sheetData>
      <sheetData sheetId="4155">
        <row r="2">
          <cell r="A2">
            <v>0</v>
          </cell>
        </row>
      </sheetData>
      <sheetData sheetId="4156">
        <row r="2">
          <cell r="A2">
            <v>0</v>
          </cell>
        </row>
      </sheetData>
      <sheetData sheetId="4157">
        <row r="2">
          <cell r="A2">
            <v>0</v>
          </cell>
        </row>
      </sheetData>
      <sheetData sheetId="4158">
        <row r="2">
          <cell r="A2">
            <v>0</v>
          </cell>
        </row>
      </sheetData>
      <sheetData sheetId="4159">
        <row r="2">
          <cell r="A2">
            <v>0</v>
          </cell>
        </row>
      </sheetData>
      <sheetData sheetId="4160">
        <row r="2">
          <cell r="A2">
            <v>0</v>
          </cell>
        </row>
      </sheetData>
      <sheetData sheetId="4161">
        <row r="2">
          <cell r="A2">
            <v>0</v>
          </cell>
        </row>
      </sheetData>
      <sheetData sheetId="4162">
        <row r="2">
          <cell r="A2">
            <v>0</v>
          </cell>
        </row>
      </sheetData>
      <sheetData sheetId="4163">
        <row r="2">
          <cell r="A2">
            <v>0</v>
          </cell>
        </row>
      </sheetData>
      <sheetData sheetId="4164">
        <row r="2">
          <cell r="A2">
            <v>0</v>
          </cell>
        </row>
      </sheetData>
      <sheetData sheetId="4165">
        <row r="2">
          <cell r="A2">
            <v>0</v>
          </cell>
        </row>
      </sheetData>
      <sheetData sheetId="4166">
        <row r="2">
          <cell r="A2">
            <v>0</v>
          </cell>
        </row>
      </sheetData>
      <sheetData sheetId="4167">
        <row r="2">
          <cell r="A2">
            <v>0</v>
          </cell>
        </row>
      </sheetData>
      <sheetData sheetId="4168">
        <row r="2">
          <cell r="A2">
            <v>0</v>
          </cell>
        </row>
      </sheetData>
      <sheetData sheetId="4169">
        <row r="2">
          <cell r="A2">
            <v>0</v>
          </cell>
        </row>
      </sheetData>
      <sheetData sheetId="4170">
        <row r="2">
          <cell r="A2">
            <v>0</v>
          </cell>
        </row>
      </sheetData>
      <sheetData sheetId="4171">
        <row r="2">
          <cell r="A2">
            <v>0</v>
          </cell>
        </row>
      </sheetData>
      <sheetData sheetId="4172">
        <row r="2">
          <cell r="A2">
            <v>0</v>
          </cell>
        </row>
      </sheetData>
      <sheetData sheetId="4173">
        <row r="2">
          <cell r="A2">
            <v>0</v>
          </cell>
        </row>
      </sheetData>
      <sheetData sheetId="4174">
        <row r="2">
          <cell r="A2">
            <v>0</v>
          </cell>
        </row>
      </sheetData>
      <sheetData sheetId="4175">
        <row r="2">
          <cell r="A2">
            <v>0</v>
          </cell>
        </row>
      </sheetData>
      <sheetData sheetId="4176">
        <row r="2">
          <cell r="A2">
            <v>0</v>
          </cell>
        </row>
      </sheetData>
      <sheetData sheetId="4177">
        <row r="2">
          <cell r="A2">
            <v>0</v>
          </cell>
        </row>
      </sheetData>
      <sheetData sheetId="4178">
        <row r="2">
          <cell r="A2">
            <v>0</v>
          </cell>
        </row>
      </sheetData>
      <sheetData sheetId="4179">
        <row r="2">
          <cell r="A2">
            <v>0</v>
          </cell>
        </row>
      </sheetData>
      <sheetData sheetId="4180">
        <row r="2">
          <cell r="A2">
            <v>0</v>
          </cell>
        </row>
      </sheetData>
      <sheetData sheetId="4181">
        <row r="2">
          <cell r="A2">
            <v>0</v>
          </cell>
        </row>
      </sheetData>
      <sheetData sheetId="4182">
        <row r="2">
          <cell r="A2">
            <v>0</v>
          </cell>
        </row>
      </sheetData>
      <sheetData sheetId="4183"/>
      <sheetData sheetId="4184"/>
      <sheetData sheetId="4185"/>
      <sheetData sheetId="4186"/>
      <sheetData sheetId="4187"/>
      <sheetData sheetId="4188"/>
      <sheetData sheetId="4189"/>
      <sheetData sheetId="4190">
        <row r="2">
          <cell r="A2">
            <v>0</v>
          </cell>
        </row>
      </sheetData>
      <sheetData sheetId="4191">
        <row r="2">
          <cell r="A2">
            <v>0</v>
          </cell>
        </row>
      </sheetData>
      <sheetData sheetId="4192">
        <row r="2">
          <cell r="A2">
            <v>0</v>
          </cell>
        </row>
      </sheetData>
      <sheetData sheetId="4193">
        <row r="2">
          <cell r="A2">
            <v>0</v>
          </cell>
        </row>
      </sheetData>
      <sheetData sheetId="4194">
        <row r="2">
          <cell r="A2">
            <v>0</v>
          </cell>
        </row>
      </sheetData>
      <sheetData sheetId="4195">
        <row r="2">
          <cell r="A2">
            <v>0</v>
          </cell>
        </row>
      </sheetData>
      <sheetData sheetId="4196">
        <row r="2">
          <cell r="A2">
            <v>0</v>
          </cell>
        </row>
      </sheetData>
      <sheetData sheetId="4197">
        <row r="2">
          <cell r="A2">
            <v>0</v>
          </cell>
        </row>
      </sheetData>
      <sheetData sheetId="4198">
        <row r="2">
          <cell r="A2">
            <v>0</v>
          </cell>
        </row>
      </sheetData>
      <sheetData sheetId="4199">
        <row r="2">
          <cell r="A2">
            <v>0</v>
          </cell>
        </row>
      </sheetData>
      <sheetData sheetId="4200">
        <row r="2">
          <cell r="A2">
            <v>0</v>
          </cell>
        </row>
      </sheetData>
      <sheetData sheetId="4201">
        <row r="2">
          <cell r="A2">
            <v>0</v>
          </cell>
        </row>
      </sheetData>
      <sheetData sheetId="4202">
        <row r="2">
          <cell r="A2">
            <v>0</v>
          </cell>
        </row>
      </sheetData>
      <sheetData sheetId="4203">
        <row r="2">
          <cell r="A2">
            <v>0</v>
          </cell>
        </row>
      </sheetData>
      <sheetData sheetId="4204">
        <row r="2">
          <cell r="A2">
            <v>0</v>
          </cell>
        </row>
      </sheetData>
      <sheetData sheetId="4205">
        <row r="2">
          <cell r="A2">
            <v>0</v>
          </cell>
        </row>
      </sheetData>
      <sheetData sheetId="4206">
        <row r="2">
          <cell r="A2">
            <v>0</v>
          </cell>
        </row>
      </sheetData>
      <sheetData sheetId="4207">
        <row r="2">
          <cell r="A2">
            <v>0</v>
          </cell>
        </row>
      </sheetData>
      <sheetData sheetId="4208">
        <row r="2">
          <cell r="A2">
            <v>0</v>
          </cell>
        </row>
      </sheetData>
      <sheetData sheetId="4209">
        <row r="2">
          <cell r="A2">
            <v>0</v>
          </cell>
        </row>
      </sheetData>
      <sheetData sheetId="4210">
        <row r="2">
          <cell r="A2">
            <v>0</v>
          </cell>
        </row>
      </sheetData>
      <sheetData sheetId="4211">
        <row r="2">
          <cell r="A2">
            <v>0</v>
          </cell>
        </row>
      </sheetData>
      <sheetData sheetId="4212">
        <row r="2">
          <cell r="A2">
            <v>0</v>
          </cell>
        </row>
      </sheetData>
      <sheetData sheetId="4213">
        <row r="2">
          <cell r="A2">
            <v>0</v>
          </cell>
        </row>
      </sheetData>
      <sheetData sheetId="4214">
        <row r="2">
          <cell r="A2">
            <v>0</v>
          </cell>
        </row>
      </sheetData>
      <sheetData sheetId="4215">
        <row r="2">
          <cell r="A2">
            <v>0</v>
          </cell>
        </row>
      </sheetData>
      <sheetData sheetId="4216">
        <row r="2">
          <cell r="A2">
            <v>0</v>
          </cell>
        </row>
      </sheetData>
      <sheetData sheetId="4217">
        <row r="2">
          <cell r="A2">
            <v>0</v>
          </cell>
        </row>
      </sheetData>
      <sheetData sheetId="4218">
        <row r="2">
          <cell r="A2">
            <v>0</v>
          </cell>
        </row>
      </sheetData>
      <sheetData sheetId="4219">
        <row r="2">
          <cell r="A2">
            <v>0</v>
          </cell>
        </row>
      </sheetData>
      <sheetData sheetId="4220">
        <row r="2">
          <cell r="A2">
            <v>0</v>
          </cell>
        </row>
      </sheetData>
      <sheetData sheetId="4221">
        <row r="2">
          <cell r="A2">
            <v>0</v>
          </cell>
        </row>
      </sheetData>
      <sheetData sheetId="4222">
        <row r="2">
          <cell r="A2">
            <v>0</v>
          </cell>
        </row>
      </sheetData>
      <sheetData sheetId="4223">
        <row r="2">
          <cell r="A2">
            <v>0</v>
          </cell>
        </row>
      </sheetData>
      <sheetData sheetId="4224">
        <row r="2">
          <cell r="A2">
            <v>0</v>
          </cell>
        </row>
      </sheetData>
      <sheetData sheetId="4225">
        <row r="2">
          <cell r="A2">
            <v>0</v>
          </cell>
        </row>
      </sheetData>
      <sheetData sheetId="4226">
        <row r="2">
          <cell r="A2">
            <v>0</v>
          </cell>
        </row>
      </sheetData>
      <sheetData sheetId="4227">
        <row r="2">
          <cell r="A2">
            <v>0</v>
          </cell>
        </row>
      </sheetData>
      <sheetData sheetId="4228">
        <row r="2">
          <cell r="A2">
            <v>0</v>
          </cell>
        </row>
      </sheetData>
      <sheetData sheetId="4229">
        <row r="2">
          <cell r="A2">
            <v>0</v>
          </cell>
        </row>
      </sheetData>
      <sheetData sheetId="4230">
        <row r="2">
          <cell r="A2">
            <v>0</v>
          </cell>
        </row>
      </sheetData>
      <sheetData sheetId="4231">
        <row r="2">
          <cell r="A2">
            <v>0</v>
          </cell>
        </row>
      </sheetData>
      <sheetData sheetId="4232"/>
      <sheetData sheetId="4233">
        <row r="2">
          <cell r="A2">
            <v>0</v>
          </cell>
        </row>
      </sheetData>
      <sheetData sheetId="4234">
        <row r="2">
          <cell r="A2">
            <v>0</v>
          </cell>
        </row>
      </sheetData>
      <sheetData sheetId="4235">
        <row r="2">
          <cell r="A2">
            <v>0</v>
          </cell>
        </row>
      </sheetData>
      <sheetData sheetId="4236">
        <row r="2">
          <cell r="A2">
            <v>0</v>
          </cell>
        </row>
      </sheetData>
      <sheetData sheetId="4237">
        <row r="2">
          <cell r="A2">
            <v>0</v>
          </cell>
        </row>
      </sheetData>
      <sheetData sheetId="4238">
        <row r="2">
          <cell r="A2">
            <v>0</v>
          </cell>
        </row>
      </sheetData>
      <sheetData sheetId="4239">
        <row r="2">
          <cell r="A2">
            <v>0</v>
          </cell>
        </row>
      </sheetData>
      <sheetData sheetId="4240">
        <row r="2">
          <cell r="A2">
            <v>0</v>
          </cell>
        </row>
      </sheetData>
      <sheetData sheetId="4241">
        <row r="2">
          <cell r="A2">
            <v>0</v>
          </cell>
        </row>
      </sheetData>
      <sheetData sheetId="4242">
        <row r="2">
          <cell r="A2">
            <v>0</v>
          </cell>
        </row>
      </sheetData>
      <sheetData sheetId="4243">
        <row r="2">
          <cell r="A2">
            <v>0</v>
          </cell>
        </row>
      </sheetData>
      <sheetData sheetId="4244">
        <row r="2">
          <cell r="A2">
            <v>0</v>
          </cell>
        </row>
      </sheetData>
      <sheetData sheetId="4245">
        <row r="2">
          <cell r="A2">
            <v>0</v>
          </cell>
        </row>
      </sheetData>
      <sheetData sheetId="4246"/>
      <sheetData sheetId="4247"/>
      <sheetData sheetId="4248"/>
      <sheetData sheetId="4249"/>
      <sheetData sheetId="4250">
        <row r="2">
          <cell r="A2">
            <v>0</v>
          </cell>
        </row>
      </sheetData>
      <sheetData sheetId="4251">
        <row r="2">
          <cell r="A2">
            <v>0</v>
          </cell>
        </row>
      </sheetData>
      <sheetData sheetId="4252"/>
      <sheetData sheetId="4253">
        <row r="2">
          <cell r="A2">
            <v>0</v>
          </cell>
        </row>
      </sheetData>
      <sheetData sheetId="4254"/>
      <sheetData sheetId="4255"/>
      <sheetData sheetId="4256"/>
      <sheetData sheetId="4257">
        <row r="2">
          <cell r="A2">
            <v>0</v>
          </cell>
        </row>
      </sheetData>
      <sheetData sheetId="4258">
        <row r="2">
          <cell r="A2">
            <v>0</v>
          </cell>
        </row>
      </sheetData>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row r="2">
          <cell r="A2">
            <v>0</v>
          </cell>
        </row>
      </sheetData>
      <sheetData sheetId="4276">
        <row r="2">
          <cell r="A2">
            <v>0</v>
          </cell>
        </row>
      </sheetData>
      <sheetData sheetId="4277"/>
      <sheetData sheetId="4278"/>
      <sheetData sheetId="4279"/>
      <sheetData sheetId="4280">
        <row r="2">
          <cell r="A2">
            <v>0</v>
          </cell>
        </row>
      </sheetData>
      <sheetData sheetId="4281">
        <row r="2">
          <cell r="A2">
            <v>0</v>
          </cell>
        </row>
      </sheetData>
      <sheetData sheetId="4282"/>
      <sheetData sheetId="4283"/>
      <sheetData sheetId="4284"/>
      <sheetData sheetId="4285">
        <row r="2">
          <cell r="A2">
            <v>0</v>
          </cell>
        </row>
      </sheetData>
      <sheetData sheetId="4286">
        <row r="2">
          <cell r="A2">
            <v>0</v>
          </cell>
        </row>
      </sheetData>
      <sheetData sheetId="4287"/>
      <sheetData sheetId="4288"/>
      <sheetData sheetId="4289"/>
      <sheetData sheetId="4290">
        <row r="2">
          <cell r="A2">
            <v>0</v>
          </cell>
        </row>
      </sheetData>
      <sheetData sheetId="4291">
        <row r="2">
          <cell r="A2">
            <v>0</v>
          </cell>
        </row>
      </sheetData>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row r="2">
          <cell r="A2">
            <v>0</v>
          </cell>
        </row>
      </sheetData>
      <sheetData sheetId="4385"/>
      <sheetData sheetId="4386"/>
      <sheetData sheetId="4387"/>
      <sheetData sheetId="4388"/>
      <sheetData sheetId="4389">
        <row r="2">
          <cell r="A2">
            <v>0</v>
          </cell>
        </row>
      </sheetData>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row r="2">
          <cell r="A2">
            <v>0</v>
          </cell>
        </row>
      </sheetData>
      <sheetData sheetId="4422"/>
      <sheetData sheetId="4423"/>
      <sheetData sheetId="4424"/>
      <sheetData sheetId="4425">
        <row r="2">
          <cell r="A2">
            <v>0</v>
          </cell>
        </row>
      </sheetData>
      <sheetData sheetId="4426">
        <row r="2">
          <cell r="A2">
            <v>0</v>
          </cell>
        </row>
      </sheetData>
      <sheetData sheetId="4427"/>
      <sheetData sheetId="4428"/>
      <sheetData sheetId="4429"/>
      <sheetData sheetId="4430">
        <row r="2">
          <cell r="A2">
            <v>0</v>
          </cell>
        </row>
      </sheetData>
      <sheetData sheetId="4431">
        <row r="2">
          <cell r="A2">
            <v>0</v>
          </cell>
        </row>
      </sheetData>
      <sheetData sheetId="4432"/>
      <sheetData sheetId="4433"/>
      <sheetData sheetId="4434"/>
      <sheetData sheetId="4435">
        <row r="2">
          <cell r="A2">
            <v>0</v>
          </cell>
        </row>
      </sheetData>
      <sheetData sheetId="4436">
        <row r="2">
          <cell r="A2">
            <v>0</v>
          </cell>
        </row>
      </sheetData>
      <sheetData sheetId="4437"/>
      <sheetData sheetId="4438">
        <row r="2">
          <cell r="A2">
            <v>0</v>
          </cell>
        </row>
      </sheetData>
      <sheetData sheetId="4439"/>
      <sheetData sheetId="4440"/>
      <sheetData sheetId="4441"/>
      <sheetData sheetId="4442">
        <row r="2">
          <cell r="A2">
            <v>0</v>
          </cell>
        </row>
      </sheetData>
      <sheetData sheetId="4443">
        <row r="2">
          <cell r="A2">
            <v>0</v>
          </cell>
        </row>
      </sheetData>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row r="2">
          <cell r="A2">
            <v>0</v>
          </cell>
        </row>
      </sheetData>
      <sheetData sheetId="4461">
        <row r="2">
          <cell r="A2">
            <v>0</v>
          </cell>
        </row>
      </sheetData>
      <sheetData sheetId="4462"/>
      <sheetData sheetId="4463"/>
      <sheetData sheetId="4464"/>
      <sheetData sheetId="4465">
        <row r="2">
          <cell r="A2">
            <v>0</v>
          </cell>
        </row>
      </sheetData>
      <sheetData sheetId="4466">
        <row r="2">
          <cell r="A2">
            <v>0</v>
          </cell>
        </row>
      </sheetData>
      <sheetData sheetId="4467"/>
      <sheetData sheetId="4468"/>
      <sheetData sheetId="4469"/>
      <sheetData sheetId="4470">
        <row r="2">
          <cell r="A2">
            <v>0</v>
          </cell>
        </row>
      </sheetData>
      <sheetData sheetId="4471">
        <row r="2">
          <cell r="A2">
            <v>0</v>
          </cell>
        </row>
      </sheetData>
      <sheetData sheetId="4472"/>
      <sheetData sheetId="4473"/>
      <sheetData sheetId="4474"/>
      <sheetData sheetId="4475">
        <row r="2">
          <cell r="A2">
            <v>0</v>
          </cell>
        </row>
      </sheetData>
      <sheetData sheetId="4476">
        <row r="2">
          <cell r="A2">
            <v>0</v>
          </cell>
        </row>
      </sheetData>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row r="2">
          <cell r="A2">
            <v>0</v>
          </cell>
        </row>
      </sheetData>
      <sheetData sheetId="4570"/>
      <sheetData sheetId="4571"/>
      <sheetData sheetId="4572"/>
      <sheetData sheetId="4573"/>
      <sheetData sheetId="4574">
        <row r="2">
          <cell r="A2">
            <v>0</v>
          </cell>
        </row>
      </sheetData>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row r="2">
          <cell r="A2">
            <v>0</v>
          </cell>
        </row>
      </sheetData>
      <sheetData sheetId="4607"/>
      <sheetData sheetId="4608"/>
      <sheetData sheetId="4609"/>
      <sheetData sheetId="4610">
        <row r="2">
          <cell r="A2">
            <v>0</v>
          </cell>
        </row>
      </sheetData>
      <sheetData sheetId="4611">
        <row r="2">
          <cell r="A2">
            <v>0</v>
          </cell>
        </row>
      </sheetData>
      <sheetData sheetId="4612"/>
      <sheetData sheetId="4613"/>
      <sheetData sheetId="4614"/>
      <sheetData sheetId="4615">
        <row r="2">
          <cell r="A2">
            <v>0</v>
          </cell>
        </row>
      </sheetData>
      <sheetData sheetId="4616">
        <row r="2">
          <cell r="A2">
            <v>0</v>
          </cell>
        </row>
      </sheetData>
      <sheetData sheetId="4617"/>
      <sheetData sheetId="4618"/>
      <sheetData sheetId="4619"/>
      <sheetData sheetId="4620">
        <row r="2">
          <cell r="A2">
            <v>0</v>
          </cell>
        </row>
      </sheetData>
      <sheetData sheetId="4621">
        <row r="2">
          <cell r="A2">
            <v>0</v>
          </cell>
        </row>
      </sheetData>
      <sheetData sheetId="4622"/>
      <sheetData sheetId="4623">
        <row r="2">
          <cell r="A2">
            <v>0</v>
          </cell>
        </row>
      </sheetData>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row r="2">
          <cell r="A2">
            <v>0</v>
          </cell>
        </row>
      </sheetData>
      <sheetData sheetId="4651"/>
      <sheetData sheetId="4652"/>
      <sheetData sheetId="4653">
        <row r="2">
          <cell r="A2">
            <v>0</v>
          </cell>
        </row>
      </sheetData>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row r="2">
          <cell r="A2">
            <v>0</v>
          </cell>
        </row>
      </sheetData>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row r="2">
          <cell r="A2">
            <v>0</v>
          </cell>
        </row>
      </sheetData>
      <sheetData sheetId="4677">
        <row r="2">
          <cell r="A2">
            <v>0</v>
          </cell>
        </row>
      </sheetData>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sheetData sheetId="4739"/>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row r="2">
          <cell r="A2">
            <v>0</v>
          </cell>
        </row>
      </sheetData>
      <sheetData sheetId="4792"/>
      <sheetData sheetId="4793"/>
      <sheetData sheetId="4794"/>
      <sheetData sheetId="4795"/>
      <sheetData sheetId="4796">
        <row r="2">
          <cell r="A2">
            <v>0</v>
          </cell>
        </row>
      </sheetData>
      <sheetData sheetId="4797"/>
      <sheetData sheetId="4798"/>
      <sheetData sheetId="4799"/>
      <sheetData sheetId="4800"/>
      <sheetData sheetId="4801">
        <row r="2">
          <cell r="A2">
            <v>0</v>
          </cell>
        </row>
      </sheetData>
      <sheetData sheetId="4802"/>
      <sheetData sheetId="4803"/>
      <sheetData sheetId="4804"/>
      <sheetData sheetId="4805"/>
      <sheetData sheetId="4806">
        <row r="2">
          <cell r="A2">
            <v>0</v>
          </cell>
        </row>
      </sheetData>
      <sheetData sheetId="4807"/>
      <sheetData sheetId="4808">
        <row r="2">
          <cell r="A2">
            <v>0</v>
          </cell>
        </row>
      </sheetData>
      <sheetData sheetId="4809"/>
      <sheetData sheetId="4810"/>
      <sheetData sheetId="4811"/>
      <sheetData sheetId="4812"/>
      <sheetData sheetId="4813">
        <row r="2">
          <cell r="A2">
            <v>0</v>
          </cell>
        </row>
      </sheetData>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row r="2">
          <cell r="A2">
            <v>0</v>
          </cell>
        </row>
      </sheetData>
      <sheetData sheetId="4832"/>
      <sheetData sheetId="4833"/>
      <sheetData sheetId="4834"/>
      <sheetData sheetId="4835"/>
      <sheetData sheetId="4836">
        <row r="2">
          <cell r="A2">
            <v>0</v>
          </cell>
        </row>
      </sheetData>
      <sheetData sheetId="4837"/>
      <sheetData sheetId="4838"/>
      <sheetData sheetId="4839"/>
      <sheetData sheetId="4840"/>
      <sheetData sheetId="4841">
        <row r="2">
          <cell r="A2">
            <v>0</v>
          </cell>
        </row>
      </sheetData>
      <sheetData sheetId="4842"/>
      <sheetData sheetId="4843"/>
      <sheetData sheetId="4844"/>
      <sheetData sheetId="4845"/>
      <sheetData sheetId="4846">
        <row r="2">
          <cell r="A2">
            <v>0</v>
          </cell>
        </row>
      </sheetData>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row r="2">
          <cell r="A2">
            <v>0</v>
          </cell>
        </row>
      </sheetData>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row r="2">
          <cell r="A2">
            <v>0</v>
          </cell>
        </row>
      </sheetData>
      <sheetData sheetId="5029">
        <row r="2">
          <cell r="A2">
            <v>0</v>
          </cell>
        </row>
      </sheetData>
      <sheetData sheetId="5030">
        <row r="2">
          <cell r="A2">
            <v>0</v>
          </cell>
        </row>
      </sheetData>
      <sheetData sheetId="5031">
        <row r="2">
          <cell r="A2">
            <v>0</v>
          </cell>
        </row>
      </sheetData>
      <sheetData sheetId="5032">
        <row r="2">
          <cell r="A2">
            <v>0</v>
          </cell>
        </row>
      </sheetData>
      <sheetData sheetId="5033">
        <row r="2">
          <cell r="A2">
            <v>0</v>
          </cell>
        </row>
      </sheetData>
      <sheetData sheetId="5034">
        <row r="2">
          <cell r="A2">
            <v>0</v>
          </cell>
        </row>
      </sheetData>
      <sheetData sheetId="5035"/>
      <sheetData sheetId="5036"/>
      <sheetData sheetId="5037">
        <row r="2">
          <cell r="A2">
            <v>0</v>
          </cell>
        </row>
      </sheetData>
      <sheetData sheetId="5038"/>
      <sheetData sheetId="5039"/>
      <sheetData sheetId="5040"/>
      <sheetData sheetId="5041"/>
      <sheetData sheetId="5042"/>
      <sheetData sheetId="5043"/>
      <sheetData sheetId="5044"/>
      <sheetData sheetId="5045"/>
      <sheetData sheetId="5046">
        <row r="2">
          <cell r="A2">
            <v>0</v>
          </cell>
        </row>
      </sheetData>
      <sheetData sheetId="5047">
        <row r="2">
          <cell r="A2">
            <v>0</v>
          </cell>
        </row>
      </sheetData>
      <sheetData sheetId="5048">
        <row r="2">
          <cell r="A2">
            <v>0</v>
          </cell>
        </row>
      </sheetData>
      <sheetData sheetId="5049">
        <row r="2">
          <cell r="A2">
            <v>0</v>
          </cell>
        </row>
      </sheetData>
      <sheetData sheetId="5050">
        <row r="2">
          <cell r="A2">
            <v>0</v>
          </cell>
        </row>
      </sheetData>
      <sheetData sheetId="5051">
        <row r="2">
          <cell r="A2">
            <v>0</v>
          </cell>
        </row>
      </sheetData>
      <sheetData sheetId="5052">
        <row r="2">
          <cell r="A2">
            <v>0</v>
          </cell>
        </row>
      </sheetData>
      <sheetData sheetId="5053">
        <row r="2">
          <cell r="A2">
            <v>0</v>
          </cell>
        </row>
      </sheetData>
      <sheetData sheetId="5054">
        <row r="2">
          <cell r="A2">
            <v>0</v>
          </cell>
        </row>
      </sheetData>
      <sheetData sheetId="5055">
        <row r="2">
          <cell r="A2">
            <v>0</v>
          </cell>
        </row>
      </sheetData>
      <sheetData sheetId="5056">
        <row r="2">
          <cell r="A2">
            <v>0</v>
          </cell>
        </row>
      </sheetData>
      <sheetData sheetId="5057">
        <row r="2">
          <cell r="A2">
            <v>0</v>
          </cell>
        </row>
      </sheetData>
      <sheetData sheetId="5058">
        <row r="2">
          <cell r="A2">
            <v>0</v>
          </cell>
        </row>
      </sheetData>
      <sheetData sheetId="5059">
        <row r="2">
          <cell r="A2">
            <v>0</v>
          </cell>
        </row>
      </sheetData>
      <sheetData sheetId="5060">
        <row r="2">
          <cell r="A2">
            <v>0</v>
          </cell>
        </row>
      </sheetData>
      <sheetData sheetId="5061">
        <row r="2">
          <cell r="A2">
            <v>0</v>
          </cell>
        </row>
      </sheetData>
      <sheetData sheetId="5062">
        <row r="2">
          <cell r="A2">
            <v>0</v>
          </cell>
        </row>
      </sheetData>
      <sheetData sheetId="5063">
        <row r="2">
          <cell r="A2">
            <v>0</v>
          </cell>
        </row>
      </sheetData>
      <sheetData sheetId="5064">
        <row r="2">
          <cell r="A2">
            <v>0</v>
          </cell>
        </row>
      </sheetData>
      <sheetData sheetId="5065">
        <row r="2">
          <cell r="A2">
            <v>0</v>
          </cell>
        </row>
      </sheetData>
      <sheetData sheetId="5066">
        <row r="2">
          <cell r="A2">
            <v>0</v>
          </cell>
        </row>
      </sheetData>
      <sheetData sheetId="5067">
        <row r="2">
          <cell r="A2">
            <v>0</v>
          </cell>
        </row>
      </sheetData>
      <sheetData sheetId="5068">
        <row r="2">
          <cell r="A2">
            <v>0</v>
          </cell>
        </row>
      </sheetData>
      <sheetData sheetId="5069">
        <row r="2">
          <cell r="A2">
            <v>0</v>
          </cell>
        </row>
      </sheetData>
      <sheetData sheetId="5070">
        <row r="2">
          <cell r="A2">
            <v>0</v>
          </cell>
        </row>
      </sheetData>
      <sheetData sheetId="5071">
        <row r="2">
          <cell r="A2">
            <v>0</v>
          </cell>
        </row>
      </sheetData>
      <sheetData sheetId="5072">
        <row r="2">
          <cell r="A2">
            <v>0</v>
          </cell>
        </row>
      </sheetData>
      <sheetData sheetId="5073">
        <row r="2">
          <cell r="A2">
            <v>0</v>
          </cell>
        </row>
      </sheetData>
      <sheetData sheetId="5074">
        <row r="2">
          <cell r="A2">
            <v>0</v>
          </cell>
        </row>
      </sheetData>
      <sheetData sheetId="5075">
        <row r="2">
          <cell r="A2">
            <v>0</v>
          </cell>
        </row>
      </sheetData>
      <sheetData sheetId="5076">
        <row r="2">
          <cell r="A2">
            <v>0</v>
          </cell>
        </row>
      </sheetData>
      <sheetData sheetId="5077">
        <row r="2">
          <cell r="A2">
            <v>0</v>
          </cell>
        </row>
      </sheetData>
      <sheetData sheetId="5078">
        <row r="2">
          <cell r="A2">
            <v>0</v>
          </cell>
        </row>
      </sheetData>
      <sheetData sheetId="5079">
        <row r="2">
          <cell r="A2">
            <v>0</v>
          </cell>
        </row>
      </sheetData>
      <sheetData sheetId="5080">
        <row r="2">
          <cell r="A2">
            <v>0</v>
          </cell>
        </row>
      </sheetData>
      <sheetData sheetId="5081">
        <row r="2">
          <cell r="A2">
            <v>0</v>
          </cell>
        </row>
      </sheetData>
      <sheetData sheetId="5082">
        <row r="2">
          <cell r="A2">
            <v>0</v>
          </cell>
        </row>
      </sheetData>
      <sheetData sheetId="5083">
        <row r="2">
          <cell r="A2">
            <v>0</v>
          </cell>
        </row>
      </sheetData>
      <sheetData sheetId="5084">
        <row r="2">
          <cell r="A2">
            <v>0</v>
          </cell>
        </row>
      </sheetData>
      <sheetData sheetId="5085">
        <row r="2">
          <cell r="A2">
            <v>0</v>
          </cell>
        </row>
      </sheetData>
      <sheetData sheetId="5086">
        <row r="2">
          <cell r="A2">
            <v>0</v>
          </cell>
        </row>
      </sheetData>
      <sheetData sheetId="5087">
        <row r="2">
          <cell r="A2">
            <v>0</v>
          </cell>
        </row>
      </sheetData>
      <sheetData sheetId="5088">
        <row r="2">
          <cell r="A2">
            <v>0</v>
          </cell>
        </row>
      </sheetData>
      <sheetData sheetId="5089">
        <row r="2">
          <cell r="A2">
            <v>0</v>
          </cell>
        </row>
      </sheetData>
      <sheetData sheetId="5090">
        <row r="2">
          <cell r="A2">
            <v>0</v>
          </cell>
        </row>
      </sheetData>
      <sheetData sheetId="5091">
        <row r="2">
          <cell r="A2">
            <v>0</v>
          </cell>
        </row>
      </sheetData>
      <sheetData sheetId="5092">
        <row r="2">
          <cell r="A2">
            <v>0</v>
          </cell>
        </row>
      </sheetData>
      <sheetData sheetId="5093">
        <row r="2">
          <cell r="A2">
            <v>0</v>
          </cell>
        </row>
      </sheetData>
      <sheetData sheetId="5094">
        <row r="2">
          <cell r="A2">
            <v>0</v>
          </cell>
        </row>
      </sheetData>
      <sheetData sheetId="5095">
        <row r="2">
          <cell r="A2">
            <v>0</v>
          </cell>
        </row>
      </sheetData>
      <sheetData sheetId="5096">
        <row r="2">
          <cell r="A2">
            <v>0</v>
          </cell>
        </row>
      </sheetData>
      <sheetData sheetId="5097">
        <row r="2">
          <cell r="A2">
            <v>0</v>
          </cell>
        </row>
      </sheetData>
      <sheetData sheetId="5098">
        <row r="2">
          <cell r="A2">
            <v>0</v>
          </cell>
        </row>
      </sheetData>
      <sheetData sheetId="5099">
        <row r="2">
          <cell r="A2">
            <v>0</v>
          </cell>
        </row>
      </sheetData>
      <sheetData sheetId="5100">
        <row r="2">
          <cell r="A2">
            <v>0</v>
          </cell>
        </row>
      </sheetData>
      <sheetData sheetId="5101">
        <row r="2">
          <cell r="A2">
            <v>0</v>
          </cell>
        </row>
      </sheetData>
      <sheetData sheetId="5102">
        <row r="2">
          <cell r="A2">
            <v>0</v>
          </cell>
        </row>
      </sheetData>
      <sheetData sheetId="5103">
        <row r="2">
          <cell r="A2">
            <v>0</v>
          </cell>
        </row>
      </sheetData>
      <sheetData sheetId="5104">
        <row r="2">
          <cell r="A2">
            <v>0</v>
          </cell>
        </row>
      </sheetData>
      <sheetData sheetId="5105">
        <row r="2">
          <cell r="A2">
            <v>0</v>
          </cell>
        </row>
      </sheetData>
      <sheetData sheetId="5106">
        <row r="2">
          <cell r="A2">
            <v>0</v>
          </cell>
        </row>
      </sheetData>
      <sheetData sheetId="5107">
        <row r="2">
          <cell r="A2">
            <v>0</v>
          </cell>
        </row>
      </sheetData>
      <sheetData sheetId="5108"/>
      <sheetData sheetId="5109"/>
      <sheetData sheetId="5110"/>
      <sheetData sheetId="5111"/>
      <sheetData sheetId="5112"/>
      <sheetData sheetId="5113"/>
      <sheetData sheetId="5114"/>
      <sheetData sheetId="5115">
        <row r="2">
          <cell r="A2">
            <v>0</v>
          </cell>
        </row>
      </sheetData>
      <sheetData sheetId="5116">
        <row r="2">
          <cell r="A2">
            <v>0</v>
          </cell>
        </row>
      </sheetData>
      <sheetData sheetId="5117">
        <row r="2">
          <cell r="A2">
            <v>0</v>
          </cell>
        </row>
      </sheetData>
      <sheetData sheetId="5118">
        <row r="2">
          <cell r="A2">
            <v>0</v>
          </cell>
        </row>
      </sheetData>
      <sheetData sheetId="5119">
        <row r="2">
          <cell r="A2">
            <v>0</v>
          </cell>
        </row>
      </sheetData>
      <sheetData sheetId="5120">
        <row r="2">
          <cell r="A2">
            <v>0</v>
          </cell>
        </row>
      </sheetData>
      <sheetData sheetId="5121">
        <row r="2">
          <cell r="A2">
            <v>0</v>
          </cell>
        </row>
      </sheetData>
      <sheetData sheetId="5122">
        <row r="2">
          <cell r="A2">
            <v>0</v>
          </cell>
        </row>
      </sheetData>
      <sheetData sheetId="5123">
        <row r="2">
          <cell r="A2">
            <v>0</v>
          </cell>
        </row>
      </sheetData>
      <sheetData sheetId="5124">
        <row r="2">
          <cell r="A2">
            <v>0</v>
          </cell>
        </row>
      </sheetData>
      <sheetData sheetId="5125">
        <row r="2">
          <cell r="A2">
            <v>0</v>
          </cell>
        </row>
      </sheetData>
      <sheetData sheetId="5126">
        <row r="2">
          <cell r="A2">
            <v>0</v>
          </cell>
        </row>
      </sheetData>
      <sheetData sheetId="5127">
        <row r="2">
          <cell r="A2">
            <v>0</v>
          </cell>
        </row>
      </sheetData>
      <sheetData sheetId="5128">
        <row r="2">
          <cell r="A2">
            <v>0</v>
          </cell>
        </row>
      </sheetData>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row r="2">
          <cell r="A2">
            <v>0</v>
          </cell>
        </row>
      </sheetData>
      <sheetData sheetId="5166"/>
      <sheetData sheetId="5167"/>
      <sheetData sheetId="5168"/>
      <sheetData sheetId="5169"/>
      <sheetData sheetId="5170">
        <row r="2">
          <cell r="A2">
            <v>0</v>
          </cell>
        </row>
      </sheetData>
      <sheetData sheetId="5171"/>
      <sheetData sheetId="5172"/>
      <sheetData sheetId="5173"/>
      <sheetData sheetId="5174"/>
      <sheetData sheetId="5175">
        <row r="2">
          <cell r="A2">
            <v>0</v>
          </cell>
        </row>
      </sheetData>
      <sheetData sheetId="5176"/>
      <sheetData sheetId="5177"/>
      <sheetData sheetId="5178">
        <row r="2">
          <cell r="A2">
            <v>0</v>
          </cell>
        </row>
      </sheetData>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row r="2">
          <cell r="A2">
            <v>0</v>
          </cell>
        </row>
      </sheetData>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row r="2">
          <cell r="A2">
            <v>0</v>
          </cell>
        </row>
      </sheetData>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row r="2">
          <cell r="A2">
            <v>0</v>
          </cell>
        </row>
      </sheetData>
      <sheetData sheetId="5584">
        <row r="2">
          <cell r="A2">
            <v>0</v>
          </cell>
        </row>
      </sheetData>
      <sheetData sheetId="5585">
        <row r="2">
          <cell r="A2">
            <v>0</v>
          </cell>
        </row>
      </sheetData>
      <sheetData sheetId="5586">
        <row r="2">
          <cell r="A2">
            <v>0</v>
          </cell>
        </row>
      </sheetData>
      <sheetData sheetId="5587">
        <row r="2">
          <cell r="A2">
            <v>0</v>
          </cell>
        </row>
      </sheetData>
      <sheetData sheetId="5588">
        <row r="2">
          <cell r="A2">
            <v>0</v>
          </cell>
        </row>
      </sheetData>
      <sheetData sheetId="5589">
        <row r="2">
          <cell r="A2">
            <v>0</v>
          </cell>
        </row>
      </sheetData>
      <sheetData sheetId="5590"/>
      <sheetData sheetId="5591"/>
      <sheetData sheetId="5592">
        <row r="2">
          <cell r="A2">
            <v>0</v>
          </cell>
        </row>
      </sheetData>
      <sheetData sheetId="5593"/>
      <sheetData sheetId="5594"/>
      <sheetData sheetId="5595"/>
      <sheetData sheetId="5596"/>
      <sheetData sheetId="5597"/>
      <sheetData sheetId="5598"/>
      <sheetData sheetId="5599"/>
      <sheetData sheetId="5600"/>
      <sheetData sheetId="5601">
        <row r="2">
          <cell r="A2">
            <v>0</v>
          </cell>
        </row>
      </sheetData>
      <sheetData sheetId="5602">
        <row r="2">
          <cell r="A2">
            <v>0</v>
          </cell>
        </row>
      </sheetData>
      <sheetData sheetId="5603">
        <row r="2">
          <cell r="A2">
            <v>0</v>
          </cell>
        </row>
      </sheetData>
      <sheetData sheetId="5604">
        <row r="2">
          <cell r="A2">
            <v>0</v>
          </cell>
        </row>
      </sheetData>
      <sheetData sheetId="5605">
        <row r="2">
          <cell r="A2">
            <v>0</v>
          </cell>
        </row>
      </sheetData>
      <sheetData sheetId="5606">
        <row r="2">
          <cell r="A2">
            <v>0</v>
          </cell>
        </row>
      </sheetData>
      <sheetData sheetId="5607">
        <row r="2">
          <cell r="A2">
            <v>0</v>
          </cell>
        </row>
      </sheetData>
      <sheetData sheetId="5608">
        <row r="2">
          <cell r="A2">
            <v>0</v>
          </cell>
        </row>
      </sheetData>
      <sheetData sheetId="5609">
        <row r="2">
          <cell r="A2">
            <v>0</v>
          </cell>
        </row>
      </sheetData>
      <sheetData sheetId="5610">
        <row r="2">
          <cell r="A2">
            <v>0</v>
          </cell>
        </row>
      </sheetData>
      <sheetData sheetId="5611">
        <row r="2">
          <cell r="A2">
            <v>0</v>
          </cell>
        </row>
      </sheetData>
      <sheetData sheetId="5612">
        <row r="2">
          <cell r="A2">
            <v>0</v>
          </cell>
        </row>
      </sheetData>
      <sheetData sheetId="5613">
        <row r="2">
          <cell r="A2">
            <v>0</v>
          </cell>
        </row>
      </sheetData>
      <sheetData sheetId="5614">
        <row r="2">
          <cell r="A2">
            <v>0</v>
          </cell>
        </row>
      </sheetData>
      <sheetData sheetId="5615">
        <row r="2">
          <cell r="A2">
            <v>0</v>
          </cell>
        </row>
      </sheetData>
      <sheetData sheetId="5616">
        <row r="2">
          <cell r="A2">
            <v>0</v>
          </cell>
        </row>
      </sheetData>
      <sheetData sheetId="5617">
        <row r="2">
          <cell r="A2">
            <v>0</v>
          </cell>
        </row>
      </sheetData>
      <sheetData sheetId="5618">
        <row r="2">
          <cell r="A2">
            <v>0</v>
          </cell>
        </row>
      </sheetData>
      <sheetData sheetId="5619">
        <row r="2">
          <cell r="A2">
            <v>0</v>
          </cell>
        </row>
      </sheetData>
      <sheetData sheetId="5620">
        <row r="2">
          <cell r="A2">
            <v>0</v>
          </cell>
        </row>
      </sheetData>
      <sheetData sheetId="5621">
        <row r="2">
          <cell r="A2">
            <v>0</v>
          </cell>
        </row>
      </sheetData>
      <sheetData sheetId="5622">
        <row r="2">
          <cell r="A2">
            <v>0</v>
          </cell>
        </row>
      </sheetData>
      <sheetData sheetId="5623">
        <row r="2">
          <cell r="A2">
            <v>0</v>
          </cell>
        </row>
      </sheetData>
      <sheetData sheetId="5624">
        <row r="2">
          <cell r="A2">
            <v>0</v>
          </cell>
        </row>
      </sheetData>
      <sheetData sheetId="5625">
        <row r="2">
          <cell r="A2">
            <v>0</v>
          </cell>
        </row>
      </sheetData>
      <sheetData sheetId="5626">
        <row r="2">
          <cell r="A2">
            <v>0</v>
          </cell>
        </row>
      </sheetData>
      <sheetData sheetId="5627">
        <row r="2">
          <cell r="A2">
            <v>0</v>
          </cell>
        </row>
      </sheetData>
      <sheetData sheetId="5628">
        <row r="2">
          <cell r="A2">
            <v>0</v>
          </cell>
        </row>
      </sheetData>
      <sheetData sheetId="5629">
        <row r="2">
          <cell r="A2">
            <v>0</v>
          </cell>
        </row>
      </sheetData>
      <sheetData sheetId="5630">
        <row r="2">
          <cell r="A2">
            <v>0</v>
          </cell>
        </row>
      </sheetData>
      <sheetData sheetId="5631">
        <row r="2">
          <cell r="A2">
            <v>0</v>
          </cell>
        </row>
      </sheetData>
      <sheetData sheetId="5632">
        <row r="2">
          <cell r="A2">
            <v>0</v>
          </cell>
        </row>
      </sheetData>
      <sheetData sheetId="5633">
        <row r="2">
          <cell r="A2">
            <v>0</v>
          </cell>
        </row>
      </sheetData>
      <sheetData sheetId="5634">
        <row r="2">
          <cell r="A2">
            <v>0</v>
          </cell>
        </row>
      </sheetData>
      <sheetData sheetId="5635">
        <row r="2">
          <cell r="A2">
            <v>0</v>
          </cell>
        </row>
      </sheetData>
      <sheetData sheetId="5636">
        <row r="2">
          <cell r="A2">
            <v>0</v>
          </cell>
        </row>
      </sheetData>
      <sheetData sheetId="5637">
        <row r="2">
          <cell r="A2">
            <v>0</v>
          </cell>
        </row>
      </sheetData>
      <sheetData sheetId="5638">
        <row r="2">
          <cell r="A2">
            <v>0</v>
          </cell>
        </row>
      </sheetData>
      <sheetData sheetId="5639">
        <row r="2">
          <cell r="A2">
            <v>0</v>
          </cell>
        </row>
      </sheetData>
      <sheetData sheetId="5640">
        <row r="2">
          <cell r="A2">
            <v>0</v>
          </cell>
        </row>
      </sheetData>
      <sheetData sheetId="5641">
        <row r="2">
          <cell r="A2">
            <v>0</v>
          </cell>
        </row>
      </sheetData>
      <sheetData sheetId="5642">
        <row r="2">
          <cell r="A2">
            <v>0</v>
          </cell>
        </row>
      </sheetData>
      <sheetData sheetId="5643">
        <row r="2">
          <cell r="A2">
            <v>0</v>
          </cell>
        </row>
      </sheetData>
      <sheetData sheetId="5644">
        <row r="2">
          <cell r="A2">
            <v>0</v>
          </cell>
        </row>
      </sheetData>
      <sheetData sheetId="5645">
        <row r="2">
          <cell r="A2">
            <v>0</v>
          </cell>
        </row>
      </sheetData>
      <sheetData sheetId="5646">
        <row r="2">
          <cell r="A2">
            <v>0</v>
          </cell>
        </row>
      </sheetData>
      <sheetData sheetId="5647">
        <row r="2">
          <cell r="A2">
            <v>0</v>
          </cell>
        </row>
      </sheetData>
      <sheetData sheetId="5648">
        <row r="2">
          <cell r="A2">
            <v>0</v>
          </cell>
        </row>
      </sheetData>
      <sheetData sheetId="5649">
        <row r="2">
          <cell r="A2">
            <v>0</v>
          </cell>
        </row>
      </sheetData>
      <sheetData sheetId="5650">
        <row r="2">
          <cell r="A2">
            <v>0</v>
          </cell>
        </row>
      </sheetData>
      <sheetData sheetId="5651">
        <row r="2">
          <cell r="A2">
            <v>0</v>
          </cell>
        </row>
      </sheetData>
      <sheetData sheetId="5652">
        <row r="2">
          <cell r="A2">
            <v>0</v>
          </cell>
        </row>
      </sheetData>
      <sheetData sheetId="5653">
        <row r="2">
          <cell r="A2">
            <v>0</v>
          </cell>
        </row>
      </sheetData>
      <sheetData sheetId="5654">
        <row r="2">
          <cell r="A2">
            <v>0</v>
          </cell>
        </row>
      </sheetData>
      <sheetData sheetId="5655">
        <row r="2">
          <cell r="A2">
            <v>0</v>
          </cell>
        </row>
      </sheetData>
      <sheetData sheetId="5656">
        <row r="2">
          <cell r="A2">
            <v>0</v>
          </cell>
        </row>
      </sheetData>
      <sheetData sheetId="5657">
        <row r="2">
          <cell r="A2">
            <v>0</v>
          </cell>
        </row>
      </sheetData>
      <sheetData sheetId="5658">
        <row r="2">
          <cell r="A2">
            <v>0</v>
          </cell>
        </row>
      </sheetData>
      <sheetData sheetId="5659">
        <row r="2">
          <cell r="A2">
            <v>0</v>
          </cell>
        </row>
      </sheetData>
      <sheetData sheetId="5660">
        <row r="2">
          <cell r="A2">
            <v>0</v>
          </cell>
        </row>
      </sheetData>
      <sheetData sheetId="5661">
        <row r="2">
          <cell r="A2">
            <v>0</v>
          </cell>
        </row>
      </sheetData>
      <sheetData sheetId="5662">
        <row r="2">
          <cell r="A2">
            <v>0</v>
          </cell>
        </row>
      </sheetData>
      <sheetData sheetId="5663"/>
      <sheetData sheetId="5664"/>
      <sheetData sheetId="5665"/>
      <sheetData sheetId="5666"/>
      <sheetData sheetId="5667"/>
      <sheetData sheetId="5668"/>
      <sheetData sheetId="5669"/>
      <sheetData sheetId="5670">
        <row r="2">
          <cell r="A2">
            <v>0</v>
          </cell>
        </row>
      </sheetData>
      <sheetData sheetId="5671">
        <row r="2">
          <cell r="A2">
            <v>0</v>
          </cell>
        </row>
      </sheetData>
      <sheetData sheetId="5672">
        <row r="2">
          <cell r="A2">
            <v>0</v>
          </cell>
        </row>
      </sheetData>
      <sheetData sheetId="5673">
        <row r="2">
          <cell r="A2">
            <v>0</v>
          </cell>
        </row>
      </sheetData>
      <sheetData sheetId="5674">
        <row r="2">
          <cell r="A2">
            <v>0</v>
          </cell>
        </row>
      </sheetData>
      <sheetData sheetId="5675">
        <row r="2">
          <cell r="A2">
            <v>0</v>
          </cell>
        </row>
      </sheetData>
      <sheetData sheetId="5676">
        <row r="2">
          <cell r="A2">
            <v>0</v>
          </cell>
        </row>
      </sheetData>
      <sheetData sheetId="5677">
        <row r="2">
          <cell r="A2">
            <v>0</v>
          </cell>
        </row>
      </sheetData>
      <sheetData sheetId="5678">
        <row r="2">
          <cell r="A2">
            <v>0</v>
          </cell>
        </row>
      </sheetData>
      <sheetData sheetId="5679">
        <row r="2">
          <cell r="A2">
            <v>0</v>
          </cell>
        </row>
      </sheetData>
      <sheetData sheetId="5680">
        <row r="2">
          <cell r="A2">
            <v>0</v>
          </cell>
        </row>
      </sheetData>
      <sheetData sheetId="5681">
        <row r="2">
          <cell r="A2">
            <v>0</v>
          </cell>
        </row>
      </sheetData>
      <sheetData sheetId="5682">
        <row r="2">
          <cell r="A2">
            <v>0</v>
          </cell>
        </row>
      </sheetData>
      <sheetData sheetId="5683">
        <row r="2">
          <cell r="A2">
            <v>0</v>
          </cell>
        </row>
      </sheetData>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refreshError="1"/>
      <sheetData sheetId="5734" refreshError="1"/>
      <sheetData sheetId="5735">
        <row r="2">
          <cell r="A2" t="str">
            <v>FORMULARIO N° 4</v>
          </cell>
        </row>
      </sheetData>
      <sheetData sheetId="5736">
        <row r="2">
          <cell r="A2">
            <v>0</v>
          </cell>
        </row>
      </sheetData>
      <sheetData sheetId="5737">
        <row r="2">
          <cell r="B2">
            <v>0</v>
          </cell>
        </row>
      </sheetData>
      <sheetData sheetId="5738">
        <row r="5">
          <cell r="A5" t="str">
            <v>OFERTA ECONÓMICA DETALLADA</v>
          </cell>
        </row>
      </sheetData>
      <sheetData sheetId="5739"/>
      <sheetData sheetId="5740" refreshError="1"/>
      <sheetData sheetId="574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5751"/>
      <sheetData sheetId="5752"/>
      <sheetData sheetId="5753"/>
      <sheetData sheetId="5754"/>
      <sheetData sheetId="5755"/>
      <sheetData sheetId="5756"/>
      <sheetData sheetId="5757"/>
      <sheetData sheetId="5758"/>
      <sheetData sheetId="5759">
        <row r="2">
          <cell r="A2" t="str">
            <v>“CONSTRUCCIÓN DE OBRAS CIVILES, ELÉCTRICAS, MECÁNICAS E INSTRUMENTACIÓN REQUERIDAS POR ECOPETROL Y SU GRUPO EMPRESARIAL PARA LA VIGENCIA 2017-2020 CON OPCIÓN DE DOS AÑOS”</v>
          </cell>
        </row>
      </sheetData>
      <sheetData sheetId="5760">
        <row r="2">
          <cell r="A2" t="str">
            <v>“CONSTRUCCIÓN DE OBRAS CIVILES, ELÉCTRICAS, MECÁNICAS E INSTRUMENTACIÓN REQUERIDAS POR ECOPETROL Y SU GRUPO EMPRESARIAL PARA LA VIGENCIA 2017-2020 CON OPCIÓN DE DOS AÑOS”</v>
          </cell>
        </row>
      </sheetData>
      <sheetData sheetId="5761">
        <row r="5">
          <cell r="A5">
            <v>0</v>
          </cell>
        </row>
      </sheetData>
      <sheetData sheetId="5762">
        <row r="2">
          <cell r="A2">
            <v>0</v>
          </cell>
        </row>
      </sheetData>
      <sheetData sheetId="5763"/>
      <sheetData sheetId="5764"/>
      <sheetData sheetId="5765"/>
      <sheetData sheetId="5766"/>
      <sheetData sheetId="5767">
        <row r="2">
          <cell r="B2">
            <v>0</v>
          </cell>
        </row>
      </sheetData>
      <sheetData sheetId="5768"/>
      <sheetData sheetId="5769" refreshError="1"/>
      <sheetData sheetId="5770" refreshError="1"/>
      <sheetData sheetId="577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sheetData sheetId="5875"/>
      <sheetData sheetId="5876"/>
      <sheetData sheetId="5877"/>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sheetData sheetId="5929"/>
      <sheetData sheetId="5930"/>
      <sheetData sheetId="5931"/>
      <sheetData sheetId="5932"/>
      <sheetData sheetId="5933"/>
      <sheetData sheetId="5934"/>
      <sheetData sheetId="5935"/>
      <sheetData sheetId="5936"/>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sheetData sheetId="6026"/>
      <sheetData sheetId="6027"/>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CARRERA QUINTA."/>
      <sheetName val="PRECIOS"/>
      <sheetName val="ETAPA 1"/>
      <sheetName val="ETAPA 2"/>
      <sheetName val="ETAPA 3"/>
      <sheetName val="MODELO APU"/>
      <sheetName val="localizacion y replanteo"/>
      <sheetName val="CERRAMIENTO "/>
      <sheetName val="DEMOLIC"/>
      <sheetName val="DEMOLIC EN CONCRETO"/>
      <sheetName val="DEMOLIC EN CICLOPEO"/>
      <sheetName val="DEMOLI MUROS"/>
      <sheetName val="ROTURA Y EXC DE RODADURA"/>
      <sheetName val="NIVELACION DE TAPAS"/>
      <sheetName val="CORTE Y NEVEL"/>
      <sheetName val="RELLENO"/>
      <sheetName val="RELLENO EXCAVACION"/>
      <sheetName val="APB6"/>
      <sheetName val="L. TOPEROL"/>
      <sheetName val="AZUL RAYADA"/>
      <sheetName val="VERDE RAYADA"/>
      <sheetName val="L. AMARILLO OSCURO"/>
      <sheetName val="L. GRIS OS. LIS"/>
      <sheetName val="L.CUATRO C  OCRE"/>
      <sheetName val="L. NEGRA LIS"/>
      <sheetName val="ADOQ. P. OCRE"/>
      <sheetName val="ADOQ.V.OCRE"/>
      <sheetName val="ADOQ.V.GRIS"/>
      <sheetName val="ADOQ ARCILLA"/>
      <sheetName val="APB7 (2)"/>
      <sheetName val="APB7"/>
      <sheetName val="PLACA MINUSV"/>
      <sheetName val="SARDINEL"/>
      <sheetName val="BORDILLO PREF"/>
      <sheetName val="BORDILLO SITU"/>
      <sheetName val="BORDILLO SITU (2)"/>
      <sheetName val="CONCRETO ESTAMPADO ANTICADO."/>
      <sheetName val="CONCRETO PARA FRANJA DE AJUSTE."/>
      <sheetName val="CONCRETO ESTRIADO"/>
      <sheetName val="SUBASE G"/>
      <sheetName val="IMPRIMACION"/>
      <sheetName val="BASE G"/>
      <sheetName val="Cajeo M."/>
      <sheetName val="CAPETA ASFAL"/>
      <sheetName val="CEBRA"/>
      <sheetName val="FLECHA"/>
      <sheetName val="SE. VERTICAL"/>
      <sheetName val="CICLOPEO"/>
      <sheetName val="MURO ESTRUCTURAL EN BLOQUE SPLI"/>
      <sheetName val="MURO ESTRUCTURAL EN BLOQUE  OCR"/>
      <sheetName val="ARENA PARA JUEGOS."/>
      <sheetName val="GRAVA PARA Z BLANDAS."/>
      <sheetName val="GRAMA"/>
      <sheetName val="TRA Y REC TALUD "/>
      <sheetName val="TRAT. CORT. RAIZ"/>
      <sheetName val="TALA DE ARBOLES"/>
      <sheetName val="ARBOLES"/>
      <sheetName val="BANCA"/>
      <sheetName val="MOGADORES"/>
      <sheetName val="BOLARDOS"/>
      <sheetName val="CANECA ANCLADA"/>
      <sheetName val="CANECA PIVOTANTE"/>
      <sheetName val="juego didacticos"/>
      <sheetName val="Exca 0-2mt"/>
      <sheetName val="Exca 2-4mt"/>
      <sheetName val="TUBO 6"/>
      <sheetName val="SUMIDERO"/>
      <sheetName val="CABEZAL"/>
      <sheetName val="RELLENO GRANULAR"/>
      <sheetName val="RELLENO SUBASE"/>
      <sheetName val="RELLENO EXC"/>
      <sheetName val="RETIRO EXC"/>
      <sheetName val="Excavacion a mano"/>
      <sheetName val="Tuberia 8&quot; de gres "/>
      <sheetName val="Constr. posos de inspec"/>
      <sheetName val="Relleno de brecha con materia "/>
      <sheetName val="Relleno de brecha con recebo"/>
      <sheetName val="Retiro de sobran"/>
      <sheetName val="placa poli"/>
      <sheetName val="cañuela"/>
      <sheetName val="junta dila"/>
      <sheetName val="placa grade"/>
      <sheetName val="VIGA CIM"/>
      <sheetName val="COLUM GRAD"/>
      <sheetName val="viga sup"/>
      <sheetName val="muro"/>
      <sheetName val="cancha"/>
      <sheetName val="concreto muro gra"/>
      <sheetName val="poste"/>
      <sheetName val="malla"/>
      <sheetName val="Hoja1"/>
    </sheetNames>
    <sheetDataSet>
      <sheetData sheetId="0"/>
      <sheetData sheetId="1">
        <row r="1">
          <cell r="A1" t="str">
            <v>REF.</v>
          </cell>
          <cell r="B1" t="str">
            <v>MATERIAL PLAYA</v>
          </cell>
          <cell r="C1" t="str">
            <v>UNIDAD</v>
          </cell>
          <cell r="D1" t="str">
            <v>PRECIO</v>
          </cell>
          <cell r="E1" t="str">
            <v>TRANSPORTE</v>
          </cell>
        </row>
        <row r="2">
          <cell r="A2">
            <v>1</v>
          </cell>
          <cell r="B2" t="str">
            <v>Abono agrícola</v>
          </cell>
          <cell r="C2" t="str">
            <v>KG</v>
          </cell>
          <cell r="D2">
            <v>2500</v>
          </cell>
          <cell r="E2">
            <v>150</v>
          </cell>
        </row>
        <row r="3">
          <cell r="A3">
            <v>2</v>
          </cell>
          <cell r="B3" t="str">
            <v>Arena fina</v>
          </cell>
          <cell r="C3" t="str">
            <v>M3</v>
          </cell>
          <cell r="D3">
            <v>17000</v>
          </cell>
          <cell r="E3">
            <v>1020</v>
          </cell>
        </row>
        <row r="4">
          <cell r="A4">
            <v>3</v>
          </cell>
          <cell r="B4" t="str">
            <v>Arena para concreto</v>
          </cell>
          <cell r="C4" t="str">
            <v>M3</v>
          </cell>
          <cell r="D4">
            <v>18000</v>
          </cell>
          <cell r="E4">
            <v>1080</v>
          </cell>
        </row>
        <row r="5">
          <cell r="A5">
            <v>4</v>
          </cell>
          <cell r="B5" t="str">
            <v>Base granular (debe cumplir con especificaciòn Art.330/02 INVIAS,e=0.2 mts</v>
          </cell>
          <cell r="C5" t="str">
            <v>M3</v>
          </cell>
          <cell r="D5">
            <v>29000</v>
          </cell>
          <cell r="E5">
            <v>1740</v>
          </cell>
        </row>
        <row r="6">
          <cell r="A6">
            <v>5</v>
          </cell>
          <cell r="B6" t="str">
            <v>Grama</v>
          </cell>
          <cell r="C6" t="str">
            <v>M2</v>
          </cell>
          <cell r="D6">
            <v>2500</v>
          </cell>
          <cell r="E6">
            <v>150</v>
          </cell>
        </row>
        <row r="7">
          <cell r="A7">
            <v>6</v>
          </cell>
          <cell r="B7" t="str">
            <v>GRANITO #2</v>
          </cell>
          <cell r="C7" t="str">
            <v>BT</v>
          </cell>
          <cell r="D7">
            <v>6000</v>
          </cell>
          <cell r="E7">
            <v>360</v>
          </cell>
        </row>
        <row r="8">
          <cell r="A8">
            <v>7</v>
          </cell>
          <cell r="B8" t="str">
            <v>Gravilla de 3/4" a 1"</v>
          </cell>
          <cell r="C8" t="str">
            <v>M3</v>
          </cell>
          <cell r="D8">
            <v>35000</v>
          </cell>
          <cell r="E8">
            <v>2100</v>
          </cell>
        </row>
        <row r="9">
          <cell r="A9">
            <v>8</v>
          </cell>
          <cell r="B9" t="str">
            <v>Guadua</v>
          </cell>
          <cell r="C9" t="str">
            <v>ML</v>
          </cell>
          <cell r="D9">
            <v>1500</v>
          </cell>
          <cell r="E9">
            <v>90</v>
          </cell>
        </row>
        <row r="10">
          <cell r="A10">
            <v>9</v>
          </cell>
          <cell r="B10" t="str">
            <v>Recebo</v>
          </cell>
          <cell r="C10" t="str">
            <v>M3</v>
          </cell>
          <cell r="D10">
            <v>11500</v>
          </cell>
          <cell r="E10">
            <v>690</v>
          </cell>
        </row>
        <row r="11">
          <cell r="A11">
            <v>10</v>
          </cell>
          <cell r="B11" t="str">
            <v>Sub - base granular para vía</v>
          </cell>
          <cell r="C11" t="str">
            <v>M3</v>
          </cell>
          <cell r="D11">
            <v>12500</v>
          </cell>
          <cell r="E11">
            <v>750</v>
          </cell>
        </row>
        <row r="12">
          <cell r="A12">
            <v>11</v>
          </cell>
          <cell r="B12" t="str">
            <v>Tierra negra</v>
          </cell>
          <cell r="C12" t="str">
            <v>M3</v>
          </cell>
          <cell r="D12">
            <v>25000</v>
          </cell>
          <cell r="E12">
            <v>1500</v>
          </cell>
        </row>
        <row r="13">
          <cell r="A13">
            <v>12</v>
          </cell>
          <cell r="B13" t="str">
            <v>Triturado</v>
          </cell>
          <cell r="C13" t="str">
            <v>M3</v>
          </cell>
          <cell r="D13">
            <v>40000</v>
          </cell>
          <cell r="E13">
            <v>2400</v>
          </cell>
        </row>
        <row r="14">
          <cell r="A14">
            <v>13</v>
          </cell>
          <cell r="B14" t="str">
            <v>Piedra media zonga</v>
          </cell>
          <cell r="C14" t="str">
            <v>M3</v>
          </cell>
          <cell r="D14">
            <v>35000</v>
          </cell>
          <cell r="E14">
            <v>2100</v>
          </cell>
        </row>
        <row r="15">
          <cell r="A15">
            <v>14</v>
          </cell>
          <cell r="B15" t="str">
            <v>Arbol nativo, h &gt; 1,50 mts.</v>
          </cell>
          <cell r="C15" t="str">
            <v>UN</v>
          </cell>
          <cell r="D15">
            <v>20000</v>
          </cell>
          <cell r="E15">
            <v>1200</v>
          </cell>
        </row>
        <row r="16">
          <cell r="A16">
            <v>15</v>
          </cell>
          <cell r="B16" t="str">
            <v>Material granular</v>
          </cell>
          <cell r="C16" t="str">
            <v>M3</v>
          </cell>
          <cell r="E16">
            <v>0</v>
          </cell>
        </row>
        <row r="17">
          <cell r="A17">
            <v>16</v>
          </cell>
          <cell r="B17" t="str">
            <v xml:space="preserve">Sub - base granular </v>
          </cell>
          <cell r="C17" t="str">
            <v>M3</v>
          </cell>
          <cell r="D17">
            <v>22000</v>
          </cell>
          <cell r="E17">
            <v>1320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Adoquín en concreto, tipo  PEATONAL, de 0,20 x 0,10 mts., e= 0,06 mts.,  COLOR OCRE</v>
          </cell>
          <cell r="C25" t="str">
            <v>M2</v>
          </cell>
          <cell r="D25">
            <v>38850</v>
          </cell>
          <cell r="E25">
            <v>2331</v>
          </cell>
        </row>
        <row r="26">
          <cell r="A26">
            <v>22</v>
          </cell>
          <cell r="B26" t="str">
            <v>adoquín en concreto, tipo  PEATONAL, en concreto, de 0,20 x 0,10 mts., e= 0,06 mts.,  COLOR GRIS</v>
          </cell>
          <cell r="C26" t="str">
            <v>M2</v>
          </cell>
          <cell r="D26">
            <v>26050</v>
          </cell>
          <cell r="E26">
            <v>1563</v>
          </cell>
        </row>
        <row r="27">
          <cell r="A27">
            <v>23</v>
          </cell>
          <cell r="B27" t="str">
            <v>adoquín en concreto, tipo VEHICULAR ,  de 0,20 x 0,10 mts., e= 0,08 mts.,  COLOR NEGRO</v>
          </cell>
          <cell r="C27" t="str">
            <v>M2</v>
          </cell>
          <cell r="D27">
            <v>35305</v>
          </cell>
          <cell r="E27">
            <v>1412.2</v>
          </cell>
        </row>
        <row r="28">
          <cell r="A28">
            <v>24</v>
          </cell>
          <cell r="B28" t="str">
            <v>adoquín en concreto, tipo VEHICULAR ,  de 0,20 x 0,10 mts., e= 0,08 mts.,  COLOR OCRE</v>
          </cell>
          <cell r="C28" t="str">
            <v>M2</v>
          </cell>
          <cell r="D28">
            <v>44678</v>
          </cell>
          <cell r="E28">
            <v>1787.1200000000001</v>
          </cell>
        </row>
        <row r="29">
          <cell r="A29">
            <v>25</v>
          </cell>
          <cell r="B29" t="str">
            <v>adoquín en concreto, tipo VEHICULAR,  de 0,20 x 0,10 mts., e= 0,08 mts.,  COLOR GRIS</v>
          </cell>
          <cell r="C29" t="str">
            <v>M2</v>
          </cell>
          <cell r="D29">
            <v>29958</v>
          </cell>
          <cell r="E29">
            <v>1797.48</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1800</v>
          </cell>
        </row>
        <row r="32">
          <cell r="A32">
            <v>28</v>
          </cell>
          <cell r="B32" t="str">
            <v>Bordillos en concreto,  prefabricado sec.,10x,25x,80</v>
          </cell>
          <cell r="C32" t="str">
            <v>UN</v>
          </cell>
          <cell r="D32">
            <v>8000</v>
          </cell>
          <cell r="E32">
            <v>480</v>
          </cell>
        </row>
        <row r="33">
          <cell r="A33">
            <v>29</v>
          </cell>
          <cell r="B33" t="str">
            <v>Cemento Blanco</v>
          </cell>
          <cell r="C33" t="str">
            <v>KG</v>
          </cell>
          <cell r="D33">
            <v>760</v>
          </cell>
          <cell r="E33">
            <v>45.6</v>
          </cell>
        </row>
        <row r="34">
          <cell r="A34">
            <v>30</v>
          </cell>
          <cell r="B34" t="str">
            <v>Cemento gris</v>
          </cell>
          <cell r="C34" t="str">
            <v>KG</v>
          </cell>
          <cell r="D34">
            <v>290</v>
          </cell>
          <cell r="E34">
            <v>17.399999999999999</v>
          </cell>
        </row>
        <row r="35">
          <cell r="A35">
            <v>31</v>
          </cell>
          <cell r="B35" t="str">
            <v>Loseta prefabricada en concreto,  e = 0,06 mts de 0,40 x 0,40 mts. Para anden.  Color Gris</v>
          </cell>
          <cell r="C35" t="str">
            <v>M2</v>
          </cell>
          <cell r="D35">
            <v>28000</v>
          </cell>
          <cell r="E35">
            <v>1680</v>
          </cell>
        </row>
        <row r="36">
          <cell r="A36">
            <v>32</v>
          </cell>
          <cell r="B36" t="str">
            <v>Loseta prefabricada en concreto,  e = 0,06 mts de 0,40 x 0,40 mts. Para anden.  Color rojo - amarillo</v>
          </cell>
          <cell r="C36" t="str">
            <v>M2</v>
          </cell>
          <cell r="D36">
            <v>39000</v>
          </cell>
          <cell r="E36">
            <v>2340</v>
          </cell>
        </row>
        <row r="37">
          <cell r="A37">
            <v>33</v>
          </cell>
          <cell r="B37" t="str">
            <v>Loseta prefabricada en concreto,  e = 0,06 mts de 0,40 x 0,40 mts.COLOR GRIS - TOPEROL</v>
          </cell>
          <cell r="C37" t="str">
            <v>M2</v>
          </cell>
          <cell r="D37">
            <v>25050</v>
          </cell>
          <cell r="E37">
            <v>1503</v>
          </cell>
        </row>
        <row r="38">
          <cell r="A38">
            <v>34</v>
          </cell>
          <cell r="B38" t="str">
            <v>Loseta prefabricada en concreto,  e = 0,06 mts de 0,40 x 0,40 mts.COLOR GRIS OSCURO LISA</v>
          </cell>
          <cell r="C38" t="str">
            <v>M2</v>
          </cell>
          <cell r="D38">
            <v>26200</v>
          </cell>
          <cell r="E38">
            <v>1572</v>
          </cell>
        </row>
        <row r="39">
          <cell r="A39">
            <v>35</v>
          </cell>
          <cell r="B39" t="str">
            <v>Loseta prefabricada en concreto,  e = 0,06 mts de 0,40 x 0,40 mts.COLOR NEGRO LISA</v>
          </cell>
          <cell r="C39" t="str">
            <v>M2</v>
          </cell>
          <cell r="D39">
            <v>29700</v>
          </cell>
          <cell r="E39">
            <v>1782</v>
          </cell>
        </row>
        <row r="40">
          <cell r="A40">
            <v>36</v>
          </cell>
          <cell r="B40" t="str">
            <v>Loseta prefabricada en concreto,  e = 0,06 mts de 0,40 x 0,40 mts.COLOR OCRE RAYADA</v>
          </cell>
          <cell r="C40" t="str">
            <v>M2</v>
          </cell>
          <cell r="D40">
            <v>37850</v>
          </cell>
          <cell r="E40">
            <v>1514</v>
          </cell>
        </row>
        <row r="41">
          <cell r="A41">
            <v>37</v>
          </cell>
          <cell r="B41" t="str">
            <v xml:space="preserve">Loseta prefabricada en concreto,  e = 0,06 mts de 0,40 x 0,40 mts.COLOR ROJO OSCURO,  Nueve cuadros. </v>
          </cell>
          <cell r="C41" t="str">
            <v>M2</v>
          </cell>
          <cell r="D41">
            <v>37850</v>
          </cell>
          <cell r="E41">
            <v>2271</v>
          </cell>
        </row>
        <row r="42">
          <cell r="A42">
            <v>38</v>
          </cell>
          <cell r="B42" t="str">
            <v>Loseta prefabricada en concreto,  e = 0,06 mts de 0,40 x 0,40 mts.COLOR VERDE CLARO,  Nueve cuadros</v>
          </cell>
          <cell r="C42" t="str">
            <v>M2</v>
          </cell>
          <cell r="D42">
            <v>41100</v>
          </cell>
          <cell r="E42">
            <v>1644</v>
          </cell>
        </row>
        <row r="43">
          <cell r="A43">
            <v>39</v>
          </cell>
          <cell r="B43" t="str">
            <v>Sardinel prefabricado en concreto de 1,00 x 0,17 x 0,45 mts. Redondo</v>
          </cell>
          <cell r="C43" t="str">
            <v>UN</v>
          </cell>
          <cell r="D43">
            <v>11000</v>
          </cell>
          <cell r="E43">
            <v>660</v>
          </cell>
        </row>
        <row r="44">
          <cell r="A44">
            <v>40</v>
          </cell>
          <cell r="B44" t="str">
            <v>Bloque de concreto Split No 15</v>
          </cell>
          <cell r="C44" t="str">
            <v>UN</v>
          </cell>
          <cell r="D44">
            <v>1200</v>
          </cell>
          <cell r="E44">
            <v>72</v>
          </cell>
        </row>
        <row r="45">
          <cell r="A45">
            <v>41</v>
          </cell>
          <cell r="B45" t="str">
            <v>FLEXA NYCON</v>
          </cell>
          <cell r="C45" t="str">
            <v>BOL</v>
          </cell>
          <cell r="D45">
            <v>25000</v>
          </cell>
          <cell r="E45">
            <v>1500</v>
          </cell>
        </row>
        <row r="46">
          <cell r="A46">
            <v>42</v>
          </cell>
          <cell r="B46" t="str">
            <v>Cañuelas prefabricadas</v>
          </cell>
          <cell r="C46" t="str">
            <v>UN</v>
          </cell>
          <cell r="D46">
            <v>15000</v>
          </cell>
          <cell r="E46">
            <v>900</v>
          </cell>
        </row>
        <row r="47">
          <cell r="A47">
            <v>43</v>
          </cell>
          <cell r="B47" t="str">
            <v>FLEXTHANE-200</v>
          </cell>
          <cell r="C47" t="str">
            <v>UN</v>
          </cell>
          <cell r="D47">
            <v>1000</v>
          </cell>
          <cell r="E47">
            <v>60</v>
          </cell>
        </row>
        <row r="48">
          <cell r="A48">
            <v>44</v>
          </cell>
          <cell r="B48" t="str">
            <v>FLEXABACKET ROOD 1/4"</v>
          </cell>
          <cell r="C48" t="str">
            <v>ML</v>
          </cell>
          <cell r="D48">
            <v>500</v>
          </cell>
          <cell r="E48">
            <v>30</v>
          </cell>
        </row>
        <row r="49">
          <cell r="A49">
            <v>45</v>
          </cell>
          <cell r="B49" t="str">
            <v>Suministro e instalación de losetas prefabricadas en concreto color OCRE cuatro cuadros para piso de e= .06 mt. de .40x.40. Incluye: mortero fluido e=.04cms y colchón de arena e=.03 y sello juntas</v>
          </cell>
          <cell r="C49" t="str">
            <v>M2</v>
          </cell>
          <cell r="D49">
            <v>37850</v>
          </cell>
          <cell r="E49">
            <v>2271</v>
          </cell>
        </row>
        <row r="50">
          <cell r="A50">
            <v>46</v>
          </cell>
          <cell r="B50" t="str">
            <v>Suministro e instalación de losetas prefabricadas en concreto color AMARILLO OSCURO cuatro cuadros para piso de e= .06 mt. de .40x.40. Incluye: mortero fluido e=.04cms y colchón de arena e=.03 y sello juntas</v>
          </cell>
          <cell r="D50">
            <v>37850</v>
          </cell>
          <cell r="E50">
            <v>2271</v>
          </cell>
        </row>
        <row r="51">
          <cell r="A51">
            <v>47</v>
          </cell>
          <cell r="E51">
            <v>0</v>
          </cell>
        </row>
        <row r="52">
          <cell r="A52">
            <v>48</v>
          </cell>
          <cell r="E52">
            <v>0</v>
          </cell>
        </row>
        <row r="53">
          <cell r="A53">
            <v>49</v>
          </cell>
          <cell r="E53">
            <v>0</v>
          </cell>
        </row>
        <row r="54">
          <cell r="A54">
            <v>50</v>
          </cell>
          <cell r="E54">
            <v>0</v>
          </cell>
        </row>
        <row r="55">
          <cell r="A55">
            <v>51</v>
          </cell>
          <cell r="E55">
            <v>0</v>
          </cell>
        </row>
        <row r="56">
          <cell r="A56">
            <v>52</v>
          </cell>
          <cell r="E56">
            <v>0</v>
          </cell>
        </row>
        <row r="57">
          <cell r="A57">
            <v>53</v>
          </cell>
          <cell r="E57">
            <v>0</v>
          </cell>
        </row>
        <row r="58">
          <cell r="A58">
            <v>54</v>
          </cell>
          <cell r="E58">
            <v>0</v>
          </cell>
        </row>
        <row r="59">
          <cell r="A59">
            <v>55</v>
          </cell>
          <cell r="E59">
            <v>0</v>
          </cell>
        </row>
        <row r="60">
          <cell r="A60">
            <v>56</v>
          </cell>
          <cell r="E60">
            <v>0</v>
          </cell>
        </row>
        <row r="61">
          <cell r="A61">
            <v>57</v>
          </cell>
          <cell r="E61">
            <v>0</v>
          </cell>
        </row>
        <row r="62">
          <cell r="A62">
            <v>58</v>
          </cell>
          <cell r="E62">
            <v>0</v>
          </cell>
        </row>
        <row r="63">
          <cell r="A63">
            <v>59</v>
          </cell>
          <cell r="E63">
            <v>0</v>
          </cell>
        </row>
        <row r="64">
          <cell r="A64">
            <v>60</v>
          </cell>
          <cell r="E64">
            <v>0</v>
          </cell>
        </row>
        <row r="65">
          <cell r="A65">
            <v>61</v>
          </cell>
          <cell r="E65">
            <v>0</v>
          </cell>
        </row>
        <row r="66">
          <cell r="A66">
            <v>62</v>
          </cell>
          <cell r="E66">
            <v>0</v>
          </cell>
        </row>
        <row r="67">
          <cell r="A67">
            <v>63</v>
          </cell>
          <cell r="E67">
            <v>0</v>
          </cell>
        </row>
        <row r="68">
          <cell r="A68">
            <v>64</v>
          </cell>
          <cell r="E68">
            <v>0</v>
          </cell>
        </row>
        <row r="69">
          <cell r="A69">
            <v>65</v>
          </cell>
          <cell r="E69">
            <v>0</v>
          </cell>
        </row>
        <row r="70">
          <cell r="A70">
            <v>66</v>
          </cell>
          <cell r="E70">
            <v>0</v>
          </cell>
        </row>
        <row r="71">
          <cell r="A71">
            <v>67</v>
          </cell>
          <cell r="E71">
            <v>0</v>
          </cell>
        </row>
        <row r="72">
          <cell r="A72">
            <v>68</v>
          </cell>
          <cell r="E72">
            <v>0</v>
          </cell>
        </row>
        <row r="73">
          <cell r="A73">
            <v>69</v>
          </cell>
          <cell r="E73">
            <v>0</v>
          </cell>
        </row>
        <row r="74">
          <cell r="A74">
            <v>70</v>
          </cell>
          <cell r="E74">
            <v>0</v>
          </cell>
        </row>
        <row r="76">
          <cell r="A76" t="str">
            <v>REF.</v>
          </cell>
          <cell r="B76" t="str">
            <v>MATERIAL GRESS</v>
          </cell>
          <cell r="C76" t="str">
            <v>UNIDAD</v>
          </cell>
          <cell r="D76" t="str">
            <v>PRECIO</v>
          </cell>
          <cell r="E76" t="str">
            <v>TRANSPORTE</v>
          </cell>
        </row>
        <row r="78">
          <cell r="A78">
            <v>71</v>
          </cell>
          <cell r="B78" t="str">
            <v>Baldosa Duropiso Mancesa  30X30</v>
          </cell>
          <cell r="C78" t="str">
            <v>M²</v>
          </cell>
          <cell r="D78">
            <v>20500</v>
          </cell>
          <cell r="E78">
            <v>1230</v>
          </cell>
        </row>
        <row r="79">
          <cell r="A79">
            <v>72</v>
          </cell>
          <cell r="B79" t="str">
            <v xml:space="preserve">Bloque No 4 Hueco </v>
          </cell>
          <cell r="C79" t="str">
            <v>Und</v>
          </cell>
          <cell r="D79">
            <v>480</v>
          </cell>
          <cell r="E79">
            <v>28.799999999999997</v>
          </cell>
        </row>
        <row r="80">
          <cell r="A80">
            <v>73</v>
          </cell>
          <cell r="B80" t="str">
            <v>Bloque No 5 Hueco 12X20X30</v>
          </cell>
          <cell r="C80" t="str">
            <v>Und</v>
          </cell>
          <cell r="D80">
            <v>670</v>
          </cell>
          <cell r="E80">
            <v>40.199999999999996</v>
          </cell>
        </row>
        <row r="81">
          <cell r="A81">
            <v>74</v>
          </cell>
          <cell r="B81" t="str">
            <v>Ladrillo Tolete</v>
          </cell>
          <cell r="C81" t="str">
            <v>Und</v>
          </cell>
          <cell r="D81">
            <v>240</v>
          </cell>
          <cell r="E81">
            <v>14.399999999999999</v>
          </cell>
        </row>
        <row r="82">
          <cell r="A82">
            <v>75</v>
          </cell>
          <cell r="B82" t="str">
            <v>tubería de gres, D= 6"</v>
          </cell>
          <cell r="C82" t="str">
            <v>ML</v>
          </cell>
          <cell r="E82">
            <v>0</v>
          </cell>
        </row>
        <row r="83">
          <cell r="A83">
            <v>76</v>
          </cell>
          <cell r="B83" t="str">
            <v>adoquínes de arcilla   para piso, e =.06 mt ,20 mt x,10 mt, deacuerdo a la NTC 2017.</v>
          </cell>
          <cell r="C83" t="str">
            <v>ML</v>
          </cell>
          <cell r="D83">
            <v>25000</v>
          </cell>
          <cell r="E83">
            <v>1500</v>
          </cell>
        </row>
        <row r="84">
          <cell r="A84">
            <v>77</v>
          </cell>
          <cell r="B84" t="str">
            <v>tubería de gres, D= 8"</v>
          </cell>
          <cell r="C84" t="str">
            <v>ML</v>
          </cell>
          <cell r="D84">
            <v>13100</v>
          </cell>
          <cell r="E84">
            <v>786</v>
          </cell>
        </row>
        <row r="85">
          <cell r="A85">
            <v>78</v>
          </cell>
          <cell r="E85">
            <v>0</v>
          </cell>
        </row>
        <row r="86">
          <cell r="A86">
            <v>79</v>
          </cell>
          <cell r="E86">
            <v>0</v>
          </cell>
        </row>
        <row r="87">
          <cell r="A87">
            <v>80</v>
          </cell>
          <cell r="E87">
            <v>0</v>
          </cell>
        </row>
        <row r="88">
          <cell r="A88">
            <v>81</v>
          </cell>
          <cell r="E88">
            <v>0</v>
          </cell>
        </row>
        <row r="89">
          <cell r="A89">
            <v>82</v>
          </cell>
          <cell r="E89">
            <v>0</v>
          </cell>
        </row>
        <row r="90">
          <cell r="A90">
            <v>83</v>
          </cell>
          <cell r="E90">
            <v>0</v>
          </cell>
        </row>
        <row r="91">
          <cell r="A91">
            <v>84</v>
          </cell>
          <cell r="E91">
            <v>0</v>
          </cell>
        </row>
        <row r="92">
          <cell r="A92">
            <v>85</v>
          </cell>
          <cell r="E92">
            <v>0</v>
          </cell>
        </row>
        <row r="93">
          <cell r="A93">
            <v>86</v>
          </cell>
          <cell r="E93">
            <v>0</v>
          </cell>
        </row>
        <row r="94">
          <cell r="A94">
            <v>87</v>
          </cell>
          <cell r="E94">
            <v>0</v>
          </cell>
        </row>
        <row r="95">
          <cell r="A95">
            <v>88</v>
          </cell>
          <cell r="E95">
            <v>0</v>
          </cell>
        </row>
        <row r="96">
          <cell r="A96">
            <v>89</v>
          </cell>
          <cell r="E96">
            <v>0</v>
          </cell>
        </row>
        <row r="97">
          <cell r="A97">
            <v>90</v>
          </cell>
          <cell r="E97">
            <v>0</v>
          </cell>
        </row>
        <row r="98">
          <cell r="A98">
            <v>91</v>
          </cell>
          <cell r="E98">
            <v>0</v>
          </cell>
        </row>
        <row r="99">
          <cell r="A99">
            <v>92</v>
          </cell>
          <cell r="E99">
            <v>0</v>
          </cell>
        </row>
        <row r="100">
          <cell r="A100">
            <v>93</v>
          </cell>
          <cell r="E100">
            <v>0</v>
          </cell>
        </row>
        <row r="101">
          <cell r="A101">
            <v>94</v>
          </cell>
          <cell r="E101">
            <v>0</v>
          </cell>
        </row>
        <row r="102">
          <cell r="A102">
            <v>95</v>
          </cell>
          <cell r="E102">
            <v>0</v>
          </cell>
        </row>
        <row r="103">
          <cell r="A103">
            <v>96</v>
          </cell>
          <cell r="E103">
            <v>0</v>
          </cell>
        </row>
        <row r="104">
          <cell r="A104">
            <v>97</v>
          </cell>
          <cell r="E104">
            <v>0</v>
          </cell>
        </row>
        <row r="105">
          <cell r="A105">
            <v>98</v>
          </cell>
          <cell r="E105">
            <v>0</v>
          </cell>
        </row>
        <row r="106">
          <cell r="A106">
            <v>99</v>
          </cell>
          <cell r="E106">
            <v>0</v>
          </cell>
        </row>
        <row r="107">
          <cell r="A107">
            <v>100</v>
          </cell>
          <cell r="E107">
            <v>0</v>
          </cell>
        </row>
        <row r="108">
          <cell r="A108">
            <v>101</v>
          </cell>
          <cell r="E108">
            <v>0</v>
          </cell>
        </row>
        <row r="109">
          <cell r="A109">
            <v>102</v>
          </cell>
          <cell r="E109">
            <v>0</v>
          </cell>
        </row>
        <row r="110">
          <cell r="A110">
            <v>103</v>
          </cell>
          <cell r="E110">
            <v>0</v>
          </cell>
        </row>
        <row r="111">
          <cell r="A111">
            <v>104</v>
          </cell>
          <cell r="E111">
            <v>0</v>
          </cell>
        </row>
        <row r="112">
          <cell r="A112">
            <v>105</v>
          </cell>
          <cell r="E112">
            <v>0</v>
          </cell>
        </row>
        <row r="113">
          <cell r="A113">
            <v>106</v>
          </cell>
          <cell r="E113">
            <v>0</v>
          </cell>
        </row>
        <row r="114">
          <cell r="A114">
            <v>107</v>
          </cell>
          <cell r="E114">
            <v>0</v>
          </cell>
        </row>
        <row r="115">
          <cell r="A115">
            <v>108</v>
          </cell>
          <cell r="E115">
            <v>0</v>
          </cell>
        </row>
        <row r="116">
          <cell r="A116">
            <v>109</v>
          </cell>
          <cell r="E116">
            <v>0</v>
          </cell>
        </row>
        <row r="117">
          <cell r="A117">
            <v>110</v>
          </cell>
          <cell r="E117">
            <v>0</v>
          </cell>
        </row>
        <row r="119">
          <cell r="A119" t="str">
            <v>REF.</v>
          </cell>
          <cell r="B119" t="str">
            <v>MATERIAL ELECTRICO</v>
          </cell>
          <cell r="C119" t="str">
            <v>UNIDAD</v>
          </cell>
          <cell r="D119" t="str">
            <v>PRECIO</v>
          </cell>
          <cell r="E119" t="str">
            <v>TRANSPORTE</v>
          </cell>
        </row>
        <row r="121">
          <cell r="A121">
            <v>111</v>
          </cell>
          <cell r="B121" t="str">
            <v>Poste Cemento 750 Kg x 12mrs</v>
          </cell>
          <cell r="C121" t="str">
            <v>UN</v>
          </cell>
          <cell r="E121">
            <v>0</v>
          </cell>
        </row>
        <row r="122">
          <cell r="A122">
            <v>112</v>
          </cell>
          <cell r="B122" t="str">
            <v>Cable ACSR Nº 1/0</v>
          </cell>
          <cell r="C122" t="str">
            <v>ML</v>
          </cell>
          <cell r="E122">
            <v>0</v>
          </cell>
        </row>
        <row r="123">
          <cell r="A123">
            <v>113</v>
          </cell>
          <cell r="B123" t="str">
            <v>Conectores Linea Viva</v>
          </cell>
          <cell r="C123" t="str">
            <v>UN</v>
          </cell>
          <cell r="E123">
            <v>0</v>
          </cell>
        </row>
        <row r="124">
          <cell r="A124">
            <v>114</v>
          </cell>
          <cell r="B124" t="str">
            <v>Pernos de Maquina de 10"</v>
          </cell>
          <cell r="C124" t="str">
            <v>UN</v>
          </cell>
          <cell r="E124">
            <v>0</v>
          </cell>
        </row>
        <row r="125">
          <cell r="A125">
            <v>115</v>
          </cell>
          <cell r="B125" t="str">
            <v>Cruceta Metálica de 2 1/2 x 2 1/2 x 3/16 x 2 x 1</v>
          </cell>
          <cell r="C125" t="str">
            <v>UN</v>
          </cell>
          <cell r="E125">
            <v>0</v>
          </cell>
        </row>
        <row r="126">
          <cell r="A126">
            <v>116</v>
          </cell>
          <cell r="B126" t="str">
            <v>Diagonal de 0.6mts</v>
          </cell>
          <cell r="C126" t="str">
            <v>UN</v>
          </cell>
          <cell r="E126">
            <v>0</v>
          </cell>
        </row>
        <row r="127">
          <cell r="A127">
            <v>117</v>
          </cell>
          <cell r="B127" t="str">
            <v xml:space="preserve">Aislador tipo disco de 6" </v>
          </cell>
          <cell r="C127" t="str">
            <v>UN</v>
          </cell>
          <cell r="E127">
            <v>0</v>
          </cell>
        </row>
        <row r="128">
          <cell r="A128">
            <v>118</v>
          </cell>
          <cell r="B128" t="str">
            <v>Grapa de retención</v>
          </cell>
          <cell r="C128" t="str">
            <v>UN</v>
          </cell>
          <cell r="E128">
            <v>0</v>
          </cell>
        </row>
        <row r="129">
          <cell r="A129">
            <v>119</v>
          </cell>
          <cell r="B129" t="str">
            <v>Tuercas de ojo</v>
          </cell>
          <cell r="C129" t="str">
            <v>UN</v>
          </cell>
          <cell r="E129">
            <v>0</v>
          </cell>
        </row>
        <row r="130">
          <cell r="A130">
            <v>120</v>
          </cell>
          <cell r="B130" t="str">
            <v>Collarines de 5 a 6</v>
          </cell>
          <cell r="C130" t="str">
            <v>UN</v>
          </cell>
          <cell r="E130">
            <v>0</v>
          </cell>
        </row>
        <row r="131">
          <cell r="A131">
            <v>121</v>
          </cell>
          <cell r="B131" t="str">
            <v>Cruceta para Transformador</v>
          </cell>
          <cell r="C131" t="str">
            <v>UN</v>
          </cell>
          <cell r="E131">
            <v>0</v>
          </cell>
        </row>
        <row r="132">
          <cell r="A132">
            <v>122</v>
          </cell>
          <cell r="B132" t="str">
            <v>Corta Circuitos</v>
          </cell>
          <cell r="C132" t="str">
            <v>UN</v>
          </cell>
          <cell r="E132">
            <v>0</v>
          </cell>
        </row>
        <row r="133">
          <cell r="A133">
            <v>123</v>
          </cell>
          <cell r="B133" t="str">
            <v>Para Rayos</v>
          </cell>
          <cell r="C133" t="str">
            <v>UN</v>
          </cell>
          <cell r="E133">
            <v>0</v>
          </cell>
        </row>
        <row r="134">
          <cell r="A134">
            <v>124</v>
          </cell>
          <cell r="B134" t="str">
            <v>Polo a Tierra</v>
          </cell>
          <cell r="C134" t="str">
            <v>UN</v>
          </cell>
          <cell r="E134">
            <v>0</v>
          </cell>
        </row>
        <row r="135">
          <cell r="A135">
            <v>125</v>
          </cell>
          <cell r="B135" t="str">
            <v xml:space="preserve">Transformador  </v>
          </cell>
          <cell r="C135" t="str">
            <v>UN</v>
          </cell>
          <cell r="E135">
            <v>0</v>
          </cell>
        </row>
        <row r="136">
          <cell r="A136">
            <v>126</v>
          </cell>
          <cell r="B136" t="str">
            <v>Tubo de 2"</v>
          </cell>
          <cell r="C136" t="str">
            <v>ML</v>
          </cell>
          <cell r="E136">
            <v>0</v>
          </cell>
        </row>
        <row r="137">
          <cell r="A137">
            <v>127</v>
          </cell>
          <cell r="B137" t="str">
            <v>Cable Nº 6 THHN</v>
          </cell>
          <cell r="C137" t="str">
            <v>ML</v>
          </cell>
          <cell r="E137">
            <v>0</v>
          </cell>
        </row>
        <row r="138">
          <cell r="A138">
            <v>128</v>
          </cell>
          <cell r="B138" t="str">
            <v>Caja Contador</v>
          </cell>
          <cell r="C138" t="str">
            <v>UN</v>
          </cell>
          <cell r="E138">
            <v>0</v>
          </cell>
        </row>
        <row r="139">
          <cell r="A139">
            <v>129</v>
          </cell>
          <cell r="B139" t="str">
            <v>Contador</v>
          </cell>
          <cell r="C139" t="str">
            <v>UN</v>
          </cell>
          <cell r="E139">
            <v>0</v>
          </cell>
        </row>
        <row r="140">
          <cell r="A140">
            <v>130</v>
          </cell>
          <cell r="B140" t="str">
            <v>Automatico de protección</v>
          </cell>
          <cell r="C140" t="str">
            <v>UN</v>
          </cell>
          <cell r="E140">
            <v>0</v>
          </cell>
        </row>
        <row r="141">
          <cell r="A141">
            <v>131</v>
          </cell>
          <cell r="B141" t="str">
            <v>Caja Circuitos</v>
          </cell>
          <cell r="C141" t="str">
            <v>UN</v>
          </cell>
          <cell r="E141">
            <v>0</v>
          </cell>
        </row>
        <row r="142">
          <cell r="A142">
            <v>132</v>
          </cell>
          <cell r="B142" t="str">
            <v>Automáticos</v>
          </cell>
          <cell r="C142" t="str">
            <v>ML</v>
          </cell>
          <cell r="E142">
            <v>0</v>
          </cell>
        </row>
        <row r="143">
          <cell r="A143">
            <v>133</v>
          </cell>
          <cell r="B143" t="str">
            <v>Linea Tierra</v>
          </cell>
          <cell r="C143" t="str">
            <v>ML</v>
          </cell>
          <cell r="E143">
            <v>0</v>
          </cell>
        </row>
        <row r="144">
          <cell r="A144">
            <v>134</v>
          </cell>
          <cell r="B144" t="str">
            <v>Cinta Bandy de 3/4</v>
          </cell>
          <cell r="C144" t="str">
            <v>ML</v>
          </cell>
          <cell r="E144">
            <v>0</v>
          </cell>
        </row>
        <row r="145">
          <cell r="A145">
            <v>135</v>
          </cell>
          <cell r="B145" t="str">
            <v>Hebillas de 3/4</v>
          </cell>
          <cell r="C145" t="str">
            <v>UN</v>
          </cell>
          <cell r="E145">
            <v>0</v>
          </cell>
        </row>
        <row r="146">
          <cell r="A146">
            <v>136</v>
          </cell>
          <cell r="B146" t="str">
            <v>Vigetas</v>
          </cell>
          <cell r="C146" t="str">
            <v>UN</v>
          </cell>
          <cell r="E146">
            <v>0</v>
          </cell>
        </row>
        <row r="147">
          <cell r="A147">
            <v>137</v>
          </cell>
          <cell r="B147" t="str">
            <v>Varilla de 1.50mts anclaje</v>
          </cell>
          <cell r="C147" t="str">
            <v>UN</v>
          </cell>
          <cell r="E147">
            <v>0</v>
          </cell>
        </row>
        <row r="148">
          <cell r="A148">
            <v>138</v>
          </cell>
          <cell r="B148" t="str">
            <v>Arandela de 4 x 4</v>
          </cell>
          <cell r="C148" t="str">
            <v>UN</v>
          </cell>
          <cell r="E148">
            <v>0</v>
          </cell>
        </row>
        <row r="149">
          <cell r="A149">
            <v>139</v>
          </cell>
          <cell r="B149" t="str">
            <v>Arandela de 2 x 2</v>
          </cell>
          <cell r="C149" t="str">
            <v>CUARTO</v>
          </cell>
          <cell r="E149">
            <v>0</v>
          </cell>
        </row>
        <row r="150">
          <cell r="A150">
            <v>140</v>
          </cell>
          <cell r="B150" t="str">
            <v>Arandela de presión para 1 1/2</v>
          </cell>
          <cell r="C150" t="str">
            <v>UN</v>
          </cell>
          <cell r="E150">
            <v>0</v>
          </cell>
        </row>
        <row r="151">
          <cell r="A151">
            <v>141</v>
          </cell>
          <cell r="B151" t="str">
            <v>Pernos de Máquina de 2"  x 1 1/2</v>
          </cell>
          <cell r="C151" t="str">
            <v>UN</v>
          </cell>
          <cell r="E151">
            <v>0</v>
          </cell>
        </row>
        <row r="152">
          <cell r="A152">
            <v>142</v>
          </cell>
          <cell r="B152" t="str">
            <v>Cable Acero de 3/8</v>
          </cell>
          <cell r="C152" t="str">
            <v>UN</v>
          </cell>
          <cell r="E152">
            <v>0</v>
          </cell>
        </row>
        <row r="153">
          <cell r="A153">
            <v>143</v>
          </cell>
          <cell r="B153" t="str">
            <v>Aisladores Tipo Tensor</v>
          </cell>
          <cell r="C153" t="str">
            <v>UN</v>
          </cell>
          <cell r="E153">
            <v>0</v>
          </cell>
        </row>
        <row r="154">
          <cell r="A154">
            <v>144</v>
          </cell>
          <cell r="B154" t="str">
            <v>Guarda Cabos</v>
          </cell>
          <cell r="C154" t="str">
            <v>ML</v>
          </cell>
          <cell r="E154">
            <v>0</v>
          </cell>
        </row>
        <row r="155">
          <cell r="A155">
            <v>145</v>
          </cell>
          <cell r="B155" t="str">
            <v>Grapa 3 pernos</v>
          </cell>
          <cell r="C155" t="str">
            <v>ML</v>
          </cell>
          <cell r="E155">
            <v>0</v>
          </cell>
        </row>
        <row r="156">
          <cell r="A156">
            <v>146</v>
          </cell>
          <cell r="B156" t="str">
            <v>Ducto de 2"</v>
          </cell>
          <cell r="C156" t="str">
            <v>ML</v>
          </cell>
          <cell r="E156">
            <v>0</v>
          </cell>
        </row>
        <row r="157">
          <cell r="A157">
            <v>147</v>
          </cell>
          <cell r="B157" t="str">
            <v>Ducto de 1 1/2"</v>
          </cell>
          <cell r="C157" t="str">
            <v>UN</v>
          </cell>
          <cell r="E157">
            <v>0</v>
          </cell>
        </row>
        <row r="158">
          <cell r="A158">
            <v>148</v>
          </cell>
          <cell r="B158" t="str">
            <v>Curva de 1 1/2"</v>
          </cell>
          <cell r="C158" t="str">
            <v>UN</v>
          </cell>
          <cell r="E158">
            <v>0</v>
          </cell>
        </row>
        <row r="159">
          <cell r="A159">
            <v>149</v>
          </cell>
          <cell r="B159" t="str">
            <v>Tapa Col Roll 0.5 x 0.5mts</v>
          </cell>
          <cell r="C159" t="str">
            <v>UN</v>
          </cell>
          <cell r="E159">
            <v>0</v>
          </cell>
        </row>
        <row r="160">
          <cell r="A160">
            <v>150</v>
          </cell>
          <cell r="B160" t="str">
            <v>ángulo</v>
          </cell>
          <cell r="C160" t="str">
            <v>UN</v>
          </cell>
          <cell r="E160">
            <v>0</v>
          </cell>
        </row>
        <row r="161">
          <cell r="A161">
            <v>151</v>
          </cell>
          <cell r="B161" t="str">
            <v>Cable Nº 4 Alum. Encauchetado</v>
          </cell>
          <cell r="C161" t="str">
            <v>UN</v>
          </cell>
          <cell r="E161">
            <v>0</v>
          </cell>
        </row>
        <row r="162">
          <cell r="A162">
            <v>152</v>
          </cell>
          <cell r="B162" t="str">
            <v>Cable Nº 10 Cobre THHN</v>
          </cell>
          <cell r="C162" t="str">
            <v>UN</v>
          </cell>
          <cell r="E162">
            <v>0</v>
          </cell>
        </row>
        <row r="163">
          <cell r="A163">
            <v>153</v>
          </cell>
          <cell r="B163" t="str">
            <v>Conectores para Ponchar AP1</v>
          </cell>
          <cell r="C163" t="str">
            <v>CUARTO</v>
          </cell>
          <cell r="E163">
            <v>0</v>
          </cell>
        </row>
        <row r="164">
          <cell r="A164">
            <v>154</v>
          </cell>
          <cell r="B164" t="str">
            <v>Protecciones Sumergibles para empalme</v>
          </cell>
          <cell r="C164" t="str">
            <v>UN</v>
          </cell>
          <cell r="E164">
            <v>0</v>
          </cell>
        </row>
        <row r="165">
          <cell r="A165">
            <v>155</v>
          </cell>
          <cell r="B165" t="str">
            <v>Cinta Nº 33</v>
          </cell>
          <cell r="C165" t="str">
            <v>UN</v>
          </cell>
          <cell r="E165">
            <v>0</v>
          </cell>
        </row>
        <row r="166">
          <cell r="A166">
            <v>156</v>
          </cell>
          <cell r="B166" t="str">
            <v>Cinta Nº 23</v>
          </cell>
          <cell r="C166" t="str">
            <v>UN</v>
          </cell>
          <cell r="E166">
            <v>0</v>
          </cell>
        </row>
        <row r="167">
          <cell r="A167">
            <v>157</v>
          </cell>
          <cell r="B167" t="str">
            <v>Ducto de 3" corrugado 35 x 3T para cajilla</v>
          </cell>
          <cell r="C167" t="str">
            <v>UN</v>
          </cell>
          <cell r="E167">
            <v>0</v>
          </cell>
        </row>
        <row r="168">
          <cell r="A168">
            <v>158</v>
          </cell>
          <cell r="B168" t="str">
            <v>Tubo de desague A - LL</v>
          </cell>
          <cell r="C168" t="str">
            <v>ML</v>
          </cell>
          <cell r="E168">
            <v>0</v>
          </cell>
        </row>
        <row r="169">
          <cell r="A169">
            <v>159</v>
          </cell>
          <cell r="B169" t="str">
            <v>Poste metálico de 4" de diámetro, 3 mts  de altura, pintado con base metálica para instalación o anclaje en pedestal, para dos luminarias. (según diseño )</v>
          </cell>
          <cell r="C169" t="str">
            <v>UN</v>
          </cell>
          <cell r="E169">
            <v>0</v>
          </cell>
        </row>
        <row r="170">
          <cell r="A170">
            <v>160</v>
          </cell>
          <cell r="B170" t="str">
            <v>Poste metálico de 4" de diámetro, 4 mts  de altura, pintado con base metálica para instalación o anclaje en pedestal, para cuatro luminarias. (según diseño)</v>
          </cell>
          <cell r="C170" t="str">
            <v>UN</v>
          </cell>
          <cell r="E170">
            <v>0</v>
          </cell>
        </row>
        <row r="171">
          <cell r="A171">
            <v>161</v>
          </cell>
          <cell r="E171">
            <v>0</v>
          </cell>
        </row>
        <row r="172">
          <cell r="A172">
            <v>162</v>
          </cell>
          <cell r="E172">
            <v>0</v>
          </cell>
        </row>
        <row r="173">
          <cell r="A173">
            <v>163</v>
          </cell>
          <cell r="E173">
            <v>0</v>
          </cell>
        </row>
        <row r="174">
          <cell r="A174">
            <v>164</v>
          </cell>
          <cell r="E174">
            <v>0</v>
          </cell>
        </row>
        <row r="175">
          <cell r="A175">
            <v>165</v>
          </cell>
          <cell r="E175">
            <v>0</v>
          </cell>
        </row>
        <row r="176">
          <cell r="A176">
            <v>166</v>
          </cell>
          <cell r="E176">
            <v>0</v>
          </cell>
        </row>
        <row r="177">
          <cell r="A177">
            <v>167</v>
          </cell>
          <cell r="E177">
            <v>0</v>
          </cell>
        </row>
        <row r="178">
          <cell r="A178">
            <v>168</v>
          </cell>
          <cell r="E178">
            <v>0</v>
          </cell>
        </row>
        <row r="179">
          <cell r="A179">
            <v>169</v>
          </cell>
          <cell r="E179">
            <v>0</v>
          </cell>
        </row>
        <row r="180">
          <cell r="A180">
            <v>170</v>
          </cell>
          <cell r="E180">
            <v>0</v>
          </cell>
        </row>
        <row r="181">
          <cell r="A181">
            <v>171</v>
          </cell>
          <cell r="E181">
            <v>0</v>
          </cell>
        </row>
        <row r="182">
          <cell r="A182">
            <v>172</v>
          </cell>
          <cell r="E182">
            <v>0</v>
          </cell>
        </row>
        <row r="183">
          <cell r="A183">
            <v>173</v>
          </cell>
          <cell r="E183">
            <v>0</v>
          </cell>
        </row>
        <row r="184">
          <cell r="A184">
            <v>174</v>
          </cell>
          <cell r="E184">
            <v>0</v>
          </cell>
        </row>
        <row r="185">
          <cell r="A185">
            <v>175</v>
          </cell>
          <cell r="E185">
            <v>0</v>
          </cell>
        </row>
        <row r="186">
          <cell r="A186">
            <v>176</v>
          </cell>
          <cell r="E186">
            <v>0</v>
          </cell>
        </row>
        <row r="187">
          <cell r="A187">
            <v>177</v>
          </cell>
          <cell r="E187">
            <v>0</v>
          </cell>
        </row>
        <row r="188">
          <cell r="A188">
            <v>178</v>
          </cell>
          <cell r="E188">
            <v>0</v>
          </cell>
        </row>
        <row r="189">
          <cell r="A189">
            <v>179</v>
          </cell>
          <cell r="E189">
            <v>0</v>
          </cell>
        </row>
        <row r="190">
          <cell r="A190">
            <v>180</v>
          </cell>
          <cell r="E190">
            <v>0</v>
          </cell>
        </row>
        <row r="191">
          <cell r="A191">
            <v>181</v>
          </cell>
          <cell r="E191">
            <v>0</v>
          </cell>
        </row>
        <row r="192">
          <cell r="A192">
            <v>182</v>
          </cell>
          <cell r="E192">
            <v>0</v>
          </cell>
        </row>
        <row r="193">
          <cell r="A193">
            <v>183</v>
          </cell>
          <cell r="E193">
            <v>0</v>
          </cell>
        </row>
        <row r="194">
          <cell r="A194">
            <v>184</v>
          </cell>
          <cell r="E194">
            <v>0</v>
          </cell>
        </row>
        <row r="195">
          <cell r="A195">
            <v>185</v>
          </cell>
          <cell r="E195">
            <v>0</v>
          </cell>
        </row>
        <row r="196">
          <cell r="A196">
            <v>186</v>
          </cell>
          <cell r="E196">
            <v>0</v>
          </cell>
        </row>
        <row r="197">
          <cell r="A197">
            <v>187</v>
          </cell>
          <cell r="E197">
            <v>0</v>
          </cell>
        </row>
        <row r="198">
          <cell r="A198">
            <v>188</v>
          </cell>
          <cell r="E198">
            <v>0</v>
          </cell>
        </row>
        <row r="199">
          <cell r="A199">
            <v>189</v>
          </cell>
          <cell r="E199">
            <v>0</v>
          </cell>
        </row>
        <row r="200">
          <cell r="A200">
            <v>190</v>
          </cell>
          <cell r="E200">
            <v>0</v>
          </cell>
        </row>
        <row r="202">
          <cell r="A202" t="str">
            <v>REF.</v>
          </cell>
          <cell r="B202" t="str">
            <v>MATERIAL ACEROS</v>
          </cell>
          <cell r="C202" t="str">
            <v>UNIDAD</v>
          </cell>
          <cell r="D202" t="str">
            <v>PRECIO</v>
          </cell>
          <cell r="E202" t="str">
            <v>TRANSPORTE</v>
          </cell>
        </row>
        <row r="204">
          <cell r="A204">
            <v>191</v>
          </cell>
          <cell r="B204" t="str">
            <v>Acero Fy = 37.000 PSI</v>
          </cell>
          <cell r="C204" t="str">
            <v>KG</v>
          </cell>
          <cell r="D204">
            <v>2100</v>
          </cell>
          <cell r="E204">
            <v>126</v>
          </cell>
        </row>
        <row r="205">
          <cell r="A205">
            <v>192</v>
          </cell>
          <cell r="B205" t="str">
            <v>Acero Fy = 60.000 PSI</v>
          </cell>
          <cell r="C205" t="str">
            <v>KG</v>
          </cell>
          <cell r="D205">
            <v>2050</v>
          </cell>
          <cell r="E205">
            <v>123</v>
          </cell>
        </row>
        <row r="206">
          <cell r="A206">
            <v>193</v>
          </cell>
          <cell r="B206" t="str">
            <v>Alambre negro</v>
          </cell>
          <cell r="C206" t="str">
            <v>KG</v>
          </cell>
          <cell r="D206">
            <v>3800</v>
          </cell>
          <cell r="E206">
            <v>228</v>
          </cell>
        </row>
        <row r="207">
          <cell r="A207">
            <v>194</v>
          </cell>
          <cell r="B207" t="str">
            <v>Caneca metálica mediana, en malla tipo cafetera, pivotante, sobre paral tubular metálico, con logotipo de la Alcaldia de Neiva, según diseño</v>
          </cell>
          <cell r="C207" t="str">
            <v>UN</v>
          </cell>
          <cell r="D207">
            <v>94187</v>
          </cell>
          <cell r="E207">
            <v>5651.2199999999993</v>
          </cell>
        </row>
        <row r="208">
          <cell r="A208">
            <v>195</v>
          </cell>
          <cell r="B208" t="str">
            <v>Caseta metálica para venta de dulcería  Según diseño y con logotipo de la Alcaldía.</v>
          </cell>
          <cell r="C208" t="str">
            <v>UN</v>
          </cell>
          <cell r="D208">
            <v>4485453</v>
          </cell>
          <cell r="E208">
            <v>269127.18</v>
          </cell>
        </row>
        <row r="209">
          <cell r="A209">
            <v>196</v>
          </cell>
          <cell r="B209" t="str">
            <v>Caseta metálica, para venta de revistas. Según diseño y con logotipo de la Alcaldía.</v>
          </cell>
          <cell r="C209" t="str">
            <v>UN</v>
          </cell>
          <cell r="D209">
            <v>5866830</v>
          </cell>
          <cell r="E209">
            <v>352009.8</v>
          </cell>
        </row>
        <row r="210">
          <cell r="A210">
            <v>197</v>
          </cell>
          <cell r="B210" t="str">
            <v xml:space="preserve">Estructura metálica para cabinas Telefónicas, según detalle </v>
          </cell>
          <cell r="C210" t="str">
            <v>UN</v>
          </cell>
          <cell r="E210">
            <v>0</v>
          </cell>
        </row>
        <row r="211">
          <cell r="A211">
            <v>198</v>
          </cell>
          <cell r="B211" t="str">
            <v>Estructura para aro base de pozo</v>
          </cell>
          <cell r="C211" t="str">
            <v>UN</v>
          </cell>
          <cell r="D211">
            <v>140000</v>
          </cell>
          <cell r="E211">
            <v>8400</v>
          </cell>
        </row>
        <row r="212">
          <cell r="A212">
            <v>199</v>
          </cell>
          <cell r="B212" t="str">
            <v>Estructura para tapa de pozo</v>
          </cell>
          <cell r="C212" t="str">
            <v>UN</v>
          </cell>
          <cell r="D212">
            <v>140000</v>
          </cell>
          <cell r="E212">
            <v>8400</v>
          </cell>
        </row>
        <row r="213">
          <cell r="A213">
            <v>200</v>
          </cell>
          <cell r="B213" t="str">
            <v>Hidrante tipo húmedo de 3" norma AWWA-C503</v>
          </cell>
          <cell r="C213" t="str">
            <v>UN</v>
          </cell>
          <cell r="D213">
            <v>1210000</v>
          </cell>
          <cell r="E213">
            <v>72600</v>
          </cell>
        </row>
        <row r="214">
          <cell r="A214">
            <v>201</v>
          </cell>
          <cell r="B214" t="str">
            <v>Hidrante tipo húmedo de 4" norma AWWA-C503</v>
          </cell>
          <cell r="C214" t="str">
            <v>UN</v>
          </cell>
          <cell r="D214">
            <v>1980000</v>
          </cell>
          <cell r="E214">
            <v>118800</v>
          </cell>
        </row>
        <row r="215">
          <cell r="A215">
            <v>202</v>
          </cell>
          <cell r="B215" t="str">
            <v xml:space="preserve">Llave de corte de 2" </v>
          </cell>
          <cell r="C215" t="str">
            <v>UN</v>
          </cell>
          <cell r="E215">
            <v>0</v>
          </cell>
        </row>
        <row r="216">
          <cell r="A216">
            <v>203</v>
          </cell>
          <cell r="B216" t="str">
            <v>Malla Electrosoldada Q2</v>
          </cell>
          <cell r="C216" t="str">
            <v>Und</v>
          </cell>
          <cell r="D216">
            <v>43000</v>
          </cell>
          <cell r="E216">
            <v>2580</v>
          </cell>
        </row>
        <row r="217">
          <cell r="A217">
            <v>204</v>
          </cell>
          <cell r="B217" t="str">
            <v>Malla Gallinero</v>
          </cell>
          <cell r="C217" t="str">
            <v>M²</v>
          </cell>
          <cell r="D217">
            <v>1250</v>
          </cell>
          <cell r="E217">
            <v>75</v>
          </cell>
        </row>
        <row r="218">
          <cell r="A218">
            <v>205</v>
          </cell>
          <cell r="B218" t="str">
            <v>Niple Galvanizado 1/2"</v>
          </cell>
          <cell r="C218" t="str">
            <v>Und</v>
          </cell>
          <cell r="D218">
            <v>600</v>
          </cell>
          <cell r="E218">
            <v>36</v>
          </cell>
        </row>
        <row r="219">
          <cell r="A219">
            <v>206</v>
          </cell>
          <cell r="B219" t="str">
            <v>Platina de 3/16" x 1"</v>
          </cell>
          <cell r="C219" t="str">
            <v>ML</v>
          </cell>
          <cell r="D219">
            <v>3800</v>
          </cell>
          <cell r="E219">
            <v>228</v>
          </cell>
        </row>
        <row r="220">
          <cell r="A220">
            <v>207</v>
          </cell>
          <cell r="B220" t="str">
            <v>Puntillas</v>
          </cell>
          <cell r="C220" t="str">
            <v>LB</v>
          </cell>
          <cell r="D220">
            <v>1500</v>
          </cell>
          <cell r="E220">
            <v>90</v>
          </cell>
        </row>
        <row r="221">
          <cell r="A221">
            <v>208</v>
          </cell>
          <cell r="B221" t="str">
            <v>Registro de corte</v>
          </cell>
          <cell r="C221" t="str">
            <v>UN</v>
          </cell>
          <cell r="D221">
            <v>20000</v>
          </cell>
          <cell r="E221">
            <v>1200</v>
          </cell>
        </row>
        <row r="222">
          <cell r="A222">
            <v>209</v>
          </cell>
          <cell r="B222" t="str">
            <v>Registro de incorporación en bronce</v>
          </cell>
          <cell r="C222" t="str">
            <v>UN</v>
          </cell>
          <cell r="D222">
            <v>12000</v>
          </cell>
          <cell r="E222">
            <v>720</v>
          </cell>
        </row>
        <row r="223">
          <cell r="A223">
            <v>210</v>
          </cell>
          <cell r="B223" t="str">
            <v>Rejilla en ángulo de 1½" x 1/4" para sumidero A. LL., según diseño EPP</v>
          </cell>
          <cell r="C223" t="str">
            <v>UN</v>
          </cell>
          <cell r="D223">
            <v>180000</v>
          </cell>
          <cell r="E223">
            <v>10800</v>
          </cell>
        </row>
        <row r="224">
          <cell r="A224">
            <v>211</v>
          </cell>
          <cell r="B224" t="str">
            <v>Rejilla en varilla de 5/8" cada 3 cm y marco en ángulo de 1"x31/6", bisagrada según modelo de EPP</v>
          </cell>
          <cell r="C224" t="str">
            <v>ML</v>
          </cell>
          <cell r="E224">
            <v>0</v>
          </cell>
        </row>
        <row r="225">
          <cell r="A225">
            <v>212</v>
          </cell>
          <cell r="B225" t="str">
            <v>Tapa válvula tipo Chorote - Tráfico liviano</v>
          </cell>
          <cell r="C225" t="str">
            <v>UN</v>
          </cell>
          <cell r="D225">
            <v>85000</v>
          </cell>
          <cell r="E225">
            <v>5100</v>
          </cell>
        </row>
        <row r="226">
          <cell r="A226">
            <v>213</v>
          </cell>
          <cell r="B226" t="str">
            <v>Tee estándar de 12"x3" derivación a brida PN 10 - Hierro dúctil</v>
          </cell>
          <cell r="C226" t="str">
            <v>UN</v>
          </cell>
          <cell r="E226">
            <v>0</v>
          </cell>
        </row>
        <row r="227">
          <cell r="A227">
            <v>214</v>
          </cell>
          <cell r="B227" t="str">
            <v>Tee estándar de 12"x4" derivación a brida PN 10 - Hierro dúctil</v>
          </cell>
          <cell r="C227" t="str">
            <v>UN</v>
          </cell>
          <cell r="E227">
            <v>0</v>
          </cell>
        </row>
        <row r="228">
          <cell r="A228">
            <v>215</v>
          </cell>
          <cell r="B228" t="str">
            <v>Tee estándar de 16"x12" derivación a brida PN 10 - Hierro dúctil</v>
          </cell>
          <cell r="C228" t="str">
            <v>UN</v>
          </cell>
          <cell r="E228">
            <v>0</v>
          </cell>
        </row>
        <row r="229">
          <cell r="A229">
            <v>216</v>
          </cell>
          <cell r="B229" t="str">
            <v>Tee estándar de 8"x12" derivación a brida PN 10 - Hierro dúctil</v>
          </cell>
          <cell r="C229" t="str">
            <v>UN</v>
          </cell>
          <cell r="E229">
            <v>0</v>
          </cell>
        </row>
        <row r="230">
          <cell r="A230">
            <v>217</v>
          </cell>
          <cell r="B230" t="str">
            <v>Tee estándar de 8"x3" derivación a brida PN 10 - Hierro dúctil</v>
          </cell>
          <cell r="C230" t="str">
            <v>UN</v>
          </cell>
          <cell r="E230">
            <v>0</v>
          </cell>
        </row>
        <row r="231">
          <cell r="A231">
            <v>218</v>
          </cell>
          <cell r="B231" t="str">
            <v>Tee estándar de 8"x4" derivación a brida PN 10 - Hierro dúctil</v>
          </cell>
          <cell r="C231" t="str">
            <v>UN</v>
          </cell>
          <cell r="E231">
            <v>0</v>
          </cell>
        </row>
        <row r="232">
          <cell r="A232">
            <v>219</v>
          </cell>
          <cell r="B232" t="str">
            <v>Tee estándar de 8"x6" derivación a brida PN 10 - Hierro dúctil</v>
          </cell>
          <cell r="C232" t="str">
            <v>UN</v>
          </cell>
          <cell r="E232">
            <v>0</v>
          </cell>
        </row>
        <row r="233">
          <cell r="A233">
            <v>220</v>
          </cell>
          <cell r="B233" t="str">
            <v>TEE GALVANIZADA DE 1/2"</v>
          </cell>
          <cell r="C233" t="str">
            <v>Und</v>
          </cell>
          <cell r="D233">
            <v>600</v>
          </cell>
          <cell r="E233">
            <v>36</v>
          </cell>
        </row>
        <row r="234">
          <cell r="A234">
            <v>221</v>
          </cell>
          <cell r="B234" t="str">
            <v>Tornillo Autoperforante</v>
          </cell>
          <cell r="C234" t="str">
            <v>Und.</v>
          </cell>
          <cell r="D234">
            <v>300</v>
          </cell>
          <cell r="E234">
            <v>18</v>
          </cell>
        </row>
        <row r="235">
          <cell r="A235">
            <v>222</v>
          </cell>
          <cell r="B235" t="str">
            <v>Tornillo Fija Ala</v>
          </cell>
          <cell r="C235" t="str">
            <v>Und.</v>
          </cell>
          <cell r="D235">
            <v>350</v>
          </cell>
          <cell r="E235">
            <v>21</v>
          </cell>
        </row>
        <row r="236">
          <cell r="A236">
            <v>223</v>
          </cell>
          <cell r="B236" t="str">
            <v>válvula de compuerta elástica de 3" en Hierro dúctil (ASTM-A-536)</v>
          </cell>
          <cell r="C236" t="str">
            <v>UN</v>
          </cell>
          <cell r="E236">
            <v>0</v>
          </cell>
        </row>
        <row r="237">
          <cell r="A237">
            <v>224</v>
          </cell>
          <cell r="B237" t="str">
            <v>válvula de compuerta elástica de 4" en Hierro dúctil (ASTM-A-536)</v>
          </cell>
          <cell r="C237" t="str">
            <v>UN</v>
          </cell>
          <cell r="E237">
            <v>0</v>
          </cell>
        </row>
        <row r="238">
          <cell r="A238">
            <v>225</v>
          </cell>
          <cell r="B238" t="str">
            <v>válvula de compuerta elástica de 6" en Hierro dúctil (ASTM-A-536)</v>
          </cell>
          <cell r="C238" t="str">
            <v>UN</v>
          </cell>
          <cell r="E238">
            <v>0</v>
          </cell>
        </row>
        <row r="239">
          <cell r="A239">
            <v>226</v>
          </cell>
          <cell r="B239" t="str">
            <v>válvula de compuerta elástica de 8" en Hierro dúctil (ASTM-A-536)</v>
          </cell>
          <cell r="C239" t="str">
            <v>UN</v>
          </cell>
          <cell r="E239">
            <v>0</v>
          </cell>
        </row>
        <row r="240">
          <cell r="A240">
            <v>227</v>
          </cell>
          <cell r="B240" t="str">
            <v>válvula de mariposa de 16" en Hierro dúctil (ASTM-A-536) brida PN 10</v>
          </cell>
          <cell r="C240" t="str">
            <v>UN</v>
          </cell>
          <cell r="E240">
            <v>0</v>
          </cell>
        </row>
        <row r="241">
          <cell r="A241">
            <v>228</v>
          </cell>
          <cell r="B241" t="str">
            <v>válvula de mariposa de 20" en Hierro dúctil (ASTM-A-536) brida PN 10</v>
          </cell>
          <cell r="C241" t="str">
            <v>UN</v>
          </cell>
          <cell r="E241">
            <v>0</v>
          </cell>
        </row>
        <row r="242">
          <cell r="A242">
            <v>229</v>
          </cell>
          <cell r="B242" t="str">
            <v>Hoja de Segueta</v>
          </cell>
          <cell r="C242" t="str">
            <v>UN</v>
          </cell>
          <cell r="D242">
            <v>2500</v>
          </cell>
          <cell r="E242">
            <v>150</v>
          </cell>
        </row>
        <row r="243">
          <cell r="A243">
            <v>230</v>
          </cell>
          <cell r="B243" t="str">
            <v xml:space="preserve">poste galvanizado de 2" </v>
          </cell>
          <cell r="C243" t="str">
            <v>UN</v>
          </cell>
          <cell r="D243">
            <v>78000</v>
          </cell>
          <cell r="E243">
            <v>4680</v>
          </cell>
        </row>
        <row r="244">
          <cell r="A244">
            <v>231</v>
          </cell>
          <cell r="B244" t="str">
            <v>Malla eslabonada de 2x2 cal. 10</v>
          </cell>
          <cell r="C244" t="str">
            <v>M²</v>
          </cell>
          <cell r="D244">
            <v>14500</v>
          </cell>
          <cell r="E244">
            <v>870</v>
          </cell>
        </row>
        <row r="245">
          <cell r="A245">
            <v>232</v>
          </cell>
          <cell r="B245" t="str">
            <v>Platina de 3/16" x 1"</v>
          </cell>
          <cell r="C245" t="str">
            <v>ML</v>
          </cell>
          <cell r="D245">
            <v>3800</v>
          </cell>
          <cell r="E245">
            <v>228</v>
          </cell>
        </row>
        <row r="246">
          <cell r="A246">
            <v>233</v>
          </cell>
          <cell r="E246">
            <v>0</v>
          </cell>
        </row>
        <row r="247">
          <cell r="A247">
            <v>234</v>
          </cell>
          <cell r="E247">
            <v>0</v>
          </cell>
        </row>
        <row r="248">
          <cell r="A248">
            <v>235</v>
          </cell>
          <cell r="E248">
            <v>0</v>
          </cell>
        </row>
        <row r="249">
          <cell r="A249">
            <v>236</v>
          </cell>
          <cell r="E249">
            <v>0</v>
          </cell>
        </row>
        <row r="250">
          <cell r="A250">
            <v>237</v>
          </cell>
          <cell r="E250">
            <v>0</v>
          </cell>
        </row>
        <row r="251">
          <cell r="A251">
            <v>238</v>
          </cell>
          <cell r="E251">
            <v>0</v>
          </cell>
        </row>
        <row r="252">
          <cell r="A252">
            <v>239</v>
          </cell>
          <cell r="E252">
            <v>0</v>
          </cell>
        </row>
        <row r="253">
          <cell r="A253">
            <v>240</v>
          </cell>
          <cell r="E253">
            <v>0</v>
          </cell>
        </row>
        <row r="254">
          <cell r="A254">
            <v>241</v>
          </cell>
          <cell r="E254">
            <v>0</v>
          </cell>
        </row>
        <row r="255">
          <cell r="A255">
            <v>242</v>
          </cell>
          <cell r="E255">
            <v>0</v>
          </cell>
        </row>
        <row r="256">
          <cell r="A256">
            <v>243</v>
          </cell>
          <cell r="E256">
            <v>0</v>
          </cell>
        </row>
        <row r="257">
          <cell r="A257">
            <v>244</v>
          </cell>
          <cell r="E257">
            <v>0</v>
          </cell>
        </row>
        <row r="258">
          <cell r="A258">
            <v>245</v>
          </cell>
          <cell r="E258">
            <v>0</v>
          </cell>
        </row>
        <row r="259">
          <cell r="A259">
            <v>246</v>
          </cell>
          <cell r="E259">
            <v>0</v>
          </cell>
        </row>
        <row r="260">
          <cell r="A260">
            <v>247</v>
          </cell>
          <cell r="E260">
            <v>0</v>
          </cell>
        </row>
        <row r="261">
          <cell r="A261">
            <v>248</v>
          </cell>
          <cell r="E261">
            <v>0</v>
          </cell>
        </row>
        <row r="262">
          <cell r="A262">
            <v>249</v>
          </cell>
          <cell r="E262">
            <v>0</v>
          </cell>
        </row>
        <row r="263">
          <cell r="A263">
            <v>250</v>
          </cell>
          <cell r="E263">
            <v>0</v>
          </cell>
        </row>
        <row r="265">
          <cell r="A265" t="str">
            <v>REF.</v>
          </cell>
          <cell r="B265" t="str">
            <v>MATERIAL DE CUBIERTA</v>
          </cell>
          <cell r="C265" t="str">
            <v>UNIDAD</v>
          </cell>
          <cell r="D265" t="str">
            <v>PRECIO</v>
          </cell>
          <cell r="E265" t="str">
            <v>TRANSPORTE</v>
          </cell>
        </row>
        <row r="267">
          <cell r="A267">
            <v>251</v>
          </cell>
          <cell r="B267" t="str">
            <v xml:space="preserve">Amarres </v>
          </cell>
          <cell r="C267" t="str">
            <v>UN</v>
          </cell>
          <cell r="D267">
            <v>50</v>
          </cell>
          <cell r="E267">
            <v>3</v>
          </cell>
        </row>
        <row r="268">
          <cell r="A268">
            <v>252</v>
          </cell>
          <cell r="B268" t="str">
            <v>Caballete</v>
          </cell>
          <cell r="C268" t="str">
            <v>ML</v>
          </cell>
          <cell r="E268">
            <v>0</v>
          </cell>
        </row>
        <row r="269">
          <cell r="A269">
            <v>253</v>
          </cell>
          <cell r="B269" t="str">
            <v>Correas en perfil cerrado de 4x10 cal 18 de 6.00mts</v>
          </cell>
          <cell r="C269" t="str">
            <v>UN</v>
          </cell>
          <cell r="D269">
            <v>42500</v>
          </cell>
          <cell r="E269">
            <v>2550</v>
          </cell>
        </row>
        <row r="270">
          <cell r="A270">
            <v>254</v>
          </cell>
          <cell r="B270" t="str">
            <v>Ganchos</v>
          </cell>
          <cell r="C270" t="str">
            <v>UN</v>
          </cell>
          <cell r="D270">
            <v>780</v>
          </cell>
          <cell r="E270">
            <v>46.8</v>
          </cell>
        </row>
        <row r="271">
          <cell r="A271">
            <v>255</v>
          </cell>
          <cell r="B271" t="str">
            <v>Teja Termoacustic + Caballete</v>
          </cell>
          <cell r="C271" t="str">
            <v>M2</v>
          </cell>
          <cell r="D271">
            <v>24000</v>
          </cell>
          <cell r="E271">
            <v>1440</v>
          </cell>
        </row>
        <row r="272">
          <cell r="A272">
            <v>256</v>
          </cell>
          <cell r="E272">
            <v>0</v>
          </cell>
        </row>
        <row r="273">
          <cell r="A273">
            <v>257</v>
          </cell>
          <cell r="E273">
            <v>0</v>
          </cell>
        </row>
        <row r="274">
          <cell r="A274">
            <v>258</v>
          </cell>
          <cell r="E274">
            <v>0</v>
          </cell>
        </row>
        <row r="275">
          <cell r="A275">
            <v>259</v>
          </cell>
          <cell r="E275">
            <v>0</v>
          </cell>
        </row>
        <row r="276">
          <cell r="A276">
            <v>260</v>
          </cell>
          <cell r="E276">
            <v>0</v>
          </cell>
        </row>
        <row r="277">
          <cell r="A277">
            <v>261</v>
          </cell>
          <cell r="E277">
            <v>0</v>
          </cell>
        </row>
        <row r="278">
          <cell r="A278">
            <v>262</v>
          </cell>
          <cell r="E278">
            <v>0</v>
          </cell>
        </row>
        <row r="279">
          <cell r="A279">
            <v>263</v>
          </cell>
          <cell r="E279">
            <v>0</v>
          </cell>
        </row>
        <row r="280">
          <cell r="A280">
            <v>264</v>
          </cell>
          <cell r="E280">
            <v>0</v>
          </cell>
        </row>
        <row r="281">
          <cell r="A281">
            <v>265</v>
          </cell>
          <cell r="E281">
            <v>0</v>
          </cell>
        </row>
        <row r="282">
          <cell r="A282">
            <v>266</v>
          </cell>
          <cell r="E282">
            <v>0</v>
          </cell>
        </row>
        <row r="283">
          <cell r="A283">
            <v>267</v>
          </cell>
          <cell r="E283">
            <v>0</v>
          </cell>
        </row>
        <row r="284">
          <cell r="A284">
            <v>268</v>
          </cell>
          <cell r="E284">
            <v>0</v>
          </cell>
        </row>
        <row r="285">
          <cell r="A285">
            <v>269</v>
          </cell>
          <cell r="E285">
            <v>0</v>
          </cell>
        </row>
        <row r="286">
          <cell r="A286">
            <v>270</v>
          </cell>
          <cell r="E286">
            <v>0</v>
          </cell>
        </row>
        <row r="287">
          <cell r="A287">
            <v>271</v>
          </cell>
          <cell r="E287">
            <v>0</v>
          </cell>
        </row>
        <row r="288">
          <cell r="A288">
            <v>272</v>
          </cell>
          <cell r="E288">
            <v>0</v>
          </cell>
        </row>
        <row r="289">
          <cell r="A289">
            <v>273</v>
          </cell>
          <cell r="E289">
            <v>0</v>
          </cell>
        </row>
        <row r="290">
          <cell r="A290">
            <v>274</v>
          </cell>
          <cell r="E290">
            <v>0</v>
          </cell>
        </row>
        <row r="291">
          <cell r="A291">
            <v>275</v>
          </cell>
          <cell r="E291">
            <v>0</v>
          </cell>
        </row>
        <row r="292">
          <cell r="A292">
            <v>276</v>
          </cell>
          <cell r="E292">
            <v>0</v>
          </cell>
        </row>
        <row r="293">
          <cell r="A293">
            <v>277</v>
          </cell>
          <cell r="E293">
            <v>0</v>
          </cell>
        </row>
        <row r="294">
          <cell r="A294">
            <v>278</v>
          </cell>
          <cell r="E294">
            <v>0</v>
          </cell>
        </row>
        <row r="295">
          <cell r="A295">
            <v>279</v>
          </cell>
          <cell r="E295">
            <v>0</v>
          </cell>
        </row>
        <row r="296">
          <cell r="A296">
            <v>280</v>
          </cell>
          <cell r="E296">
            <v>0</v>
          </cell>
        </row>
        <row r="298">
          <cell r="A298" t="str">
            <v>REF.</v>
          </cell>
          <cell r="B298" t="str">
            <v>MATERIAL DE PVC</v>
          </cell>
          <cell r="C298" t="str">
            <v>UNIDAD</v>
          </cell>
          <cell r="D298" t="str">
            <v>PRECIO</v>
          </cell>
          <cell r="E298" t="str">
            <v>TRANSPORTE</v>
          </cell>
        </row>
        <row r="300">
          <cell r="A300">
            <v>281</v>
          </cell>
          <cell r="B300" t="str">
            <v>Adaptador macho PF + UAD</v>
          </cell>
          <cell r="C300" t="str">
            <v>UN</v>
          </cell>
          <cell r="D300">
            <v>1166</v>
          </cell>
          <cell r="E300">
            <v>69.959999999999994</v>
          </cell>
        </row>
        <row r="301">
          <cell r="A301">
            <v>282</v>
          </cell>
          <cell r="B301" t="str">
            <v>Adaptador Novafor 6"</v>
          </cell>
          <cell r="C301" t="str">
            <v>UN</v>
          </cell>
          <cell r="D301">
            <v>17663</v>
          </cell>
          <cell r="E301">
            <v>1059.78</v>
          </cell>
        </row>
        <row r="302">
          <cell r="A302">
            <v>283</v>
          </cell>
          <cell r="B302" t="str">
            <v>Adaptador PVC-AC de 12" unión Z</v>
          </cell>
          <cell r="C302" t="str">
            <v>UN</v>
          </cell>
          <cell r="D302">
            <v>268652</v>
          </cell>
          <cell r="E302">
            <v>16119.119999999999</v>
          </cell>
        </row>
        <row r="303">
          <cell r="A303">
            <v>284</v>
          </cell>
          <cell r="B303" t="str">
            <v>Adaptador PVC-AC de 3"</v>
          </cell>
          <cell r="C303" t="str">
            <v>UN</v>
          </cell>
          <cell r="D303">
            <v>16600</v>
          </cell>
          <cell r="E303">
            <v>996</v>
          </cell>
        </row>
        <row r="304">
          <cell r="A304">
            <v>285</v>
          </cell>
          <cell r="B304" t="str">
            <v>Adaptador PVC-AC de 4"</v>
          </cell>
          <cell r="C304" t="str">
            <v>UN</v>
          </cell>
          <cell r="D304">
            <v>18490</v>
          </cell>
          <cell r="E304">
            <v>1109.3999999999999</v>
          </cell>
        </row>
        <row r="305">
          <cell r="A305">
            <v>286</v>
          </cell>
          <cell r="B305" t="str">
            <v>Adaptador PVC-AC de 6" unión Z</v>
          </cell>
          <cell r="C305" t="str">
            <v>UN</v>
          </cell>
          <cell r="D305">
            <v>44830</v>
          </cell>
          <cell r="E305">
            <v>2689.7999999999997</v>
          </cell>
        </row>
        <row r="306">
          <cell r="A306">
            <v>287</v>
          </cell>
          <cell r="B306" t="str">
            <v>Adaptador PVC-AC de 8" unión Z</v>
          </cell>
          <cell r="C306" t="str">
            <v>UN</v>
          </cell>
          <cell r="D306">
            <v>61648</v>
          </cell>
          <cell r="E306">
            <v>3698.8799999999997</v>
          </cell>
        </row>
        <row r="307">
          <cell r="A307">
            <v>288</v>
          </cell>
          <cell r="B307" t="str">
            <v>Codo de gran radio PVC 3"x90º UZ-RDE 21</v>
          </cell>
          <cell r="C307" t="str">
            <v>UN</v>
          </cell>
          <cell r="D307">
            <v>47099</v>
          </cell>
          <cell r="E307">
            <v>2825.94</v>
          </cell>
        </row>
        <row r="308">
          <cell r="A308">
            <v>289</v>
          </cell>
          <cell r="B308" t="str">
            <v>Codo de gran radio PVC 4"x90º UZ-RDE 21</v>
          </cell>
          <cell r="C308" t="str">
            <v>UN</v>
          </cell>
          <cell r="D308">
            <v>90433</v>
          </cell>
          <cell r="E308">
            <v>5425.98</v>
          </cell>
        </row>
        <row r="309">
          <cell r="A309">
            <v>290</v>
          </cell>
          <cell r="B309" t="str">
            <v>Collar de derivación de 8" x 2"</v>
          </cell>
          <cell r="C309" t="str">
            <v>UN</v>
          </cell>
          <cell r="D309">
            <v>604406</v>
          </cell>
          <cell r="E309">
            <v>36264.36</v>
          </cell>
        </row>
        <row r="310">
          <cell r="A310">
            <v>291</v>
          </cell>
          <cell r="B310" t="str">
            <v>Collar de derivación PVC  3" x 1/2"</v>
          </cell>
          <cell r="C310" t="str">
            <v>UN</v>
          </cell>
          <cell r="D310">
            <v>11020</v>
          </cell>
          <cell r="E310">
            <v>661.19999999999993</v>
          </cell>
        </row>
        <row r="311">
          <cell r="A311">
            <v>292</v>
          </cell>
          <cell r="B311" t="str">
            <v>Lubricante para tubo PVC unión mecánica</v>
          </cell>
          <cell r="C311" t="str">
            <v>LB</v>
          </cell>
          <cell r="D311">
            <v>11136</v>
          </cell>
          <cell r="E311">
            <v>668.16</v>
          </cell>
        </row>
        <row r="312">
          <cell r="A312">
            <v>293</v>
          </cell>
          <cell r="B312" t="str">
            <v>Manguera PVC  PF+UAD de 1/2"</v>
          </cell>
          <cell r="C312" t="str">
            <v>ML</v>
          </cell>
          <cell r="E312">
            <v>0</v>
          </cell>
        </row>
        <row r="313">
          <cell r="A313">
            <v>294</v>
          </cell>
          <cell r="B313" t="str">
            <v xml:space="preserve">tapón  soldar de 2" PVC </v>
          </cell>
          <cell r="C313" t="str">
            <v>UN</v>
          </cell>
          <cell r="E313">
            <v>0</v>
          </cell>
        </row>
        <row r="314">
          <cell r="A314">
            <v>295</v>
          </cell>
          <cell r="B314" t="str">
            <v xml:space="preserve">Tee PVC-RDE 21 de 3" x 3" x 2"  </v>
          </cell>
          <cell r="C314" t="str">
            <v>UN</v>
          </cell>
          <cell r="E314">
            <v>0</v>
          </cell>
        </row>
        <row r="315">
          <cell r="A315">
            <v>296</v>
          </cell>
          <cell r="B315" t="str">
            <v xml:space="preserve">Tee PVC-RDE 21 de 3" x 3" x 3"  </v>
          </cell>
          <cell r="C315" t="str">
            <v>UN</v>
          </cell>
          <cell r="E315">
            <v>0</v>
          </cell>
        </row>
        <row r="316">
          <cell r="A316">
            <v>297</v>
          </cell>
          <cell r="B316" t="str">
            <v xml:space="preserve">Tee PVC-RDE 21 de 4" x 4" x 4"  </v>
          </cell>
          <cell r="C316" t="str">
            <v>UN</v>
          </cell>
          <cell r="E316">
            <v>0</v>
          </cell>
        </row>
        <row r="317">
          <cell r="A317">
            <v>360</v>
          </cell>
          <cell r="B317" t="str">
            <v>Tubo PVC  D = 6" sello hermético NTC 3722</v>
          </cell>
          <cell r="C317" t="str">
            <v>ML</v>
          </cell>
          <cell r="E317">
            <v>0</v>
          </cell>
        </row>
        <row r="318">
          <cell r="A318">
            <v>298</v>
          </cell>
          <cell r="B318" t="str">
            <v>Tubo PVC  D = 12" sello hermético NTC 3722</v>
          </cell>
          <cell r="C318" t="str">
            <v>ML</v>
          </cell>
          <cell r="E318">
            <v>0</v>
          </cell>
        </row>
        <row r="319">
          <cell r="A319">
            <v>299</v>
          </cell>
          <cell r="B319" t="str">
            <v>Tubo PVC  D = 16" sello hermético NTC 3722</v>
          </cell>
          <cell r="C319" t="str">
            <v>ML</v>
          </cell>
          <cell r="E319">
            <v>0</v>
          </cell>
        </row>
        <row r="320">
          <cell r="A320">
            <v>300</v>
          </cell>
          <cell r="B320" t="str">
            <v>Tubo PVC  D = 20" sello hermético NTC 3722</v>
          </cell>
          <cell r="C320" t="str">
            <v>ML</v>
          </cell>
          <cell r="E320">
            <v>0</v>
          </cell>
        </row>
        <row r="321">
          <cell r="A321">
            <v>301</v>
          </cell>
          <cell r="B321" t="str">
            <v>Tubo PVC  D = 24" sello hermético NTC 3722</v>
          </cell>
          <cell r="C321" t="str">
            <v>ML</v>
          </cell>
          <cell r="E321">
            <v>0</v>
          </cell>
        </row>
        <row r="322">
          <cell r="A322">
            <v>302</v>
          </cell>
          <cell r="B322" t="str">
            <v>Tubo PVC  D= 160mm, pared estructural y sello hermético</v>
          </cell>
          <cell r="C322" t="str">
            <v>ML</v>
          </cell>
          <cell r="D322">
            <v>21103.333333333332</v>
          </cell>
          <cell r="E322">
            <v>1266.1999999999998</v>
          </cell>
        </row>
        <row r="323">
          <cell r="A323">
            <v>303</v>
          </cell>
          <cell r="B323" t="str">
            <v>Tubo PVC  D= 315mm,  pared estructural y sello hermético</v>
          </cell>
          <cell r="C323" t="str">
            <v>ML</v>
          </cell>
          <cell r="D323">
            <v>65542</v>
          </cell>
          <cell r="E323">
            <v>3932.52</v>
          </cell>
        </row>
        <row r="324">
          <cell r="A324">
            <v>304</v>
          </cell>
          <cell r="B324" t="str">
            <v xml:space="preserve">Tubo PVC  RDE 21 D= 12" unión mecánica </v>
          </cell>
          <cell r="C324" t="str">
            <v>ML</v>
          </cell>
          <cell r="E324">
            <v>0</v>
          </cell>
        </row>
        <row r="325">
          <cell r="A325">
            <v>305</v>
          </cell>
          <cell r="B325" t="str">
            <v xml:space="preserve">Tubo PVC  RDE 21 D= 16" unión mecánica </v>
          </cell>
          <cell r="C325" t="str">
            <v>ML</v>
          </cell>
          <cell r="E325">
            <v>0</v>
          </cell>
        </row>
        <row r="326">
          <cell r="A326">
            <v>306</v>
          </cell>
          <cell r="B326" t="str">
            <v xml:space="preserve">Tubo PVC  RDE 21 D= 2" unión mecánica </v>
          </cell>
          <cell r="C326" t="str">
            <v>ML</v>
          </cell>
          <cell r="E326">
            <v>0</v>
          </cell>
        </row>
        <row r="327">
          <cell r="A327">
            <v>307</v>
          </cell>
          <cell r="B327" t="str">
            <v xml:space="preserve">Tubo PVC  RDE 21 D= 3" unión mecánica </v>
          </cell>
          <cell r="C327" t="str">
            <v>ML</v>
          </cell>
          <cell r="E327">
            <v>0</v>
          </cell>
        </row>
        <row r="328">
          <cell r="A328">
            <v>308</v>
          </cell>
          <cell r="B328" t="str">
            <v xml:space="preserve">Tubo PVC  RDE 21 D= 4" unión mecánica </v>
          </cell>
          <cell r="C328" t="str">
            <v>ML</v>
          </cell>
          <cell r="E328">
            <v>0</v>
          </cell>
        </row>
        <row r="329">
          <cell r="A329">
            <v>309</v>
          </cell>
          <cell r="B329" t="str">
            <v xml:space="preserve">Tubo PVC  RDE 21 D= 8" unión mecánica </v>
          </cell>
          <cell r="C329" t="str">
            <v>ML</v>
          </cell>
          <cell r="E329">
            <v>0</v>
          </cell>
        </row>
        <row r="330">
          <cell r="A330">
            <v>310</v>
          </cell>
          <cell r="B330" t="str">
            <v>Tubo PVC D= 21", pared estructural y sello hermético.</v>
          </cell>
          <cell r="C330" t="str">
            <v>ML</v>
          </cell>
          <cell r="E330">
            <v>0</v>
          </cell>
        </row>
        <row r="331">
          <cell r="A331">
            <v>311</v>
          </cell>
          <cell r="B331" t="str">
            <v>Tubo PVC D= 27", pared estructural y sello hermético.</v>
          </cell>
          <cell r="C331" t="str">
            <v>ML</v>
          </cell>
          <cell r="E331">
            <v>0</v>
          </cell>
        </row>
        <row r="332">
          <cell r="A332">
            <v>312</v>
          </cell>
          <cell r="B332" t="str">
            <v>Unión para Tubería PVC de pared estructural de 27"</v>
          </cell>
          <cell r="C332" t="str">
            <v>UN</v>
          </cell>
          <cell r="E332">
            <v>0</v>
          </cell>
        </row>
        <row r="333">
          <cell r="A333">
            <v>313</v>
          </cell>
          <cell r="B333" t="str">
            <v>Unión rápida PVC 12"  RDE 21</v>
          </cell>
          <cell r="C333" t="str">
            <v>UN</v>
          </cell>
          <cell r="E333">
            <v>0</v>
          </cell>
        </row>
        <row r="334">
          <cell r="A334">
            <v>314</v>
          </cell>
          <cell r="B334" t="str">
            <v>Unión rápida PVC 2"  RDE 21</v>
          </cell>
          <cell r="C334" t="str">
            <v>UN</v>
          </cell>
          <cell r="E334">
            <v>0</v>
          </cell>
        </row>
        <row r="335">
          <cell r="A335">
            <v>315</v>
          </cell>
          <cell r="B335" t="str">
            <v>Unión rápida PVC 3"  RDE 21</v>
          </cell>
          <cell r="C335" t="str">
            <v>UN</v>
          </cell>
          <cell r="E335">
            <v>0</v>
          </cell>
        </row>
        <row r="336">
          <cell r="A336">
            <v>316</v>
          </cell>
          <cell r="B336" t="str">
            <v>Unión rápida PVC 4"  RDE 21</v>
          </cell>
          <cell r="C336" t="str">
            <v>UN</v>
          </cell>
          <cell r="E336">
            <v>0</v>
          </cell>
        </row>
        <row r="337">
          <cell r="A337">
            <v>317</v>
          </cell>
          <cell r="B337" t="str">
            <v>Unión rápida PVC 6"  RDE 21</v>
          </cell>
          <cell r="C337" t="str">
            <v>UN</v>
          </cell>
          <cell r="E337">
            <v>0</v>
          </cell>
        </row>
        <row r="338">
          <cell r="A338">
            <v>318</v>
          </cell>
          <cell r="B338" t="str">
            <v>Unión rápida PVC 8"  RDE 21</v>
          </cell>
          <cell r="C338" t="str">
            <v>UN</v>
          </cell>
          <cell r="E338">
            <v>0</v>
          </cell>
        </row>
        <row r="339">
          <cell r="A339">
            <v>319</v>
          </cell>
          <cell r="B339" t="str">
            <v>Unión reparación PVC 3"  RDE 21</v>
          </cell>
          <cell r="C339" t="str">
            <v>UN</v>
          </cell>
          <cell r="E339">
            <v>0</v>
          </cell>
        </row>
        <row r="340">
          <cell r="A340">
            <v>320</v>
          </cell>
          <cell r="B340" t="str">
            <v>Unión reparación PVC 4"  RDE 21</v>
          </cell>
          <cell r="C340" t="str">
            <v>UN</v>
          </cell>
          <cell r="E340">
            <v>0</v>
          </cell>
        </row>
        <row r="341">
          <cell r="A341">
            <v>321</v>
          </cell>
          <cell r="B341" t="str">
            <v xml:space="preserve">unión Universal de 16" </v>
          </cell>
          <cell r="C341" t="str">
            <v>UN</v>
          </cell>
          <cell r="E341">
            <v>0</v>
          </cell>
        </row>
        <row r="342">
          <cell r="A342">
            <v>322</v>
          </cell>
          <cell r="B342" t="str">
            <v xml:space="preserve">unión Universal de 20" </v>
          </cell>
          <cell r="C342" t="str">
            <v>UN</v>
          </cell>
          <cell r="E342">
            <v>0</v>
          </cell>
        </row>
        <row r="343">
          <cell r="A343">
            <v>323</v>
          </cell>
          <cell r="B343" t="str">
            <v xml:space="preserve">Unión reparación PVC 6"  </v>
          </cell>
          <cell r="C343" t="str">
            <v>UN</v>
          </cell>
          <cell r="D343">
            <v>24288</v>
          </cell>
          <cell r="E343">
            <v>1457.28</v>
          </cell>
        </row>
        <row r="344">
          <cell r="A344">
            <v>324</v>
          </cell>
          <cell r="E344">
            <v>0</v>
          </cell>
        </row>
        <row r="345">
          <cell r="A345">
            <v>325</v>
          </cell>
          <cell r="E345">
            <v>0</v>
          </cell>
        </row>
        <row r="346">
          <cell r="A346">
            <v>326</v>
          </cell>
          <cell r="E346">
            <v>0</v>
          </cell>
        </row>
        <row r="347">
          <cell r="A347">
            <v>327</v>
          </cell>
          <cell r="E347">
            <v>0</v>
          </cell>
        </row>
        <row r="348">
          <cell r="A348">
            <v>328</v>
          </cell>
          <cell r="E348">
            <v>0</v>
          </cell>
        </row>
        <row r="349">
          <cell r="A349">
            <v>329</v>
          </cell>
          <cell r="E349">
            <v>0</v>
          </cell>
        </row>
        <row r="350">
          <cell r="A350">
            <v>330</v>
          </cell>
          <cell r="E350">
            <v>0</v>
          </cell>
        </row>
        <row r="351">
          <cell r="A351">
            <v>331</v>
          </cell>
          <cell r="E351">
            <v>0</v>
          </cell>
        </row>
        <row r="352">
          <cell r="A352">
            <v>332</v>
          </cell>
          <cell r="E352">
            <v>0</v>
          </cell>
        </row>
        <row r="353">
          <cell r="A353">
            <v>333</v>
          </cell>
          <cell r="E353">
            <v>0</v>
          </cell>
        </row>
        <row r="354">
          <cell r="A354">
            <v>334</v>
          </cell>
          <cell r="E354">
            <v>0</v>
          </cell>
        </row>
        <row r="355">
          <cell r="A355">
            <v>335</v>
          </cell>
          <cell r="E355">
            <v>0</v>
          </cell>
        </row>
        <row r="356">
          <cell r="A356">
            <v>336</v>
          </cell>
          <cell r="E356">
            <v>0</v>
          </cell>
        </row>
        <row r="357">
          <cell r="A357">
            <v>337</v>
          </cell>
          <cell r="E357">
            <v>0</v>
          </cell>
        </row>
        <row r="358">
          <cell r="A358">
            <v>338</v>
          </cell>
          <cell r="E358">
            <v>0</v>
          </cell>
        </row>
        <row r="359">
          <cell r="A359">
            <v>339</v>
          </cell>
          <cell r="E359">
            <v>0</v>
          </cell>
        </row>
        <row r="360">
          <cell r="A360">
            <v>340</v>
          </cell>
          <cell r="E360">
            <v>0</v>
          </cell>
        </row>
        <row r="361">
          <cell r="A361">
            <v>341</v>
          </cell>
          <cell r="E361">
            <v>0</v>
          </cell>
        </row>
        <row r="362">
          <cell r="A362">
            <v>342</v>
          </cell>
          <cell r="E362">
            <v>0</v>
          </cell>
        </row>
        <row r="363">
          <cell r="A363">
            <v>343</v>
          </cell>
          <cell r="E363">
            <v>0</v>
          </cell>
        </row>
        <row r="364">
          <cell r="A364">
            <v>344</v>
          </cell>
          <cell r="E364">
            <v>0</v>
          </cell>
        </row>
        <row r="365">
          <cell r="A365">
            <v>345</v>
          </cell>
          <cell r="E365">
            <v>0</v>
          </cell>
        </row>
        <row r="366">
          <cell r="A366">
            <v>346</v>
          </cell>
          <cell r="E366">
            <v>0</v>
          </cell>
        </row>
        <row r="367">
          <cell r="A367">
            <v>347</v>
          </cell>
          <cell r="E367">
            <v>0</v>
          </cell>
        </row>
        <row r="368">
          <cell r="A368">
            <v>348</v>
          </cell>
          <cell r="E368">
            <v>0</v>
          </cell>
        </row>
        <row r="369">
          <cell r="A369">
            <v>349</v>
          </cell>
          <cell r="E369">
            <v>0</v>
          </cell>
        </row>
        <row r="370">
          <cell r="A370">
            <v>350</v>
          </cell>
          <cell r="E370">
            <v>0</v>
          </cell>
        </row>
        <row r="371">
          <cell r="A371">
            <v>351</v>
          </cell>
          <cell r="E371">
            <v>0</v>
          </cell>
        </row>
        <row r="372">
          <cell r="A372">
            <v>352</v>
          </cell>
          <cell r="E372">
            <v>0</v>
          </cell>
        </row>
        <row r="373">
          <cell r="A373">
            <v>353</v>
          </cell>
          <cell r="E373">
            <v>0</v>
          </cell>
        </row>
        <row r="374">
          <cell r="A374">
            <v>354</v>
          </cell>
          <cell r="E374">
            <v>0</v>
          </cell>
        </row>
        <row r="375">
          <cell r="A375">
            <v>355</v>
          </cell>
          <cell r="E375">
            <v>0</v>
          </cell>
        </row>
        <row r="376">
          <cell r="A376">
            <v>356</v>
          </cell>
          <cell r="E376">
            <v>0</v>
          </cell>
        </row>
        <row r="377">
          <cell r="A377">
            <v>357</v>
          </cell>
          <cell r="E377">
            <v>0</v>
          </cell>
        </row>
        <row r="378">
          <cell r="A378">
            <v>358</v>
          </cell>
          <cell r="E378">
            <v>0</v>
          </cell>
        </row>
        <row r="379">
          <cell r="A379">
            <v>359</v>
          </cell>
          <cell r="E379">
            <v>0</v>
          </cell>
        </row>
        <row r="380">
          <cell r="A380">
            <v>360</v>
          </cell>
          <cell r="E380">
            <v>0</v>
          </cell>
        </row>
        <row r="382">
          <cell r="A382" t="str">
            <v>REF.</v>
          </cell>
          <cell r="B382" t="str">
            <v>MATERIAL DE PINTURAS</v>
          </cell>
          <cell r="C382" t="str">
            <v>UNIDAD</v>
          </cell>
          <cell r="D382" t="str">
            <v>PRECIO</v>
          </cell>
          <cell r="E382" t="str">
            <v>TRANSPORTE</v>
          </cell>
        </row>
        <row r="384">
          <cell r="A384">
            <v>361</v>
          </cell>
          <cell r="B384" t="str">
            <v>GRANIPLAST</v>
          </cell>
          <cell r="C384" t="str">
            <v>KG</v>
          </cell>
          <cell r="D384">
            <v>1200</v>
          </cell>
          <cell r="E384">
            <v>72</v>
          </cell>
        </row>
        <row r="385">
          <cell r="A385">
            <v>362</v>
          </cell>
          <cell r="B385" t="str">
            <v>Pintura en esmalte</v>
          </cell>
          <cell r="C385" t="str">
            <v>GL</v>
          </cell>
          <cell r="D385">
            <v>35000</v>
          </cell>
          <cell r="E385">
            <v>2100</v>
          </cell>
        </row>
        <row r="386">
          <cell r="A386">
            <v>363</v>
          </cell>
          <cell r="B386" t="str">
            <v>Solvente para esmalte</v>
          </cell>
          <cell r="C386" t="str">
            <v>GL</v>
          </cell>
          <cell r="D386">
            <v>6000</v>
          </cell>
          <cell r="E386">
            <v>360</v>
          </cell>
        </row>
        <row r="387">
          <cell r="A387">
            <v>364</v>
          </cell>
          <cell r="E387">
            <v>0</v>
          </cell>
        </row>
        <row r="388">
          <cell r="A388">
            <v>365</v>
          </cell>
          <cell r="E388">
            <v>0</v>
          </cell>
        </row>
        <row r="389">
          <cell r="A389">
            <v>366</v>
          </cell>
          <cell r="E389">
            <v>0</v>
          </cell>
        </row>
        <row r="390">
          <cell r="A390">
            <v>367</v>
          </cell>
          <cell r="E390">
            <v>0</v>
          </cell>
        </row>
        <row r="391">
          <cell r="A391">
            <v>368</v>
          </cell>
          <cell r="E391">
            <v>0</v>
          </cell>
        </row>
        <row r="392">
          <cell r="A392">
            <v>369</v>
          </cell>
          <cell r="E392">
            <v>0</v>
          </cell>
        </row>
        <row r="393">
          <cell r="A393">
            <v>370</v>
          </cell>
          <cell r="E393">
            <v>0</v>
          </cell>
        </row>
        <row r="394">
          <cell r="A394">
            <v>371</v>
          </cell>
          <cell r="E394">
            <v>0</v>
          </cell>
        </row>
        <row r="395">
          <cell r="A395">
            <v>372</v>
          </cell>
          <cell r="E395">
            <v>0</v>
          </cell>
        </row>
        <row r="396">
          <cell r="A396">
            <v>373</v>
          </cell>
          <cell r="E396">
            <v>0</v>
          </cell>
        </row>
        <row r="397">
          <cell r="A397">
            <v>374</v>
          </cell>
          <cell r="E397">
            <v>0</v>
          </cell>
        </row>
        <row r="398">
          <cell r="A398">
            <v>375</v>
          </cell>
          <cell r="E398">
            <v>0</v>
          </cell>
        </row>
        <row r="399">
          <cell r="A399">
            <v>376</v>
          </cell>
          <cell r="E399">
            <v>0</v>
          </cell>
        </row>
        <row r="400">
          <cell r="A400">
            <v>377</v>
          </cell>
          <cell r="E400">
            <v>0</v>
          </cell>
        </row>
        <row r="401">
          <cell r="A401">
            <v>378</v>
          </cell>
          <cell r="E401">
            <v>0</v>
          </cell>
        </row>
        <row r="402">
          <cell r="A402">
            <v>379</v>
          </cell>
          <cell r="E402">
            <v>0</v>
          </cell>
        </row>
        <row r="403">
          <cell r="A403">
            <v>380</v>
          </cell>
          <cell r="E403">
            <v>0</v>
          </cell>
        </row>
        <row r="404">
          <cell r="A404">
            <v>381</v>
          </cell>
          <cell r="E404">
            <v>0</v>
          </cell>
        </row>
        <row r="405">
          <cell r="A405">
            <v>382</v>
          </cell>
          <cell r="E405">
            <v>0</v>
          </cell>
        </row>
        <row r="406">
          <cell r="A406">
            <v>383</v>
          </cell>
          <cell r="E406">
            <v>0</v>
          </cell>
        </row>
        <row r="407">
          <cell r="A407">
            <v>384</v>
          </cell>
          <cell r="E407">
            <v>0</v>
          </cell>
        </row>
        <row r="408">
          <cell r="A408">
            <v>385</v>
          </cell>
          <cell r="E408">
            <v>0</v>
          </cell>
        </row>
        <row r="409">
          <cell r="A409">
            <v>386</v>
          </cell>
          <cell r="E409">
            <v>0</v>
          </cell>
        </row>
        <row r="410">
          <cell r="A410">
            <v>387</v>
          </cell>
          <cell r="E410">
            <v>0</v>
          </cell>
        </row>
        <row r="411">
          <cell r="A411">
            <v>388</v>
          </cell>
          <cell r="E411">
            <v>0</v>
          </cell>
        </row>
        <row r="412">
          <cell r="A412">
            <v>389</v>
          </cell>
          <cell r="E412">
            <v>0</v>
          </cell>
        </row>
        <row r="413">
          <cell r="A413">
            <v>390</v>
          </cell>
          <cell r="E413">
            <v>0</v>
          </cell>
        </row>
        <row r="415">
          <cell r="A415" t="str">
            <v>REF.</v>
          </cell>
          <cell r="B415" t="str">
            <v>MATERIAL VARIOS</v>
          </cell>
          <cell r="C415" t="str">
            <v>UNIDAD</v>
          </cell>
          <cell r="D415" t="str">
            <v>PRECIO</v>
          </cell>
          <cell r="E415" t="str">
            <v>TRANSPORTE</v>
          </cell>
        </row>
        <row r="417">
          <cell r="A417">
            <v>391</v>
          </cell>
          <cell r="B417" t="str">
            <v>Agua</v>
          </cell>
          <cell r="C417" t="str">
            <v>LT</v>
          </cell>
          <cell r="D417">
            <v>100</v>
          </cell>
          <cell r="E417">
            <v>6</v>
          </cell>
        </row>
        <row r="418">
          <cell r="A418">
            <v>392</v>
          </cell>
          <cell r="B418" t="str">
            <v>Arbol nativo, h &gt; 1,50 mts.</v>
          </cell>
          <cell r="C418" t="str">
            <v>UN</v>
          </cell>
          <cell r="D418">
            <v>20000</v>
          </cell>
          <cell r="E418">
            <v>1200</v>
          </cell>
        </row>
        <row r="419">
          <cell r="A419">
            <v>393</v>
          </cell>
          <cell r="B419" t="str">
            <v xml:space="preserve">Cemento asfáltico grado de penetración 80-100 (debe cumplir con especificación INVIAS, art.410/02). </v>
          </cell>
          <cell r="C419" t="str">
            <v>GL</v>
          </cell>
          <cell r="D419">
            <v>4500</v>
          </cell>
          <cell r="E419">
            <v>270</v>
          </cell>
        </row>
        <row r="420">
          <cell r="A420">
            <v>394</v>
          </cell>
          <cell r="B420" t="str">
            <v>Cemento asfáltico para bacheo tipo MDC-0 debe cumplir especificaciòn INVIAS art.450/02.E=0.05</v>
          </cell>
          <cell r="C420" t="str">
            <v>M3</v>
          </cell>
          <cell r="D420">
            <v>227000</v>
          </cell>
          <cell r="E420">
            <v>13620</v>
          </cell>
        </row>
        <row r="421">
          <cell r="A421">
            <v>395</v>
          </cell>
          <cell r="B421" t="str">
            <v>digitación de plano, incluye impresión</v>
          </cell>
          <cell r="C421" t="str">
            <v>UN</v>
          </cell>
          <cell r="D421">
            <v>80000</v>
          </cell>
          <cell r="E421">
            <v>4800</v>
          </cell>
        </row>
        <row r="422">
          <cell r="A422">
            <v>396</v>
          </cell>
          <cell r="B422" t="str">
            <v>Imprimante para via</v>
          </cell>
          <cell r="C422" t="str">
            <v>LT</v>
          </cell>
          <cell r="D422">
            <v>920</v>
          </cell>
          <cell r="E422">
            <v>55.199999999999996</v>
          </cell>
        </row>
        <row r="423">
          <cell r="A423">
            <v>397</v>
          </cell>
          <cell r="B423" t="str">
            <v>Kit Silla Yee 300x160mm.  Incluye: silla yee, abrazadera y empaque de caucho.</v>
          </cell>
          <cell r="C423" t="str">
            <v>UN</v>
          </cell>
          <cell r="D423">
            <v>88941</v>
          </cell>
          <cell r="E423">
            <v>5336.46</v>
          </cell>
        </row>
        <row r="424">
          <cell r="A424">
            <v>398</v>
          </cell>
          <cell r="B424" t="str">
            <v>Mogador informativo</v>
          </cell>
          <cell r="C424" t="str">
            <v>UN</v>
          </cell>
          <cell r="D424">
            <v>2450000</v>
          </cell>
          <cell r="E424">
            <v>147000</v>
          </cell>
        </row>
        <row r="425">
          <cell r="A425">
            <v>399</v>
          </cell>
          <cell r="B425" t="str">
            <v>Polipropileno de color</v>
          </cell>
          <cell r="C425" t="str">
            <v>M2</v>
          </cell>
          <cell r="D425">
            <v>1300</v>
          </cell>
          <cell r="E425">
            <v>78</v>
          </cell>
        </row>
        <row r="426">
          <cell r="A426">
            <v>400</v>
          </cell>
          <cell r="B426" t="str">
            <v>Señalización horizontal: Flecha con microesfera marca 3M al 60% con pintura reflectiva tipo T. P., según norma INVIAS</v>
          </cell>
          <cell r="C426" t="str">
            <v>UN</v>
          </cell>
          <cell r="D426">
            <v>28000</v>
          </cell>
          <cell r="E426">
            <v>1680</v>
          </cell>
        </row>
        <row r="427">
          <cell r="A427">
            <v>401</v>
          </cell>
          <cell r="B427" t="str">
            <v>Señalización horizontal: Linea de cebra con microesfera marca 3M al 60% con pintura reflectiva tipo T. P., según norma INVIAS</v>
          </cell>
          <cell r="C427" t="str">
            <v>ML</v>
          </cell>
          <cell r="D427">
            <v>5000</v>
          </cell>
          <cell r="E427">
            <v>300</v>
          </cell>
        </row>
        <row r="428">
          <cell r="A428">
            <v>402</v>
          </cell>
          <cell r="B428" t="str">
            <v>Señalización Vertical: Señal preventiva o reglamentaria; en ángulo 2" x 2" x 1/4", según norma INVIAS</v>
          </cell>
          <cell r="C428" t="str">
            <v>UN</v>
          </cell>
          <cell r="D428">
            <v>250000</v>
          </cell>
          <cell r="E428">
            <v>15000</v>
          </cell>
        </row>
        <row r="429">
          <cell r="A429">
            <v>403</v>
          </cell>
          <cell r="E429">
            <v>0</v>
          </cell>
        </row>
        <row r="430">
          <cell r="A430">
            <v>404</v>
          </cell>
          <cell r="E430">
            <v>0</v>
          </cell>
        </row>
        <row r="431">
          <cell r="A431">
            <v>405</v>
          </cell>
          <cell r="E431">
            <v>0</v>
          </cell>
        </row>
        <row r="432">
          <cell r="A432">
            <v>406</v>
          </cell>
          <cell r="B432" t="str">
            <v>Juego de cancha multiple en tuberia de 2"</v>
          </cell>
          <cell r="C432" t="str">
            <v>GL</v>
          </cell>
          <cell r="D432">
            <v>3600000</v>
          </cell>
          <cell r="E432">
            <v>216000</v>
          </cell>
        </row>
        <row r="433">
          <cell r="A433">
            <v>407</v>
          </cell>
          <cell r="B433" t="str">
            <v>Juegos didacticos</v>
          </cell>
          <cell r="C433" t="str">
            <v>GL</v>
          </cell>
          <cell r="D433">
            <v>5100000</v>
          </cell>
          <cell r="E433">
            <v>306000</v>
          </cell>
        </row>
        <row r="434">
          <cell r="A434">
            <v>408</v>
          </cell>
          <cell r="E434">
            <v>0</v>
          </cell>
        </row>
        <row r="435">
          <cell r="A435">
            <v>409</v>
          </cell>
          <cell r="E435">
            <v>0</v>
          </cell>
        </row>
        <row r="436">
          <cell r="A436">
            <v>410</v>
          </cell>
          <cell r="E436">
            <v>0</v>
          </cell>
        </row>
        <row r="437">
          <cell r="A437">
            <v>411</v>
          </cell>
          <cell r="E437">
            <v>0</v>
          </cell>
        </row>
        <row r="438">
          <cell r="A438">
            <v>412</v>
          </cell>
          <cell r="E438">
            <v>0</v>
          </cell>
        </row>
        <row r="439">
          <cell r="A439">
            <v>413</v>
          </cell>
          <cell r="E439">
            <v>0</v>
          </cell>
        </row>
        <row r="440">
          <cell r="A440">
            <v>414</v>
          </cell>
          <cell r="E440">
            <v>0</v>
          </cell>
        </row>
        <row r="441">
          <cell r="A441">
            <v>415</v>
          </cell>
          <cell r="E441">
            <v>0</v>
          </cell>
        </row>
        <row r="442">
          <cell r="A442">
            <v>416</v>
          </cell>
          <cell r="E442">
            <v>0</v>
          </cell>
        </row>
        <row r="443">
          <cell r="A443">
            <v>417</v>
          </cell>
          <cell r="E443">
            <v>0</v>
          </cell>
        </row>
        <row r="444">
          <cell r="A444">
            <v>418</v>
          </cell>
          <cell r="E444">
            <v>0</v>
          </cell>
        </row>
        <row r="445">
          <cell r="A445">
            <v>419</v>
          </cell>
          <cell r="E445">
            <v>0</v>
          </cell>
        </row>
        <row r="446">
          <cell r="A446">
            <v>420</v>
          </cell>
          <cell r="E446">
            <v>0</v>
          </cell>
        </row>
        <row r="447">
          <cell r="A447">
            <v>421</v>
          </cell>
          <cell r="E447">
            <v>0</v>
          </cell>
        </row>
        <row r="448">
          <cell r="A448">
            <v>422</v>
          </cell>
          <cell r="E448">
            <v>0</v>
          </cell>
        </row>
        <row r="449">
          <cell r="A449">
            <v>423</v>
          </cell>
          <cell r="E449">
            <v>0</v>
          </cell>
        </row>
        <row r="450">
          <cell r="A450">
            <v>424</v>
          </cell>
          <cell r="E450">
            <v>0</v>
          </cell>
        </row>
        <row r="451">
          <cell r="A451">
            <v>425</v>
          </cell>
          <cell r="E451">
            <v>0</v>
          </cell>
        </row>
        <row r="452">
          <cell r="A452">
            <v>426</v>
          </cell>
          <cell r="E452">
            <v>0</v>
          </cell>
        </row>
        <row r="453">
          <cell r="A453">
            <v>427</v>
          </cell>
          <cell r="E453">
            <v>0</v>
          </cell>
        </row>
        <row r="454">
          <cell r="A454">
            <v>428</v>
          </cell>
          <cell r="E454">
            <v>0</v>
          </cell>
        </row>
        <row r="455">
          <cell r="A455">
            <v>429</v>
          </cell>
          <cell r="E455">
            <v>0</v>
          </cell>
        </row>
        <row r="456">
          <cell r="A456">
            <v>430</v>
          </cell>
          <cell r="E456">
            <v>0</v>
          </cell>
        </row>
        <row r="457">
          <cell r="A457">
            <v>431</v>
          </cell>
          <cell r="E457">
            <v>0</v>
          </cell>
        </row>
        <row r="458">
          <cell r="A458">
            <v>432</v>
          </cell>
          <cell r="E458">
            <v>0</v>
          </cell>
        </row>
        <row r="459">
          <cell r="A459">
            <v>433</v>
          </cell>
          <cell r="E459">
            <v>0</v>
          </cell>
        </row>
        <row r="460">
          <cell r="A460">
            <v>434</v>
          </cell>
          <cell r="E460">
            <v>0</v>
          </cell>
        </row>
        <row r="461">
          <cell r="A461">
            <v>435</v>
          </cell>
          <cell r="E461">
            <v>0</v>
          </cell>
        </row>
        <row r="462">
          <cell r="A462">
            <v>436</v>
          </cell>
          <cell r="E462">
            <v>0</v>
          </cell>
        </row>
        <row r="463">
          <cell r="A463">
            <v>437</v>
          </cell>
          <cell r="E463">
            <v>0</v>
          </cell>
        </row>
        <row r="464">
          <cell r="A464">
            <v>438</v>
          </cell>
          <cell r="E464">
            <v>0</v>
          </cell>
        </row>
        <row r="465">
          <cell r="A465">
            <v>439</v>
          </cell>
          <cell r="E465">
            <v>0</v>
          </cell>
        </row>
        <row r="466">
          <cell r="A466">
            <v>440</v>
          </cell>
          <cell r="E466">
            <v>0</v>
          </cell>
        </row>
        <row r="467">
          <cell r="A467">
            <v>441</v>
          </cell>
          <cell r="E467">
            <v>0</v>
          </cell>
        </row>
        <row r="468">
          <cell r="A468">
            <v>442</v>
          </cell>
          <cell r="E468">
            <v>0</v>
          </cell>
        </row>
        <row r="469">
          <cell r="A469">
            <v>443</v>
          </cell>
          <cell r="E469">
            <v>0</v>
          </cell>
        </row>
        <row r="470">
          <cell r="A470">
            <v>444</v>
          </cell>
          <cell r="E470">
            <v>0</v>
          </cell>
        </row>
        <row r="471">
          <cell r="A471">
            <v>445</v>
          </cell>
          <cell r="E471">
            <v>0</v>
          </cell>
        </row>
        <row r="472">
          <cell r="A472">
            <v>446</v>
          </cell>
          <cell r="E472">
            <v>0</v>
          </cell>
        </row>
        <row r="473">
          <cell r="A473">
            <v>447</v>
          </cell>
          <cell r="E473">
            <v>0</v>
          </cell>
        </row>
        <row r="474">
          <cell r="A474">
            <v>448</v>
          </cell>
          <cell r="E474">
            <v>0</v>
          </cell>
        </row>
        <row r="475">
          <cell r="A475">
            <v>449</v>
          </cell>
          <cell r="E475">
            <v>0</v>
          </cell>
        </row>
        <row r="476">
          <cell r="A476">
            <v>450</v>
          </cell>
          <cell r="E476">
            <v>0</v>
          </cell>
        </row>
        <row r="478">
          <cell r="A478" t="str">
            <v>REF.</v>
          </cell>
          <cell r="B478" t="str">
            <v>MATERIAL CARPINTERIA metálica</v>
          </cell>
          <cell r="C478" t="str">
            <v>UNIDAD</v>
          </cell>
          <cell r="D478" t="str">
            <v>PRECIO</v>
          </cell>
          <cell r="E478" t="str">
            <v>TRANSPORTE</v>
          </cell>
        </row>
        <row r="480">
          <cell r="A480">
            <v>451</v>
          </cell>
          <cell r="B480" t="str">
            <v>Alambre Negro</v>
          </cell>
          <cell r="C480" t="str">
            <v>KG</v>
          </cell>
          <cell r="D480">
            <v>1500</v>
          </cell>
          <cell r="E480">
            <v>90</v>
          </cell>
        </row>
        <row r="481">
          <cell r="A481">
            <v>452</v>
          </cell>
          <cell r="B481" t="str">
            <v>ángulo 1/8"x2"</v>
          </cell>
          <cell r="C481" t="str">
            <v>ML</v>
          </cell>
          <cell r="D481">
            <v>7500</v>
          </cell>
          <cell r="E481">
            <v>450</v>
          </cell>
        </row>
        <row r="482">
          <cell r="A482">
            <v>453</v>
          </cell>
          <cell r="B482" t="str">
            <v>ángulo 3/16"x2"</v>
          </cell>
          <cell r="C482" t="str">
            <v>ML</v>
          </cell>
          <cell r="D482">
            <v>10100</v>
          </cell>
          <cell r="E482">
            <v>606</v>
          </cell>
        </row>
        <row r="483">
          <cell r="A483">
            <v>454</v>
          </cell>
          <cell r="B483" t="str">
            <v>ángulo de 1"x1/8"</v>
          </cell>
          <cell r="C483" t="str">
            <v>ML</v>
          </cell>
          <cell r="D483">
            <v>1950</v>
          </cell>
          <cell r="E483">
            <v>117</v>
          </cell>
        </row>
        <row r="484">
          <cell r="A484">
            <v>455</v>
          </cell>
          <cell r="B484" t="str">
            <v>ángulo de 1"x1/8"</v>
          </cell>
          <cell r="C484" t="str">
            <v>ML</v>
          </cell>
          <cell r="D484">
            <v>2000</v>
          </cell>
          <cell r="E484">
            <v>120</v>
          </cell>
        </row>
        <row r="485">
          <cell r="A485">
            <v>456</v>
          </cell>
          <cell r="B485" t="str">
            <v>ángulo de 11/2" x 3/16</v>
          </cell>
          <cell r="C485" t="str">
            <v>ML</v>
          </cell>
          <cell r="D485">
            <v>6400</v>
          </cell>
          <cell r="E485">
            <v>384</v>
          </cell>
        </row>
        <row r="486">
          <cell r="A486">
            <v>457</v>
          </cell>
          <cell r="B486" t="str">
            <v>ángulo de 11/2"x1/8"</v>
          </cell>
          <cell r="C486" t="str">
            <v>ML</v>
          </cell>
          <cell r="D486">
            <v>6500</v>
          </cell>
          <cell r="E486">
            <v>390</v>
          </cell>
        </row>
        <row r="487">
          <cell r="A487">
            <v>458</v>
          </cell>
          <cell r="B487" t="str">
            <v>ángulo de 2 1/2" x 1/4</v>
          </cell>
          <cell r="C487" t="str">
            <v>ML</v>
          </cell>
          <cell r="D487">
            <v>13300</v>
          </cell>
          <cell r="E487">
            <v>798</v>
          </cell>
        </row>
        <row r="488">
          <cell r="A488">
            <v>459</v>
          </cell>
          <cell r="B488" t="str">
            <v>ángulo de 3/4"x1/8"</v>
          </cell>
          <cell r="C488" t="str">
            <v>ML</v>
          </cell>
          <cell r="D488">
            <v>1450</v>
          </cell>
          <cell r="E488">
            <v>87</v>
          </cell>
        </row>
        <row r="489">
          <cell r="A489">
            <v>460</v>
          </cell>
          <cell r="B489" t="str">
            <v>Anticorrosivo</v>
          </cell>
          <cell r="C489" t="str">
            <v>GL</v>
          </cell>
          <cell r="D489">
            <v>22000</v>
          </cell>
          <cell r="E489">
            <v>1320</v>
          </cell>
        </row>
        <row r="490">
          <cell r="A490">
            <v>461</v>
          </cell>
          <cell r="B490" t="str">
            <v xml:space="preserve">Arena </v>
          </cell>
          <cell r="C490" t="str">
            <v>M3</v>
          </cell>
          <cell r="D490">
            <v>35000</v>
          </cell>
          <cell r="E490">
            <v>2100</v>
          </cell>
        </row>
        <row r="491">
          <cell r="A491">
            <v>462</v>
          </cell>
          <cell r="B491" t="str">
            <v>Basculante tipo mariposa</v>
          </cell>
          <cell r="C491" t="str">
            <v>UN</v>
          </cell>
          <cell r="D491">
            <v>600</v>
          </cell>
          <cell r="E491">
            <v>36</v>
          </cell>
        </row>
        <row r="492">
          <cell r="A492">
            <v>463</v>
          </cell>
          <cell r="B492" t="str">
            <v xml:space="preserve">Bisagra </v>
          </cell>
          <cell r="C492" t="str">
            <v>UN</v>
          </cell>
          <cell r="D492">
            <v>750</v>
          </cell>
          <cell r="E492">
            <v>45</v>
          </cell>
        </row>
        <row r="493">
          <cell r="A493">
            <v>464</v>
          </cell>
          <cell r="B493" t="str">
            <v>Bisagra de 1/2"</v>
          </cell>
          <cell r="C493" t="str">
            <v>UN</v>
          </cell>
          <cell r="D493">
            <v>350</v>
          </cell>
          <cell r="E493">
            <v>21</v>
          </cell>
        </row>
        <row r="494">
          <cell r="A494">
            <v>465</v>
          </cell>
          <cell r="B494" t="str">
            <v>Bisagra de 5/8"</v>
          </cell>
          <cell r="C494" t="str">
            <v>UN</v>
          </cell>
          <cell r="D494">
            <v>500</v>
          </cell>
          <cell r="E494">
            <v>30</v>
          </cell>
        </row>
        <row r="495">
          <cell r="A495">
            <v>466</v>
          </cell>
          <cell r="B495" t="str">
            <v xml:space="preserve">Cemento Gris </v>
          </cell>
          <cell r="C495" t="str">
            <v>Saco</v>
          </cell>
          <cell r="D495">
            <v>12000</v>
          </cell>
          <cell r="E495">
            <v>720</v>
          </cell>
        </row>
        <row r="496">
          <cell r="A496">
            <v>467</v>
          </cell>
          <cell r="B496" t="str">
            <v>Chapa marca Vera sencilla</v>
          </cell>
          <cell r="C496" t="str">
            <v>UN</v>
          </cell>
          <cell r="D496">
            <v>18000</v>
          </cell>
          <cell r="E496">
            <v>1080</v>
          </cell>
        </row>
        <row r="497">
          <cell r="A497">
            <v>468</v>
          </cell>
          <cell r="B497" t="str">
            <v>Chapa marca Vera sencilla</v>
          </cell>
          <cell r="C497" t="str">
            <v>UN</v>
          </cell>
          <cell r="D497">
            <v>25000</v>
          </cell>
          <cell r="E497">
            <v>1500</v>
          </cell>
        </row>
        <row r="498">
          <cell r="A498">
            <v>469</v>
          </cell>
          <cell r="B498" t="str">
            <v>Correa tipo canal</v>
          </cell>
          <cell r="C498" t="str">
            <v>ML</v>
          </cell>
          <cell r="D498">
            <v>6600</v>
          </cell>
          <cell r="E498">
            <v>396</v>
          </cell>
        </row>
        <row r="499">
          <cell r="A499">
            <v>470</v>
          </cell>
          <cell r="B499" t="str">
            <v>Corredera</v>
          </cell>
          <cell r="C499" t="str">
            <v>UN</v>
          </cell>
          <cell r="D499">
            <v>1200</v>
          </cell>
          <cell r="E499">
            <v>72</v>
          </cell>
        </row>
        <row r="500">
          <cell r="A500">
            <v>471</v>
          </cell>
          <cell r="B500" t="str">
            <v>Corredera</v>
          </cell>
          <cell r="C500" t="str">
            <v>UN</v>
          </cell>
          <cell r="D500">
            <v>2500</v>
          </cell>
          <cell r="E500">
            <v>150</v>
          </cell>
        </row>
        <row r="501">
          <cell r="A501">
            <v>472</v>
          </cell>
          <cell r="B501" t="str">
            <v>Equipo electrico soldadura</v>
          </cell>
          <cell r="C501" t="str">
            <v>DIA</v>
          </cell>
          <cell r="D501">
            <v>30000</v>
          </cell>
          <cell r="E501">
            <v>1800</v>
          </cell>
        </row>
        <row r="502">
          <cell r="A502">
            <v>473</v>
          </cell>
          <cell r="B502" t="str">
            <v>Gasolina</v>
          </cell>
          <cell r="C502" t="str">
            <v>GL</v>
          </cell>
          <cell r="D502">
            <v>6000</v>
          </cell>
          <cell r="E502">
            <v>360</v>
          </cell>
        </row>
        <row r="503">
          <cell r="A503">
            <v>474</v>
          </cell>
          <cell r="B503" t="str">
            <v>Gravilla</v>
          </cell>
          <cell r="C503" t="str">
            <v>M3</v>
          </cell>
          <cell r="D503">
            <v>40000</v>
          </cell>
          <cell r="E503">
            <v>2400</v>
          </cell>
        </row>
        <row r="504">
          <cell r="A504">
            <v>475</v>
          </cell>
          <cell r="B504" t="str">
            <v>Lámina C.R. Cal.18</v>
          </cell>
          <cell r="C504" t="str">
            <v>M2</v>
          </cell>
          <cell r="D504">
            <v>26000</v>
          </cell>
          <cell r="E504">
            <v>1560</v>
          </cell>
        </row>
        <row r="505">
          <cell r="A505">
            <v>476</v>
          </cell>
          <cell r="B505" t="str">
            <v>Lámina C.R. Cal.20</v>
          </cell>
          <cell r="C505" t="str">
            <v>M2</v>
          </cell>
          <cell r="D505">
            <v>19500</v>
          </cell>
          <cell r="E505">
            <v>1170</v>
          </cell>
        </row>
        <row r="506">
          <cell r="A506">
            <v>477</v>
          </cell>
          <cell r="B506" t="str">
            <v>Lámina cal 16</v>
          </cell>
          <cell r="C506" t="str">
            <v>M2</v>
          </cell>
          <cell r="D506">
            <v>30500</v>
          </cell>
          <cell r="E506">
            <v>1830</v>
          </cell>
        </row>
        <row r="507">
          <cell r="A507">
            <v>478</v>
          </cell>
          <cell r="B507" t="str">
            <v>Malla eslabonada de 2x2 cal 10</v>
          </cell>
          <cell r="C507" t="str">
            <v>M2</v>
          </cell>
          <cell r="D507">
            <v>10000</v>
          </cell>
          <cell r="E507">
            <v>600</v>
          </cell>
        </row>
        <row r="508">
          <cell r="A508">
            <v>479</v>
          </cell>
          <cell r="B508" t="str">
            <v>Manija sencilla</v>
          </cell>
          <cell r="C508" t="str">
            <v>UN</v>
          </cell>
          <cell r="D508">
            <v>2000</v>
          </cell>
          <cell r="E508">
            <v>120</v>
          </cell>
        </row>
        <row r="509">
          <cell r="A509">
            <v>480</v>
          </cell>
          <cell r="B509" t="str">
            <v>Masilla</v>
          </cell>
          <cell r="C509" t="str">
            <v>GL</v>
          </cell>
          <cell r="D509">
            <v>18000</v>
          </cell>
          <cell r="E509">
            <v>1080</v>
          </cell>
        </row>
        <row r="510">
          <cell r="A510">
            <v>481</v>
          </cell>
          <cell r="B510" t="str">
            <v xml:space="preserve">Medallon de lujo </v>
          </cell>
          <cell r="C510" t="str">
            <v>UN</v>
          </cell>
          <cell r="D510">
            <v>5000</v>
          </cell>
          <cell r="E510">
            <v>300</v>
          </cell>
        </row>
        <row r="511">
          <cell r="A511">
            <v>482</v>
          </cell>
          <cell r="B511" t="str">
            <v>Pasador para puerta</v>
          </cell>
          <cell r="C511" t="str">
            <v>UN</v>
          </cell>
          <cell r="D511">
            <v>4000</v>
          </cell>
          <cell r="E511">
            <v>240</v>
          </cell>
        </row>
        <row r="512">
          <cell r="A512">
            <v>483</v>
          </cell>
          <cell r="B512" t="str">
            <v>Perno de 3/4"</v>
          </cell>
          <cell r="C512" t="str">
            <v>UN</v>
          </cell>
          <cell r="D512">
            <v>1500</v>
          </cell>
          <cell r="E512">
            <v>90</v>
          </cell>
        </row>
        <row r="513">
          <cell r="A513">
            <v>484</v>
          </cell>
          <cell r="B513" t="str">
            <v>Platina 1 1/2" x 1/8"</v>
          </cell>
          <cell r="C513" t="str">
            <v>ML</v>
          </cell>
          <cell r="D513">
            <v>1800</v>
          </cell>
          <cell r="E513">
            <v>108</v>
          </cell>
        </row>
        <row r="514">
          <cell r="A514">
            <v>485</v>
          </cell>
          <cell r="B514" t="str">
            <v>Platina 11/2" x 3/16</v>
          </cell>
          <cell r="C514" t="str">
            <v>ML</v>
          </cell>
          <cell r="D514">
            <v>3600</v>
          </cell>
          <cell r="E514">
            <v>216</v>
          </cell>
        </row>
        <row r="515">
          <cell r="A515">
            <v>486</v>
          </cell>
          <cell r="B515" t="str">
            <v>Platina de 1/2"x1/8"</v>
          </cell>
          <cell r="C515" t="str">
            <v>ML</v>
          </cell>
          <cell r="D515">
            <v>1300</v>
          </cell>
          <cell r="E515">
            <v>78</v>
          </cell>
        </row>
        <row r="516">
          <cell r="A516">
            <v>487</v>
          </cell>
          <cell r="B516" t="str">
            <v>Soldadura W.A. 6013</v>
          </cell>
          <cell r="C516" t="str">
            <v>KG</v>
          </cell>
          <cell r="D516">
            <v>9000</v>
          </cell>
          <cell r="E516">
            <v>540</v>
          </cell>
        </row>
        <row r="517">
          <cell r="A517">
            <v>488</v>
          </cell>
          <cell r="B517" t="str">
            <v>Tubo Aguas Negras 21/2"</v>
          </cell>
          <cell r="C517" t="str">
            <v>ML</v>
          </cell>
          <cell r="D517">
            <v>8550</v>
          </cell>
          <cell r="E517">
            <v>513</v>
          </cell>
        </row>
        <row r="518">
          <cell r="A518">
            <v>489</v>
          </cell>
          <cell r="B518" t="str">
            <v>Tubo cuadrado 11/2"</v>
          </cell>
          <cell r="C518" t="str">
            <v>ML</v>
          </cell>
          <cell r="D518">
            <v>2700</v>
          </cell>
          <cell r="E518">
            <v>162</v>
          </cell>
        </row>
        <row r="519">
          <cell r="A519">
            <v>490</v>
          </cell>
          <cell r="B519" t="str">
            <v>Tubo cuadrado de 1" cal 20</v>
          </cell>
          <cell r="C519" t="str">
            <v>Ml</v>
          </cell>
          <cell r="D519">
            <v>1500</v>
          </cell>
          <cell r="E519">
            <v>90</v>
          </cell>
        </row>
        <row r="520">
          <cell r="A520">
            <v>491</v>
          </cell>
          <cell r="B520" t="str">
            <v>Tubo cuadrado de 3/4"</v>
          </cell>
          <cell r="C520" t="str">
            <v>ML</v>
          </cell>
          <cell r="D520">
            <v>1350</v>
          </cell>
          <cell r="E520">
            <v>81</v>
          </cell>
        </row>
        <row r="521">
          <cell r="A521">
            <v>492</v>
          </cell>
          <cell r="B521" t="str">
            <v>Tubo de 2 x 1 cal. 20</v>
          </cell>
          <cell r="C521" t="str">
            <v>ML</v>
          </cell>
          <cell r="D521">
            <v>2500</v>
          </cell>
          <cell r="E521">
            <v>150</v>
          </cell>
        </row>
        <row r="522">
          <cell r="A522">
            <v>493</v>
          </cell>
          <cell r="B522" t="str">
            <v>Tubo en acero 3/4"</v>
          </cell>
          <cell r="C522" t="str">
            <v>ML</v>
          </cell>
          <cell r="D522">
            <v>2200</v>
          </cell>
          <cell r="E522">
            <v>132</v>
          </cell>
        </row>
        <row r="523">
          <cell r="A523">
            <v>494</v>
          </cell>
          <cell r="B523" t="str">
            <v>Tubo en acero cromado de 2"</v>
          </cell>
          <cell r="C523" t="str">
            <v>ML</v>
          </cell>
          <cell r="D523">
            <v>9100</v>
          </cell>
          <cell r="E523">
            <v>546</v>
          </cell>
        </row>
        <row r="524">
          <cell r="A524">
            <v>495</v>
          </cell>
          <cell r="B524" t="str">
            <v>Tubo galvanizado de 2"</v>
          </cell>
          <cell r="C524" t="str">
            <v>ML</v>
          </cell>
          <cell r="D524">
            <v>8000</v>
          </cell>
          <cell r="E524">
            <v>480</v>
          </cell>
        </row>
        <row r="525">
          <cell r="A525">
            <v>496</v>
          </cell>
          <cell r="B525" t="str">
            <v>tubo rectangular 10x4 Cal. 16</v>
          </cell>
          <cell r="C525" t="str">
            <v>ML</v>
          </cell>
          <cell r="D525">
            <v>9500</v>
          </cell>
          <cell r="E525">
            <v>570</v>
          </cell>
        </row>
        <row r="526">
          <cell r="A526">
            <v>497</v>
          </cell>
          <cell r="B526" t="str">
            <v>tubo rectangular 8 x 4</v>
          </cell>
          <cell r="C526" t="str">
            <v>ML</v>
          </cell>
          <cell r="D526">
            <v>4000</v>
          </cell>
          <cell r="E526">
            <v>240</v>
          </cell>
        </row>
        <row r="527">
          <cell r="A527">
            <v>498</v>
          </cell>
          <cell r="B527" t="str">
            <v>Varilla 1/4 " lisa</v>
          </cell>
          <cell r="C527" t="str">
            <v>kg</v>
          </cell>
          <cell r="D527">
            <v>2000</v>
          </cell>
          <cell r="E527">
            <v>120</v>
          </cell>
        </row>
        <row r="528">
          <cell r="A528">
            <v>499</v>
          </cell>
          <cell r="B528" t="str">
            <v>Varilla 5/8"</v>
          </cell>
          <cell r="C528" t="str">
            <v>ML</v>
          </cell>
          <cell r="D528">
            <v>2800</v>
          </cell>
          <cell r="E528">
            <v>168</v>
          </cell>
        </row>
        <row r="529">
          <cell r="A529">
            <v>500</v>
          </cell>
          <cell r="B529" t="str">
            <v>Varilla cuadrada de 10mm</v>
          </cell>
          <cell r="C529" t="str">
            <v>ML</v>
          </cell>
          <cell r="D529">
            <v>1450</v>
          </cell>
          <cell r="E529">
            <v>87</v>
          </cell>
        </row>
        <row r="530">
          <cell r="A530">
            <v>501</v>
          </cell>
          <cell r="B530" t="str">
            <v>Varilla de 1"</v>
          </cell>
          <cell r="C530" t="str">
            <v>ML</v>
          </cell>
          <cell r="D530">
            <v>10000</v>
          </cell>
          <cell r="E530">
            <v>600</v>
          </cell>
        </row>
        <row r="531">
          <cell r="A531">
            <v>502</v>
          </cell>
          <cell r="B531" t="str">
            <v>Varilla de 1/2 corrugada</v>
          </cell>
          <cell r="C531" t="str">
            <v>ML</v>
          </cell>
          <cell r="D531">
            <v>1900</v>
          </cell>
          <cell r="E531">
            <v>114</v>
          </cell>
        </row>
        <row r="532">
          <cell r="A532">
            <v>503</v>
          </cell>
          <cell r="B532" t="str">
            <v>Varilla de 1/2"</v>
          </cell>
          <cell r="C532" t="str">
            <v>ML</v>
          </cell>
          <cell r="D532">
            <v>1900</v>
          </cell>
          <cell r="E532">
            <v>114</v>
          </cell>
        </row>
        <row r="533">
          <cell r="A533">
            <v>504</v>
          </cell>
          <cell r="B533" t="str">
            <v>Varilla de 1/4 corrugada</v>
          </cell>
          <cell r="C533" t="str">
            <v>KG</v>
          </cell>
          <cell r="D533">
            <v>1900</v>
          </cell>
          <cell r="E533">
            <v>114</v>
          </cell>
        </row>
        <row r="534">
          <cell r="A534">
            <v>505</v>
          </cell>
          <cell r="B534" t="str">
            <v>Varilla de 3/8 corrugada</v>
          </cell>
          <cell r="C534" t="str">
            <v>ML</v>
          </cell>
          <cell r="D534">
            <v>1000</v>
          </cell>
          <cell r="E534">
            <v>60</v>
          </cell>
        </row>
        <row r="535">
          <cell r="A535">
            <v>506</v>
          </cell>
          <cell r="B535" t="str">
            <v>Varilla de 5/8" Corrugada</v>
          </cell>
          <cell r="C535" t="str">
            <v>ML</v>
          </cell>
          <cell r="D535">
            <v>3300</v>
          </cell>
          <cell r="E535">
            <v>198</v>
          </cell>
        </row>
        <row r="536">
          <cell r="A536">
            <v>507</v>
          </cell>
          <cell r="E536">
            <v>0</v>
          </cell>
        </row>
        <row r="537">
          <cell r="A537">
            <v>508</v>
          </cell>
          <cell r="E537">
            <v>0</v>
          </cell>
        </row>
        <row r="538">
          <cell r="A538">
            <v>509</v>
          </cell>
          <cell r="E538">
            <v>0</v>
          </cell>
        </row>
        <row r="539">
          <cell r="A539">
            <v>510</v>
          </cell>
          <cell r="E539">
            <v>0</v>
          </cell>
        </row>
        <row r="540">
          <cell r="A540">
            <v>511</v>
          </cell>
          <cell r="E540">
            <v>0</v>
          </cell>
        </row>
        <row r="541">
          <cell r="A541">
            <v>512</v>
          </cell>
          <cell r="E541">
            <v>0</v>
          </cell>
        </row>
        <row r="542">
          <cell r="A542">
            <v>513</v>
          </cell>
          <cell r="E542">
            <v>0</v>
          </cell>
        </row>
        <row r="543">
          <cell r="A543">
            <v>514</v>
          </cell>
          <cell r="E543">
            <v>0</v>
          </cell>
        </row>
        <row r="544">
          <cell r="A544">
            <v>515</v>
          </cell>
          <cell r="E544">
            <v>0</v>
          </cell>
        </row>
        <row r="545">
          <cell r="A545">
            <v>516</v>
          </cell>
          <cell r="E545">
            <v>0</v>
          </cell>
        </row>
        <row r="546">
          <cell r="A546">
            <v>517</v>
          </cell>
          <cell r="E546">
            <v>0</v>
          </cell>
        </row>
        <row r="547">
          <cell r="A547">
            <v>518</v>
          </cell>
          <cell r="E547">
            <v>0</v>
          </cell>
        </row>
        <row r="548">
          <cell r="A548">
            <v>519</v>
          </cell>
          <cell r="E548">
            <v>0</v>
          </cell>
        </row>
        <row r="549">
          <cell r="A549">
            <v>520</v>
          </cell>
          <cell r="E549">
            <v>0</v>
          </cell>
        </row>
        <row r="550">
          <cell r="A550">
            <v>521</v>
          </cell>
          <cell r="E550">
            <v>0</v>
          </cell>
        </row>
        <row r="551">
          <cell r="A551">
            <v>522</v>
          </cell>
          <cell r="E551">
            <v>0</v>
          </cell>
        </row>
        <row r="552">
          <cell r="A552">
            <v>523</v>
          </cell>
          <cell r="E552">
            <v>0</v>
          </cell>
        </row>
        <row r="553">
          <cell r="A553">
            <v>524</v>
          </cell>
          <cell r="E553">
            <v>0</v>
          </cell>
        </row>
        <row r="554">
          <cell r="A554">
            <v>525</v>
          </cell>
          <cell r="E554">
            <v>0</v>
          </cell>
        </row>
        <row r="555">
          <cell r="A555">
            <v>526</v>
          </cell>
          <cell r="E555">
            <v>0</v>
          </cell>
        </row>
        <row r="556">
          <cell r="A556">
            <v>527</v>
          </cell>
          <cell r="E556">
            <v>0</v>
          </cell>
        </row>
        <row r="557">
          <cell r="A557">
            <v>528</v>
          </cell>
          <cell r="E557">
            <v>0</v>
          </cell>
        </row>
        <row r="558">
          <cell r="A558">
            <v>529</v>
          </cell>
          <cell r="E558">
            <v>0</v>
          </cell>
        </row>
        <row r="559">
          <cell r="A559">
            <v>530</v>
          </cell>
          <cell r="E559">
            <v>0</v>
          </cell>
        </row>
        <row r="560">
          <cell r="A560">
            <v>531</v>
          </cell>
          <cell r="E560">
            <v>0</v>
          </cell>
        </row>
        <row r="561">
          <cell r="A561">
            <v>532</v>
          </cell>
          <cell r="E561">
            <v>0</v>
          </cell>
        </row>
        <row r="562">
          <cell r="A562">
            <v>533</v>
          </cell>
          <cell r="E562">
            <v>0</v>
          </cell>
        </row>
        <row r="563">
          <cell r="A563">
            <v>534</v>
          </cell>
          <cell r="E563">
            <v>0</v>
          </cell>
        </row>
        <row r="564">
          <cell r="A564">
            <v>535</v>
          </cell>
          <cell r="E564">
            <v>0</v>
          </cell>
        </row>
        <row r="565">
          <cell r="A565">
            <v>536</v>
          </cell>
          <cell r="E565">
            <v>0</v>
          </cell>
        </row>
        <row r="566">
          <cell r="A566">
            <v>537</v>
          </cell>
          <cell r="E566">
            <v>0</v>
          </cell>
        </row>
        <row r="567">
          <cell r="A567">
            <v>538</v>
          </cell>
          <cell r="E567">
            <v>0</v>
          </cell>
        </row>
        <row r="568">
          <cell r="A568">
            <v>539</v>
          </cell>
          <cell r="E568">
            <v>0</v>
          </cell>
        </row>
        <row r="569">
          <cell r="A569">
            <v>540</v>
          </cell>
          <cell r="E569">
            <v>0</v>
          </cell>
        </row>
        <row r="570">
          <cell r="A570">
            <v>541</v>
          </cell>
          <cell r="E570">
            <v>0</v>
          </cell>
        </row>
        <row r="571">
          <cell r="A571">
            <v>542</v>
          </cell>
          <cell r="E571">
            <v>0</v>
          </cell>
        </row>
        <row r="572">
          <cell r="A572">
            <v>543</v>
          </cell>
          <cell r="E572">
            <v>0</v>
          </cell>
        </row>
        <row r="573">
          <cell r="A573">
            <v>544</v>
          </cell>
          <cell r="E573">
            <v>0</v>
          </cell>
        </row>
        <row r="574">
          <cell r="A574">
            <v>545</v>
          </cell>
          <cell r="E574">
            <v>0</v>
          </cell>
        </row>
        <row r="575">
          <cell r="A575">
            <v>546</v>
          </cell>
          <cell r="E575">
            <v>0</v>
          </cell>
        </row>
        <row r="576">
          <cell r="A576">
            <v>547</v>
          </cell>
          <cell r="E576">
            <v>0</v>
          </cell>
        </row>
        <row r="577">
          <cell r="A577">
            <v>548</v>
          </cell>
          <cell r="E577">
            <v>0</v>
          </cell>
        </row>
        <row r="578">
          <cell r="A578">
            <v>549</v>
          </cell>
          <cell r="E578">
            <v>0</v>
          </cell>
        </row>
        <row r="579">
          <cell r="A579">
            <v>550</v>
          </cell>
          <cell r="E579">
            <v>0</v>
          </cell>
        </row>
        <row r="581">
          <cell r="A581" t="str">
            <v>REF.</v>
          </cell>
          <cell r="B581" t="str">
            <v>MATERIAL CARPINTERIA DE MADERAS</v>
          </cell>
          <cell r="C581" t="str">
            <v>UNIDAD</v>
          </cell>
          <cell r="D581" t="str">
            <v>PRECIO</v>
          </cell>
          <cell r="E581" t="str">
            <v>TRANSPORTE</v>
          </cell>
        </row>
        <row r="583">
          <cell r="A583">
            <v>551</v>
          </cell>
          <cell r="B583" t="str">
            <v>polín</v>
          </cell>
          <cell r="C583" t="str">
            <v>ML</v>
          </cell>
          <cell r="D583">
            <v>1500</v>
          </cell>
          <cell r="E583">
            <v>90</v>
          </cell>
        </row>
        <row r="584">
          <cell r="A584">
            <v>552</v>
          </cell>
          <cell r="B584" t="str">
            <v>Tabla burra de 0.30 x 3.00 mts</v>
          </cell>
          <cell r="C584" t="str">
            <v xml:space="preserve">UN </v>
          </cell>
          <cell r="D584">
            <v>7000</v>
          </cell>
          <cell r="E584">
            <v>420</v>
          </cell>
        </row>
        <row r="585">
          <cell r="A585">
            <v>553</v>
          </cell>
          <cell r="B585" t="str">
            <v>Estacas, pintura, puntillas</v>
          </cell>
          <cell r="C585" t="str">
            <v>GLB</v>
          </cell>
          <cell r="D585">
            <v>634</v>
          </cell>
          <cell r="E585">
            <v>38.04</v>
          </cell>
        </row>
        <row r="586">
          <cell r="A586">
            <v>554</v>
          </cell>
          <cell r="B586" t="str">
            <v>Guadua</v>
          </cell>
          <cell r="C586" t="str">
            <v>ML</v>
          </cell>
          <cell r="D586">
            <v>1500</v>
          </cell>
          <cell r="E586">
            <v>90</v>
          </cell>
        </row>
        <row r="587">
          <cell r="A587">
            <v>555</v>
          </cell>
          <cell r="B587" t="str">
            <v>listón de Madera</v>
          </cell>
          <cell r="C587" t="str">
            <v>UN</v>
          </cell>
          <cell r="D587">
            <v>650</v>
          </cell>
          <cell r="E587">
            <v>39</v>
          </cell>
        </row>
        <row r="588">
          <cell r="A588">
            <v>556</v>
          </cell>
          <cell r="E588">
            <v>0</v>
          </cell>
        </row>
        <row r="589">
          <cell r="A589">
            <v>557</v>
          </cell>
          <cell r="E589">
            <v>0</v>
          </cell>
        </row>
        <row r="590">
          <cell r="A590">
            <v>558</v>
          </cell>
          <cell r="E590">
            <v>0</v>
          </cell>
        </row>
        <row r="591">
          <cell r="A591">
            <v>559</v>
          </cell>
          <cell r="E591">
            <v>0</v>
          </cell>
        </row>
        <row r="592">
          <cell r="A592">
            <v>560</v>
          </cell>
          <cell r="E592">
            <v>0</v>
          </cell>
        </row>
        <row r="593">
          <cell r="A593">
            <v>561</v>
          </cell>
          <cell r="E593">
            <v>0</v>
          </cell>
        </row>
        <row r="594">
          <cell r="A594">
            <v>562</v>
          </cell>
          <cell r="E594">
            <v>0</v>
          </cell>
        </row>
        <row r="595">
          <cell r="A595">
            <v>563</v>
          </cell>
          <cell r="E595">
            <v>0</v>
          </cell>
        </row>
        <row r="596">
          <cell r="A596">
            <v>564</v>
          </cell>
          <cell r="E596">
            <v>0</v>
          </cell>
        </row>
        <row r="597">
          <cell r="A597">
            <v>565</v>
          </cell>
          <cell r="E597">
            <v>0</v>
          </cell>
        </row>
        <row r="598">
          <cell r="A598">
            <v>566</v>
          </cell>
          <cell r="E598">
            <v>0</v>
          </cell>
        </row>
        <row r="599">
          <cell r="A599">
            <v>567</v>
          </cell>
          <cell r="E599">
            <v>0</v>
          </cell>
        </row>
        <row r="600">
          <cell r="A600">
            <v>568</v>
          </cell>
          <cell r="E600">
            <v>0</v>
          </cell>
        </row>
        <row r="601">
          <cell r="A601">
            <v>569</v>
          </cell>
          <cell r="E601">
            <v>0</v>
          </cell>
        </row>
        <row r="602">
          <cell r="A602">
            <v>570</v>
          </cell>
          <cell r="E602">
            <v>0</v>
          </cell>
        </row>
        <row r="603">
          <cell r="A603">
            <v>571</v>
          </cell>
          <cell r="E603">
            <v>0</v>
          </cell>
        </row>
        <row r="604">
          <cell r="A604">
            <v>572</v>
          </cell>
          <cell r="E604">
            <v>0</v>
          </cell>
        </row>
        <row r="605">
          <cell r="A605">
            <v>573</v>
          </cell>
          <cell r="E605">
            <v>0</v>
          </cell>
        </row>
        <row r="606">
          <cell r="A606">
            <v>574</v>
          </cell>
          <cell r="E606">
            <v>0</v>
          </cell>
        </row>
        <row r="607">
          <cell r="A607">
            <v>575</v>
          </cell>
          <cell r="E607">
            <v>0</v>
          </cell>
        </row>
        <row r="608">
          <cell r="A608">
            <v>576</v>
          </cell>
          <cell r="E608">
            <v>0</v>
          </cell>
        </row>
        <row r="609">
          <cell r="A609">
            <v>577</v>
          </cell>
          <cell r="E609">
            <v>0</v>
          </cell>
        </row>
        <row r="610">
          <cell r="A610">
            <v>578</v>
          </cell>
          <cell r="E610">
            <v>0</v>
          </cell>
        </row>
        <row r="611">
          <cell r="A611">
            <v>579</v>
          </cell>
          <cell r="E611">
            <v>0</v>
          </cell>
        </row>
        <row r="612">
          <cell r="A612">
            <v>580</v>
          </cell>
          <cell r="E612">
            <v>0</v>
          </cell>
        </row>
        <row r="613">
          <cell r="A613">
            <v>581</v>
          </cell>
          <cell r="E613">
            <v>0</v>
          </cell>
        </row>
        <row r="614">
          <cell r="A614">
            <v>582</v>
          </cell>
          <cell r="E614">
            <v>0</v>
          </cell>
        </row>
        <row r="615">
          <cell r="A615">
            <v>583</v>
          </cell>
          <cell r="E615">
            <v>0</v>
          </cell>
        </row>
        <row r="616">
          <cell r="A616">
            <v>584</v>
          </cell>
          <cell r="E616">
            <v>0</v>
          </cell>
        </row>
        <row r="617">
          <cell r="A617">
            <v>585</v>
          </cell>
          <cell r="E617">
            <v>0</v>
          </cell>
        </row>
        <row r="618">
          <cell r="A618">
            <v>586</v>
          </cell>
          <cell r="E618">
            <v>0</v>
          </cell>
        </row>
        <row r="619">
          <cell r="A619">
            <v>587</v>
          </cell>
          <cell r="E619">
            <v>0</v>
          </cell>
        </row>
        <row r="620">
          <cell r="A620">
            <v>588</v>
          </cell>
          <cell r="E620">
            <v>0</v>
          </cell>
        </row>
        <row r="621">
          <cell r="A621">
            <v>589</v>
          </cell>
          <cell r="E621">
            <v>0</v>
          </cell>
        </row>
        <row r="622">
          <cell r="A622">
            <v>590</v>
          </cell>
          <cell r="E622">
            <v>0</v>
          </cell>
        </row>
        <row r="623">
          <cell r="A623">
            <v>591</v>
          </cell>
          <cell r="E623">
            <v>0</v>
          </cell>
        </row>
        <row r="624">
          <cell r="A624">
            <v>592</v>
          </cell>
          <cell r="E624">
            <v>0</v>
          </cell>
        </row>
        <row r="625">
          <cell r="A625">
            <v>593</v>
          </cell>
          <cell r="E625">
            <v>0</v>
          </cell>
        </row>
        <row r="626">
          <cell r="A626">
            <v>594</v>
          </cell>
          <cell r="E626">
            <v>0</v>
          </cell>
        </row>
        <row r="627">
          <cell r="A627">
            <v>595</v>
          </cell>
          <cell r="E627">
            <v>0</v>
          </cell>
        </row>
        <row r="628">
          <cell r="A628">
            <v>596</v>
          </cell>
          <cell r="E628">
            <v>0</v>
          </cell>
        </row>
        <row r="629">
          <cell r="A629">
            <v>597</v>
          </cell>
          <cell r="E629">
            <v>0</v>
          </cell>
        </row>
        <row r="630">
          <cell r="A630">
            <v>598</v>
          </cell>
          <cell r="E630">
            <v>0</v>
          </cell>
        </row>
        <row r="631">
          <cell r="A631">
            <v>599</v>
          </cell>
          <cell r="E631">
            <v>0</v>
          </cell>
        </row>
        <row r="632">
          <cell r="A632">
            <v>600</v>
          </cell>
          <cell r="E632">
            <v>0</v>
          </cell>
        </row>
        <row r="633">
          <cell r="A633">
            <v>601</v>
          </cell>
          <cell r="E633">
            <v>0</v>
          </cell>
        </row>
        <row r="634">
          <cell r="A634">
            <v>602</v>
          </cell>
          <cell r="E634">
            <v>0</v>
          </cell>
        </row>
        <row r="635">
          <cell r="A635">
            <v>603</v>
          </cell>
          <cell r="E635">
            <v>0</v>
          </cell>
        </row>
        <row r="636">
          <cell r="A636">
            <v>604</v>
          </cell>
          <cell r="E636">
            <v>0</v>
          </cell>
        </row>
        <row r="637">
          <cell r="A637">
            <v>605</v>
          </cell>
          <cell r="E637">
            <v>0</v>
          </cell>
        </row>
        <row r="638">
          <cell r="A638">
            <v>606</v>
          </cell>
          <cell r="E638">
            <v>0</v>
          </cell>
        </row>
        <row r="639">
          <cell r="A639">
            <v>607</v>
          </cell>
          <cell r="E639">
            <v>0</v>
          </cell>
        </row>
        <row r="640">
          <cell r="A640">
            <v>608</v>
          </cell>
          <cell r="E640">
            <v>0</v>
          </cell>
        </row>
        <row r="641">
          <cell r="A641">
            <v>609</v>
          </cell>
          <cell r="E641">
            <v>0</v>
          </cell>
        </row>
        <row r="642">
          <cell r="A642">
            <v>610</v>
          </cell>
          <cell r="E642">
            <v>0</v>
          </cell>
        </row>
        <row r="643">
          <cell r="A643">
            <v>611</v>
          </cell>
          <cell r="E643">
            <v>0</v>
          </cell>
        </row>
        <row r="644">
          <cell r="A644">
            <v>612</v>
          </cell>
          <cell r="E644">
            <v>0</v>
          </cell>
        </row>
        <row r="645">
          <cell r="A645">
            <v>613</v>
          </cell>
          <cell r="E645">
            <v>0</v>
          </cell>
        </row>
        <row r="646">
          <cell r="A646">
            <v>614</v>
          </cell>
          <cell r="E646">
            <v>0</v>
          </cell>
        </row>
        <row r="647">
          <cell r="A647">
            <v>615</v>
          </cell>
          <cell r="E647">
            <v>0</v>
          </cell>
        </row>
        <row r="648">
          <cell r="A648">
            <v>616</v>
          </cell>
          <cell r="E648">
            <v>0</v>
          </cell>
        </row>
        <row r="649">
          <cell r="A649">
            <v>617</v>
          </cell>
          <cell r="E649">
            <v>0</v>
          </cell>
        </row>
        <row r="650">
          <cell r="A650">
            <v>618</v>
          </cell>
          <cell r="E650">
            <v>0</v>
          </cell>
        </row>
        <row r="651">
          <cell r="A651">
            <v>619</v>
          </cell>
          <cell r="E651">
            <v>0</v>
          </cell>
        </row>
        <row r="652">
          <cell r="A652">
            <v>620</v>
          </cell>
          <cell r="E652">
            <v>0</v>
          </cell>
        </row>
        <row r="653">
          <cell r="A653">
            <v>621</v>
          </cell>
          <cell r="E653">
            <v>0</v>
          </cell>
        </row>
        <row r="654">
          <cell r="A654">
            <v>622</v>
          </cell>
          <cell r="E654">
            <v>0</v>
          </cell>
        </row>
        <row r="655">
          <cell r="A655">
            <v>623</v>
          </cell>
          <cell r="E655">
            <v>0</v>
          </cell>
        </row>
        <row r="656">
          <cell r="A656">
            <v>624</v>
          </cell>
          <cell r="E656">
            <v>0</v>
          </cell>
        </row>
        <row r="657">
          <cell r="A657">
            <v>625</v>
          </cell>
          <cell r="E657">
            <v>0</v>
          </cell>
        </row>
        <row r="658">
          <cell r="A658">
            <v>626</v>
          </cell>
          <cell r="E658">
            <v>0</v>
          </cell>
        </row>
        <row r="659">
          <cell r="A659">
            <v>627</v>
          </cell>
          <cell r="E659">
            <v>0</v>
          </cell>
        </row>
        <row r="660">
          <cell r="A660">
            <v>628</v>
          </cell>
          <cell r="E660">
            <v>0</v>
          </cell>
        </row>
        <row r="661">
          <cell r="A661">
            <v>629</v>
          </cell>
          <cell r="E661">
            <v>0</v>
          </cell>
        </row>
        <row r="662">
          <cell r="A662">
            <v>630</v>
          </cell>
          <cell r="E662">
            <v>0</v>
          </cell>
        </row>
        <row r="663">
          <cell r="A663">
            <v>631</v>
          </cell>
          <cell r="E663">
            <v>0</v>
          </cell>
        </row>
        <row r="664">
          <cell r="A664">
            <v>632</v>
          </cell>
          <cell r="E664">
            <v>0</v>
          </cell>
        </row>
        <row r="665">
          <cell r="A665">
            <v>633</v>
          </cell>
          <cell r="E665">
            <v>0</v>
          </cell>
        </row>
        <row r="666">
          <cell r="A666">
            <v>634</v>
          </cell>
          <cell r="E666">
            <v>0</v>
          </cell>
        </row>
        <row r="667">
          <cell r="A667">
            <v>635</v>
          </cell>
          <cell r="E667">
            <v>0</v>
          </cell>
        </row>
        <row r="668">
          <cell r="A668">
            <v>636</v>
          </cell>
          <cell r="E668">
            <v>0</v>
          </cell>
        </row>
        <row r="669">
          <cell r="A669">
            <v>637</v>
          </cell>
          <cell r="E669">
            <v>0</v>
          </cell>
        </row>
        <row r="670">
          <cell r="A670">
            <v>638</v>
          </cell>
          <cell r="E670">
            <v>0</v>
          </cell>
        </row>
        <row r="671">
          <cell r="A671">
            <v>639</v>
          </cell>
          <cell r="E671">
            <v>0</v>
          </cell>
        </row>
        <row r="672">
          <cell r="A672">
            <v>640</v>
          </cell>
          <cell r="E672">
            <v>0</v>
          </cell>
        </row>
        <row r="673">
          <cell r="A673">
            <v>641</v>
          </cell>
          <cell r="E673">
            <v>0</v>
          </cell>
        </row>
        <row r="674">
          <cell r="A674">
            <v>642</v>
          </cell>
          <cell r="E674">
            <v>0</v>
          </cell>
        </row>
        <row r="675">
          <cell r="A675">
            <v>643</v>
          </cell>
          <cell r="E675">
            <v>0</v>
          </cell>
        </row>
        <row r="676">
          <cell r="A676">
            <v>644</v>
          </cell>
          <cell r="E676">
            <v>0</v>
          </cell>
        </row>
        <row r="677">
          <cell r="A677">
            <v>645</v>
          </cell>
          <cell r="E677">
            <v>0</v>
          </cell>
        </row>
        <row r="678">
          <cell r="A678">
            <v>646</v>
          </cell>
          <cell r="E678">
            <v>0</v>
          </cell>
        </row>
        <row r="679">
          <cell r="A679">
            <v>647</v>
          </cell>
          <cell r="E679">
            <v>0</v>
          </cell>
        </row>
        <row r="680">
          <cell r="A680">
            <v>648</v>
          </cell>
          <cell r="E680">
            <v>0</v>
          </cell>
        </row>
        <row r="681">
          <cell r="A681">
            <v>649</v>
          </cell>
          <cell r="E681">
            <v>0</v>
          </cell>
        </row>
        <row r="682">
          <cell r="E682">
            <v>0</v>
          </cell>
        </row>
        <row r="683">
          <cell r="E683">
            <v>0</v>
          </cell>
        </row>
        <row r="684">
          <cell r="E684">
            <v>0</v>
          </cell>
        </row>
        <row r="685">
          <cell r="E685">
            <v>0</v>
          </cell>
        </row>
        <row r="686">
          <cell r="E686">
            <v>0</v>
          </cell>
        </row>
        <row r="687">
          <cell r="E687">
            <v>0</v>
          </cell>
        </row>
        <row r="688">
          <cell r="E688">
            <v>0</v>
          </cell>
        </row>
        <row r="689">
          <cell r="B689" t="str">
            <v>PUNTILLA 1 A 3"</v>
          </cell>
          <cell r="C689" t="str">
            <v>KG</v>
          </cell>
          <cell r="D689">
            <v>1500</v>
          </cell>
          <cell r="E689">
            <v>90</v>
          </cell>
        </row>
        <row r="690">
          <cell r="B690" t="str">
            <v>ALAMBRE NEGRO No 18</v>
          </cell>
          <cell r="C690" t="str">
            <v>KG</v>
          </cell>
          <cell r="D690">
            <v>2250</v>
          </cell>
          <cell r="E690">
            <v>135</v>
          </cell>
        </row>
        <row r="691">
          <cell r="B691" t="str">
            <v>polín</v>
          </cell>
          <cell r="C691" t="str">
            <v>ML</v>
          </cell>
          <cell r="D691">
            <v>1500</v>
          </cell>
          <cell r="E691">
            <v>90</v>
          </cell>
        </row>
        <row r="692">
          <cell r="B692" t="str">
            <v>CEMENTO</v>
          </cell>
          <cell r="C692" t="str">
            <v>KG</v>
          </cell>
          <cell r="D692">
            <v>300</v>
          </cell>
          <cell r="E692">
            <v>18</v>
          </cell>
        </row>
        <row r="693">
          <cell r="B693" t="str">
            <v xml:space="preserve">ARENA </v>
          </cell>
          <cell r="C693" t="str">
            <v>M³</v>
          </cell>
          <cell r="D693">
            <v>20000</v>
          </cell>
          <cell r="E693">
            <v>1200</v>
          </cell>
        </row>
        <row r="694">
          <cell r="B694" t="str">
            <v>GRAVILLA TRITURADA</v>
          </cell>
          <cell r="C694" t="str">
            <v>M³</v>
          </cell>
          <cell r="D694">
            <v>54000</v>
          </cell>
          <cell r="E694">
            <v>3240</v>
          </cell>
        </row>
        <row r="695">
          <cell r="B695" t="str">
            <v>AGUA</v>
          </cell>
          <cell r="C695" t="str">
            <v>LT</v>
          </cell>
          <cell r="D695">
            <v>5</v>
          </cell>
          <cell r="E695">
            <v>0.3</v>
          </cell>
        </row>
        <row r="696">
          <cell r="B696" t="str">
            <v xml:space="preserve">RECEBO </v>
          </cell>
          <cell r="C696" t="str">
            <v>M³</v>
          </cell>
          <cell r="D696">
            <v>16000</v>
          </cell>
          <cell r="E696">
            <v>960</v>
          </cell>
        </row>
        <row r="697">
          <cell r="B697" t="str">
            <v>HIERRO No 5</v>
          </cell>
          <cell r="C697" t="str">
            <v>KG</v>
          </cell>
          <cell r="D697">
            <v>2200</v>
          </cell>
          <cell r="E697">
            <v>132</v>
          </cell>
        </row>
        <row r="698">
          <cell r="B698" t="str">
            <v>HIERRO DE 3/8</v>
          </cell>
          <cell r="C698" t="str">
            <v>KG</v>
          </cell>
          <cell r="D698">
            <v>2200</v>
          </cell>
          <cell r="E698">
            <v>132</v>
          </cell>
        </row>
        <row r="699">
          <cell r="B699" t="str">
            <v>MALLA ELECTROSOLDADA Q2</v>
          </cell>
          <cell r="C699" t="str">
            <v>Und</v>
          </cell>
          <cell r="D699">
            <v>43000</v>
          </cell>
          <cell r="E699">
            <v>2580</v>
          </cell>
        </row>
        <row r="700">
          <cell r="B700" t="str">
            <v>LADRILLO TOLETE</v>
          </cell>
          <cell r="C700" t="str">
            <v>Und</v>
          </cell>
          <cell r="D700">
            <v>240</v>
          </cell>
          <cell r="E700">
            <v>14.399999999999999</v>
          </cell>
        </row>
        <row r="701">
          <cell r="B701" t="str">
            <v>BLOQUE No 5 HUECO 12X20X30</v>
          </cell>
          <cell r="C701" t="str">
            <v>Und</v>
          </cell>
          <cell r="D701">
            <v>670</v>
          </cell>
          <cell r="E701">
            <v>40.199999999999996</v>
          </cell>
        </row>
        <row r="702">
          <cell r="B702" t="str">
            <v>ARENA FINA</v>
          </cell>
          <cell r="C702" t="str">
            <v>M³</v>
          </cell>
          <cell r="D702">
            <v>20000</v>
          </cell>
          <cell r="E702">
            <v>1200</v>
          </cell>
        </row>
        <row r="703">
          <cell r="B703" t="str">
            <v>MALLA GALLINERO</v>
          </cell>
          <cell r="C703" t="str">
            <v>M²</v>
          </cell>
          <cell r="D703">
            <v>1250</v>
          </cell>
          <cell r="E703">
            <v>75</v>
          </cell>
        </row>
        <row r="704">
          <cell r="B704" t="str">
            <v>PINTURA EN ESMALTE</v>
          </cell>
          <cell r="C704" t="str">
            <v>GAL</v>
          </cell>
          <cell r="D704">
            <v>39600</v>
          </cell>
          <cell r="E704">
            <v>2376</v>
          </cell>
        </row>
        <row r="705">
          <cell r="B705" t="str">
            <v>VENTANA CUADRADA (0.50X0.50) INCLUYE VIDRIO</v>
          </cell>
          <cell r="C705" t="str">
            <v>Und</v>
          </cell>
          <cell r="D705">
            <v>80000</v>
          </cell>
          <cell r="E705">
            <v>4800</v>
          </cell>
        </row>
        <row r="706">
          <cell r="B706" t="str">
            <v>TEJA TERMOACUSTIC + CABELLETE</v>
          </cell>
          <cell r="C706" t="str">
            <v>M2</v>
          </cell>
          <cell r="D706">
            <v>24000</v>
          </cell>
          <cell r="E706">
            <v>1440</v>
          </cell>
        </row>
        <row r="707">
          <cell r="B707" t="str">
            <v>TORNILLO FIJA ALA</v>
          </cell>
          <cell r="C707" t="str">
            <v>Und.</v>
          </cell>
          <cell r="D707">
            <v>350</v>
          </cell>
          <cell r="E707">
            <v>21</v>
          </cell>
        </row>
        <row r="708">
          <cell r="B708" t="str">
            <v>TORNILLO AUTOPERFORANTE</v>
          </cell>
          <cell r="C708" t="str">
            <v>Und.</v>
          </cell>
          <cell r="D708">
            <v>300</v>
          </cell>
          <cell r="E708">
            <v>18</v>
          </cell>
        </row>
        <row r="709">
          <cell r="B709" t="str">
            <v>GRANIPLAST</v>
          </cell>
          <cell r="C709" t="str">
            <v>KG</v>
          </cell>
          <cell r="D709">
            <v>1200</v>
          </cell>
          <cell r="E709">
            <v>72</v>
          </cell>
        </row>
        <row r="710">
          <cell r="B710" t="str">
            <v>GRANITO #2</v>
          </cell>
          <cell r="C710" t="str">
            <v>BT</v>
          </cell>
          <cell r="D710">
            <v>6000</v>
          </cell>
          <cell r="E710">
            <v>360</v>
          </cell>
        </row>
        <row r="711">
          <cell r="B711" t="str">
            <v>tubería PVC 4" SANITARIA</v>
          </cell>
          <cell r="C711" t="str">
            <v>ML</v>
          </cell>
          <cell r="D711">
            <v>6000</v>
          </cell>
          <cell r="E711">
            <v>360</v>
          </cell>
        </row>
        <row r="712">
          <cell r="B712" t="str">
            <v>ACCESORIOS</v>
          </cell>
          <cell r="C712" t="str">
            <v>Und</v>
          </cell>
          <cell r="D712">
            <v>2500</v>
          </cell>
          <cell r="E712">
            <v>150</v>
          </cell>
        </row>
        <row r="713">
          <cell r="B713" t="str">
            <v>CANALETA ACESCO 90X12</v>
          </cell>
          <cell r="C713" t="str">
            <v>ML</v>
          </cell>
          <cell r="D713">
            <v>20625</v>
          </cell>
          <cell r="E713">
            <v>1237.5</v>
          </cell>
        </row>
        <row r="714">
          <cell r="B714" t="str">
            <v>TUBOS FLUORESENTES 1.80 m</v>
          </cell>
          <cell r="C714" t="str">
            <v>Und.</v>
          </cell>
          <cell r="D714">
            <v>5000</v>
          </cell>
          <cell r="E714">
            <v>300</v>
          </cell>
        </row>
        <row r="715">
          <cell r="B715" t="str">
            <v>BALASTRA</v>
          </cell>
          <cell r="C715" t="str">
            <v>Und.</v>
          </cell>
          <cell r="D715">
            <v>27000</v>
          </cell>
          <cell r="E715">
            <v>1620</v>
          </cell>
        </row>
        <row r="716">
          <cell r="B716" t="str">
            <v>FOCKER</v>
          </cell>
          <cell r="C716" t="str">
            <v>Und.</v>
          </cell>
          <cell r="D716">
            <v>1100</v>
          </cell>
          <cell r="E716">
            <v>66</v>
          </cell>
        </row>
        <row r="717">
          <cell r="B717" t="str">
            <v>ALAMBRE TW #12</v>
          </cell>
          <cell r="C717" t="str">
            <v>ML</v>
          </cell>
          <cell r="D717">
            <v>600</v>
          </cell>
          <cell r="E717">
            <v>36</v>
          </cell>
        </row>
        <row r="718">
          <cell r="B718" t="str">
            <v>TUBO CONDUIT PVC 1/2"</v>
          </cell>
          <cell r="C718" t="str">
            <v>ML</v>
          </cell>
          <cell r="D718">
            <v>1100</v>
          </cell>
          <cell r="E718">
            <v>66</v>
          </cell>
        </row>
        <row r="719">
          <cell r="B719" t="str">
            <v>CAJILLA TACOS</v>
          </cell>
          <cell r="C719" t="str">
            <v>Und.</v>
          </cell>
          <cell r="D719">
            <v>7000</v>
          </cell>
          <cell r="E719">
            <v>420</v>
          </cell>
        </row>
        <row r="720">
          <cell r="B720" t="str">
            <v>INTERRUPTORES</v>
          </cell>
          <cell r="C720" t="str">
            <v>Und.</v>
          </cell>
          <cell r="D720">
            <v>2900</v>
          </cell>
          <cell r="E720">
            <v>174</v>
          </cell>
        </row>
        <row r="721">
          <cell r="B721" t="str">
            <v>VARILLA DE COBRE DE 1.80M D= 1/2"</v>
          </cell>
          <cell r="C721" t="str">
            <v>Und</v>
          </cell>
          <cell r="D721">
            <v>40000</v>
          </cell>
          <cell r="E721">
            <v>2400</v>
          </cell>
        </row>
        <row r="722">
          <cell r="B722" t="str">
            <v>ALAMBRE COBRE No 10</v>
          </cell>
          <cell r="C722" t="str">
            <v>ML</v>
          </cell>
          <cell r="D722">
            <v>1100</v>
          </cell>
          <cell r="E722">
            <v>66</v>
          </cell>
        </row>
        <row r="723">
          <cell r="B723" t="str">
            <v xml:space="preserve">ACOMETIDA EXTERNA </v>
          </cell>
          <cell r="C723" t="str">
            <v>GL</v>
          </cell>
          <cell r="D723">
            <v>500000</v>
          </cell>
          <cell r="E723">
            <v>30000</v>
          </cell>
        </row>
        <row r="724">
          <cell r="B724" t="str">
            <v xml:space="preserve">CANALETA EN Lámina GALVANIZADA  0.25X0.35M, INCLUYE ángulo Y SUPLEMENTO </v>
          </cell>
          <cell r="C724" t="str">
            <v>ML</v>
          </cell>
          <cell r="D724">
            <v>90000</v>
          </cell>
          <cell r="E724">
            <v>5400</v>
          </cell>
        </row>
        <row r="725">
          <cell r="B725" t="str">
            <v>ángulo DE 2 1/2" X 3/16"</v>
          </cell>
          <cell r="C725" t="str">
            <v>ML</v>
          </cell>
          <cell r="D725">
            <v>71000</v>
          </cell>
          <cell r="E725">
            <v>4260</v>
          </cell>
        </row>
        <row r="726">
          <cell r="B726" t="str">
            <v>NIPLE GALVANIZADO 1/2"</v>
          </cell>
          <cell r="C726" t="str">
            <v>Und</v>
          </cell>
          <cell r="D726">
            <v>600</v>
          </cell>
          <cell r="E726">
            <v>36</v>
          </cell>
        </row>
        <row r="727">
          <cell r="B727" t="str">
            <v>DILATACION EN VIDRIO</v>
          </cell>
          <cell r="C727" t="str">
            <v>ML</v>
          </cell>
          <cell r="D727">
            <v>200</v>
          </cell>
          <cell r="E727">
            <v>12</v>
          </cell>
        </row>
        <row r="728">
          <cell r="B728" t="str">
            <v>ESTUCO PLASTICO PARA INTERIORES</v>
          </cell>
          <cell r="C728" t="str">
            <v>Gal</v>
          </cell>
          <cell r="D728">
            <v>12500</v>
          </cell>
          <cell r="E728">
            <v>750</v>
          </cell>
        </row>
        <row r="729">
          <cell r="B729" t="str">
            <v>VINILO VINILTEX TIPO I</v>
          </cell>
          <cell r="C729" t="str">
            <v>GaL</v>
          </cell>
          <cell r="D729">
            <v>41500</v>
          </cell>
          <cell r="E729">
            <v>2490</v>
          </cell>
        </row>
        <row r="730">
          <cell r="B730" t="str">
            <v>MORTERO 1:4</v>
          </cell>
          <cell r="C730" t="str">
            <v>M³</v>
          </cell>
          <cell r="D730" t="e">
            <v>#REF!</v>
          </cell>
          <cell r="E730" t="e">
            <v>#REF!</v>
          </cell>
        </row>
        <row r="731">
          <cell r="B731" t="str">
            <v>BALDOSA DUROPISO MANCESA  30X30</v>
          </cell>
          <cell r="C731" t="str">
            <v>M²</v>
          </cell>
          <cell r="D731">
            <v>20500</v>
          </cell>
          <cell r="E731">
            <v>1230</v>
          </cell>
        </row>
        <row r="732">
          <cell r="B732" t="str">
            <v>CEMENTO BLANCO</v>
          </cell>
          <cell r="C732" t="str">
            <v>KG</v>
          </cell>
          <cell r="D732">
            <v>970</v>
          </cell>
          <cell r="E732">
            <v>58.199999999999996</v>
          </cell>
        </row>
        <row r="733">
          <cell r="B733" t="str">
            <v>CONCRETO DE 3000 PSI</v>
          </cell>
          <cell r="C733" t="str">
            <v>M³</v>
          </cell>
          <cell r="D733" t="e">
            <v>#REF!</v>
          </cell>
          <cell r="E733" t="e">
            <v>#REF!</v>
          </cell>
        </row>
        <row r="734">
          <cell r="B734" t="str">
            <v>PROCTOR MODIFICADO</v>
          </cell>
          <cell r="C734" t="str">
            <v>Und</v>
          </cell>
          <cell r="D734">
            <v>70000</v>
          </cell>
          <cell r="E734">
            <v>4200</v>
          </cell>
        </row>
        <row r="735">
          <cell r="B735" t="str">
            <v>ENSAYO DE LABORATORIO</v>
          </cell>
          <cell r="C735" t="str">
            <v>M³</v>
          </cell>
          <cell r="D735">
            <v>3500</v>
          </cell>
          <cell r="E735">
            <v>210</v>
          </cell>
        </row>
        <row r="736">
          <cell r="B736" t="str">
            <v>tubería PRESION PVC 1/2"</v>
          </cell>
          <cell r="C736" t="str">
            <v>ML</v>
          </cell>
          <cell r="D736">
            <v>1150</v>
          </cell>
          <cell r="E736">
            <v>69</v>
          </cell>
        </row>
        <row r="737">
          <cell r="B737" t="str">
            <v>ADAPTADOR MACHO 1/2</v>
          </cell>
          <cell r="C737" t="str">
            <v>Und</v>
          </cell>
          <cell r="D737">
            <v>300</v>
          </cell>
          <cell r="E737">
            <v>18</v>
          </cell>
        </row>
        <row r="738">
          <cell r="B738" t="str">
            <v>CODO PVC 1/2"</v>
          </cell>
          <cell r="C738" t="str">
            <v>Und</v>
          </cell>
          <cell r="D738">
            <v>300</v>
          </cell>
          <cell r="E738">
            <v>18</v>
          </cell>
        </row>
        <row r="739">
          <cell r="B739" t="str">
            <v>TEE GALVANIZADA DE 1/2"</v>
          </cell>
          <cell r="C739" t="str">
            <v>Und</v>
          </cell>
          <cell r="D739">
            <v>600</v>
          </cell>
          <cell r="E739">
            <v>36</v>
          </cell>
        </row>
        <row r="740">
          <cell r="B740" t="str">
            <v xml:space="preserve">IMPREMANTE </v>
          </cell>
          <cell r="C740" t="str">
            <v>GL</v>
          </cell>
          <cell r="D740">
            <v>22000</v>
          </cell>
          <cell r="E740">
            <v>1320</v>
          </cell>
        </row>
        <row r="741">
          <cell r="B741" t="str">
            <v>MANTO FIBERGLASS 600 XT</v>
          </cell>
          <cell r="C741" t="str">
            <v>M²</v>
          </cell>
          <cell r="D741">
            <v>11500</v>
          </cell>
          <cell r="E741">
            <v>690</v>
          </cell>
        </row>
        <row r="742">
          <cell r="B742" t="str">
            <v>CONCRETO DE 2500 PSI</v>
          </cell>
          <cell r="C742" t="str">
            <v>M³</v>
          </cell>
          <cell r="E742">
            <v>0</v>
          </cell>
        </row>
        <row r="743">
          <cell r="B743" t="str">
            <v>ENSAYO DE LABORATORIO</v>
          </cell>
          <cell r="C743" t="str">
            <v>M³</v>
          </cell>
          <cell r="D743">
            <v>5000</v>
          </cell>
          <cell r="E743">
            <v>300</v>
          </cell>
        </row>
        <row r="744">
          <cell r="B744" t="str">
            <v>tubería PVC 3" SANITARIA</v>
          </cell>
          <cell r="C744" t="str">
            <v>ML</v>
          </cell>
          <cell r="D744">
            <v>4850</v>
          </cell>
          <cell r="E744">
            <v>291</v>
          </cell>
        </row>
        <row r="745">
          <cell r="B745" t="str">
            <v>CODO 3"X90 CXC SANITARIO</v>
          </cell>
          <cell r="C745" t="str">
            <v>Und</v>
          </cell>
          <cell r="D745">
            <v>3400</v>
          </cell>
          <cell r="E745">
            <v>204</v>
          </cell>
        </row>
        <row r="746">
          <cell r="B746" t="str">
            <v>CODO 4"X90 CXC SANITARIO</v>
          </cell>
          <cell r="C746" t="str">
            <v>Und</v>
          </cell>
          <cell r="D746">
            <v>5500</v>
          </cell>
          <cell r="E746">
            <v>330</v>
          </cell>
        </row>
        <row r="747">
          <cell r="B747" t="str">
            <v xml:space="preserve">LIMPIADOR PVC </v>
          </cell>
          <cell r="C747" t="str">
            <v>Und</v>
          </cell>
          <cell r="D747">
            <v>12500</v>
          </cell>
          <cell r="E747">
            <v>750</v>
          </cell>
        </row>
        <row r="748">
          <cell r="B748" t="str">
            <v>SOLDADURA PVC</v>
          </cell>
          <cell r="C748" t="str">
            <v>Und</v>
          </cell>
          <cell r="D748">
            <v>3500</v>
          </cell>
          <cell r="E748">
            <v>210</v>
          </cell>
        </row>
        <row r="749">
          <cell r="B749" t="str">
            <v>tubería PVC 4" SANITARIA</v>
          </cell>
          <cell r="C749" t="str">
            <v>ML</v>
          </cell>
          <cell r="D749">
            <v>7000</v>
          </cell>
          <cell r="E749">
            <v>420</v>
          </cell>
        </row>
        <row r="750">
          <cell r="B750" t="str">
            <v xml:space="preserve">Arena </v>
          </cell>
          <cell r="C750" t="str">
            <v>M3</v>
          </cell>
          <cell r="D750">
            <v>35000</v>
          </cell>
          <cell r="E750">
            <v>2100</v>
          </cell>
        </row>
        <row r="751">
          <cell r="B751" t="str">
            <v>Gravilla</v>
          </cell>
          <cell r="C751" t="str">
            <v>M3</v>
          </cell>
          <cell r="D751">
            <v>40000</v>
          </cell>
          <cell r="E751">
            <v>2400</v>
          </cell>
        </row>
        <row r="752">
          <cell r="B752" t="str">
            <v>Varilla de 1/2"</v>
          </cell>
          <cell r="C752" t="str">
            <v>ML</v>
          </cell>
          <cell r="D752">
            <v>1900</v>
          </cell>
          <cell r="E752">
            <v>114</v>
          </cell>
        </row>
        <row r="753">
          <cell r="B753" t="str">
            <v>Platina 11/2" x 3/16</v>
          </cell>
          <cell r="C753" t="str">
            <v>ML</v>
          </cell>
          <cell r="D753">
            <v>3600</v>
          </cell>
          <cell r="E753">
            <v>216</v>
          </cell>
        </row>
        <row r="754">
          <cell r="B754" t="str">
            <v>ángulo de 2 1/2" x 1/4</v>
          </cell>
          <cell r="C754" t="str">
            <v>ML</v>
          </cell>
          <cell r="D754">
            <v>13300</v>
          </cell>
          <cell r="E754">
            <v>798</v>
          </cell>
        </row>
        <row r="755">
          <cell r="B755" t="str">
            <v>ángulo de 11/2" x 3/16</v>
          </cell>
          <cell r="C755" t="str">
            <v>ML</v>
          </cell>
          <cell r="D755">
            <v>6400</v>
          </cell>
          <cell r="E755">
            <v>384</v>
          </cell>
        </row>
        <row r="756">
          <cell r="B756" t="str">
            <v>Varilla de 5/8" Corrugada</v>
          </cell>
          <cell r="C756" t="str">
            <v>ML</v>
          </cell>
          <cell r="D756">
            <v>3300</v>
          </cell>
          <cell r="E756">
            <v>198</v>
          </cell>
        </row>
        <row r="757">
          <cell r="B757" t="str">
            <v>Corredera</v>
          </cell>
          <cell r="C757" t="str">
            <v>UN</v>
          </cell>
          <cell r="D757">
            <v>1200</v>
          </cell>
          <cell r="E757">
            <v>72</v>
          </cell>
        </row>
        <row r="758">
          <cell r="B758" t="str">
            <v>Chapa marca Vera sencilla</v>
          </cell>
          <cell r="C758" t="str">
            <v>UN</v>
          </cell>
          <cell r="D758">
            <v>25000</v>
          </cell>
          <cell r="E758">
            <v>1500</v>
          </cell>
        </row>
        <row r="759">
          <cell r="B759" t="str">
            <v>Corredera</v>
          </cell>
          <cell r="C759" t="str">
            <v>UN</v>
          </cell>
          <cell r="D759">
            <v>2500</v>
          </cell>
          <cell r="E759">
            <v>150</v>
          </cell>
        </row>
        <row r="760">
          <cell r="B760" t="str">
            <v>ángulo de 11/2"x1/8"</v>
          </cell>
          <cell r="C760" t="str">
            <v>ML</v>
          </cell>
          <cell r="D760">
            <v>6500</v>
          </cell>
          <cell r="E760">
            <v>390</v>
          </cell>
        </row>
        <row r="761">
          <cell r="B761" t="str">
            <v>Correa tipo canal</v>
          </cell>
          <cell r="C761" t="str">
            <v>ML</v>
          </cell>
          <cell r="D761">
            <v>6600</v>
          </cell>
          <cell r="E761">
            <v>396</v>
          </cell>
        </row>
        <row r="762">
          <cell r="B762" t="str">
            <v>Perno de 3/4"</v>
          </cell>
          <cell r="C762" t="str">
            <v>UN</v>
          </cell>
          <cell r="D762">
            <v>1500</v>
          </cell>
          <cell r="E762">
            <v>90</v>
          </cell>
        </row>
        <row r="763">
          <cell r="B763" t="str">
            <v>Malla eslabonada de 2x2 cal 10</v>
          </cell>
          <cell r="C763" t="str">
            <v>M2</v>
          </cell>
          <cell r="D763">
            <v>10000</v>
          </cell>
          <cell r="E763">
            <v>600</v>
          </cell>
        </row>
        <row r="764">
          <cell r="B764" t="str">
            <v>Tubo galvanizado de 2"</v>
          </cell>
          <cell r="C764" t="str">
            <v>ML</v>
          </cell>
          <cell r="D764">
            <v>8000</v>
          </cell>
          <cell r="E764">
            <v>480</v>
          </cell>
        </row>
        <row r="765">
          <cell r="B765" t="str">
            <v>ángulo de 1"x1/8"</v>
          </cell>
          <cell r="C765" t="str">
            <v>ML</v>
          </cell>
          <cell r="D765">
            <v>2000</v>
          </cell>
          <cell r="E765">
            <v>120</v>
          </cell>
        </row>
        <row r="766">
          <cell r="B766" t="str">
            <v>Platina de 1/2"x1/8"</v>
          </cell>
          <cell r="C766" t="str">
            <v>ML</v>
          </cell>
          <cell r="D766">
            <v>1300</v>
          </cell>
          <cell r="E766">
            <v>78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CARRERA QUINTA."/>
      <sheetName val="PRECIOS"/>
      <sheetName val="ETAPA 1"/>
      <sheetName val="ETAPA 2"/>
      <sheetName val="ETAPA 3"/>
      <sheetName val="MODELO APU"/>
      <sheetName val="localizacion y replanteo"/>
      <sheetName val="CERRAMIENTO "/>
      <sheetName val="DEMOLIC"/>
      <sheetName val="DEMOLIC EN CONCRETO"/>
      <sheetName val="DEMOLIC EN CICLOPEO"/>
      <sheetName val="DEMOLI MUROS"/>
      <sheetName val="ROTURA Y EXC DE RODADURA"/>
      <sheetName val="NIVELACION DE TAPAS"/>
      <sheetName val="CORTE Y NEVEL"/>
      <sheetName val="RELLENO"/>
      <sheetName val="RELLENO EXCAVACION"/>
      <sheetName val="APB6"/>
      <sheetName val="L. TOPEROL"/>
      <sheetName val="AZUL RAYADA"/>
      <sheetName val="VERDE RAYADA"/>
      <sheetName val="L. AMARILLO OSCURO"/>
      <sheetName val="L. GRIS OS. LIS"/>
      <sheetName val="L.CUATRO C  OCRE"/>
      <sheetName val="L. NEGRA LIS"/>
      <sheetName val="ADOQ. P. OCRE"/>
      <sheetName val="ADOQ.V.OCRE"/>
      <sheetName val="ADOQ.V.GRIS"/>
      <sheetName val="ADOQ ARCILLA"/>
      <sheetName val="APB7 (2)"/>
      <sheetName val="APB7"/>
      <sheetName val="PLACA MINUSV"/>
      <sheetName val="SARDINEL"/>
      <sheetName val="BORDILLO PREF"/>
      <sheetName val="BORDILLO SITU"/>
      <sheetName val="BORDILLO SITU (2)"/>
      <sheetName val="CONCRETO ESTAMPADO ANTICADO."/>
      <sheetName val="CONCRETO PARA FRANJA DE AJUSTE."/>
      <sheetName val="CONCRETO ESTRIADO"/>
      <sheetName val="SUBASE G"/>
      <sheetName val="IMPRIMACION"/>
      <sheetName val="BASE G"/>
      <sheetName val="Cajeo M."/>
      <sheetName val="CAPETA ASFAL"/>
      <sheetName val="CEBRA"/>
      <sheetName val="FLECHA"/>
      <sheetName val="SE. VERTICAL"/>
      <sheetName val="CICLOPEO"/>
      <sheetName val="MURO ESTRUCTURAL EN BLOQUE SPLI"/>
      <sheetName val="MURO ESTRUCTURAL EN BLOQUE  OCR"/>
      <sheetName val="ARENA PARA JUEGOS."/>
      <sheetName val="GRAVA PARA Z BLANDAS."/>
      <sheetName val="GRAMA"/>
      <sheetName val="TRA Y REC TALUD "/>
      <sheetName val="TRAT. CORT. RAIZ"/>
      <sheetName val="TALA DE ARBOLES"/>
      <sheetName val="ARBOLES"/>
      <sheetName val="BANCA"/>
      <sheetName val="MOGADORES"/>
      <sheetName val="BOLARDOS"/>
      <sheetName val="CANECA ANCLADA"/>
      <sheetName val="CANECA PIVOTANTE"/>
      <sheetName val="juego didacticos"/>
      <sheetName val="Exca 0-2mt"/>
      <sheetName val="Exca 2-4mt"/>
      <sheetName val="TUBO 6"/>
      <sheetName val="SUMIDERO"/>
      <sheetName val="CABEZAL"/>
      <sheetName val="RELLENO GRANULAR"/>
      <sheetName val="RELLENO SUBASE"/>
      <sheetName val="RELLENO EXC"/>
      <sheetName val="RETIRO EXC"/>
      <sheetName val="Excavacion a mano"/>
      <sheetName val="Tuberia 8&quot; de gres "/>
      <sheetName val="Constr. posos de inspec"/>
      <sheetName val="Relleno de brecha con materia "/>
      <sheetName val="Relleno de brecha con recebo"/>
      <sheetName val="Retiro de sobran"/>
      <sheetName val="placa poli"/>
      <sheetName val="cañuela"/>
      <sheetName val="junta dila"/>
      <sheetName val="placa grade"/>
      <sheetName val="VIGA CIM"/>
      <sheetName val="COLUM GRAD"/>
      <sheetName val="viga sup"/>
      <sheetName val="muro"/>
      <sheetName val="cancha"/>
      <sheetName val="concreto muro gra"/>
      <sheetName val="poste"/>
      <sheetName val="malla"/>
      <sheetName val="Hoja1"/>
    </sheetNames>
    <sheetDataSet>
      <sheetData sheetId="0"/>
      <sheetData sheetId="1">
        <row r="1">
          <cell r="A1" t="str">
            <v>REF.</v>
          </cell>
          <cell r="B1" t="str">
            <v>MATERIAL PLAYA</v>
          </cell>
          <cell r="C1" t="str">
            <v>UNIDAD</v>
          </cell>
          <cell r="D1" t="str">
            <v>PRECIO</v>
          </cell>
          <cell r="E1" t="str">
            <v>TRANSPORTE</v>
          </cell>
        </row>
        <row r="2">
          <cell r="A2">
            <v>1</v>
          </cell>
          <cell r="B2" t="str">
            <v>Abono agrícola</v>
          </cell>
          <cell r="C2" t="str">
            <v>KG</v>
          </cell>
          <cell r="D2">
            <v>2500</v>
          </cell>
          <cell r="E2">
            <v>150</v>
          </cell>
        </row>
        <row r="3">
          <cell r="A3">
            <v>2</v>
          </cell>
          <cell r="B3" t="str">
            <v>Arena fina</v>
          </cell>
          <cell r="C3" t="str">
            <v>M3</v>
          </cell>
          <cell r="D3">
            <v>17000</v>
          </cell>
          <cell r="E3">
            <v>1020</v>
          </cell>
        </row>
        <row r="4">
          <cell r="A4">
            <v>3</v>
          </cell>
          <cell r="B4" t="str">
            <v>Arena para concreto</v>
          </cell>
          <cell r="C4" t="str">
            <v>M3</v>
          </cell>
          <cell r="D4">
            <v>18000</v>
          </cell>
          <cell r="E4">
            <v>1080</v>
          </cell>
        </row>
        <row r="5">
          <cell r="A5">
            <v>4</v>
          </cell>
          <cell r="B5" t="str">
            <v>Base granular (debe cumplir con especificaciòn Art.330/02 INVIAS,e=0.2 mts</v>
          </cell>
          <cell r="C5" t="str">
            <v>M3</v>
          </cell>
          <cell r="D5">
            <v>29000</v>
          </cell>
          <cell r="E5">
            <v>1740</v>
          </cell>
        </row>
        <row r="6">
          <cell r="A6">
            <v>5</v>
          </cell>
          <cell r="B6" t="str">
            <v>Grama</v>
          </cell>
          <cell r="C6" t="str">
            <v>M2</v>
          </cell>
          <cell r="D6">
            <v>2500</v>
          </cell>
          <cell r="E6">
            <v>150</v>
          </cell>
        </row>
        <row r="7">
          <cell r="A7">
            <v>6</v>
          </cell>
          <cell r="B7" t="str">
            <v>GRANITO #2</v>
          </cell>
          <cell r="C7" t="str">
            <v>BT</v>
          </cell>
          <cell r="D7">
            <v>6000</v>
          </cell>
          <cell r="E7">
            <v>360</v>
          </cell>
        </row>
        <row r="8">
          <cell r="A8">
            <v>7</v>
          </cell>
          <cell r="B8" t="str">
            <v>Gravilla de 3/4" a 1"</v>
          </cell>
          <cell r="C8" t="str">
            <v>M3</v>
          </cell>
          <cell r="D8">
            <v>35000</v>
          </cell>
          <cell r="E8">
            <v>2100</v>
          </cell>
        </row>
        <row r="9">
          <cell r="A9">
            <v>8</v>
          </cell>
          <cell r="B9" t="str">
            <v>Guadua</v>
          </cell>
          <cell r="C9" t="str">
            <v>ML</v>
          </cell>
          <cell r="D9">
            <v>1500</v>
          </cell>
          <cell r="E9">
            <v>90</v>
          </cell>
        </row>
        <row r="10">
          <cell r="A10">
            <v>9</v>
          </cell>
          <cell r="B10" t="str">
            <v>Recebo</v>
          </cell>
          <cell r="C10" t="str">
            <v>M3</v>
          </cell>
          <cell r="D10">
            <v>11500</v>
          </cell>
          <cell r="E10">
            <v>690</v>
          </cell>
        </row>
        <row r="11">
          <cell r="A11">
            <v>10</v>
          </cell>
          <cell r="B11" t="str">
            <v>Sub - base granular para vía</v>
          </cell>
          <cell r="C11" t="str">
            <v>M3</v>
          </cell>
          <cell r="D11">
            <v>12500</v>
          </cell>
          <cell r="E11">
            <v>750</v>
          </cell>
        </row>
        <row r="12">
          <cell r="A12">
            <v>11</v>
          </cell>
          <cell r="B12" t="str">
            <v>Tierra negra</v>
          </cell>
          <cell r="C12" t="str">
            <v>M3</v>
          </cell>
          <cell r="D12">
            <v>25000</v>
          </cell>
          <cell r="E12">
            <v>1500</v>
          </cell>
        </row>
        <row r="13">
          <cell r="A13">
            <v>12</v>
          </cell>
          <cell r="B13" t="str">
            <v>Triturado</v>
          </cell>
          <cell r="C13" t="str">
            <v>M3</v>
          </cell>
          <cell r="D13">
            <v>40000</v>
          </cell>
          <cell r="E13">
            <v>2400</v>
          </cell>
        </row>
        <row r="14">
          <cell r="A14">
            <v>13</v>
          </cell>
          <cell r="B14" t="str">
            <v>Piedra media zonga</v>
          </cell>
          <cell r="C14" t="str">
            <v>M3</v>
          </cell>
          <cell r="D14">
            <v>35000</v>
          </cell>
          <cell r="E14">
            <v>2100</v>
          </cell>
        </row>
        <row r="15">
          <cell r="A15">
            <v>14</v>
          </cell>
          <cell r="B15" t="str">
            <v>Arbol nativo, h &gt; 1,50 mts.</v>
          </cell>
          <cell r="C15" t="str">
            <v>UN</v>
          </cell>
          <cell r="D15">
            <v>20000</v>
          </cell>
          <cell r="E15">
            <v>1200</v>
          </cell>
        </row>
        <row r="16">
          <cell r="A16">
            <v>15</v>
          </cell>
          <cell r="B16" t="str">
            <v>Material granular</v>
          </cell>
          <cell r="C16" t="str">
            <v>M3</v>
          </cell>
          <cell r="E16">
            <v>0</v>
          </cell>
        </row>
        <row r="17">
          <cell r="A17">
            <v>16</v>
          </cell>
          <cell r="B17" t="str">
            <v xml:space="preserve">Sub - base granular </v>
          </cell>
          <cell r="C17" t="str">
            <v>M3</v>
          </cell>
          <cell r="D17">
            <v>22000</v>
          </cell>
          <cell r="E17">
            <v>1320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Adoquín en concreto, tipo  PEATONAL, de 0,20 x 0,10 mts., e= 0,06 mts.,  COLOR OCRE</v>
          </cell>
          <cell r="C25" t="str">
            <v>M2</v>
          </cell>
          <cell r="D25">
            <v>38850</v>
          </cell>
          <cell r="E25">
            <v>2331</v>
          </cell>
        </row>
        <row r="26">
          <cell r="A26">
            <v>22</v>
          </cell>
          <cell r="B26" t="str">
            <v>adoquín en concreto, tipo  PEATONAL, en concreto, de 0,20 x 0,10 mts., e= 0,06 mts.,  COLOR GRIS</v>
          </cell>
          <cell r="C26" t="str">
            <v>M2</v>
          </cell>
          <cell r="D26">
            <v>26050</v>
          </cell>
          <cell r="E26">
            <v>1563</v>
          </cell>
        </row>
        <row r="27">
          <cell r="A27">
            <v>23</v>
          </cell>
          <cell r="B27" t="str">
            <v>adoquín en concreto, tipo VEHICULAR ,  de 0,20 x 0,10 mts., e= 0,08 mts.,  COLOR NEGRO</v>
          </cell>
          <cell r="C27" t="str">
            <v>M2</v>
          </cell>
          <cell r="D27">
            <v>35305</v>
          </cell>
          <cell r="E27">
            <v>1412.2</v>
          </cell>
        </row>
        <row r="28">
          <cell r="A28">
            <v>24</v>
          </cell>
          <cell r="B28" t="str">
            <v>adoquín en concreto, tipo VEHICULAR ,  de 0,20 x 0,10 mts., e= 0,08 mts.,  COLOR OCRE</v>
          </cell>
          <cell r="C28" t="str">
            <v>M2</v>
          </cell>
          <cell r="D28">
            <v>44678</v>
          </cell>
          <cell r="E28">
            <v>1787.1200000000001</v>
          </cell>
        </row>
        <row r="29">
          <cell r="A29">
            <v>25</v>
          </cell>
          <cell r="B29" t="str">
            <v>adoquín en concreto, tipo VEHICULAR,  de 0,20 x 0,10 mts., e= 0,08 mts.,  COLOR GRIS</v>
          </cell>
          <cell r="C29" t="str">
            <v>M2</v>
          </cell>
          <cell r="D29">
            <v>29958</v>
          </cell>
          <cell r="E29">
            <v>1797.48</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1800</v>
          </cell>
        </row>
        <row r="32">
          <cell r="A32">
            <v>28</v>
          </cell>
          <cell r="B32" t="str">
            <v>Bordillos en concreto,  prefabricado sec.,10x,25x,80</v>
          </cell>
          <cell r="C32" t="str">
            <v>UN</v>
          </cell>
          <cell r="D32">
            <v>8000</v>
          </cell>
          <cell r="E32">
            <v>480</v>
          </cell>
        </row>
        <row r="33">
          <cell r="A33">
            <v>29</v>
          </cell>
          <cell r="B33" t="str">
            <v>Cemento Blanco</v>
          </cell>
          <cell r="C33" t="str">
            <v>KG</v>
          </cell>
          <cell r="D33">
            <v>760</v>
          </cell>
          <cell r="E33">
            <v>45.6</v>
          </cell>
        </row>
        <row r="34">
          <cell r="A34">
            <v>30</v>
          </cell>
          <cell r="B34" t="str">
            <v>Cemento gris</v>
          </cell>
          <cell r="C34" t="str">
            <v>KG</v>
          </cell>
          <cell r="D34">
            <v>290</v>
          </cell>
          <cell r="E34">
            <v>17.399999999999999</v>
          </cell>
        </row>
        <row r="35">
          <cell r="A35">
            <v>31</v>
          </cell>
          <cell r="B35" t="str">
            <v>Loseta prefabricada en concreto,  e = 0,06 mts de 0,40 x 0,40 mts. Para anden.  Color Gris</v>
          </cell>
          <cell r="C35" t="str">
            <v>M2</v>
          </cell>
          <cell r="D35">
            <v>28000</v>
          </cell>
          <cell r="E35">
            <v>1680</v>
          </cell>
        </row>
        <row r="36">
          <cell r="A36">
            <v>32</v>
          </cell>
          <cell r="B36" t="str">
            <v>Loseta prefabricada en concreto,  e = 0,06 mts de 0,40 x 0,40 mts. Para anden.  Color rojo - amarillo</v>
          </cell>
          <cell r="C36" t="str">
            <v>M2</v>
          </cell>
          <cell r="D36">
            <v>39000</v>
          </cell>
          <cell r="E36">
            <v>2340</v>
          </cell>
        </row>
        <row r="37">
          <cell r="A37">
            <v>33</v>
          </cell>
          <cell r="B37" t="str">
            <v>Loseta prefabricada en concreto,  e = 0,06 mts de 0,40 x 0,40 mts.COLOR GRIS - TOPEROL</v>
          </cell>
          <cell r="C37" t="str">
            <v>M2</v>
          </cell>
          <cell r="D37">
            <v>25050</v>
          </cell>
          <cell r="E37">
            <v>1503</v>
          </cell>
        </row>
        <row r="38">
          <cell r="A38">
            <v>34</v>
          </cell>
          <cell r="B38" t="str">
            <v>Loseta prefabricada en concreto,  e = 0,06 mts de 0,40 x 0,40 mts.COLOR GRIS OSCURO LISA</v>
          </cell>
          <cell r="C38" t="str">
            <v>M2</v>
          </cell>
          <cell r="D38">
            <v>26200</v>
          </cell>
          <cell r="E38">
            <v>1572</v>
          </cell>
        </row>
        <row r="39">
          <cell r="A39">
            <v>35</v>
          </cell>
          <cell r="B39" t="str">
            <v>Loseta prefabricada en concreto,  e = 0,06 mts de 0,40 x 0,40 mts.COLOR NEGRO LISA</v>
          </cell>
          <cell r="C39" t="str">
            <v>M2</v>
          </cell>
          <cell r="D39">
            <v>29700</v>
          </cell>
          <cell r="E39">
            <v>1782</v>
          </cell>
        </row>
        <row r="40">
          <cell r="A40">
            <v>36</v>
          </cell>
          <cell r="B40" t="str">
            <v>Loseta prefabricada en concreto,  e = 0,06 mts de 0,40 x 0,40 mts.COLOR OCRE RAYADA</v>
          </cell>
          <cell r="C40" t="str">
            <v>M2</v>
          </cell>
          <cell r="D40">
            <v>37850</v>
          </cell>
          <cell r="E40">
            <v>1514</v>
          </cell>
        </row>
        <row r="41">
          <cell r="A41">
            <v>37</v>
          </cell>
          <cell r="B41" t="str">
            <v xml:space="preserve">Loseta prefabricada en concreto,  e = 0,06 mts de 0,40 x 0,40 mts.COLOR ROJO OSCURO,  Nueve cuadros. </v>
          </cell>
          <cell r="C41" t="str">
            <v>M2</v>
          </cell>
          <cell r="D41">
            <v>37850</v>
          </cell>
          <cell r="E41">
            <v>2271</v>
          </cell>
        </row>
        <row r="42">
          <cell r="A42">
            <v>38</v>
          </cell>
          <cell r="B42" t="str">
            <v>Loseta prefabricada en concreto,  e = 0,06 mts de 0,40 x 0,40 mts.COLOR VERDE CLARO,  Nueve cuadros</v>
          </cell>
          <cell r="C42" t="str">
            <v>M2</v>
          </cell>
          <cell r="D42">
            <v>41100</v>
          </cell>
          <cell r="E42">
            <v>1644</v>
          </cell>
        </row>
        <row r="43">
          <cell r="A43">
            <v>39</v>
          </cell>
          <cell r="B43" t="str">
            <v>Sardinel prefabricado en concreto de 1,00 x 0,17 x 0,45 mts. Redondo</v>
          </cell>
          <cell r="C43" t="str">
            <v>UN</v>
          </cell>
          <cell r="D43">
            <v>11000</v>
          </cell>
          <cell r="E43">
            <v>660</v>
          </cell>
        </row>
        <row r="44">
          <cell r="A44">
            <v>40</v>
          </cell>
          <cell r="B44" t="str">
            <v>Bloque de concreto Split No 15</v>
          </cell>
          <cell r="C44" t="str">
            <v>UN</v>
          </cell>
          <cell r="D44">
            <v>1200</v>
          </cell>
          <cell r="E44">
            <v>72</v>
          </cell>
        </row>
        <row r="45">
          <cell r="A45">
            <v>41</v>
          </cell>
          <cell r="B45" t="str">
            <v>FLEXA NYCON</v>
          </cell>
          <cell r="C45" t="str">
            <v>BOL</v>
          </cell>
          <cell r="D45">
            <v>25000</v>
          </cell>
          <cell r="E45">
            <v>1500</v>
          </cell>
        </row>
        <row r="46">
          <cell r="A46">
            <v>42</v>
          </cell>
          <cell r="B46" t="str">
            <v>Cañuelas prefabricadas</v>
          </cell>
          <cell r="C46" t="str">
            <v>UN</v>
          </cell>
          <cell r="D46">
            <v>15000</v>
          </cell>
          <cell r="E46">
            <v>900</v>
          </cell>
        </row>
        <row r="47">
          <cell r="A47">
            <v>43</v>
          </cell>
          <cell r="B47" t="str">
            <v>FLEXTHANE-200</v>
          </cell>
          <cell r="C47" t="str">
            <v>UN</v>
          </cell>
          <cell r="D47">
            <v>1000</v>
          </cell>
          <cell r="E47">
            <v>60</v>
          </cell>
        </row>
        <row r="48">
          <cell r="A48">
            <v>44</v>
          </cell>
          <cell r="B48" t="str">
            <v>FLEXABACKET ROOD 1/4"</v>
          </cell>
          <cell r="C48" t="str">
            <v>ML</v>
          </cell>
          <cell r="D48">
            <v>500</v>
          </cell>
          <cell r="E48">
            <v>30</v>
          </cell>
        </row>
        <row r="49">
          <cell r="A49">
            <v>45</v>
          </cell>
          <cell r="B49" t="str">
            <v>Suministro e instalación de losetas prefabricadas en concreto color OCRE cuatro cuadros para piso de e= .06 mt. de .40x.40. Incluye: mortero fluido e=.04cms y colchón de arena e=.03 y sello juntas</v>
          </cell>
          <cell r="C49" t="str">
            <v>M2</v>
          </cell>
          <cell r="D49">
            <v>37850</v>
          </cell>
          <cell r="E49">
            <v>2271</v>
          </cell>
        </row>
        <row r="50">
          <cell r="A50">
            <v>46</v>
          </cell>
          <cell r="B50" t="str">
            <v>Suministro e instalación de losetas prefabricadas en concreto color AMARILLO OSCURO cuatro cuadros para piso de e= .06 mt. de .40x.40. Incluye: mortero fluido e=.04cms y colchón de arena e=.03 y sello juntas</v>
          </cell>
          <cell r="D50">
            <v>37850</v>
          </cell>
          <cell r="E50">
            <v>2271</v>
          </cell>
        </row>
        <row r="51">
          <cell r="A51">
            <v>47</v>
          </cell>
          <cell r="E51">
            <v>0</v>
          </cell>
        </row>
        <row r="52">
          <cell r="A52">
            <v>48</v>
          </cell>
          <cell r="E52">
            <v>0</v>
          </cell>
        </row>
        <row r="53">
          <cell r="A53">
            <v>49</v>
          </cell>
          <cell r="E53">
            <v>0</v>
          </cell>
        </row>
        <row r="54">
          <cell r="A54">
            <v>50</v>
          </cell>
          <cell r="E54">
            <v>0</v>
          </cell>
        </row>
        <row r="55">
          <cell r="A55">
            <v>51</v>
          </cell>
          <cell r="E55">
            <v>0</v>
          </cell>
        </row>
        <row r="56">
          <cell r="A56">
            <v>52</v>
          </cell>
          <cell r="E56">
            <v>0</v>
          </cell>
        </row>
        <row r="57">
          <cell r="A57">
            <v>53</v>
          </cell>
          <cell r="E57">
            <v>0</v>
          </cell>
        </row>
        <row r="58">
          <cell r="A58">
            <v>54</v>
          </cell>
          <cell r="E58">
            <v>0</v>
          </cell>
        </row>
        <row r="59">
          <cell r="A59">
            <v>55</v>
          </cell>
          <cell r="E59">
            <v>0</v>
          </cell>
        </row>
        <row r="60">
          <cell r="A60">
            <v>56</v>
          </cell>
          <cell r="E60">
            <v>0</v>
          </cell>
        </row>
        <row r="61">
          <cell r="A61">
            <v>57</v>
          </cell>
          <cell r="E61">
            <v>0</v>
          </cell>
        </row>
        <row r="62">
          <cell r="A62">
            <v>58</v>
          </cell>
          <cell r="E62">
            <v>0</v>
          </cell>
        </row>
        <row r="63">
          <cell r="A63">
            <v>59</v>
          </cell>
          <cell r="E63">
            <v>0</v>
          </cell>
        </row>
        <row r="64">
          <cell r="A64">
            <v>60</v>
          </cell>
          <cell r="E64">
            <v>0</v>
          </cell>
        </row>
        <row r="65">
          <cell r="A65">
            <v>61</v>
          </cell>
          <cell r="E65">
            <v>0</v>
          </cell>
        </row>
        <row r="66">
          <cell r="A66">
            <v>62</v>
          </cell>
          <cell r="E66">
            <v>0</v>
          </cell>
        </row>
        <row r="67">
          <cell r="A67">
            <v>63</v>
          </cell>
          <cell r="E67">
            <v>0</v>
          </cell>
        </row>
        <row r="68">
          <cell r="A68">
            <v>64</v>
          </cell>
          <cell r="E68">
            <v>0</v>
          </cell>
        </row>
        <row r="69">
          <cell r="A69">
            <v>65</v>
          </cell>
          <cell r="E69">
            <v>0</v>
          </cell>
        </row>
        <row r="70">
          <cell r="A70">
            <v>66</v>
          </cell>
          <cell r="E70">
            <v>0</v>
          </cell>
        </row>
        <row r="71">
          <cell r="A71">
            <v>67</v>
          </cell>
          <cell r="E71">
            <v>0</v>
          </cell>
        </row>
        <row r="72">
          <cell r="A72">
            <v>68</v>
          </cell>
          <cell r="E72">
            <v>0</v>
          </cell>
        </row>
        <row r="73">
          <cell r="A73">
            <v>69</v>
          </cell>
          <cell r="E73">
            <v>0</v>
          </cell>
        </row>
        <row r="74">
          <cell r="A74">
            <v>70</v>
          </cell>
          <cell r="E74">
            <v>0</v>
          </cell>
        </row>
        <row r="76">
          <cell r="A76" t="str">
            <v>REF.</v>
          </cell>
          <cell r="B76" t="str">
            <v>MATERIAL GRESS</v>
          </cell>
          <cell r="C76" t="str">
            <v>UNIDAD</v>
          </cell>
          <cell r="D76" t="str">
            <v>PRECIO</v>
          </cell>
          <cell r="E76" t="str">
            <v>TRANSPORTE</v>
          </cell>
        </row>
        <row r="78">
          <cell r="A78">
            <v>71</v>
          </cell>
          <cell r="B78" t="str">
            <v>Baldosa Duropiso Mancesa  30X30</v>
          </cell>
          <cell r="C78" t="str">
            <v>M²</v>
          </cell>
          <cell r="D78">
            <v>20500</v>
          </cell>
          <cell r="E78">
            <v>1230</v>
          </cell>
        </row>
        <row r="79">
          <cell r="A79">
            <v>72</v>
          </cell>
          <cell r="B79" t="str">
            <v xml:space="preserve">Bloque No 4 Hueco </v>
          </cell>
          <cell r="C79" t="str">
            <v>Und</v>
          </cell>
          <cell r="D79">
            <v>480</v>
          </cell>
          <cell r="E79">
            <v>28.799999999999997</v>
          </cell>
        </row>
        <row r="80">
          <cell r="A80">
            <v>73</v>
          </cell>
          <cell r="B80" t="str">
            <v>Bloque No 5 Hueco 12X20X30</v>
          </cell>
          <cell r="C80" t="str">
            <v>Und</v>
          </cell>
          <cell r="D80">
            <v>670</v>
          </cell>
          <cell r="E80">
            <v>40.199999999999996</v>
          </cell>
        </row>
        <row r="81">
          <cell r="A81">
            <v>74</v>
          </cell>
          <cell r="B81" t="str">
            <v>Ladrillo Tolete</v>
          </cell>
          <cell r="C81" t="str">
            <v>Und</v>
          </cell>
          <cell r="D81">
            <v>240</v>
          </cell>
          <cell r="E81">
            <v>14.399999999999999</v>
          </cell>
        </row>
        <row r="82">
          <cell r="A82">
            <v>75</v>
          </cell>
          <cell r="B82" t="str">
            <v>tubería de gres, D= 6"</v>
          </cell>
          <cell r="C82" t="str">
            <v>ML</v>
          </cell>
          <cell r="E82">
            <v>0</v>
          </cell>
        </row>
        <row r="83">
          <cell r="A83">
            <v>76</v>
          </cell>
          <cell r="B83" t="str">
            <v>adoquínes de arcilla   para piso, e =.06 mt ,20 mt x,10 mt, deacuerdo a la NTC 2017.</v>
          </cell>
          <cell r="C83" t="str">
            <v>ML</v>
          </cell>
          <cell r="D83">
            <v>25000</v>
          </cell>
          <cell r="E83">
            <v>1500</v>
          </cell>
        </row>
        <row r="84">
          <cell r="A84">
            <v>77</v>
          </cell>
          <cell r="B84" t="str">
            <v>tubería de gres, D= 8"</v>
          </cell>
          <cell r="C84" t="str">
            <v>ML</v>
          </cell>
          <cell r="D84">
            <v>13100</v>
          </cell>
          <cell r="E84">
            <v>786</v>
          </cell>
        </row>
        <row r="85">
          <cell r="A85">
            <v>78</v>
          </cell>
          <cell r="E85">
            <v>0</v>
          </cell>
        </row>
        <row r="86">
          <cell r="A86">
            <v>79</v>
          </cell>
          <cell r="E86">
            <v>0</v>
          </cell>
        </row>
        <row r="87">
          <cell r="A87">
            <v>80</v>
          </cell>
          <cell r="E87">
            <v>0</v>
          </cell>
        </row>
        <row r="88">
          <cell r="A88">
            <v>81</v>
          </cell>
          <cell r="E88">
            <v>0</v>
          </cell>
        </row>
        <row r="89">
          <cell r="A89">
            <v>82</v>
          </cell>
          <cell r="E89">
            <v>0</v>
          </cell>
        </row>
        <row r="90">
          <cell r="A90">
            <v>83</v>
          </cell>
          <cell r="E90">
            <v>0</v>
          </cell>
        </row>
        <row r="91">
          <cell r="A91">
            <v>84</v>
          </cell>
          <cell r="E91">
            <v>0</v>
          </cell>
        </row>
        <row r="92">
          <cell r="A92">
            <v>85</v>
          </cell>
          <cell r="E92">
            <v>0</v>
          </cell>
        </row>
        <row r="93">
          <cell r="A93">
            <v>86</v>
          </cell>
          <cell r="E93">
            <v>0</v>
          </cell>
        </row>
        <row r="94">
          <cell r="A94">
            <v>87</v>
          </cell>
          <cell r="E94">
            <v>0</v>
          </cell>
        </row>
        <row r="95">
          <cell r="A95">
            <v>88</v>
          </cell>
          <cell r="E95">
            <v>0</v>
          </cell>
        </row>
        <row r="96">
          <cell r="A96">
            <v>89</v>
          </cell>
          <cell r="E96">
            <v>0</v>
          </cell>
        </row>
        <row r="97">
          <cell r="A97">
            <v>90</v>
          </cell>
          <cell r="E97">
            <v>0</v>
          </cell>
        </row>
        <row r="98">
          <cell r="A98">
            <v>91</v>
          </cell>
          <cell r="E98">
            <v>0</v>
          </cell>
        </row>
        <row r="99">
          <cell r="A99">
            <v>92</v>
          </cell>
          <cell r="E99">
            <v>0</v>
          </cell>
        </row>
        <row r="100">
          <cell r="A100">
            <v>93</v>
          </cell>
          <cell r="E100">
            <v>0</v>
          </cell>
        </row>
        <row r="101">
          <cell r="A101">
            <v>94</v>
          </cell>
          <cell r="E101">
            <v>0</v>
          </cell>
        </row>
        <row r="102">
          <cell r="A102">
            <v>95</v>
          </cell>
          <cell r="E102">
            <v>0</v>
          </cell>
        </row>
        <row r="103">
          <cell r="A103">
            <v>96</v>
          </cell>
          <cell r="E103">
            <v>0</v>
          </cell>
        </row>
        <row r="104">
          <cell r="A104">
            <v>97</v>
          </cell>
          <cell r="E104">
            <v>0</v>
          </cell>
        </row>
        <row r="105">
          <cell r="A105">
            <v>98</v>
          </cell>
          <cell r="E105">
            <v>0</v>
          </cell>
        </row>
        <row r="106">
          <cell r="A106">
            <v>99</v>
          </cell>
          <cell r="E106">
            <v>0</v>
          </cell>
        </row>
        <row r="107">
          <cell r="A107">
            <v>100</v>
          </cell>
          <cell r="E107">
            <v>0</v>
          </cell>
        </row>
        <row r="108">
          <cell r="A108">
            <v>101</v>
          </cell>
          <cell r="E108">
            <v>0</v>
          </cell>
        </row>
        <row r="109">
          <cell r="A109">
            <v>102</v>
          </cell>
          <cell r="E109">
            <v>0</v>
          </cell>
        </row>
        <row r="110">
          <cell r="A110">
            <v>103</v>
          </cell>
          <cell r="E110">
            <v>0</v>
          </cell>
        </row>
        <row r="111">
          <cell r="A111">
            <v>104</v>
          </cell>
          <cell r="E111">
            <v>0</v>
          </cell>
        </row>
        <row r="112">
          <cell r="A112">
            <v>105</v>
          </cell>
          <cell r="E112">
            <v>0</v>
          </cell>
        </row>
        <row r="113">
          <cell r="A113">
            <v>106</v>
          </cell>
          <cell r="E113">
            <v>0</v>
          </cell>
        </row>
        <row r="114">
          <cell r="A114">
            <v>107</v>
          </cell>
          <cell r="E114">
            <v>0</v>
          </cell>
        </row>
        <row r="115">
          <cell r="A115">
            <v>108</v>
          </cell>
          <cell r="E115">
            <v>0</v>
          </cell>
        </row>
        <row r="116">
          <cell r="A116">
            <v>109</v>
          </cell>
          <cell r="E116">
            <v>0</v>
          </cell>
        </row>
        <row r="117">
          <cell r="A117">
            <v>110</v>
          </cell>
          <cell r="E117">
            <v>0</v>
          </cell>
        </row>
        <row r="119">
          <cell r="A119" t="str">
            <v>REF.</v>
          </cell>
          <cell r="B119" t="str">
            <v>MATERIAL ELECTRICO</v>
          </cell>
          <cell r="C119" t="str">
            <v>UNIDAD</v>
          </cell>
          <cell r="D119" t="str">
            <v>PRECIO</v>
          </cell>
          <cell r="E119" t="str">
            <v>TRANSPORTE</v>
          </cell>
        </row>
        <row r="121">
          <cell r="A121">
            <v>111</v>
          </cell>
          <cell r="B121" t="str">
            <v>Poste Cemento 750 Kg x 12mrs</v>
          </cell>
          <cell r="C121" t="str">
            <v>UN</v>
          </cell>
          <cell r="E121">
            <v>0</v>
          </cell>
        </row>
        <row r="122">
          <cell r="A122">
            <v>112</v>
          </cell>
          <cell r="B122" t="str">
            <v>Cable ACSR Nº 1/0</v>
          </cell>
          <cell r="C122" t="str">
            <v>ML</v>
          </cell>
          <cell r="E122">
            <v>0</v>
          </cell>
        </row>
        <row r="123">
          <cell r="A123">
            <v>113</v>
          </cell>
          <cell r="B123" t="str">
            <v>Conectores Linea Viva</v>
          </cell>
          <cell r="C123" t="str">
            <v>UN</v>
          </cell>
          <cell r="E123">
            <v>0</v>
          </cell>
        </row>
        <row r="124">
          <cell r="A124">
            <v>114</v>
          </cell>
          <cell r="B124" t="str">
            <v>Pernos de Maquina de 10"</v>
          </cell>
          <cell r="C124" t="str">
            <v>UN</v>
          </cell>
          <cell r="E124">
            <v>0</v>
          </cell>
        </row>
        <row r="125">
          <cell r="A125">
            <v>115</v>
          </cell>
          <cell r="B125" t="str">
            <v>Cruceta Metálica de 2 1/2 x 2 1/2 x 3/16 x 2 x 1</v>
          </cell>
          <cell r="C125" t="str">
            <v>UN</v>
          </cell>
          <cell r="E125">
            <v>0</v>
          </cell>
        </row>
        <row r="126">
          <cell r="A126">
            <v>116</v>
          </cell>
          <cell r="B126" t="str">
            <v>Diagonal de 0.6mts</v>
          </cell>
          <cell r="C126" t="str">
            <v>UN</v>
          </cell>
          <cell r="E126">
            <v>0</v>
          </cell>
        </row>
        <row r="127">
          <cell r="A127">
            <v>117</v>
          </cell>
          <cell r="B127" t="str">
            <v xml:space="preserve">Aislador tipo disco de 6" </v>
          </cell>
          <cell r="C127" t="str">
            <v>UN</v>
          </cell>
          <cell r="E127">
            <v>0</v>
          </cell>
        </row>
        <row r="128">
          <cell r="A128">
            <v>118</v>
          </cell>
          <cell r="B128" t="str">
            <v>Grapa de retención</v>
          </cell>
          <cell r="C128" t="str">
            <v>UN</v>
          </cell>
          <cell r="E128">
            <v>0</v>
          </cell>
        </row>
        <row r="129">
          <cell r="A129">
            <v>119</v>
          </cell>
          <cell r="B129" t="str">
            <v>Tuercas de ojo</v>
          </cell>
          <cell r="C129" t="str">
            <v>UN</v>
          </cell>
          <cell r="E129">
            <v>0</v>
          </cell>
        </row>
        <row r="130">
          <cell r="A130">
            <v>120</v>
          </cell>
          <cell r="B130" t="str">
            <v>Collarines de 5 a 6</v>
          </cell>
          <cell r="C130" t="str">
            <v>UN</v>
          </cell>
          <cell r="E130">
            <v>0</v>
          </cell>
        </row>
        <row r="131">
          <cell r="A131">
            <v>121</v>
          </cell>
          <cell r="B131" t="str">
            <v>Cruceta para Transformador</v>
          </cell>
          <cell r="C131" t="str">
            <v>UN</v>
          </cell>
          <cell r="E131">
            <v>0</v>
          </cell>
        </row>
        <row r="132">
          <cell r="A132">
            <v>122</v>
          </cell>
          <cell r="B132" t="str">
            <v>Corta Circuitos</v>
          </cell>
          <cell r="C132" t="str">
            <v>UN</v>
          </cell>
          <cell r="E132">
            <v>0</v>
          </cell>
        </row>
        <row r="133">
          <cell r="A133">
            <v>123</v>
          </cell>
          <cell r="B133" t="str">
            <v>Para Rayos</v>
          </cell>
          <cell r="C133" t="str">
            <v>UN</v>
          </cell>
          <cell r="E133">
            <v>0</v>
          </cell>
        </row>
        <row r="134">
          <cell r="A134">
            <v>124</v>
          </cell>
          <cell r="B134" t="str">
            <v>Polo a Tierra</v>
          </cell>
          <cell r="C134" t="str">
            <v>UN</v>
          </cell>
          <cell r="E134">
            <v>0</v>
          </cell>
        </row>
        <row r="135">
          <cell r="A135">
            <v>125</v>
          </cell>
          <cell r="B135" t="str">
            <v xml:space="preserve">Transformador  </v>
          </cell>
          <cell r="C135" t="str">
            <v>UN</v>
          </cell>
          <cell r="E135">
            <v>0</v>
          </cell>
        </row>
        <row r="136">
          <cell r="A136">
            <v>126</v>
          </cell>
          <cell r="B136" t="str">
            <v>Tubo de 2"</v>
          </cell>
          <cell r="C136" t="str">
            <v>ML</v>
          </cell>
          <cell r="E136">
            <v>0</v>
          </cell>
        </row>
        <row r="137">
          <cell r="A137">
            <v>127</v>
          </cell>
          <cell r="B137" t="str">
            <v>Cable Nº 6 THHN</v>
          </cell>
          <cell r="C137" t="str">
            <v>ML</v>
          </cell>
          <cell r="E137">
            <v>0</v>
          </cell>
        </row>
        <row r="138">
          <cell r="A138">
            <v>128</v>
          </cell>
          <cell r="B138" t="str">
            <v>Caja Contador</v>
          </cell>
          <cell r="C138" t="str">
            <v>UN</v>
          </cell>
          <cell r="E138">
            <v>0</v>
          </cell>
        </row>
        <row r="139">
          <cell r="A139">
            <v>129</v>
          </cell>
          <cell r="B139" t="str">
            <v>Contador</v>
          </cell>
          <cell r="C139" t="str">
            <v>UN</v>
          </cell>
          <cell r="E139">
            <v>0</v>
          </cell>
        </row>
        <row r="140">
          <cell r="A140">
            <v>130</v>
          </cell>
          <cell r="B140" t="str">
            <v>Automatico de protección</v>
          </cell>
          <cell r="C140" t="str">
            <v>UN</v>
          </cell>
          <cell r="E140">
            <v>0</v>
          </cell>
        </row>
        <row r="141">
          <cell r="A141">
            <v>131</v>
          </cell>
          <cell r="B141" t="str">
            <v>Caja Circuitos</v>
          </cell>
          <cell r="C141" t="str">
            <v>UN</v>
          </cell>
          <cell r="E141">
            <v>0</v>
          </cell>
        </row>
        <row r="142">
          <cell r="A142">
            <v>132</v>
          </cell>
          <cell r="B142" t="str">
            <v>Automáticos</v>
          </cell>
          <cell r="C142" t="str">
            <v>ML</v>
          </cell>
          <cell r="E142">
            <v>0</v>
          </cell>
        </row>
        <row r="143">
          <cell r="A143">
            <v>133</v>
          </cell>
          <cell r="B143" t="str">
            <v>Linea Tierra</v>
          </cell>
          <cell r="C143" t="str">
            <v>ML</v>
          </cell>
          <cell r="E143">
            <v>0</v>
          </cell>
        </row>
        <row r="144">
          <cell r="A144">
            <v>134</v>
          </cell>
          <cell r="B144" t="str">
            <v>Cinta Bandy de 3/4</v>
          </cell>
          <cell r="C144" t="str">
            <v>ML</v>
          </cell>
          <cell r="E144">
            <v>0</v>
          </cell>
        </row>
        <row r="145">
          <cell r="A145">
            <v>135</v>
          </cell>
          <cell r="B145" t="str">
            <v>Hebillas de 3/4</v>
          </cell>
          <cell r="C145" t="str">
            <v>UN</v>
          </cell>
          <cell r="E145">
            <v>0</v>
          </cell>
        </row>
        <row r="146">
          <cell r="A146">
            <v>136</v>
          </cell>
          <cell r="B146" t="str">
            <v>Vigetas</v>
          </cell>
          <cell r="C146" t="str">
            <v>UN</v>
          </cell>
          <cell r="E146">
            <v>0</v>
          </cell>
        </row>
        <row r="147">
          <cell r="A147">
            <v>137</v>
          </cell>
          <cell r="B147" t="str">
            <v>Varilla de 1.50mts anclaje</v>
          </cell>
          <cell r="C147" t="str">
            <v>UN</v>
          </cell>
          <cell r="E147">
            <v>0</v>
          </cell>
        </row>
        <row r="148">
          <cell r="A148">
            <v>138</v>
          </cell>
          <cell r="B148" t="str">
            <v>Arandela de 4 x 4</v>
          </cell>
          <cell r="C148" t="str">
            <v>UN</v>
          </cell>
          <cell r="E148">
            <v>0</v>
          </cell>
        </row>
        <row r="149">
          <cell r="A149">
            <v>139</v>
          </cell>
          <cell r="B149" t="str">
            <v>Arandela de 2 x 2</v>
          </cell>
          <cell r="C149" t="str">
            <v>CUARTO</v>
          </cell>
          <cell r="E149">
            <v>0</v>
          </cell>
        </row>
        <row r="150">
          <cell r="A150">
            <v>140</v>
          </cell>
          <cell r="B150" t="str">
            <v>Arandela de presión para 1 1/2</v>
          </cell>
          <cell r="C150" t="str">
            <v>UN</v>
          </cell>
          <cell r="E150">
            <v>0</v>
          </cell>
        </row>
        <row r="151">
          <cell r="A151">
            <v>141</v>
          </cell>
          <cell r="B151" t="str">
            <v>Pernos de Máquina de 2"  x 1 1/2</v>
          </cell>
          <cell r="C151" t="str">
            <v>UN</v>
          </cell>
          <cell r="E151">
            <v>0</v>
          </cell>
        </row>
        <row r="152">
          <cell r="A152">
            <v>142</v>
          </cell>
          <cell r="B152" t="str">
            <v>Cable Acero de 3/8</v>
          </cell>
          <cell r="C152" t="str">
            <v>UN</v>
          </cell>
          <cell r="E152">
            <v>0</v>
          </cell>
        </row>
        <row r="153">
          <cell r="A153">
            <v>143</v>
          </cell>
          <cell r="B153" t="str">
            <v>Aisladores Tipo Tensor</v>
          </cell>
          <cell r="C153" t="str">
            <v>UN</v>
          </cell>
          <cell r="E153">
            <v>0</v>
          </cell>
        </row>
        <row r="154">
          <cell r="A154">
            <v>144</v>
          </cell>
          <cell r="B154" t="str">
            <v>Guarda Cabos</v>
          </cell>
          <cell r="C154" t="str">
            <v>ML</v>
          </cell>
          <cell r="E154">
            <v>0</v>
          </cell>
        </row>
        <row r="155">
          <cell r="A155">
            <v>145</v>
          </cell>
          <cell r="B155" t="str">
            <v>Grapa 3 pernos</v>
          </cell>
          <cell r="C155" t="str">
            <v>ML</v>
          </cell>
          <cell r="E155">
            <v>0</v>
          </cell>
        </row>
        <row r="156">
          <cell r="A156">
            <v>146</v>
          </cell>
          <cell r="B156" t="str">
            <v>Ducto de 2"</v>
          </cell>
          <cell r="C156" t="str">
            <v>ML</v>
          </cell>
          <cell r="E156">
            <v>0</v>
          </cell>
        </row>
        <row r="157">
          <cell r="A157">
            <v>147</v>
          </cell>
          <cell r="B157" t="str">
            <v>Ducto de 1 1/2"</v>
          </cell>
          <cell r="C157" t="str">
            <v>UN</v>
          </cell>
          <cell r="E157">
            <v>0</v>
          </cell>
        </row>
        <row r="158">
          <cell r="A158">
            <v>148</v>
          </cell>
          <cell r="B158" t="str">
            <v>Curva de 1 1/2"</v>
          </cell>
          <cell r="C158" t="str">
            <v>UN</v>
          </cell>
          <cell r="E158">
            <v>0</v>
          </cell>
        </row>
        <row r="159">
          <cell r="A159">
            <v>149</v>
          </cell>
          <cell r="B159" t="str">
            <v>Tapa Col Roll 0.5 x 0.5mts</v>
          </cell>
          <cell r="C159" t="str">
            <v>UN</v>
          </cell>
          <cell r="E159">
            <v>0</v>
          </cell>
        </row>
        <row r="160">
          <cell r="A160">
            <v>150</v>
          </cell>
          <cell r="B160" t="str">
            <v>ángulo</v>
          </cell>
          <cell r="C160" t="str">
            <v>UN</v>
          </cell>
          <cell r="E160">
            <v>0</v>
          </cell>
        </row>
        <row r="161">
          <cell r="A161">
            <v>151</v>
          </cell>
          <cell r="B161" t="str">
            <v>Cable Nº 4 Alum. Encauchetado</v>
          </cell>
          <cell r="C161" t="str">
            <v>UN</v>
          </cell>
          <cell r="E161">
            <v>0</v>
          </cell>
        </row>
        <row r="162">
          <cell r="A162">
            <v>152</v>
          </cell>
          <cell r="B162" t="str">
            <v>Cable Nº 10 Cobre THHN</v>
          </cell>
          <cell r="C162" t="str">
            <v>UN</v>
          </cell>
          <cell r="E162">
            <v>0</v>
          </cell>
        </row>
        <row r="163">
          <cell r="A163">
            <v>153</v>
          </cell>
          <cell r="B163" t="str">
            <v>Conectores para Ponchar AP1</v>
          </cell>
          <cell r="C163" t="str">
            <v>CUARTO</v>
          </cell>
          <cell r="E163">
            <v>0</v>
          </cell>
        </row>
        <row r="164">
          <cell r="A164">
            <v>154</v>
          </cell>
          <cell r="B164" t="str">
            <v>Protecciones Sumergibles para empalme</v>
          </cell>
          <cell r="C164" t="str">
            <v>UN</v>
          </cell>
          <cell r="E164">
            <v>0</v>
          </cell>
        </row>
        <row r="165">
          <cell r="A165">
            <v>155</v>
          </cell>
          <cell r="B165" t="str">
            <v>Cinta Nº 33</v>
          </cell>
          <cell r="C165" t="str">
            <v>UN</v>
          </cell>
          <cell r="E165">
            <v>0</v>
          </cell>
        </row>
        <row r="166">
          <cell r="A166">
            <v>156</v>
          </cell>
          <cell r="B166" t="str">
            <v>Cinta Nº 23</v>
          </cell>
          <cell r="C166" t="str">
            <v>UN</v>
          </cell>
          <cell r="E166">
            <v>0</v>
          </cell>
        </row>
        <row r="167">
          <cell r="A167">
            <v>157</v>
          </cell>
          <cell r="B167" t="str">
            <v>Ducto de 3" corrugado 35 x 3T para cajilla</v>
          </cell>
          <cell r="C167" t="str">
            <v>UN</v>
          </cell>
          <cell r="E167">
            <v>0</v>
          </cell>
        </row>
        <row r="168">
          <cell r="A168">
            <v>158</v>
          </cell>
          <cell r="B168" t="str">
            <v>Tubo de desague A - LL</v>
          </cell>
          <cell r="C168" t="str">
            <v>ML</v>
          </cell>
          <cell r="E168">
            <v>0</v>
          </cell>
        </row>
        <row r="169">
          <cell r="A169">
            <v>159</v>
          </cell>
          <cell r="B169" t="str">
            <v>Poste metálico de 4" de diámetro, 3 mts  de altura, pintado con base metálica para instalación o anclaje en pedestal, para dos luminarias. (según diseño )</v>
          </cell>
          <cell r="C169" t="str">
            <v>UN</v>
          </cell>
          <cell r="E169">
            <v>0</v>
          </cell>
        </row>
        <row r="170">
          <cell r="A170">
            <v>160</v>
          </cell>
          <cell r="B170" t="str">
            <v>Poste metálico de 4" de diámetro, 4 mts  de altura, pintado con base metálica para instalación o anclaje en pedestal, para cuatro luminarias. (según diseño)</v>
          </cell>
          <cell r="C170" t="str">
            <v>UN</v>
          </cell>
          <cell r="E170">
            <v>0</v>
          </cell>
        </row>
        <row r="171">
          <cell r="A171">
            <v>161</v>
          </cell>
          <cell r="E171">
            <v>0</v>
          </cell>
        </row>
        <row r="172">
          <cell r="A172">
            <v>162</v>
          </cell>
          <cell r="E172">
            <v>0</v>
          </cell>
        </row>
        <row r="173">
          <cell r="A173">
            <v>163</v>
          </cell>
          <cell r="E173">
            <v>0</v>
          </cell>
        </row>
        <row r="174">
          <cell r="A174">
            <v>164</v>
          </cell>
          <cell r="E174">
            <v>0</v>
          </cell>
        </row>
        <row r="175">
          <cell r="A175">
            <v>165</v>
          </cell>
          <cell r="E175">
            <v>0</v>
          </cell>
        </row>
        <row r="176">
          <cell r="A176">
            <v>166</v>
          </cell>
          <cell r="E176">
            <v>0</v>
          </cell>
        </row>
        <row r="177">
          <cell r="A177">
            <v>167</v>
          </cell>
          <cell r="E177">
            <v>0</v>
          </cell>
        </row>
        <row r="178">
          <cell r="A178">
            <v>168</v>
          </cell>
          <cell r="E178">
            <v>0</v>
          </cell>
        </row>
        <row r="179">
          <cell r="A179">
            <v>169</v>
          </cell>
          <cell r="E179">
            <v>0</v>
          </cell>
        </row>
        <row r="180">
          <cell r="A180">
            <v>170</v>
          </cell>
          <cell r="E180">
            <v>0</v>
          </cell>
        </row>
        <row r="181">
          <cell r="A181">
            <v>171</v>
          </cell>
          <cell r="E181">
            <v>0</v>
          </cell>
        </row>
        <row r="182">
          <cell r="A182">
            <v>172</v>
          </cell>
          <cell r="E182">
            <v>0</v>
          </cell>
        </row>
        <row r="183">
          <cell r="A183">
            <v>173</v>
          </cell>
          <cell r="E183">
            <v>0</v>
          </cell>
        </row>
        <row r="184">
          <cell r="A184">
            <v>174</v>
          </cell>
          <cell r="E184">
            <v>0</v>
          </cell>
        </row>
        <row r="185">
          <cell r="A185">
            <v>175</v>
          </cell>
          <cell r="E185">
            <v>0</v>
          </cell>
        </row>
        <row r="186">
          <cell r="A186">
            <v>176</v>
          </cell>
          <cell r="E186">
            <v>0</v>
          </cell>
        </row>
        <row r="187">
          <cell r="A187">
            <v>177</v>
          </cell>
          <cell r="E187">
            <v>0</v>
          </cell>
        </row>
        <row r="188">
          <cell r="A188">
            <v>178</v>
          </cell>
          <cell r="E188">
            <v>0</v>
          </cell>
        </row>
        <row r="189">
          <cell r="A189">
            <v>179</v>
          </cell>
          <cell r="E189">
            <v>0</v>
          </cell>
        </row>
        <row r="190">
          <cell r="A190">
            <v>180</v>
          </cell>
          <cell r="E190">
            <v>0</v>
          </cell>
        </row>
        <row r="191">
          <cell r="A191">
            <v>181</v>
          </cell>
          <cell r="E191">
            <v>0</v>
          </cell>
        </row>
        <row r="192">
          <cell r="A192">
            <v>182</v>
          </cell>
          <cell r="E192">
            <v>0</v>
          </cell>
        </row>
        <row r="193">
          <cell r="A193">
            <v>183</v>
          </cell>
          <cell r="E193">
            <v>0</v>
          </cell>
        </row>
        <row r="194">
          <cell r="A194">
            <v>184</v>
          </cell>
          <cell r="E194">
            <v>0</v>
          </cell>
        </row>
        <row r="195">
          <cell r="A195">
            <v>185</v>
          </cell>
          <cell r="E195">
            <v>0</v>
          </cell>
        </row>
        <row r="196">
          <cell r="A196">
            <v>186</v>
          </cell>
          <cell r="E196">
            <v>0</v>
          </cell>
        </row>
        <row r="197">
          <cell r="A197">
            <v>187</v>
          </cell>
          <cell r="E197">
            <v>0</v>
          </cell>
        </row>
        <row r="198">
          <cell r="A198">
            <v>188</v>
          </cell>
          <cell r="E198">
            <v>0</v>
          </cell>
        </row>
        <row r="199">
          <cell r="A199">
            <v>189</v>
          </cell>
          <cell r="E199">
            <v>0</v>
          </cell>
        </row>
        <row r="200">
          <cell r="A200">
            <v>190</v>
          </cell>
          <cell r="E200">
            <v>0</v>
          </cell>
        </row>
        <row r="202">
          <cell r="A202" t="str">
            <v>REF.</v>
          </cell>
          <cell r="B202" t="str">
            <v>MATERIAL ACEROS</v>
          </cell>
          <cell r="C202" t="str">
            <v>UNIDAD</v>
          </cell>
          <cell r="D202" t="str">
            <v>PRECIO</v>
          </cell>
          <cell r="E202" t="str">
            <v>TRANSPORTE</v>
          </cell>
        </row>
        <row r="204">
          <cell r="A204">
            <v>191</v>
          </cell>
          <cell r="B204" t="str">
            <v>Acero Fy = 37.000 PSI</v>
          </cell>
          <cell r="C204" t="str">
            <v>KG</v>
          </cell>
          <cell r="D204">
            <v>2100</v>
          </cell>
          <cell r="E204">
            <v>126</v>
          </cell>
        </row>
        <row r="205">
          <cell r="A205">
            <v>192</v>
          </cell>
          <cell r="B205" t="str">
            <v>Acero Fy = 60.000 PSI</v>
          </cell>
          <cell r="C205" t="str">
            <v>KG</v>
          </cell>
          <cell r="D205">
            <v>2050</v>
          </cell>
          <cell r="E205">
            <v>123</v>
          </cell>
        </row>
        <row r="206">
          <cell r="A206">
            <v>193</v>
          </cell>
          <cell r="B206" t="str">
            <v>Alambre negro</v>
          </cell>
          <cell r="C206" t="str">
            <v>KG</v>
          </cell>
          <cell r="D206">
            <v>3800</v>
          </cell>
          <cell r="E206">
            <v>228</v>
          </cell>
        </row>
        <row r="207">
          <cell r="A207">
            <v>194</v>
          </cell>
          <cell r="B207" t="str">
            <v>Caneca metálica mediana, en malla tipo cafetera, pivotante, sobre paral tubular metálico, con logotipo de la Alcaldia de Neiva, según diseño</v>
          </cell>
          <cell r="C207" t="str">
            <v>UN</v>
          </cell>
          <cell r="D207">
            <v>94187</v>
          </cell>
          <cell r="E207">
            <v>5651.2199999999993</v>
          </cell>
        </row>
        <row r="208">
          <cell r="A208">
            <v>195</v>
          </cell>
          <cell r="B208" t="str">
            <v>Caseta metálica para venta de dulcería  Según diseño y con logotipo de la Alcaldía.</v>
          </cell>
          <cell r="C208" t="str">
            <v>UN</v>
          </cell>
          <cell r="D208">
            <v>4485453</v>
          </cell>
          <cell r="E208">
            <v>269127.18</v>
          </cell>
        </row>
        <row r="209">
          <cell r="A209">
            <v>196</v>
          </cell>
          <cell r="B209" t="str">
            <v>Caseta metálica, para venta de revistas. Según diseño y con logotipo de la Alcaldía.</v>
          </cell>
          <cell r="C209" t="str">
            <v>UN</v>
          </cell>
          <cell r="D209">
            <v>5866830</v>
          </cell>
          <cell r="E209">
            <v>352009.8</v>
          </cell>
        </row>
        <row r="210">
          <cell r="A210">
            <v>197</v>
          </cell>
          <cell r="B210" t="str">
            <v xml:space="preserve">Estructura metálica para cabinas Telefónicas, según detalle </v>
          </cell>
          <cell r="C210" t="str">
            <v>UN</v>
          </cell>
          <cell r="E210">
            <v>0</v>
          </cell>
        </row>
        <row r="211">
          <cell r="A211">
            <v>198</v>
          </cell>
          <cell r="B211" t="str">
            <v>Estructura para aro base de pozo</v>
          </cell>
          <cell r="C211" t="str">
            <v>UN</v>
          </cell>
          <cell r="D211">
            <v>140000</v>
          </cell>
          <cell r="E211">
            <v>8400</v>
          </cell>
        </row>
        <row r="212">
          <cell r="A212">
            <v>199</v>
          </cell>
          <cell r="B212" t="str">
            <v>Estructura para tapa de pozo</v>
          </cell>
          <cell r="C212" t="str">
            <v>UN</v>
          </cell>
          <cell r="D212">
            <v>140000</v>
          </cell>
          <cell r="E212">
            <v>8400</v>
          </cell>
        </row>
        <row r="213">
          <cell r="A213">
            <v>200</v>
          </cell>
          <cell r="B213" t="str">
            <v>Hidrante tipo húmedo de 3" norma AWWA-C503</v>
          </cell>
          <cell r="C213" t="str">
            <v>UN</v>
          </cell>
          <cell r="D213">
            <v>1210000</v>
          </cell>
          <cell r="E213">
            <v>72600</v>
          </cell>
        </row>
        <row r="214">
          <cell r="A214">
            <v>201</v>
          </cell>
          <cell r="B214" t="str">
            <v>Hidrante tipo húmedo de 4" norma AWWA-C503</v>
          </cell>
          <cell r="C214" t="str">
            <v>UN</v>
          </cell>
          <cell r="D214">
            <v>1980000</v>
          </cell>
          <cell r="E214">
            <v>118800</v>
          </cell>
        </row>
        <row r="215">
          <cell r="A215">
            <v>202</v>
          </cell>
          <cell r="B215" t="str">
            <v xml:space="preserve">Llave de corte de 2" </v>
          </cell>
          <cell r="C215" t="str">
            <v>UN</v>
          </cell>
          <cell r="E215">
            <v>0</v>
          </cell>
        </row>
        <row r="216">
          <cell r="A216">
            <v>203</v>
          </cell>
          <cell r="B216" t="str">
            <v>Malla Electrosoldada Q2</v>
          </cell>
          <cell r="C216" t="str">
            <v>Und</v>
          </cell>
          <cell r="D216">
            <v>43000</v>
          </cell>
          <cell r="E216">
            <v>2580</v>
          </cell>
        </row>
        <row r="217">
          <cell r="A217">
            <v>204</v>
          </cell>
          <cell r="B217" t="str">
            <v>Malla Gallinero</v>
          </cell>
          <cell r="C217" t="str">
            <v>M²</v>
          </cell>
          <cell r="D217">
            <v>1250</v>
          </cell>
          <cell r="E217">
            <v>75</v>
          </cell>
        </row>
        <row r="218">
          <cell r="A218">
            <v>205</v>
          </cell>
          <cell r="B218" t="str">
            <v>Niple Galvanizado 1/2"</v>
          </cell>
          <cell r="C218" t="str">
            <v>Und</v>
          </cell>
          <cell r="D218">
            <v>600</v>
          </cell>
          <cell r="E218">
            <v>36</v>
          </cell>
        </row>
        <row r="219">
          <cell r="A219">
            <v>206</v>
          </cell>
          <cell r="B219" t="str">
            <v>Platina de 3/16" x 1"</v>
          </cell>
          <cell r="C219" t="str">
            <v>ML</v>
          </cell>
          <cell r="D219">
            <v>3800</v>
          </cell>
          <cell r="E219">
            <v>228</v>
          </cell>
        </row>
        <row r="220">
          <cell r="A220">
            <v>207</v>
          </cell>
          <cell r="B220" t="str">
            <v>Puntillas</v>
          </cell>
          <cell r="C220" t="str">
            <v>LB</v>
          </cell>
          <cell r="D220">
            <v>1500</v>
          </cell>
          <cell r="E220">
            <v>90</v>
          </cell>
        </row>
        <row r="221">
          <cell r="A221">
            <v>208</v>
          </cell>
          <cell r="B221" t="str">
            <v>Registro de corte</v>
          </cell>
          <cell r="C221" t="str">
            <v>UN</v>
          </cell>
          <cell r="D221">
            <v>20000</v>
          </cell>
          <cell r="E221">
            <v>1200</v>
          </cell>
        </row>
        <row r="222">
          <cell r="A222">
            <v>209</v>
          </cell>
          <cell r="B222" t="str">
            <v>Registro de incorporación en bronce</v>
          </cell>
          <cell r="C222" t="str">
            <v>UN</v>
          </cell>
          <cell r="D222">
            <v>12000</v>
          </cell>
          <cell r="E222">
            <v>720</v>
          </cell>
        </row>
        <row r="223">
          <cell r="A223">
            <v>210</v>
          </cell>
          <cell r="B223" t="str">
            <v>Rejilla en ángulo de 1½" x 1/4" para sumidero A. LL., según diseño EPP</v>
          </cell>
          <cell r="C223" t="str">
            <v>UN</v>
          </cell>
          <cell r="D223">
            <v>180000</v>
          </cell>
          <cell r="E223">
            <v>10800</v>
          </cell>
        </row>
        <row r="224">
          <cell r="A224">
            <v>211</v>
          </cell>
          <cell r="B224" t="str">
            <v>Rejilla en varilla de 5/8" cada 3 cm y marco en ángulo de 1"x31/6", bisagrada según modelo de EPP</v>
          </cell>
          <cell r="C224" t="str">
            <v>ML</v>
          </cell>
          <cell r="E224">
            <v>0</v>
          </cell>
        </row>
        <row r="225">
          <cell r="A225">
            <v>212</v>
          </cell>
          <cell r="B225" t="str">
            <v>Tapa válvula tipo Chorote - Tráfico liviano</v>
          </cell>
          <cell r="C225" t="str">
            <v>UN</v>
          </cell>
          <cell r="D225">
            <v>85000</v>
          </cell>
          <cell r="E225">
            <v>5100</v>
          </cell>
        </row>
        <row r="226">
          <cell r="A226">
            <v>213</v>
          </cell>
          <cell r="B226" t="str">
            <v>Tee estándar de 12"x3" derivación a brida PN 10 - Hierro dúctil</v>
          </cell>
          <cell r="C226" t="str">
            <v>UN</v>
          </cell>
          <cell r="E226">
            <v>0</v>
          </cell>
        </row>
        <row r="227">
          <cell r="A227">
            <v>214</v>
          </cell>
          <cell r="B227" t="str">
            <v>Tee estándar de 12"x4" derivación a brida PN 10 - Hierro dúctil</v>
          </cell>
          <cell r="C227" t="str">
            <v>UN</v>
          </cell>
          <cell r="E227">
            <v>0</v>
          </cell>
        </row>
        <row r="228">
          <cell r="A228">
            <v>215</v>
          </cell>
          <cell r="B228" t="str">
            <v>Tee estándar de 16"x12" derivación a brida PN 10 - Hierro dúctil</v>
          </cell>
          <cell r="C228" t="str">
            <v>UN</v>
          </cell>
          <cell r="E228">
            <v>0</v>
          </cell>
        </row>
        <row r="229">
          <cell r="A229">
            <v>216</v>
          </cell>
          <cell r="B229" t="str">
            <v>Tee estándar de 8"x12" derivación a brida PN 10 - Hierro dúctil</v>
          </cell>
          <cell r="C229" t="str">
            <v>UN</v>
          </cell>
          <cell r="E229">
            <v>0</v>
          </cell>
        </row>
        <row r="230">
          <cell r="A230">
            <v>217</v>
          </cell>
          <cell r="B230" t="str">
            <v>Tee estándar de 8"x3" derivación a brida PN 10 - Hierro dúctil</v>
          </cell>
          <cell r="C230" t="str">
            <v>UN</v>
          </cell>
          <cell r="E230">
            <v>0</v>
          </cell>
        </row>
        <row r="231">
          <cell r="A231">
            <v>218</v>
          </cell>
          <cell r="B231" t="str">
            <v>Tee estándar de 8"x4" derivación a brida PN 10 - Hierro dúctil</v>
          </cell>
          <cell r="C231" t="str">
            <v>UN</v>
          </cell>
          <cell r="E231">
            <v>0</v>
          </cell>
        </row>
        <row r="232">
          <cell r="A232">
            <v>219</v>
          </cell>
          <cell r="B232" t="str">
            <v>Tee estándar de 8"x6" derivación a brida PN 10 - Hierro dúctil</v>
          </cell>
          <cell r="C232" t="str">
            <v>UN</v>
          </cell>
          <cell r="E232">
            <v>0</v>
          </cell>
        </row>
        <row r="233">
          <cell r="A233">
            <v>220</v>
          </cell>
          <cell r="B233" t="str">
            <v>TEE GALVANIZADA DE 1/2"</v>
          </cell>
          <cell r="C233" t="str">
            <v>Und</v>
          </cell>
          <cell r="D233">
            <v>600</v>
          </cell>
          <cell r="E233">
            <v>36</v>
          </cell>
        </row>
        <row r="234">
          <cell r="A234">
            <v>221</v>
          </cell>
          <cell r="B234" t="str">
            <v>Tornillo Autoperforante</v>
          </cell>
          <cell r="C234" t="str">
            <v>Und.</v>
          </cell>
          <cell r="D234">
            <v>300</v>
          </cell>
          <cell r="E234">
            <v>18</v>
          </cell>
        </row>
        <row r="235">
          <cell r="A235">
            <v>222</v>
          </cell>
          <cell r="B235" t="str">
            <v>Tornillo Fija Ala</v>
          </cell>
          <cell r="C235" t="str">
            <v>Und.</v>
          </cell>
          <cell r="D235">
            <v>350</v>
          </cell>
          <cell r="E235">
            <v>21</v>
          </cell>
        </row>
        <row r="236">
          <cell r="A236">
            <v>223</v>
          </cell>
          <cell r="B236" t="str">
            <v>válvula de compuerta elástica de 3" en Hierro dúctil (ASTM-A-536)</v>
          </cell>
          <cell r="C236" t="str">
            <v>UN</v>
          </cell>
          <cell r="E236">
            <v>0</v>
          </cell>
        </row>
        <row r="237">
          <cell r="A237">
            <v>224</v>
          </cell>
          <cell r="B237" t="str">
            <v>válvula de compuerta elástica de 4" en Hierro dúctil (ASTM-A-536)</v>
          </cell>
          <cell r="C237" t="str">
            <v>UN</v>
          </cell>
          <cell r="E237">
            <v>0</v>
          </cell>
        </row>
        <row r="238">
          <cell r="A238">
            <v>225</v>
          </cell>
          <cell r="B238" t="str">
            <v>válvula de compuerta elástica de 6" en Hierro dúctil (ASTM-A-536)</v>
          </cell>
          <cell r="C238" t="str">
            <v>UN</v>
          </cell>
          <cell r="E238">
            <v>0</v>
          </cell>
        </row>
        <row r="239">
          <cell r="A239">
            <v>226</v>
          </cell>
          <cell r="B239" t="str">
            <v>válvula de compuerta elástica de 8" en Hierro dúctil (ASTM-A-536)</v>
          </cell>
          <cell r="C239" t="str">
            <v>UN</v>
          </cell>
          <cell r="E239">
            <v>0</v>
          </cell>
        </row>
        <row r="240">
          <cell r="A240">
            <v>227</v>
          </cell>
          <cell r="B240" t="str">
            <v>válvula de mariposa de 16" en Hierro dúctil (ASTM-A-536) brida PN 10</v>
          </cell>
          <cell r="C240" t="str">
            <v>UN</v>
          </cell>
          <cell r="E240">
            <v>0</v>
          </cell>
        </row>
        <row r="241">
          <cell r="A241">
            <v>228</v>
          </cell>
          <cell r="B241" t="str">
            <v>válvula de mariposa de 20" en Hierro dúctil (ASTM-A-536) brida PN 10</v>
          </cell>
          <cell r="C241" t="str">
            <v>UN</v>
          </cell>
          <cell r="E241">
            <v>0</v>
          </cell>
        </row>
        <row r="242">
          <cell r="A242">
            <v>229</v>
          </cell>
          <cell r="B242" t="str">
            <v>Hoja de Segueta</v>
          </cell>
          <cell r="C242" t="str">
            <v>UN</v>
          </cell>
          <cell r="D242">
            <v>2500</v>
          </cell>
          <cell r="E242">
            <v>150</v>
          </cell>
        </row>
        <row r="243">
          <cell r="A243">
            <v>230</v>
          </cell>
          <cell r="B243" t="str">
            <v xml:space="preserve">poste galvanizado de 2" </v>
          </cell>
          <cell r="C243" t="str">
            <v>UN</v>
          </cell>
          <cell r="D243">
            <v>78000</v>
          </cell>
          <cell r="E243">
            <v>4680</v>
          </cell>
        </row>
        <row r="244">
          <cell r="A244">
            <v>231</v>
          </cell>
          <cell r="B244" t="str">
            <v>Malla eslabonada de 2x2 cal. 10</v>
          </cell>
          <cell r="C244" t="str">
            <v>M²</v>
          </cell>
          <cell r="D244">
            <v>14500</v>
          </cell>
          <cell r="E244">
            <v>870</v>
          </cell>
        </row>
        <row r="245">
          <cell r="A245">
            <v>232</v>
          </cell>
          <cell r="B245" t="str">
            <v>Platina de 3/16" x 1"</v>
          </cell>
          <cell r="C245" t="str">
            <v>ML</v>
          </cell>
          <cell r="D245">
            <v>3800</v>
          </cell>
          <cell r="E245">
            <v>228</v>
          </cell>
        </row>
        <row r="246">
          <cell r="A246">
            <v>233</v>
          </cell>
          <cell r="E246">
            <v>0</v>
          </cell>
        </row>
        <row r="247">
          <cell r="A247">
            <v>234</v>
          </cell>
          <cell r="E247">
            <v>0</v>
          </cell>
        </row>
        <row r="248">
          <cell r="A248">
            <v>235</v>
          </cell>
          <cell r="E248">
            <v>0</v>
          </cell>
        </row>
        <row r="249">
          <cell r="A249">
            <v>236</v>
          </cell>
          <cell r="E249">
            <v>0</v>
          </cell>
        </row>
        <row r="250">
          <cell r="A250">
            <v>237</v>
          </cell>
          <cell r="E250">
            <v>0</v>
          </cell>
        </row>
        <row r="251">
          <cell r="A251">
            <v>238</v>
          </cell>
          <cell r="E251">
            <v>0</v>
          </cell>
        </row>
        <row r="252">
          <cell r="A252">
            <v>239</v>
          </cell>
          <cell r="E252">
            <v>0</v>
          </cell>
        </row>
        <row r="253">
          <cell r="A253">
            <v>240</v>
          </cell>
          <cell r="E253">
            <v>0</v>
          </cell>
        </row>
        <row r="254">
          <cell r="A254">
            <v>241</v>
          </cell>
          <cell r="E254">
            <v>0</v>
          </cell>
        </row>
        <row r="255">
          <cell r="A255">
            <v>242</v>
          </cell>
          <cell r="E255">
            <v>0</v>
          </cell>
        </row>
        <row r="256">
          <cell r="A256">
            <v>243</v>
          </cell>
          <cell r="E256">
            <v>0</v>
          </cell>
        </row>
        <row r="257">
          <cell r="A257">
            <v>244</v>
          </cell>
          <cell r="E257">
            <v>0</v>
          </cell>
        </row>
        <row r="258">
          <cell r="A258">
            <v>245</v>
          </cell>
          <cell r="E258">
            <v>0</v>
          </cell>
        </row>
        <row r="259">
          <cell r="A259">
            <v>246</v>
          </cell>
          <cell r="E259">
            <v>0</v>
          </cell>
        </row>
        <row r="260">
          <cell r="A260">
            <v>247</v>
          </cell>
          <cell r="E260">
            <v>0</v>
          </cell>
        </row>
        <row r="261">
          <cell r="A261">
            <v>248</v>
          </cell>
          <cell r="E261">
            <v>0</v>
          </cell>
        </row>
        <row r="262">
          <cell r="A262">
            <v>249</v>
          </cell>
          <cell r="E262">
            <v>0</v>
          </cell>
        </row>
        <row r="263">
          <cell r="A263">
            <v>250</v>
          </cell>
          <cell r="E263">
            <v>0</v>
          </cell>
        </row>
        <row r="265">
          <cell r="A265" t="str">
            <v>REF.</v>
          </cell>
          <cell r="B265" t="str">
            <v>MATERIAL DE CUBIERTA</v>
          </cell>
          <cell r="C265" t="str">
            <v>UNIDAD</v>
          </cell>
          <cell r="D265" t="str">
            <v>PRECIO</v>
          </cell>
          <cell r="E265" t="str">
            <v>TRANSPORTE</v>
          </cell>
        </row>
        <row r="267">
          <cell r="A267">
            <v>251</v>
          </cell>
          <cell r="B267" t="str">
            <v xml:space="preserve">Amarres </v>
          </cell>
          <cell r="C267" t="str">
            <v>UN</v>
          </cell>
          <cell r="D267">
            <v>50</v>
          </cell>
          <cell r="E267">
            <v>3</v>
          </cell>
        </row>
        <row r="268">
          <cell r="A268">
            <v>252</v>
          </cell>
          <cell r="B268" t="str">
            <v>Caballete</v>
          </cell>
          <cell r="C268" t="str">
            <v>ML</v>
          </cell>
          <cell r="E268">
            <v>0</v>
          </cell>
        </row>
        <row r="269">
          <cell r="A269">
            <v>253</v>
          </cell>
          <cell r="B269" t="str">
            <v>Correas en perfil cerrado de 4x10 cal 18 de 6.00mts</v>
          </cell>
          <cell r="C269" t="str">
            <v>UN</v>
          </cell>
          <cell r="D269">
            <v>42500</v>
          </cell>
          <cell r="E269">
            <v>2550</v>
          </cell>
        </row>
        <row r="270">
          <cell r="A270">
            <v>254</v>
          </cell>
          <cell r="B270" t="str">
            <v>Ganchos</v>
          </cell>
          <cell r="C270" t="str">
            <v>UN</v>
          </cell>
          <cell r="D270">
            <v>780</v>
          </cell>
          <cell r="E270">
            <v>46.8</v>
          </cell>
        </row>
        <row r="271">
          <cell r="A271">
            <v>255</v>
          </cell>
          <cell r="B271" t="str">
            <v>Teja Termoacustic + Caballete</v>
          </cell>
          <cell r="C271" t="str">
            <v>M2</v>
          </cell>
          <cell r="D271">
            <v>24000</v>
          </cell>
          <cell r="E271">
            <v>1440</v>
          </cell>
        </row>
        <row r="272">
          <cell r="A272">
            <v>256</v>
          </cell>
          <cell r="E272">
            <v>0</v>
          </cell>
        </row>
        <row r="273">
          <cell r="A273">
            <v>257</v>
          </cell>
          <cell r="E273">
            <v>0</v>
          </cell>
        </row>
        <row r="274">
          <cell r="A274">
            <v>258</v>
          </cell>
          <cell r="E274">
            <v>0</v>
          </cell>
        </row>
        <row r="275">
          <cell r="A275">
            <v>259</v>
          </cell>
          <cell r="E275">
            <v>0</v>
          </cell>
        </row>
        <row r="276">
          <cell r="A276">
            <v>260</v>
          </cell>
          <cell r="E276">
            <v>0</v>
          </cell>
        </row>
        <row r="277">
          <cell r="A277">
            <v>261</v>
          </cell>
          <cell r="E277">
            <v>0</v>
          </cell>
        </row>
        <row r="278">
          <cell r="A278">
            <v>262</v>
          </cell>
          <cell r="E278">
            <v>0</v>
          </cell>
        </row>
        <row r="279">
          <cell r="A279">
            <v>263</v>
          </cell>
          <cell r="E279">
            <v>0</v>
          </cell>
        </row>
        <row r="280">
          <cell r="A280">
            <v>264</v>
          </cell>
          <cell r="E280">
            <v>0</v>
          </cell>
        </row>
        <row r="281">
          <cell r="A281">
            <v>265</v>
          </cell>
          <cell r="E281">
            <v>0</v>
          </cell>
        </row>
        <row r="282">
          <cell r="A282">
            <v>266</v>
          </cell>
          <cell r="E282">
            <v>0</v>
          </cell>
        </row>
        <row r="283">
          <cell r="A283">
            <v>267</v>
          </cell>
          <cell r="E283">
            <v>0</v>
          </cell>
        </row>
        <row r="284">
          <cell r="A284">
            <v>268</v>
          </cell>
          <cell r="E284">
            <v>0</v>
          </cell>
        </row>
        <row r="285">
          <cell r="A285">
            <v>269</v>
          </cell>
          <cell r="E285">
            <v>0</v>
          </cell>
        </row>
        <row r="286">
          <cell r="A286">
            <v>270</v>
          </cell>
          <cell r="E286">
            <v>0</v>
          </cell>
        </row>
        <row r="287">
          <cell r="A287">
            <v>271</v>
          </cell>
          <cell r="E287">
            <v>0</v>
          </cell>
        </row>
        <row r="288">
          <cell r="A288">
            <v>272</v>
          </cell>
          <cell r="E288">
            <v>0</v>
          </cell>
        </row>
        <row r="289">
          <cell r="A289">
            <v>273</v>
          </cell>
          <cell r="E289">
            <v>0</v>
          </cell>
        </row>
        <row r="290">
          <cell r="A290">
            <v>274</v>
          </cell>
          <cell r="E290">
            <v>0</v>
          </cell>
        </row>
        <row r="291">
          <cell r="A291">
            <v>275</v>
          </cell>
          <cell r="E291">
            <v>0</v>
          </cell>
        </row>
        <row r="292">
          <cell r="A292">
            <v>276</v>
          </cell>
          <cell r="E292">
            <v>0</v>
          </cell>
        </row>
        <row r="293">
          <cell r="A293">
            <v>277</v>
          </cell>
          <cell r="E293">
            <v>0</v>
          </cell>
        </row>
        <row r="294">
          <cell r="A294">
            <v>278</v>
          </cell>
          <cell r="E294">
            <v>0</v>
          </cell>
        </row>
        <row r="295">
          <cell r="A295">
            <v>279</v>
          </cell>
          <cell r="E295">
            <v>0</v>
          </cell>
        </row>
        <row r="296">
          <cell r="A296">
            <v>280</v>
          </cell>
          <cell r="E296">
            <v>0</v>
          </cell>
        </row>
        <row r="298">
          <cell r="A298" t="str">
            <v>REF.</v>
          </cell>
          <cell r="B298" t="str">
            <v>MATERIAL DE PVC</v>
          </cell>
          <cell r="C298" t="str">
            <v>UNIDAD</v>
          </cell>
          <cell r="D298" t="str">
            <v>PRECIO</v>
          </cell>
          <cell r="E298" t="str">
            <v>TRANSPORTE</v>
          </cell>
        </row>
        <row r="300">
          <cell r="A300">
            <v>281</v>
          </cell>
          <cell r="B300" t="str">
            <v>Adaptador macho PF + UAD</v>
          </cell>
          <cell r="C300" t="str">
            <v>UN</v>
          </cell>
          <cell r="D300">
            <v>1166</v>
          </cell>
          <cell r="E300">
            <v>69.959999999999994</v>
          </cell>
        </row>
        <row r="301">
          <cell r="A301">
            <v>282</v>
          </cell>
          <cell r="B301" t="str">
            <v>Adaptador Novafor 6"</v>
          </cell>
          <cell r="C301" t="str">
            <v>UN</v>
          </cell>
          <cell r="D301">
            <v>17663</v>
          </cell>
          <cell r="E301">
            <v>1059.78</v>
          </cell>
        </row>
        <row r="302">
          <cell r="A302">
            <v>283</v>
          </cell>
          <cell r="B302" t="str">
            <v>Adaptador PVC-AC de 12" unión Z</v>
          </cell>
          <cell r="C302" t="str">
            <v>UN</v>
          </cell>
          <cell r="D302">
            <v>268652</v>
          </cell>
          <cell r="E302">
            <v>16119.119999999999</v>
          </cell>
        </row>
        <row r="303">
          <cell r="A303">
            <v>284</v>
          </cell>
          <cell r="B303" t="str">
            <v>Adaptador PVC-AC de 3"</v>
          </cell>
          <cell r="C303" t="str">
            <v>UN</v>
          </cell>
          <cell r="D303">
            <v>16600</v>
          </cell>
          <cell r="E303">
            <v>996</v>
          </cell>
        </row>
        <row r="304">
          <cell r="A304">
            <v>285</v>
          </cell>
          <cell r="B304" t="str">
            <v>Adaptador PVC-AC de 4"</v>
          </cell>
          <cell r="C304" t="str">
            <v>UN</v>
          </cell>
          <cell r="D304">
            <v>18490</v>
          </cell>
          <cell r="E304">
            <v>1109.3999999999999</v>
          </cell>
        </row>
        <row r="305">
          <cell r="A305">
            <v>286</v>
          </cell>
          <cell r="B305" t="str">
            <v>Adaptador PVC-AC de 6" unión Z</v>
          </cell>
          <cell r="C305" t="str">
            <v>UN</v>
          </cell>
          <cell r="D305">
            <v>44830</v>
          </cell>
          <cell r="E305">
            <v>2689.7999999999997</v>
          </cell>
        </row>
        <row r="306">
          <cell r="A306">
            <v>287</v>
          </cell>
          <cell r="B306" t="str">
            <v>Adaptador PVC-AC de 8" unión Z</v>
          </cell>
          <cell r="C306" t="str">
            <v>UN</v>
          </cell>
          <cell r="D306">
            <v>61648</v>
          </cell>
          <cell r="E306">
            <v>3698.8799999999997</v>
          </cell>
        </row>
        <row r="307">
          <cell r="A307">
            <v>288</v>
          </cell>
          <cell r="B307" t="str">
            <v>Codo de gran radio PVC 3"x90º UZ-RDE 21</v>
          </cell>
          <cell r="C307" t="str">
            <v>UN</v>
          </cell>
          <cell r="D307">
            <v>47099</v>
          </cell>
          <cell r="E307">
            <v>2825.94</v>
          </cell>
        </row>
        <row r="308">
          <cell r="A308">
            <v>289</v>
          </cell>
          <cell r="B308" t="str">
            <v>Codo de gran radio PVC 4"x90º UZ-RDE 21</v>
          </cell>
          <cell r="C308" t="str">
            <v>UN</v>
          </cell>
          <cell r="D308">
            <v>90433</v>
          </cell>
          <cell r="E308">
            <v>5425.98</v>
          </cell>
        </row>
        <row r="309">
          <cell r="A309">
            <v>290</v>
          </cell>
          <cell r="B309" t="str">
            <v>Collar de derivación de 8" x 2"</v>
          </cell>
          <cell r="C309" t="str">
            <v>UN</v>
          </cell>
          <cell r="D309">
            <v>604406</v>
          </cell>
          <cell r="E309">
            <v>36264.36</v>
          </cell>
        </row>
        <row r="310">
          <cell r="A310">
            <v>291</v>
          </cell>
          <cell r="B310" t="str">
            <v>Collar de derivación PVC  3" x 1/2"</v>
          </cell>
          <cell r="C310" t="str">
            <v>UN</v>
          </cell>
          <cell r="D310">
            <v>11020</v>
          </cell>
          <cell r="E310">
            <v>661.19999999999993</v>
          </cell>
        </row>
        <row r="311">
          <cell r="A311">
            <v>292</v>
          </cell>
          <cell r="B311" t="str">
            <v>Lubricante para tubo PVC unión mecánica</v>
          </cell>
          <cell r="C311" t="str">
            <v>LB</v>
          </cell>
          <cell r="D311">
            <v>11136</v>
          </cell>
          <cell r="E311">
            <v>668.16</v>
          </cell>
        </row>
        <row r="312">
          <cell r="A312">
            <v>293</v>
          </cell>
          <cell r="B312" t="str">
            <v>Manguera PVC  PF+UAD de 1/2"</v>
          </cell>
          <cell r="C312" t="str">
            <v>ML</v>
          </cell>
          <cell r="E312">
            <v>0</v>
          </cell>
        </row>
        <row r="313">
          <cell r="A313">
            <v>294</v>
          </cell>
          <cell r="B313" t="str">
            <v xml:space="preserve">tapón  soldar de 2" PVC </v>
          </cell>
          <cell r="C313" t="str">
            <v>UN</v>
          </cell>
          <cell r="E313">
            <v>0</v>
          </cell>
        </row>
        <row r="314">
          <cell r="A314">
            <v>295</v>
          </cell>
          <cell r="B314" t="str">
            <v xml:space="preserve">Tee PVC-RDE 21 de 3" x 3" x 2"  </v>
          </cell>
          <cell r="C314" t="str">
            <v>UN</v>
          </cell>
          <cell r="E314">
            <v>0</v>
          </cell>
        </row>
        <row r="315">
          <cell r="A315">
            <v>296</v>
          </cell>
          <cell r="B315" t="str">
            <v xml:space="preserve">Tee PVC-RDE 21 de 3" x 3" x 3"  </v>
          </cell>
          <cell r="C315" t="str">
            <v>UN</v>
          </cell>
          <cell r="E315">
            <v>0</v>
          </cell>
        </row>
        <row r="316">
          <cell r="A316">
            <v>297</v>
          </cell>
          <cell r="B316" t="str">
            <v xml:space="preserve">Tee PVC-RDE 21 de 4" x 4" x 4"  </v>
          </cell>
          <cell r="C316" t="str">
            <v>UN</v>
          </cell>
          <cell r="E316">
            <v>0</v>
          </cell>
        </row>
        <row r="317">
          <cell r="A317">
            <v>360</v>
          </cell>
          <cell r="B317" t="str">
            <v>Tubo PVC  D = 6" sello hermético NTC 3722</v>
          </cell>
          <cell r="C317" t="str">
            <v>ML</v>
          </cell>
          <cell r="E317">
            <v>0</v>
          </cell>
        </row>
        <row r="318">
          <cell r="A318">
            <v>298</v>
          </cell>
          <cell r="B318" t="str">
            <v>Tubo PVC  D = 12" sello hermético NTC 3722</v>
          </cell>
          <cell r="C318" t="str">
            <v>ML</v>
          </cell>
          <cell r="E318">
            <v>0</v>
          </cell>
        </row>
        <row r="319">
          <cell r="A319">
            <v>299</v>
          </cell>
          <cell r="B319" t="str">
            <v>Tubo PVC  D = 16" sello hermético NTC 3722</v>
          </cell>
          <cell r="C319" t="str">
            <v>ML</v>
          </cell>
          <cell r="E319">
            <v>0</v>
          </cell>
        </row>
        <row r="320">
          <cell r="A320">
            <v>300</v>
          </cell>
          <cell r="B320" t="str">
            <v>Tubo PVC  D = 20" sello hermético NTC 3722</v>
          </cell>
          <cell r="C320" t="str">
            <v>ML</v>
          </cell>
          <cell r="E320">
            <v>0</v>
          </cell>
        </row>
        <row r="321">
          <cell r="A321">
            <v>301</v>
          </cell>
          <cell r="B321" t="str">
            <v>Tubo PVC  D = 24" sello hermético NTC 3722</v>
          </cell>
          <cell r="C321" t="str">
            <v>ML</v>
          </cell>
          <cell r="E321">
            <v>0</v>
          </cell>
        </row>
        <row r="322">
          <cell r="A322">
            <v>302</v>
          </cell>
          <cell r="B322" t="str">
            <v>Tubo PVC  D= 160mm, pared estructural y sello hermético</v>
          </cell>
          <cell r="C322" t="str">
            <v>ML</v>
          </cell>
          <cell r="D322">
            <v>21103.333333333332</v>
          </cell>
          <cell r="E322">
            <v>1266.1999999999998</v>
          </cell>
        </row>
        <row r="323">
          <cell r="A323">
            <v>303</v>
          </cell>
          <cell r="B323" t="str">
            <v>Tubo PVC  D= 315mm,  pared estructural y sello hermético</v>
          </cell>
          <cell r="C323" t="str">
            <v>ML</v>
          </cell>
          <cell r="D323">
            <v>65542</v>
          </cell>
          <cell r="E323">
            <v>3932.52</v>
          </cell>
        </row>
        <row r="324">
          <cell r="A324">
            <v>304</v>
          </cell>
          <cell r="B324" t="str">
            <v xml:space="preserve">Tubo PVC  RDE 21 D= 12" unión mecánica </v>
          </cell>
          <cell r="C324" t="str">
            <v>ML</v>
          </cell>
          <cell r="E324">
            <v>0</v>
          </cell>
        </row>
        <row r="325">
          <cell r="A325">
            <v>305</v>
          </cell>
          <cell r="B325" t="str">
            <v xml:space="preserve">Tubo PVC  RDE 21 D= 16" unión mecánica </v>
          </cell>
          <cell r="C325" t="str">
            <v>ML</v>
          </cell>
          <cell r="E325">
            <v>0</v>
          </cell>
        </row>
        <row r="326">
          <cell r="A326">
            <v>306</v>
          </cell>
          <cell r="B326" t="str">
            <v xml:space="preserve">Tubo PVC  RDE 21 D= 2" unión mecánica </v>
          </cell>
          <cell r="C326" t="str">
            <v>ML</v>
          </cell>
          <cell r="E326">
            <v>0</v>
          </cell>
        </row>
        <row r="327">
          <cell r="A327">
            <v>307</v>
          </cell>
          <cell r="B327" t="str">
            <v xml:space="preserve">Tubo PVC  RDE 21 D= 3" unión mecánica </v>
          </cell>
          <cell r="C327" t="str">
            <v>ML</v>
          </cell>
          <cell r="E327">
            <v>0</v>
          </cell>
        </row>
        <row r="328">
          <cell r="A328">
            <v>308</v>
          </cell>
          <cell r="B328" t="str">
            <v xml:space="preserve">Tubo PVC  RDE 21 D= 4" unión mecánica </v>
          </cell>
          <cell r="C328" t="str">
            <v>ML</v>
          </cell>
          <cell r="E328">
            <v>0</v>
          </cell>
        </row>
        <row r="329">
          <cell r="A329">
            <v>309</v>
          </cell>
          <cell r="B329" t="str">
            <v xml:space="preserve">Tubo PVC  RDE 21 D= 8" unión mecánica </v>
          </cell>
          <cell r="C329" t="str">
            <v>ML</v>
          </cell>
          <cell r="E329">
            <v>0</v>
          </cell>
        </row>
        <row r="330">
          <cell r="A330">
            <v>310</v>
          </cell>
          <cell r="B330" t="str">
            <v>Tubo PVC D= 21", pared estructural y sello hermético.</v>
          </cell>
          <cell r="C330" t="str">
            <v>ML</v>
          </cell>
          <cell r="E330">
            <v>0</v>
          </cell>
        </row>
        <row r="331">
          <cell r="A331">
            <v>311</v>
          </cell>
          <cell r="B331" t="str">
            <v>Tubo PVC D= 27", pared estructural y sello hermético.</v>
          </cell>
          <cell r="C331" t="str">
            <v>ML</v>
          </cell>
          <cell r="E331">
            <v>0</v>
          </cell>
        </row>
        <row r="332">
          <cell r="A332">
            <v>312</v>
          </cell>
          <cell r="B332" t="str">
            <v>Unión para Tubería PVC de pared estructural de 27"</v>
          </cell>
          <cell r="C332" t="str">
            <v>UN</v>
          </cell>
          <cell r="E332">
            <v>0</v>
          </cell>
        </row>
        <row r="333">
          <cell r="A333">
            <v>313</v>
          </cell>
          <cell r="B333" t="str">
            <v>Unión rápida PVC 12"  RDE 21</v>
          </cell>
          <cell r="C333" t="str">
            <v>UN</v>
          </cell>
          <cell r="E333">
            <v>0</v>
          </cell>
        </row>
        <row r="334">
          <cell r="A334">
            <v>314</v>
          </cell>
          <cell r="B334" t="str">
            <v>Unión rápida PVC 2"  RDE 21</v>
          </cell>
          <cell r="C334" t="str">
            <v>UN</v>
          </cell>
          <cell r="E334">
            <v>0</v>
          </cell>
        </row>
        <row r="335">
          <cell r="A335">
            <v>315</v>
          </cell>
          <cell r="B335" t="str">
            <v>Unión rápida PVC 3"  RDE 21</v>
          </cell>
          <cell r="C335" t="str">
            <v>UN</v>
          </cell>
          <cell r="E335">
            <v>0</v>
          </cell>
        </row>
        <row r="336">
          <cell r="A336">
            <v>316</v>
          </cell>
          <cell r="B336" t="str">
            <v>Unión rápida PVC 4"  RDE 21</v>
          </cell>
          <cell r="C336" t="str">
            <v>UN</v>
          </cell>
          <cell r="E336">
            <v>0</v>
          </cell>
        </row>
        <row r="337">
          <cell r="A337">
            <v>317</v>
          </cell>
          <cell r="B337" t="str">
            <v>Unión rápida PVC 6"  RDE 21</v>
          </cell>
          <cell r="C337" t="str">
            <v>UN</v>
          </cell>
          <cell r="E337">
            <v>0</v>
          </cell>
        </row>
        <row r="338">
          <cell r="A338">
            <v>318</v>
          </cell>
          <cell r="B338" t="str">
            <v>Unión rápida PVC 8"  RDE 21</v>
          </cell>
          <cell r="C338" t="str">
            <v>UN</v>
          </cell>
          <cell r="E338">
            <v>0</v>
          </cell>
        </row>
        <row r="339">
          <cell r="A339">
            <v>319</v>
          </cell>
          <cell r="B339" t="str">
            <v>Unión reparación PVC 3"  RDE 21</v>
          </cell>
          <cell r="C339" t="str">
            <v>UN</v>
          </cell>
          <cell r="E339">
            <v>0</v>
          </cell>
        </row>
        <row r="340">
          <cell r="A340">
            <v>320</v>
          </cell>
          <cell r="B340" t="str">
            <v>Unión reparación PVC 4"  RDE 21</v>
          </cell>
          <cell r="C340" t="str">
            <v>UN</v>
          </cell>
          <cell r="E340">
            <v>0</v>
          </cell>
        </row>
        <row r="341">
          <cell r="A341">
            <v>321</v>
          </cell>
          <cell r="B341" t="str">
            <v xml:space="preserve">unión Universal de 16" </v>
          </cell>
          <cell r="C341" t="str">
            <v>UN</v>
          </cell>
          <cell r="E341">
            <v>0</v>
          </cell>
        </row>
        <row r="342">
          <cell r="A342">
            <v>322</v>
          </cell>
          <cell r="B342" t="str">
            <v xml:space="preserve">unión Universal de 20" </v>
          </cell>
          <cell r="C342" t="str">
            <v>UN</v>
          </cell>
          <cell r="E342">
            <v>0</v>
          </cell>
        </row>
        <row r="343">
          <cell r="A343">
            <v>323</v>
          </cell>
          <cell r="B343" t="str">
            <v xml:space="preserve">Unión reparación PVC 6"  </v>
          </cell>
          <cell r="C343" t="str">
            <v>UN</v>
          </cell>
          <cell r="D343">
            <v>24288</v>
          </cell>
          <cell r="E343">
            <v>1457.28</v>
          </cell>
        </row>
        <row r="344">
          <cell r="A344">
            <v>324</v>
          </cell>
          <cell r="E344">
            <v>0</v>
          </cell>
        </row>
        <row r="345">
          <cell r="A345">
            <v>325</v>
          </cell>
          <cell r="E345">
            <v>0</v>
          </cell>
        </row>
        <row r="346">
          <cell r="A346">
            <v>326</v>
          </cell>
          <cell r="E346">
            <v>0</v>
          </cell>
        </row>
        <row r="347">
          <cell r="A347">
            <v>327</v>
          </cell>
          <cell r="E347">
            <v>0</v>
          </cell>
        </row>
        <row r="348">
          <cell r="A348">
            <v>328</v>
          </cell>
          <cell r="E348">
            <v>0</v>
          </cell>
        </row>
        <row r="349">
          <cell r="A349">
            <v>329</v>
          </cell>
          <cell r="E349">
            <v>0</v>
          </cell>
        </row>
        <row r="350">
          <cell r="A350">
            <v>330</v>
          </cell>
          <cell r="E350">
            <v>0</v>
          </cell>
        </row>
        <row r="351">
          <cell r="A351">
            <v>331</v>
          </cell>
          <cell r="E351">
            <v>0</v>
          </cell>
        </row>
        <row r="352">
          <cell r="A352">
            <v>332</v>
          </cell>
          <cell r="E352">
            <v>0</v>
          </cell>
        </row>
        <row r="353">
          <cell r="A353">
            <v>333</v>
          </cell>
          <cell r="E353">
            <v>0</v>
          </cell>
        </row>
        <row r="354">
          <cell r="A354">
            <v>334</v>
          </cell>
          <cell r="E354">
            <v>0</v>
          </cell>
        </row>
        <row r="355">
          <cell r="A355">
            <v>335</v>
          </cell>
          <cell r="E355">
            <v>0</v>
          </cell>
        </row>
        <row r="356">
          <cell r="A356">
            <v>336</v>
          </cell>
          <cell r="E356">
            <v>0</v>
          </cell>
        </row>
        <row r="357">
          <cell r="A357">
            <v>337</v>
          </cell>
          <cell r="E357">
            <v>0</v>
          </cell>
        </row>
        <row r="358">
          <cell r="A358">
            <v>338</v>
          </cell>
          <cell r="E358">
            <v>0</v>
          </cell>
        </row>
        <row r="359">
          <cell r="A359">
            <v>339</v>
          </cell>
          <cell r="E359">
            <v>0</v>
          </cell>
        </row>
        <row r="360">
          <cell r="A360">
            <v>340</v>
          </cell>
          <cell r="E360">
            <v>0</v>
          </cell>
        </row>
        <row r="361">
          <cell r="A361">
            <v>341</v>
          </cell>
          <cell r="E361">
            <v>0</v>
          </cell>
        </row>
        <row r="362">
          <cell r="A362">
            <v>342</v>
          </cell>
          <cell r="E362">
            <v>0</v>
          </cell>
        </row>
        <row r="363">
          <cell r="A363">
            <v>343</v>
          </cell>
          <cell r="E363">
            <v>0</v>
          </cell>
        </row>
        <row r="364">
          <cell r="A364">
            <v>344</v>
          </cell>
          <cell r="E364">
            <v>0</v>
          </cell>
        </row>
        <row r="365">
          <cell r="A365">
            <v>345</v>
          </cell>
          <cell r="E365">
            <v>0</v>
          </cell>
        </row>
        <row r="366">
          <cell r="A366">
            <v>346</v>
          </cell>
          <cell r="E366">
            <v>0</v>
          </cell>
        </row>
        <row r="367">
          <cell r="A367">
            <v>347</v>
          </cell>
          <cell r="E367">
            <v>0</v>
          </cell>
        </row>
        <row r="368">
          <cell r="A368">
            <v>348</v>
          </cell>
          <cell r="E368">
            <v>0</v>
          </cell>
        </row>
        <row r="369">
          <cell r="A369">
            <v>349</v>
          </cell>
          <cell r="E369">
            <v>0</v>
          </cell>
        </row>
        <row r="370">
          <cell r="A370">
            <v>350</v>
          </cell>
          <cell r="E370">
            <v>0</v>
          </cell>
        </row>
        <row r="371">
          <cell r="A371">
            <v>351</v>
          </cell>
          <cell r="E371">
            <v>0</v>
          </cell>
        </row>
        <row r="372">
          <cell r="A372">
            <v>352</v>
          </cell>
          <cell r="E372">
            <v>0</v>
          </cell>
        </row>
        <row r="373">
          <cell r="A373">
            <v>353</v>
          </cell>
          <cell r="E373">
            <v>0</v>
          </cell>
        </row>
        <row r="374">
          <cell r="A374">
            <v>354</v>
          </cell>
          <cell r="E374">
            <v>0</v>
          </cell>
        </row>
        <row r="375">
          <cell r="A375">
            <v>355</v>
          </cell>
          <cell r="E375">
            <v>0</v>
          </cell>
        </row>
        <row r="376">
          <cell r="A376">
            <v>356</v>
          </cell>
          <cell r="E376">
            <v>0</v>
          </cell>
        </row>
        <row r="377">
          <cell r="A377">
            <v>357</v>
          </cell>
          <cell r="E377">
            <v>0</v>
          </cell>
        </row>
        <row r="378">
          <cell r="A378">
            <v>358</v>
          </cell>
          <cell r="E378">
            <v>0</v>
          </cell>
        </row>
        <row r="379">
          <cell r="A379">
            <v>359</v>
          </cell>
          <cell r="E379">
            <v>0</v>
          </cell>
        </row>
        <row r="380">
          <cell r="A380">
            <v>360</v>
          </cell>
          <cell r="E380">
            <v>0</v>
          </cell>
        </row>
        <row r="382">
          <cell r="A382" t="str">
            <v>REF.</v>
          </cell>
          <cell r="B382" t="str">
            <v>MATERIAL DE PINTURAS</v>
          </cell>
          <cell r="C382" t="str">
            <v>UNIDAD</v>
          </cell>
          <cell r="D382" t="str">
            <v>PRECIO</v>
          </cell>
          <cell r="E382" t="str">
            <v>TRANSPORTE</v>
          </cell>
        </row>
        <row r="384">
          <cell r="A384">
            <v>361</v>
          </cell>
          <cell r="B384" t="str">
            <v>GRANIPLAST</v>
          </cell>
          <cell r="C384" t="str">
            <v>KG</v>
          </cell>
          <cell r="D384">
            <v>1200</v>
          </cell>
          <cell r="E384">
            <v>72</v>
          </cell>
        </row>
        <row r="385">
          <cell r="A385">
            <v>362</v>
          </cell>
          <cell r="B385" t="str">
            <v>Pintura en esmalte</v>
          </cell>
          <cell r="C385" t="str">
            <v>GL</v>
          </cell>
          <cell r="D385">
            <v>35000</v>
          </cell>
          <cell r="E385">
            <v>2100</v>
          </cell>
        </row>
        <row r="386">
          <cell r="A386">
            <v>363</v>
          </cell>
          <cell r="B386" t="str">
            <v>Solvente para esmalte</v>
          </cell>
          <cell r="C386" t="str">
            <v>GL</v>
          </cell>
          <cell r="D386">
            <v>6000</v>
          </cell>
          <cell r="E386">
            <v>360</v>
          </cell>
        </row>
        <row r="387">
          <cell r="A387">
            <v>364</v>
          </cell>
          <cell r="E387">
            <v>0</v>
          </cell>
        </row>
        <row r="388">
          <cell r="A388">
            <v>365</v>
          </cell>
          <cell r="E388">
            <v>0</v>
          </cell>
        </row>
        <row r="389">
          <cell r="A389">
            <v>366</v>
          </cell>
          <cell r="E389">
            <v>0</v>
          </cell>
        </row>
        <row r="390">
          <cell r="A390">
            <v>367</v>
          </cell>
          <cell r="E390">
            <v>0</v>
          </cell>
        </row>
        <row r="391">
          <cell r="A391">
            <v>368</v>
          </cell>
          <cell r="E391">
            <v>0</v>
          </cell>
        </row>
        <row r="392">
          <cell r="A392">
            <v>369</v>
          </cell>
          <cell r="E392">
            <v>0</v>
          </cell>
        </row>
        <row r="393">
          <cell r="A393">
            <v>370</v>
          </cell>
          <cell r="E393">
            <v>0</v>
          </cell>
        </row>
        <row r="394">
          <cell r="A394">
            <v>371</v>
          </cell>
          <cell r="E394">
            <v>0</v>
          </cell>
        </row>
        <row r="395">
          <cell r="A395">
            <v>372</v>
          </cell>
          <cell r="E395">
            <v>0</v>
          </cell>
        </row>
        <row r="396">
          <cell r="A396">
            <v>373</v>
          </cell>
          <cell r="E396">
            <v>0</v>
          </cell>
        </row>
        <row r="397">
          <cell r="A397">
            <v>374</v>
          </cell>
          <cell r="E397">
            <v>0</v>
          </cell>
        </row>
        <row r="398">
          <cell r="A398">
            <v>375</v>
          </cell>
          <cell r="E398">
            <v>0</v>
          </cell>
        </row>
        <row r="399">
          <cell r="A399">
            <v>376</v>
          </cell>
          <cell r="E399">
            <v>0</v>
          </cell>
        </row>
        <row r="400">
          <cell r="A400">
            <v>377</v>
          </cell>
          <cell r="E400">
            <v>0</v>
          </cell>
        </row>
        <row r="401">
          <cell r="A401">
            <v>378</v>
          </cell>
          <cell r="E401">
            <v>0</v>
          </cell>
        </row>
        <row r="402">
          <cell r="A402">
            <v>379</v>
          </cell>
          <cell r="E402">
            <v>0</v>
          </cell>
        </row>
        <row r="403">
          <cell r="A403">
            <v>380</v>
          </cell>
          <cell r="E403">
            <v>0</v>
          </cell>
        </row>
        <row r="404">
          <cell r="A404">
            <v>381</v>
          </cell>
          <cell r="E404">
            <v>0</v>
          </cell>
        </row>
        <row r="405">
          <cell r="A405">
            <v>382</v>
          </cell>
          <cell r="E405">
            <v>0</v>
          </cell>
        </row>
        <row r="406">
          <cell r="A406">
            <v>383</v>
          </cell>
          <cell r="E406">
            <v>0</v>
          </cell>
        </row>
        <row r="407">
          <cell r="A407">
            <v>384</v>
          </cell>
          <cell r="E407">
            <v>0</v>
          </cell>
        </row>
        <row r="408">
          <cell r="A408">
            <v>385</v>
          </cell>
          <cell r="E408">
            <v>0</v>
          </cell>
        </row>
        <row r="409">
          <cell r="A409">
            <v>386</v>
          </cell>
          <cell r="E409">
            <v>0</v>
          </cell>
        </row>
        <row r="410">
          <cell r="A410">
            <v>387</v>
          </cell>
          <cell r="E410">
            <v>0</v>
          </cell>
        </row>
        <row r="411">
          <cell r="A411">
            <v>388</v>
          </cell>
          <cell r="E411">
            <v>0</v>
          </cell>
        </row>
        <row r="412">
          <cell r="A412">
            <v>389</v>
          </cell>
          <cell r="E412">
            <v>0</v>
          </cell>
        </row>
        <row r="413">
          <cell r="A413">
            <v>390</v>
          </cell>
          <cell r="E413">
            <v>0</v>
          </cell>
        </row>
        <row r="415">
          <cell r="A415" t="str">
            <v>REF.</v>
          </cell>
          <cell r="B415" t="str">
            <v>MATERIAL VARIOS</v>
          </cell>
          <cell r="C415" t="str">
            <v>UNIDAD</v>
          </cell>
          <cell r="D415" t="str">
            <v>PRECIO</v>
          </cell>
          <cell r="E415" t="str">
            <v>TRANSPORTE</v>
          </cell>
        </row>
        <row r="417">
          <cell r="A417">
            <v>391</v>
          </cell>
          <cell r="B417" t="str">
            <v>Agua</v>
          </cell>
          <cell r="C417" t="str">
            <v>LT</v>
          </cell>
          <cell r="D417">
            <v>100</v>
          </cell>
          <cell r="E417">
            <v>6</v>
          </cell>
        </row>
        <row r="418">
          <cell r="A418">
            <v>392</v>
          </cell>
          <cell r="B418" t="str">
            <v>Arbol nativo, h &gt; 1,50 mts.</v>
          </cell>
          <cell r="C418" t="str">
            <v>UN</v>
          </cell>
          <cell r="D418">
            <v>20000</v>
          </cell>
          <cell r="E418">
            <v>1200</v>
          </cell>
        </row>
        <row r="419">
          <cell r="A419">
            <v>393</v>
          </cell>
          <cell r="B419" t="str">
            <v xml:space="preserve">Cemento asfáltico grado de penetración 80-100 (debe cumplir con especificación INVIAS, art.410/02). </v>
          </cell>
          <cell r="C419" t="str">
            <v>GL</v>
          </cell>
          <cell r="D419">
            <v>4500</v>
          </cell>
          <cell r="E419">
            <v>270</v>
          </cell>
        </row>
        <row r="420">
          <cell r="A420">
            <v>394</v>
          </cell>
          <cell r="B420" t="str">
            <v>Cemento asfáltico para bacheo tipo MDC-0 debe cumplir especificaciòn INVIAS art.450/02.E=0.05</v>
          </cell>
          <cell r="C420" t="str">
            <v>M3</v>
          </cell>
          <cell r="D420">
            <v>227000</v>
          </cell>
          <cell r="E420">
            <v>13620</v>
          </cell>
        </row>
        <row r="421">
          <cell r="A421">
            <v>395</v>
          </cell>
          <cell r="B421" t="str">
            <v>digitación de plano, incluye impresión</v>
          </cell>
          <cell r="C421" t="str">
            <v>UN</v>
          </cell>
          <cell r="D421">
            <v>80000</v>
          </cell>
          <cell r="E421">
            <v>4800</v>
          </cell>
        </row>
        <row r="422">
          <cell r="A422">
            <v>396</v>
          </cell>
          <cell r="B422" t="str">
            <v>Imprimante para via</v>
          </cell>
          <cell r="C422" t="str">
            <v>LT</v>
          </cell>
          <cell r="D422">
            <v>920</v>
          </cell>
          <cell r="E422">
            <v>55.199999999999996</v>
          </cell>
        </row>
        <row r="423">
          <cell r="A423">
            <v>397</v>
          </cell>
          <cell r="B423" t="str">
            <v>Kit Silla Yee 300x160mm.  Incluye: silla yee, abrazadera y empaque de caucho.</v>
          </cell>
          <cell r="C423" t="str">
            <v>UN</v>
          </cell>
          <cell r="D423">
            <v>88941</v>
          </cell>
          <cell r="E423">
            <v>5336.46</v>
          </cell>
        </row>
        <row r="424">
          <cell r="A424">
            <v>398</v>
          </cell>
          <cell r="B424" t="str">
            <v>Mogador informativo</v>
          </cell>
          <cell r="C424" t="str">
            <v>UN</v>
          </cell>
          <cell r="D424">
            <v>2450000</v>
          </cell>
          <cell r="E424">
            <v>147000</v>
          </cell>
        </row>
        <row r="425">
          <cell r="A425">
            <v>399</v>
          </cell>
          <cell r="B425" t="str">
            <v>Polipropileno de color</v>
          </cell>
          <cell r="C425" t="str">
            <v>M2</v>
          </cell>
          <cell r="D425">
            <v>1300</v>
          </cell>
          <cell r="E425">
            <v>78</v>
          </cell>
        </row>
        <row r="426">
          <cell r="A426">
            <v>400</v>
          </cell>
          <cell r="B426" t="str">
            <v>Señalización horizontal: Flecha con microesfera marca 3M al 60% con pintura reflectiva tipo T. P., según norma INVIAS</v>
          </cell>
          <cell r="C426" t="str">
            <v>UN</v>
          </cell>
          <cell r="D426">
            <v>28000</v>
          </cell>
          <cell r="E426">
            <v>1680</v>
          </cell>
        </row>
        <row r="427">
          <cell r="A427">
            <v>401</v>
          </cell>
          <cell r="B427" t="str">
            <v>Señalización horizontal: Linea de cebra con microesfera marca 3M al 60% con pintura reflectiva tipo T. P., según norma INVIAS</v>
          </cell>
          <cell r="C427" t="str">
            <v>ML</v>
          </cell>
          <cell r="D427">
            <v>5000</v>
          </cell>
          <cell r="E427">
            <v>300</v>
          </cell>
        </row>
        <row r="428">
          <cell r="A428">
            <v>402</v>
          </cell>
          <cell r="B428" t="str">
            <v>Señalización Vertical: Señal preventiva o reglamentaria; en ángulo 2" x 2" x 1/4", según norma INVIAS</v>
          </cell>
          <cell r="C428" t="str">
            <v>UN</v>
          </cell>
          <cell r="D428">
            <v>250000</v>
          </cell>
          <cell r="E428">
            <v>15000</v>
          </cell>
        </row>
        <row r="429">
          <cell r="A429">
            <v>403</v>
          </cell>
          <cell r="E429">
            <v>0</v>
          </cell>
        </row>
        <row r="430">
          <cell r="A430">
            <v>404</v>
          </cell>
          <cell r="E430">
            <v>0</v>
          </cell>
        </row>
        <row r="431">
          <cell r="A431">
            <v>405</v>
          </cell>
          <cell r="E431">
            <v>0</v>
          </cell>
        </row>
        <row r="432">
          <cell r="A432">
            <v>406</v>
          </cell>
          <cell r="B432" t="str">
            <v>Juego de cancha multiple en tuberia de 2"</v>
          </cell>
          <cell r="C432" t="str">
            <v>GL</v>
          </cell>
          <cell r="D432">
            <v>3600000</v>
          </cell>
          <cell r="E432">
            <v>216000</v>
          </cell>
        </row>
        <row r="433">
          <cell r="A433">
            <v>407</v>
          </cell>
          <cell r="B433" t="str">
            <v>Juegos didacticos</v>
          </cell>
          <cell r="C433" t="str">
            <v>GL</v>
          </cell>
          <cell r="D433">
            <v>5100000</v>
          </cell>
          <cell r="E433">
            <v>306000</v>
          </cell>
        </row>
        <row r="434">
          <cell r="A434">
            <v>408</v>
          </cell>
          <cell r="E434">
            <v>0</v>
          </cell>
        </row>
        <row r="435">
          <cell r="A435">
            <v>409</v>
          </cell>
          <cell r="E435">
            <v>0</v>
          </cell>
        </row>
        <row r="436">
          <cell r="A436">
            <v>410</v>
          </cell>
          <cell r="E436">
            <v>0</v>
          </cell>
        </row>
        <row r="437">
          <cell r="A437">
            <v>411</v>
          </cell>
          <cell r="E437">
            <v>0</v>
          </cell>
        </row>
        <row r="438">
          <cell r="A438">
            <v>412</v>
          </cell>
          <cell r="E438">
            <v>0</v>
          </cell>
        </row>
        <row r="439">
          <cell r="A439">
            <v>413</v>
          </cell>
          <cell r="E439">
            <v>0</v>
          </cell>
        </row>
        <row r="440">
          <cell r="A440">
            <v>414</v>
          </cell>
          <cell r="E440">
            <v>0</v>
          </cell>
        </row>
        <row r="441">
          <cell r="A441">
            <v>415</v>
          </cell>
          <cell r="E441">
            <v>0</v>
          </cell>
        </row>
        <row r="442">
          <cell r="A442">
            <v>416</v>
          </cell>
          <cell r="E442">
            <v>0</v>
          </cell>
        </row>
        <row r="443">
          <cell r="A443">
            <v>417</v>
          </cell>
          <cell r="E443">
            <v>0</v>
          </cell>
        </row>
        <row r="444">
          <cell r="A444">
            <v>418</v>
          </cell>
          <cell r="E444">
            <v>0</v>
          </cell>
        </row>
        <row r="445">
          <cell r="A445">
            <v>419</v>
          </cell>
          <cell r="E445">
            <v>0</v>
          </cell>
        </row>
        <row r="446">
          <cell r="A446">
            <v>420</v>
          </cell>
          <cell r="E446">
            <v>0</v>
          </cell>
        </row>
        <row r="447">
          <cell r="A447">
            <v>421</v>
          </cell>
          <cell r="E447">
            <v>0</v>
          </cell>
        </row>
        <row r="448">
          <cell r="A448">
            <v>422</v>
          </cell>
          <cell r="E448">
            <v>0</v>
          </cell>
        </row>
        <row r="449">
          <cell r="A449">
            <v>423</v>
          </cell>
          <cell r="E449">
            <v>0</v>
          </cell>
        </row>
        <row r="450">
          <cell r="A450">
            <v>424</v>
          </cell>
          <cell r="E450">
            <v>0</v>
          </cell>
        </row>
        <row r="451">
          <cell r="A451">
            <v>425</v>
          </cell>
          <cell r="E451">
            <v>0</v>
          </cell>
        </row>
        <row r="452">
          <cell r="A452">
            <v>426</v>
          </cell>
          <cell r="E452">
            <v>0</v>
          </cell>
        </row>
        <row r="453">
          <cell r="A453">
            <v>427</v>
          </cell>
          <cell r="E453">
            <v>0</v>
          </cell>
        </row>
        <row r="454">
          <cell r="A454">
            <v>428</v>
          </cell>
          <cell r="E454">
            <v>0</v>
          </cell>
        </row>
        <row r="455">
          <cell r="A455">
            <v>429</v>
          </cell>
          <cell r="E455">
            <v>0</v>
          </cell>
        </row>
        <row r="456">
          <cell r="A456">
            <v>430</v>
          </cell>
          <cell r="E456">
            <v>0</v>
          </cell>
        </row>
        <row r="457">
          <cell r="A457">
            <v>431</v>
          </cell>
          <cell r="E457">
            <v>0</v>
          </cell>
        </row>
        <row r="458">
          <cell r="A458">
            <v>432</v>
          </cell>
          <cell r="E458">
            <v>0</v>
          </cell>
        </row>
        <row r="459">
          <cell r="A459">
            <v>433</v>
          </cell>
          <cell r="E459">
            <v>0</v>
          </cell>
        </row>
        <row r="460">
          <cell r="A460">
            <v>434</v>
          </cell>
          <cell r="E460">
            <v>0</v>
          </cell>
        </row>
        <row r="461">
          <cell r="A461">
            <v>435</v>
          </cell>
          <cell r="E461">
            <v>0</v>
          </cell>
        </row>
        <row r="462">
          <cell r="A462">
            <v>436</v>
          </cell>
          <cell r="E462">
            <v>0</v>
          </cell>
        </row>
        <row r="463">
          <cell r="A463">
            <v>437</v>
          </cell>
          <cell r="E463">
            <v>0</v>
          </cell>
        </row>
        <row r="464">
          <cell r="A464">
            <v>438</v>
          </cell>
          <cell r="E464">
            <v>0</v>
          </cell>
        </row>
        <row r="465">
          <cell r="A465">
            <v>439</v>
          </cell>
          <cell r="E465">
            <v>0</v>
          </cell>
        </row>
        <row r="466">
          <cell r="A466">
            <v>440</v>
          </cell>
          <cell r="E466">
            <v>0</v>
          </cell>
        </row>
        <row r="467">
          <cell r="A467">
            <v>441</v>
          </cell>
          <cell r="E467">
            <v>0</v>
          </cell>
        </row>
        <row r="468">
          <cell r="A468">
            <v>442</v>
          </cell>
          <cell r="E468">
            <v>0</v>
          </cell>
        </row>
        <row r="469">
          <cell r="A469">
            <v>443</v>
          </cell>
          <cell r="E469">
            <v>0</v>
          </cell>
        </row>
        <row r="470">
          <cell r="A470">
            <v>444</v>
          </cell>
          <cell r="E470">
            <v>0</v>
          </cell>
        </row>
        <row r="471">
          <cell r="A471">
            <v>445</v>
          </cell>
          <cell r="E471">
            <v>0</v>
          </cell>
        </row>
        <row r="472">
          <cell r="A472">
            <v>446</v>
          </cell>
          <cell r="E472">
            <v>0</v>
          </cell>
        </row>
        <row r="473">
          <cell r="A473">
            <v>447</v>
          </cell>
          <cell r="E473">
            <v>0</v>
          </cell>
        </row>
        <row r="474">
          <cell r="A474">
            <v>448</v>
          </cell>
          <cell r="E474">
            <v>0</v>
          </cell>
        </row>
        <row r="475">
          <cell r="A475">
            <v>449</v>
          </cell>
          <cell r="E475">
            <v>0</v>
          </cell>
        </row>
        <row r="476">
          <cell r="A476">
            <v>450</v>
          </cell>
          <cell r="E476">
            <v>0</v>
          </cell>
        </row>
        <row r="478">
          <cell r="A478" t="str">
            <v>REF.</v>
          </cell>
          <cell r="B478" t="str">
            <v>MATERIAL CARPINTERIA metálica</v>
          </cell>
          <cell r="C478" t="str">
            <v>UNIDAD</v>
          </cell>
          <cell r="D478" t="str">
            <v>PRECIO</v>
          </cell>
          <cell r="E478" t="str">
            <v>TRANSPORTE</v>
          </cell>
        </row>
        <row r="480">
          <cell r="A480">
            <v>451</v>
          </cell>
          <cell r="B480" t="str">
            <v>Alambre Negro</v>
          </cell>
          <cell r="C480" t="str">
            <v>KG</v>
          </cell>
          <cell r="D480">
            <v>1500</v>
          </cell>
          <cell r="E480">
            <v>90</v>
          </cell>
        </row>
        <row r="481">
          <cell r="A481">
            <v>452</v>
          </cell>
          <cell r="B481" t="str">
            <v>ángulo 1/8"x2"</v>
          </cell>
          <cell r="C481" t="str">
            <v>ML</v>
          </cell>
          <cell r="D481">
            <v>7500</v>
          </cell>
          <cell r="E481">
            <v>450</v>
          </cell>
        </row>
        <row r="482">
          <cell r="A482">
            <v>453</v>
          </cell>
          <cell r="B482" t="str">
            <v>ángulo 3/16"x2"</v>
          </cell>
          <cell r="C482" t="str">
            <v>ML</v>
          </cell>
          <cell r="D482">
            <v>10100</v>
          </cell>
          <cell r="E482">
            <v>606</v>
          </cell>
        </row>
        <row r="483">
          <cell r="A483">
            <v>454</v>
          </cell>
          <cell r="B483" t="str">
            <v>ángulo de 1"x1/8"</v>
          </cell>
          <cell r="C483" t="str">
            <v>ML</v>
          </cell>
          <cell r="D483">
            <v>1950</v>
          </cell>
          <cell r="E483">
            <v>117</v>
          </cell>
        </row>
        <row r="484">
          <cell r="A484">
            <v>455</v>
          </cell>
          <cell r="B484" t="str">
            <v>ángulo de 1"x1/8"</v>
          </cell>
          <cell r="C484" t="str">
            <v>ML</v>
          </cell>
          <cell r="D484">
            <v>2000</v>
          </cell>
          <cell r="E484">
            <v>120</v>
          </cell>
        </row>
        <row r="485">
          <cell r="A485">
            <v>456</v>
          </cell>
          <cell r="B485" t="str">
            <v>ángulo de 11/2" x 3/16</v>
          </cell>
          <cell r="C485" t="str">
            <v>ML</v>
          </cell>
          <cell r="D485">
            <v>6400</v>
          </cell>
          <cell r="E485">
            <v>384</v>
          </cell>
        </row>
        <row r="486">
          <cell r="A486">
            <v>457</v>
          </cell>
          <cell r="B486" t="str">
            <v>ángulo de 11/2"x1/8"</v>
          </cell>
          <cell r="C486" t="str">
            <v>ML</v>
          </cell>
          <cell r="D486">
            <v>6500</v>
          </cell>
          <cell r="E486">
            <v>390</v>
          </cell>
        </row>
        <row r="487">
          <cell r="A487">
            <v>458</v>
          </cell>
          <cell r="B487" t="str">
            <v>ángulo de 2 1/2" x 1/4</v>
          </cell>
          <cell r="C487" t="str">
            <v>ML</v>
          </cell>
          <cell r="D487">
            <v>13300</v>
          </cell>
          <cell r="E487">
            <v>798</v>
          </cell>
        </row>
        <row r="488">
          <cell r="A488">
            <v>459</v>
          </cell>
          <cell r="B488" t="str">
            <v>ángulo de 3/4"x1/8"</v>
          </cell>
          <cell r="C488" t="str">
            <v>ML</v>
          </cell>
          <cell r="D488">
            <v>1450</v>
          </cell>
          <cell r="E488">
            <v>87</v>
          </cell>
        </row>
        <row r="489">
          <cell r="A489">
            <v>460</v>
          </cell>
          <cell r="B489" t="str">
            <v>Anticorrosivo</v>
          </cell>
          <cell r="C489" t="str">
            <v>GL</v>
          </cell>
          <cell r="D489">
            <v>22000</v>
          </cell>
          <cell r="E489">
            <v>1320</v>
          </cell>
        </row>
        <row r="490">
          <cell r="A490">
            <v>461</v>
          </cell>
          <cell r="B490" t="str">
            <v xml:space="preserve">Arena </v>
          </cell>
          <cell r="C490" t="str">
            <v>M3</v>
          </cell>
          <cell r="D490">
            <v>35000</v>
          </cell>
          <cell r="E490">
            <v>2100</v>
          </cell>
        </row>
        <row r="491">
          <cell r="A491">
            <v>462</v>
          </cell>
          <cell r="B491" t="str">
            <v>Basculante tipo mariposa</v>
          </cell>
          <cell r="C491" t="str">
            <v>UN</v>
          </cell>
          <cell r="D491">
            <v>600</v>
          </cell>
          <cell r="E491">
            <v>36</v>
          </cell>
        </row>
        <row r="492">
          <cell r="A492">
            <v>463</v>
          </cell>
          <cell r="B492" t="str">
            <v xml:space="preserve">Bisagra </v>
          </cell>
          <cell r="C492" t="str">
            <v>UN</v>
          </cell>
          <cell r="D492">
            <v>750</v>
          </cell>
          <cell r="E492">
            <v>45</v>
          </cell>
        </row>
        <row r="493">
          <cell r="A493">
            <v>464</v>
          </cell>
          <cell r="B493" t="str">
            <v>Bisagra de 1/2"</v>
          </cell>
          <cell r="C493" t="str">
            <v>UN</v>
          </cell>
          <cell r="D493">
            <v>350</v>
          </cell>
          <cell r="E493">
            <v>21</v>
          </cell>
        </row>
        <row r="494">
          <cell r="A494">
            <v>465</v>
          </cell>
          <cell r="B494" t="str">
            <v>Bisagra de 5/8"</v>
          </cell>
          <cell r="C494" t="str">
            <v>UN</v>
          </cell>
          <cell r="D494">
            <v>500</v>
          </cell>
          <cell r="E494">
            <v>30</v>
          </cell>
        </row>
        <row r="495">
          <cell r="A495">
            <v>466</v>
          </cell>
          <cell r="B495" t="str">
            <v xml:space="preserve">Cemento Gris </v>
          </cell>
          <cell r="C495" t="str">
            <v>Saco</v>
          </cell>
          <cell r="D495">
            <v>12000</v>
          </cell>
          <cell r="E495">
            <v>720</v>
          </cell>
        </row>
        <row r="496">
          <cell r="A496">
            <v>467</v>
          </cell>
          <cell r="B496" t="str">
            <v>Chapa marca Vera sencilla</v>
          </cell>
          <cell r="C496" t="str">
            <v>UN</v>
          </cell>
          <cell r="D496">
            <v>18000</v>
          </cell>
          <cell r="E496">
            <v>1080</v>
          </cell>
        </row>
        <row r="497">
          <cell r="A497">
            <v>468</v>
          </cell>
          <cell r="B497" t="str">
            <v>Chapa marca Vera sencilla</v>
          </cell>
          <cell r="C497" t="str">
            <v>UN</v>
          </cell>
          <cell r="D497">
            <v>25000</v>
          </cell>
          <cell r="E497">
            <v>1500</v>
          </cell>
        </row>
        <row r="498">
          <cell r="A498">
            <v>469</v>
          </cell>
          <cell r="B498" t="str">
            <v>Correa tipo canal</v>
          </cell>
          <cell r="C498" t="str">
            <v>ML</v>
          </cell>
          <cell r="D498">
            <v>6600</v>
          </cell>
          <cell r="E498">
            <v>396</v>
          </cell>
        </row>
        <row r="499">
          <cell r="A499">
            <v>470</v>
          </cell>
          <cell r="B499" t="str">
            <v>Corredera</v>
          </cell>
          <cell r="C499" t="str">
            <v>UN</v>
          </cell>
          <cell r="D499">
            <v>1200</v>
          </cell>
          <cell r="E499">
            <v>72</v>
          </cell>
        </row>
        <row r="500">
          <cell r="A500">
            <v>471</v>
          </cell>
          <cell r="B500" t="str">
            <v>Corredera</v>
          </cell>
          <cell r="C500" t="str">
            <v>UN</v>
          </cell>
          <cell r="D500">
            <v>2500</v>
          </cell>
          <cell r="E500">
            <v>150</v>
          </cell>
        </row>
        <row r="501">
          <cell r="A501">
            <v>472</v>
          </cell>
          <cell r="B501" t="str">
            <v>Equipo electrico soldadura</v>
          </cell>
          <cell r="C501" t="str">
            <v>DIA</v>
          </cell>
          <cell r="D501">
            <v>30000</v>
          </cell>
          <cell r="E501">
            <v>1800</v>
          </cell>
        </row>
        <row r="502">
          <cell r="A502">
            <v>473</v>
          </cell>
          <cell r="B502" t="str">
            <v>Gasolina</v>
          </cell>
          <cell r="C502" t="str">
            <v>GL</v>
          </cell>
          <cell r="D502">
            <v>6000</v>
          </cell>
          <cell r="E502">
            <v>360</v>
          </cell>
        </row>
        <row r="503">
          <cell r="A503">
            <v>474</v>
          </cell>
          <cell r="B503" t="str">
            <v>Gravilla</v>
          </cell>
          <cell r="C503" t="str">
            <v>M3</v>
          </cell>
          <cell r="D503">
            <v>40000</v>
          </cell>
          <cell r="E503">
            <v>2400</v>
          </cell>
        </row>
        <row r="504">
          <cell r="A504">
            <v>475</v>
          </cell>
          <cell r="B504" t="str">
            <v>Lámina C.R. Cal.18</v>
          </cell>
          <cell r="C504" t="str">
            <v>M2</v>
          </cell>
          <cell r="D504">
            <v>26000</v>
          </cell>
          <cell r="E504">
            <v>1560</v>
          </cell>
        </row>
        <row r="505">
          <cell r="A505">
            <v>476</v>
          </cell>
          <cell r="B505" t="str">
            <v>Lámina C.R. Cal.20</v>
          </cell>
          <cell r="C505" t="str">
            <v>M2</v>
          </cell>
          <cell r="D505">
            <v>19500</v>
          </cell>
          <cell r="E505">
            <v>1170</v>
          </cell>
        </row>
        <row r="506">
          <cell r="A506">
            <v>477</v>
          </cell>
          <cell r="B506" t="str">
            <v>Lámina cal 16</v>
          </cell>
          <cell r="C506" t="str">
            <v>M2</v>
          </cell>
          <cell r="D506">
            <v>30500</v>
          </cell>
          <cell r="E506">
            <v>1830</v>
          </cell>
        </row>
        <row r="507">
          <cell r="A507">
            <v>478</v>
          </cell>
          <cell r="B507" t="str">
            <v>Malla eslabonada de 2x2 cal 10</v>
          </cell>
          <cell r="C507" t="str">
            <v>M2</v>
          </cell>
          <cell r="D507">
            <v>10000</v>
          </cell>
          <cell r="E507">
            <v>600</v>
          </cell>
        </row>
        <row r="508">
          <cell r="A508">
            <v>479</v>
          </cell>
          <cell r="B508" t="str">
            <v>Manija sencilla</v>
          </cell>
          <cell r="C508" t="str">
            <v>UN</v>
          </cell>
          <cell r="D508">
            <v>2000</v>
          </cell>
          <cell r="E508">
            <v>120</v>
          </cell>
        </row>
        <row r="509">
          <cell r="A509">
            <v>480</v>
          </cell>
          <cell r="B509" t="str">
            <v>Masilla</v>
          </cell>
          <cell r="C509" t="str">
            <v>GL</v>
          </cell>
          <cell r="D509">
            <v>18000</v>
          </cell>
          <cell r="E509">
            <v>1080</v>
          </cell>
        </row>
        <row r="510">
          <cell r="A510">
            <v>481</v>
          </cell>
          <cell r="B510" t="str">
            <v xml:space="preserve">Medallon de lujo </v>
          </cell>
          <cell r="C510" t="str">
            <v>UN</v>
          </cell>
          <cell r="D510">
            <v>5000</v>
          </cell>
          <cell r="E510">
            <v>300</v>
          </cell>
        </row>
        <row r="511">
          <cell r="A511">
            <v>482</v>
          </cell>
          <cell r="B511" t="str">
            <v>Pasador para puerta</v>
          </cell>
          <cell r="C511" t="str">
            <v>UN</v>
          </cell>
          <cell r="D511">
            <v>4000</v>
          </cell>
          <cell r="E511">
            <v>240</v>
          </cell>
        </row>
        <row r="512">
          <cell r="A512">
            <v>483</v>
          </cell>
          <cell r="B512" t="str">
            <v>Perno de 3/4"</v>
          </cell>
          <cell r="C512" t="str">
            <v>UN</v>
          </cell>
          <cell r="D512">
            <v>1500</v>
          </cell>
          <cell r="E512">
            <v>90</v>
          </cell>
        </row>
        <row r="513">
          <cell r="A513">
            <v>484</v>
          </cell>
          <cell r="B513" t="str">
            <v>Platina 1 1/2" x 1/8"</v>
          </cell>
          <cell r="C513" t="str">
            <v>ML</v>
          </cell>
          <cell r="D513">
            <v>1800</v>
          </cell>
          <cell r="E513">
            <v>108</v>
          </cell>
        </row>
        <row r="514">
          <cell r="A514">
            <v>485</v>
          </cell>
          <cell r="B514" t="str">
            <v>Platina 11/2" x 3/16</v>
          </cell>
          <cell r="C514" t="str">
            <v>ML</v>
          </cell>
          <cell r="D514">
            <v>3600</v>
          </cell>
          <cell r="E514">
            <v>216</v>
          </cell>
        </row>
        <row r="515">
          <cell r="A515">
            <v>486</v>
          </cell>
          <cell r="B515" t="str">
            <v>Platina de 1/2"x1/8"</v>
          </cell>
          <cell r="C515" t="str">
            <v>ML</v>
          </cell>
          <cell r="D515">
            <v>1300</v>
          </cell>
          <cell r="E515">
            <v>78</v>
          </cell>
        </row>
        <row r="516">
          <cell r="A516">
            <v>487</v>
          </cell>
          <cell r="B516" t="str">
            <v>Soldadura W.A. 6013</v>
          </cell>
          <cell r="C516" t="str">
            <v>KG</v>
          </cell>
          <cell r="D516">
            <v>9000</v>
          </cell>
          <cell r="E516">
            <v>540</v>
          </cell>
        </row>
        <row r="517">
          <cell r="A517">
            <v>488</v>
          </cell>
          <cell r="B517" t="str">
            <v>Tubo Aguas Negras 21/2"</v>
          </cell>
          <cell r="C517" t="str">
            <v>ML</v>
          </cell>
          <cell r="D517">
            <v>8550</v>
          </cell>
          <cell r="E517">
            <v>513</v>
          </cell>
        </row>
        <row r="518">
          <cell r="A518">
            <v>489</v>
          </cell>
          <cell r="B518" t="str">
            <v>Tubo cuadrado 11/2"</v>
          </cell>
          <cell r="C518" t="str">
            <v>ML</v>
          </cell>
          <cell r="D518">
            <v>2700</v>
          </cell>
          <cell r="E518">
            <v>162</v>
          </cell>
        </row>
        <row r="519">
          <cell r="A519">
            <v>490</v>
          </cell>
          <cell r="B519" t="str">
            <v>Tubo cuadrado de 1" cal 20</v>
          </cell>
          <cell r="C519" t="str">
            <v>Ml</v>
          </cell>
          <cell r="D519">
            <v>1500</v>
          </cell>
          <cell r="E519">
            <v>90</v>
          </cell>
        </row>
        <row r="520">
          <cell r="A520">
            <v>491</v>
          </cell>
          <cell r="B520" t="str">
            <v>Tubo cuadrado de 3/4"</v>
          </cell>
          <cell r="C520" t="str">
            <v>ML</v>
          </cell>
          <cell r="D520">
            <v>1350</v>
          </cell>
          <cell r="E520">
            <v>81</v>
          </cell>
        </row>
        <row r="521">
          <cell r="A521">
            <v>492</v>
          </cell>
          <cell r="B521" t="str">
            <v>Tubo de 2 x 1 cal. 20</v>
          </cell>
          <cell r="C521" t="str">
            <v>ML</v>
          </cell>
          <cell r="D521">
            <v>2500</v>
          </cell>
          <cell r="E521">
            <v>150</v>
          </cell>
        </row>
        <row r="522">
          <cell r="A522">
            <v>493</v>
          </cell>
          <cell r="B522" t="str">
            <v>Tubo en acero 3/4"</v>
          </cell>
          <cell r="C522" t="str">
            <v>ML</v>
          </cell>
          <cell r="D522">
            <v>2200</v>
          </cell>
          <cell r="E522">
            <v>132</v>
          </cell>
        </row>
        <row r="523">
          <cell r="A523">
            <v>494</v>
          </cell>
          <cell r="B523" t="str">
            <v>Tubo en acero cromado de 2"</v>
          </cell>
          <cell r="C523" t="str">
            <v>ML</v>
          </cell>
          <cell r="D523">
            <v>9100</v>
          </cell>
          <cell r="E523">
            <v>546</v>
          </cell>
        </row>
        <row r="524">
          <cell r="A524">
            <v>495</v>
          </cell>
          <cell r="B524" t="str">
            <v>Tubo galvanizado de 2"</v>
          </cell>
          <cell r="C524" t="str">
            <v>ML</v>
          </cell>
          <cell r="D524">
            <v>8000</v>
          </cell>
          <cell r="E524">
            <v>480</v>
          </cell>
        </row>
        <row r="525">
          <cell r="A525">
            <v>496</v>
          </cell>
          <cell r="B525" t="str">
            <v>tubo rectangular 10x4 Cal. 16</v>
          </cell>
          <cell r="C525" t="str">
            <v>ML</v>
          </cell>
          <cell r="D525">
            <v>9500</v>
          </cell>
          <cell r="E525">
            <v>570</v>
          </cell>
        </row>
        <row r="526">
          <cell r="A526">
            <v>497</v>
          </cell>
          <cell r="B526" t="str">
            <v>tubo rectangular 8 x 4</v>
          </cell>
          <cell r="C526" t="str">
            <v>ML</v>
          </cell>
          <cell r="D526">
            <v>4000</v>
          </cell>
          <cell r="E526">
            <v>240</v>
          </cell>
        </row>
        <row r="527">
          <cell r="A527">
            <v>498</v>
          </cell>
          <cell r="B527" t="str">
            <v>Varilla 1/4 " lisa</v>
          </cell>
          <cell r="C527" t="str">
            <v>kg</v>
          </cell>
          <cell r="D527">
            <v>2000</v>
          </cell>
          <cell r="E527">
            <v>120</v>
          </cell>
        </row>
        <row r="528">
          <cell r="A528">
            <v>499</v>
          </cell>
          <cell r="B528" t="str">
            <v>Varilla 5/8"</v>
          </cell>
          <cell r="C528" t="str">
            <v>ML</v>
          </cell>
          <cell r="D528">
            <v>2800</v>
          </cell>
          <cell r="E528">
            <v>168</v>
          </cell>
        </row>
        <row r="529">
          <cell r="A529">
            <v>500</v>
          </cell>
          <cell r="B529" t="str">
            <v>Varilla cuadrada de 10mm</v>
          </cell>
          <cell r="C529" t="str">
            <v>ML</v>
          </cell>
          <cell r="D529">
            <v>1450</v>
          </cell>
          <cell r="E529">
            <v>87</v>
          </cell>
        </row>
        <row r="530">
          <cell r="A530">
            <v>501</v>
          </cell>
          <cell r="B530" t="str">
            <v>Varilla de 1"</v>
          </cell>
          <cell r="C530" t="str">
            <v>ML</v>
          </cell>
          <cell r="D530">
            <v>10000</v>
          </cell>
          <cell r="E530">
            <v>600</v>
          </cell>
        </row>
        <row r="531">
          <cell r="A531">
            <v>502</v>
          </cell>
          <cell r="B531" t="str">
            <v>Varilla de 1/2 corrugada</v>
          </cell>
          <cell r="C531" t="str">
            <v>ML</v>
          </cell>
          <cell r="D531">
            <v>1900</v>
          </cell>
          <cell r="E531">
            <v>114</v>
          </cell>
        </row>
        <row r="532">
          <cell r="A532">
            <v>503</v>
          </cell>
          <cell r="B532" t="str">
            <v>Varilla de 1/2"</v>
          </cell>
          <cell r="C532" t="str">
            <v>ML</v>
          </cell>
          <cell r="D532">
            <v>1900</v>
          </cell>
          <cell r="E532">
            <v>114</v>
          </cell>
        </row>
        <row r="533">
          <cell r="A533">
            <v>504</v>
          </cell>
          <cell r="B533" t="str">
            <v>Varilla de 1/4 corrugada</v>
          </cell>
          <cell r="C533" t="str">
            <v>KG</v>
          </cell>
          <cell r="D533">
            <v>1900</v>
          </cell>
          <cell r="E533">
            <v>114</v>
          </cell>
        </row>
        <row r="534">
          <cell r="A534">
            <v>505</v>
          </cell>
          <cell r="B534" t="str">
            <v>Varilla de 3/8 corrugada</v>
          </cell>
          <cell r="C534" t="str">
            <v>ML</v>
          </cell>
          <cell r="D534">
            <v>1000</v>
          </cell>
          <cell r="E534">
            <v>60</v>
          </cell>
        </row>
        <row r="535">
          <cell r="A535">
            <v>506</v>
          </cell>
          <cell r="B535" t="str">
            <v>Varilla de 5/8" Corrugada</v>
          </cell>
          <cell r="C535" t="str">
            <v>ML</v>
          </cell>
          <cell r="D535">
            <v>3300</v>
          </cell>
          <cell r="E535">
            <v>198</v>
          </cell>
        </row>
        <row r="536">
          <cell r="A536">
            <v>507</v>
          </cell>
          <cell r="E536">
            <v>0</v>
          </cell>
        </row>
        <row r="537">
          <cell r="A537">
            <v>508</v>
          </cell>
          <cell r="E537">
            <v>0</v>
          </cell>
        </row>
        <row r="538">
          <cell r="A538">
            <v>509</v>
          </cell>
          <cell r="E538">
            <v>0</v>
          </cell>
        </row>
        <row r="539">
          <cell r="A539">
            <v>510</v>
          </cell>
          <cell r="E539">
            <v>0</v>
          </cell>
        </row>
        <row r="540">
          <cell r="A540">
            <v>511</v>
          </cell>
          <cell r="E540">
            <v>0</v>
          </cell>
        </row>
        <row r="541">
          <cell r="A541">
            <v>512</v>
          </cell>
          <cell r="E541">
            <v>0</v>
          </cell>
        </row>
        <row r="542">
          <cell r="A542">
            <v>513</v>
          </cell>
          <cell r="E542">
            <v>0</v>
          </cell>
        </row>
        <row r="543">
          <cell r="A543">
            <v>514</v>
          </cell>
          <cell r="E543">
            <v>0</v>
          </cell>
        </row>
        <row r="544">
          <cell r="A544">
            <v>515</v>
          </cell>
          <cell r="E544">
            <v>0</v>
          </cell>
        </row>
        <row r="545">
          <cell r="A545">
            <v>516</v>
          </cell>
          <cell r="E545">
            <v>0</v>
          </cell>
        </row>
        <row r="546">
          <cell r="A546">
            <v>517</v>
          </cell>
          <cell r="E546">
            <v>0</v>
          </cell>
        </row>
        <row r="547">
          <cell r="A547">
            <v>518</v>
          </cell>
          <cell r="E547">
            <v>0</v>
          </cell>
        </row>
        <row r="548">
          <cell r="A548">
            <v>519</v>
          </cell>
          <cell r="E548">
            <v>0</v>
          </cell>
        </row>
        <row r="549">
          <cell r="A549">
            <v>520</v>
          </cell>
          <cell r="E549">
            <v>0</v>
          </cell>
        </row>
        <row r="550">
          <cell r="A550">
            <v>521</v>
          </cell>
          <cell r="E550">
            <v>0</v>
          </cell>
        </row>
        <row r="551">
          <cell r="A551">
            <v>522</v>
          </cell>
          <cell r="E551">
            <v>0</v>
          </cell>
        </row>
        <row r="552">
          <cell r="A552">
            <v>523</v>
          </cell>
          <cell r="E552">
            <v>0</v>
          </cell>
        </row>
        <row r="553">
          <cell r="A553">
            <v>524</v>
          </cell>
          <cell r="E553">
            <v>0</v>
          </cell>
        </row>
        <row r="554">
          <cell r="A554">
            <v>525</v>
          </cell>
          <cell r="E554">
            <v>0</v>
          </cell>
        </row>
        <row r="555">
          <cell r="A555">
            <v>526</v>
          </cell>
          <cell r="E555">
            <v>0</v>
          </cell>
        </row>
        <row r="556">
          <cell r="A556">
            <v>527</v>
          </cell>
          <cell r="E556">
            <v>0</v>
          </cell>
        </row>
        <row r="557">
          <cell r="A557">
            <v>528</v>
          </cell>
          <cell r="E557">
            <v>0</v>
          </cell>
        </row>
        <row r="558">
          <cell r="A558">
            <v>529</v>
          </cell>
          <cell r="E558">
            <v>0</v>
          </cell>
        </row>
        <row r="559">
          <cell r="A559">
            <v>530</v>
          </cell>
          <cell r="E559">
            <v>0</v>
          </cell>
        </row>
        <row r="560">
          <cell r="A560">
            <v>531</v>
          </cell>
          <cell r="E560">
            <v>0</v>
          </cell>
        </row>
        <row r="561">
          <cell r="A561">
            <v>532</v>
          </cell>
          <cell r="E561">
            <v>0</v>
          </cell>
        </row>
        <row r="562">
          <cell r="A562">
            <v>533</v>
          </cell>
          <cell r="E562">
            <v>0</v>
          </cell>
        </row>
        <row r="563">
          <cell r="A563">
            <v>534</v>
          </cell>
          <cell r="E563">
            <v>0</v>
          </cell>
        </row>
        <row r="564">
          <cell r="A564">
            <v>535</v>
          </cell>
          <cell r="E564">
            <v>0</v>
          </cell>
        </row>
        <row r="565">
          <cell r="A565">
            <v>536</v>
          </cell>
          <cell r="E565">
            <v>0</v>
          </cell>
        </row>
        <row r="566">
          <cell r="A566">
            <v>537</v>
          </cell>
          <cell r="E566">
            <v>0</v>
          </cell>
        </row>
        <row r="567">
          <cell r="A567">
            <v>538</v>
          </cell>
          <cell r="E567">
            <v>0</v>
          </cell>
        </row>
        <row r="568">
          <cell r="A568">
            <v>539</v>
          </cell>
          <cell r="E568">
            <v>0</v>
          </cell>
        </row>
        <row r="569">
          <cell r="A569">
            <v>540</v>
          </cell>
          <cell r="E569">
            <v>0</v>
          </cell>
        </row>
        <row r="570">
          <cell r="A570">
            <v>541</v>
          </cell>
          <cell r="E570">
            <v>0</v>
          </cell>
        </row>
        <row r="571">
          <cell r="A571">
            <v>542</v>
          </cell>
          <cell r="E571">
            <v>0</v>
          </cell>
        </row>
        <row r="572">
          <cell r="A572">
            <v>543</v>
          </cell>
          <cell r="E572">
            <v>0</v>
          </cell>
        </row>
        <row r="573">
          <cell r="A573">
            <v>544</v>
          </cell>
          <cell r="E573">
            <v>0</v>
          </cell>
        </row>
        <row r="574">
          <cell r="A574">
            <v>545</v>
          </cell>
          <cell r="E574">
            <v>0</v>
          </cell>
        </row>
        <row r="575">
          <cell r="A575">
            <v>546</v>
          </cell>
          <cell r="E575">
            <v>0</v>
          </cell>
        </row>
        <row r="576">
          <cell r="A576">
            <v>547</v>
          </cell>
          <cell r="E576">
            <v>0</v>
          </cell>
        </row>
        <row r="577">
          <cell r="A577">
            <v>548</v>
          </cell>
          <cell r="E577">
            <v>0</v>
          </cell>
        </row>
        <row r="578">
          <cell r="A578">
            <v>549</v>
          </cell>
          <cell r="E578">
            <v>0</v>
          </cell>
        </row>
        <row r="579">
          <cell r="A579">
            <v>550</v>
          </cell>
          <cell r="E579">
            <v>0</v>
          </cell>
        </row>
        <row r="581">
          <cell r="A581" t="str">
            <v>REF.</v>
          </cell>
          <cell r="B581" t="str">
            <v>MATERIAL CARPINTERIA DE MADERAS</v>
          </cell>
          <cell r="C581" t="str">
            <v>UNIDAD</v>
          </cell>
          <cell r="D581" t="str">
            <v>PRECIO</v>
          </cell>
          <cell r="E581" t="str">
            <v>TRANSPORTE</v>
          </cell>
        </row>
        <row r="583">
          <cell r="A583">
            <v>551</v>
          </cell>
          <cell r="B583" t="str">
            <v>polín</v>
          </cell>
          <cell r="C583" t="str">
            <v>ML</v>
          </cell>
          <cell r="D583">
            <v>1500</v>
          </cell>
          <cell r="E583">
            <v>90</v>
          </cell>
        </row>
        <row r="584">
          <cell r="A584">
            <v>552</v>
          </cell>
          <cell r="B584" t="str">
            <v>Tabla burra de 0.30 x 3.00 mts</v>
          </cell>
          <cell r="C584" t="str">
            <v xml:space="preserve">UN </v>
          </cell>
          <cell r="D584">
            <v>7000</v>
          </cell>
          <cell r="E584">
            <v>420</v>
          </cell>
        </row>
        <row r="585">
          <cell r="A585">
            <v>553</v>
          </cell>
          <cell r="B585" t="str">
            <v>Estacas, pintura, puntillas</v>
          </cell>
          <cell r="C585" t="str">
            <v>GLB</v>
          </cell>
          <cell r="D585">
            <v>634</v>
          </cell>
          <cell r="E585">
            <v>38.04</v>
          </cell>
        </row>
        <row r="586">
          <cell r="A586">
            <v>554</v>
          </cell>
          <cell r="B586" t="str">
            <v>Guadua</v>
          </cell>
          <cell r="C586" t="str">
            <v>ML</v>
          </cell>
          <cell r="D586">
            <v>1500</v>
          </cell>
          <cell r="E586">
            <v>90</v>
          </cell>
        </row>
        <row r="587">
          <cell r="A587">
            <v>555</v>
          </cell>
          <cell r="B587" t="str">
            <v>listón de Madera</v>
          </cell>
          <cell r="C587" t="str">
            <v>UN</v>
          </cell>
          <cell r="D587">
            <v>650</v>
          </cell>
          <cell r="E587">
            <v>39</v>
          </cell>
        </row>
        <row r="588">
          <cell r="A588">
            <v>556</v>
          </cell>
          <cell r="E588">
            <v>0</v>
          </cell>
        </row>
        <row r="589">
          <cell r="A589">
            <v>557</v>
          </cell>
          <cell r="E589">
            <v>0</v>
          </cell>
        </row>
        <row r="590">
          <cell r="A590">
            <v>558</v>
          </cell>
          <cell r="E590">
            <v>0</v>
          </cell>
        </row>
        <row r="591">
          <cell r="A591">
            <v>559</v>
          </cell>
          <cell r="E591">
            <v>0</v>
          </cell>
        </row>
        <row r="592">
          <cell r="A592">
            <v>560</v>
          </cell>
          <cell r="E592">
            <v>0</v>
          </cell>
        </row>
        <row r="593">
          <cell r="A593">
            <v>561</v>
          </cell>
          <cell r="E593">
            <v>0</v>
          </cell>
        </row>
        <row r="594">
          <cell r="A594">
            <v>562</v>
          </cell>
          <cell r="E594">
            <v>0</v>
          </cell>
        </row>
        <row r="595">
          <cell r="A595">
            <v>563</v>
          </cell>
          <cell r="E595">
            <v>0</v>
          </cell>
        </row>
        <row r="596">
          <cell r="A596">
            <v>564</v>
          </cell>
          <cell r="E596">
            <v>0</v>
          </cell>
        </row>
        <row r="597">
          <cell r="A597">
            <v>565</v>
          </cell>
          <cell r="E597">
            <v>0</v>
          </cell>
        </row>
        <row r="598">
          <cell r="A598">
            <v>566</v>
          </cell>
          <cell r="E598">
            <v>0</v>
          </cell>
        </row>
        <row r="599">
          <cell r="A599">
            <v>567</v>
          </cell>
          <cell r="E599">
            <v>0</v>
          </cell>
        </row>
        <row r="600">
          <cell r="A600">
            <v>568</v>
          </cell>
          <cell r="E600">
            <v>0</v>
          </cell>
        </row>
        <row r="601">
          <cell r="A601">
            <v>569</v>
          </cell>
          <cell r="E601">
            <v>0</v>
          </cell>
        </row>
        <row r="602">
          <cell r="A602">
            <v>570</v>
          </cell>
          <cell r="E602">
            <v>0</v>
          </cell>
        </row>
        <row r="603">
          <cell r="A603">
            <v>571</v>
          </cell>
          <cell r="E603">
            <v>0</v>
          </cell>
        </row>
        <row r="604">
          <cell r="A604">
            <v>572</v>
          </cell>
          <cell r="E604">
            <v>0</v>
          </cell>
        </row>
        <row r="605">
          <cell r="A605">
            <v>573</v>
          </cell>
          <cell r="E605">
            <v>0</v>
          </cell>
        </row>
        <row r="606">
          <cell r="A606">
            <v>574</v>
          </cell>
          <cell r="E606">
            <v>0</v>
          </cell>
        </row>
        <row r="607">
          <cell r="A607">
            <v>575</v>
          </cell>
          <cell r="E607">
            <v>0</v>
          </cell>
        </row>
        <row r="608">
          <cell r="A608">
            <v>576</v>
          </cell>
          <cell r="E608">
            <v>0</v>
          </cell>
        </row>
        <row r="609">
          <cell r="A609">
            <v>577</v>
          </cell>
          <cell r="E609">
            <v>0</v>
          </cell>
        </row>
        <row r="610">
          <cell r="A610">
            <v>578</v>
          </cell>
          <cell r="E610">
            <v>0</v>
          </cell>
        </row>
        <row r="611">
          <cell r="A611">
            <v>579</v>
          </cell>
          <cell r="E611">
            <v>0</v>
          </cell>
        </row>
        <row r="612">
          <cell r="A612">
            <v>580</v>
          </cell>
          <cell r="E612">
            <v>0</v>
          </cell>
        </row>
        <row r="613">
          <cell r="A613">
            <v>581</v>
          </cell>
          <cell r="E613">
            <v>0</v>
          </cell>
        </row>
        <row r="614">
          <cell r="A614">
            <v>582</v>
          </cell>
          <cell r="E614">
            <v>0</v>
          </cell>
        </row>
        <row r="615">
          <cell r="A615">
            <v>583</v>
          </cell>
          <cell r="E615">
            <v>0</v>
          </cell>
        </row>
        <row r="616">
          <cell r="A616">
            <v>584</v>
          </cell>
          <cell r="E616">
            <v>0</v>
          </cell>
        </row>
        <row r="617">
          <cell r="A617">
            <v>585</v>
          </cell>
          <cell r="E617">
            <v>0</v>
          </cell>
        </row>
        <row r="618">
          <cell r="A618">
            <v>586</v>
          </cell>
          <cell r="E618">
            <v>0</v>
          </cell>
        </row>
        <row r="619">
          <cell r="A619">
            <v>587</v>
          </cell>
          <cell r="E619">
            <v>0</v>
          </cell>
        </row>
        <row r="620">
          <cell r="A620">
            <v>588</v>
          </cell>
          <cell r="E620">
            <v>0</v>
          </cell>
        </row>
        <row r="621">
          <cell r="A621">
            <v>589</v>
          </cell>
          <cell r="E621">
            <v>0</v>
          </cell>
        </row>
        <row r="622">
          <cell r="A622">
            <v>590</v>
          </cell>
          <cell r="E622">
            <v>0</v>
          </cell>
        </row>
        <row r="623">
          <cell r="A623">
            <v>591</v>
          </cell>
          <cell r="E623">
            <v>0</v>
          </cell>
        </row>
        <row r="624">
          <cell r="A624">
            <v>592</v>
          </cell>
          <cell r="E624">
            <v>0</v>
          </cell>
        </row>
        <row r="625">
          <cell r="A625">
            <v>593</v>
          </cell>
          <cell r="E625">
            <v>0</v>
          </cell>
        </row>
        <row r="626">
          <cell r="A626">
            <v>594</v>
          </cell>
          <cell r="E626">
            <v>0</v>
          </cell>
        </row>
        <row r="627">
          <cell r="A627">
            <v>595</v>
          </cell>
          <cell r="E627">
            <v>0</v>
          </cell>
        </row>
        <row r="628">
          <cell r="A628">
            <v>596</v>
          </cell>
          <cell r="E628">
            <v>0</v>
          </cell>
        </row>
        <row r="629">
          <cell r="A629">
            <v>597</v>
          </cell>
          <cell r="E629">
            <v>0</v>
          </cell>
        </row>
        <row r="630">
          <cell r="A630">
            <v>598</v>
          </cell>
          <cell r="E630">
            <v>0</v>
          </cell>
        </row>
        <row r="631">
          <cell r="A631">
            <v>599</v>
          </cell>
          <cell r="E631">
            <v>0</v>
          </cell>
        </row>
        <row r="632">
          <cell r="A632">
            <v>600</v>
          </cell>
          <cell r="E632">
            <v>0</v>
          </cell>
        </row>
        <row r="633">
          <cell r="A633">
            <v>601</v>
          </cell>
          <cell r="E633">
            <v>0</v>
          </cell>
        </row>
        <row r="634">
          <cell r="A634">
            <v>602</v>
          </cell>
          <cell r="E634">
            <v>0</v>
          </cell>
        </row>
        <row r="635">
          <cell r="A635">
            <v>603</v>
          </cell>
          <cell r="E635">
            <v>0</v>
          </cell>
        </row>
        <row r="636">
          <cell r="A636">
            <v>604</v>
          </cell>
          <cell r="E636">
            <v>0</v>
          </cell>
        </row>
        <row r="637">
          <cell r="A637">
            <v>605</v>
          </cell>
          <cell r="E637">
            <v>0</v>
          </cell>
        </row>
        <row r="638">
          <cell r="A638">
            <v>606</v>
          </cell>
          <cell r="E638">
            <v>0</v>
          </cell>
        </row>
        <row r="639">
          <cell r="A639">
            <v>607</v>
          </cell>
          <cell r="E639">
            <v>0</v>
          </cell>
        </row>
        <row r="640">
          <cell r="A640">
            <v>608</v>
          </cell>
          <cell r="E640">
            <v>0</v>
          </cell>
        </row>
        <row r="641">
          <cell r="A641">
            <v>609</v>
          </cell>
          <cell r="E641">
            <v>0</v>
          </cell>
        </row>
        <row r="642">
          <cell r="A642">
            <v>610</v>
          </cell>
          <cell r="E642">
            <v>0</v>
          </cell>
        </row>
        <row r="643">
          <cell r="A643">
            <v>611</v>
          </cell>
          <cell r="E643">
            <v>0</v>
          </cell>
        </row>
        <row r="644">
          <cell r="A644">
            <v>612</v>
          </cell>
          <cell r="E644">
            <v>0</v>
          </cell>
        </row>
        <row r="645">
          <cell r="A645">
            <v>613</v>
          </cell>
          <cell r="E645">
            <v>0</v>
          </cell>
        </row>
        <row r="646">
          <cell r="A646">
            <v>614</v>
          </cell>
          <cell r="E646">
            <v>0</v>
          </cell>
        </row>
        <row r="647">
          <cell r="A647">
            <v>615</v>
          </cell>
          <cell r="E647">
            <v>0</v>
          </cell>
        </row>
        <row r="648">
          <cell r="A648">
            <v>616</v>
          </cell>
          <cell r="E648">
            <v>0</v>
          </cell>
        </row>
        <row r="649">
          <cell r="A649">
            <v>617</v>
          </cell>
          <cell r="E649">
            <v>0</v>
          </cell>
        </row>
        <row r="650">
          <cell r="A650">
            <v>618</v>
          </cell>
          <cell r="E650">
            <v>0</v>
          </cell>
        </row>
        <row r="651">
          <cell r="A651">
            <v>619</v>
          </cell>
          <cell r="E651">
            <v>0</v>
          </cell>
        </row>
        <row r="652">
          <cell r="A652">
            <v>620</v>
          </cell>
          <cell r="E652">
            <v>0</v>
          </cell>
        </row>
        <row r="653">
          <cell r="A653">
            <v>621</v>
          </cell>
          <cell r="E653">
            <v>0</v>
          </cell>
        </row>
        <row r="654">
          <cell r="A654">
            <v>622</v>
          </cell>
          <cell r="E654">
            <v>0</v>
          </cell>
        </row>
        <row r="655">
          <cell r="A655">
            <v>623</v>
          </cell>
          <cell r="E655">
            <v>0</v>
          </cell>
        </row>
        <row r="656">
          <cell r="A656">
            <v>624</v>
          </cell>
          <cell r="E656">
            <v>0</v>
          </cell>
        </row>
        <row r="657">
          <cell r="A657">
            <v>625</v>
          </cell>
          <cell r="E657">
            <v>0</v>
          </cell>
        </row>
        <row r="658">
          <cell r="A658">
            <v>626</v>
          </cell>
          <cell r="E658">
            <v>0</v>
          </cell>
        </row>
        <row r="659">
          <cell r="A659">
            <v>627</v>
          </cell>
          <cell r="E659">
            <v>0</v>
          </cell>
        </row>
        <row r="660">
          <cell r="A660">
            <v>628</v>
          </cell>
          <cell r="E660">
            <v>0</v>
          </cell>
        </row>
        <row r="661">
          <cell r="A661">
            <v>629</v>
          </cell>
          <cell r="E661">
            <v>0</v>
          </cell>
        </row>
        <row r="662">
          <cell r="A662">
            <v>630</v>
          </cell>
          <cell r="E662">
            <v>0</v>
          </cell>
        </row>
        <row r="663">
          <cell r="A663">
            <v>631</v>
          </cell>
          <cell r="E663">
            <v>0</v>
          </cell>
        </row>
        <row r="664">
          <cell r="A664">
            <v>632</v>
          </cell>
          <cell r="E664">
            <v>0</v>
          </cell>
        </row>
        <row r="665">
          <cell r="A665">
            <v>633</v>
          </cell>
          <cell r="E665">
            <v>0</v>
          </cell>
        </row>
        <row r="666">
          <cell r="A666">
            <v>634</v>
          </cell>
          <cell r="E666">
            <v>0</v>
          </cell>
        </row>
        <row r="667">
          <cell r="A667">
            <v>635</v>
          </cell>
          <cell r="E667">
            <v>0</v>
          </cell>
        </row>
        <row r="668">
          <cell r="A668">
            <v>636</v>
          </cell>
          <cell r="E668">
            <v>0</v>
          </cell>
        </row>
        <row r="669">
          <cell r="A669">
            <v>637</v>
          </cell>
          <cell r="E669">
            <v>0</v>
          </cell>
        </row>
        <row r="670">
          <cell r="A670">
            <v>638</v>
          </cell>
          <cell r="E670">
            <v>0</v>
          </cell>
        </row>
        <row r="671">
          <cell r="A671">
            <v>639</v>
          </cell>
          <cell r="E671">
            <v>0</v>
          </cell>
        </row>
        <row r="672">
          <cell r="A672">
            <v>640</v>
          </cell>
          <cell r="E672">
            <v>0</v>
          </cell>
        </row>
        <row r="673">
          <cell r="A673">
            <v>641</v>
          </cell>
          <cell r="E673">
            <v>0</v>
          </cell>
        </row>
        <row r="674">
          <cell r="A674">
            <v>642</v>
          </cell>
          <cell r="E674">
            <v>0</v>
          </cell>
        </row>
        <row r="675">
          <cell r="A675">
            <v>643</v>
          </cell>
          <cell r="E675">
            <v>0</v>
          </cell>
        </row>
        <row r="676">
          <cell r="A676">
            <v>644</v>
          </cell>
          <cell r="E676">
            <v>0</v>
          </cell>
        </row>
        <row r="677">
          <cell r="A677">
            <v>645</v>
          </cell>
          <cell r="E677">
            <v>0</v>
          </cell>
        </row>
        <row r="678">
          <cell r="A678">
            <v>646</v>
          </cell>
          <cell r="E678">
            <v>0</v>
          </cell>
        </row>
        <row r="679">
          <cell r="A679">
            <v>647</v>
          </cell>
          <cell r="E679">
            <v>0</v>
          </cell>
        </row>
        <row r="680">
          <cell r="A680">
            <v>648</v>
          </cell>
          <cell r="E680">
            <v>0</v>
          </cell>
        </row>
        <row r="681">
          <cell r="A681">
            <v>649</v>
          </cell>
          <cell r="E681">
            <v>0</v>
          </cell>
        </row>
        <row r="682">
          <cell r="E682">
            <v>0</v>
          </cell>
        </row>
        <row r="683">
          <cell r="E683">
            <v>0</v>
          </cell>
        </row>
        <row r="684">
          <cell r="E684">
            <v>0</v>
          </cell>
        </row>
        <row r="685">
          <cell r="E685">
            <v>0</v>
          </cell>
        </row>
        <row r="686">
          <cell r="E686">
            <v>0</v>
          </cell>
        </row>
        <row r="687">
          <cell r="E687">
            <v>0</v>
          </cell>
        </row>
        <row r="688">
          <cell r="E688">
            <v>0</v>
          </cell>
        </row>
        <row r="689">
          <cell r="B689" t="str">
            <v>PUNTILLA 1 A 3"</v>
          </cell>
          <cell r="C689" t="str">
            <v>KG</v>
          </cell>
          <cell r="D689">
            <v>1500</v>
          </cell>
          <cell r="E689">
            <v>90</v>
          </cell>
        </row>
        <row r="690">
          <cell r="B690" t="str">
            <v>ALAMBRE NEGRO No 18</v>
          </cell>
          <cell r="C690" t="str">
            <v>KG</v>
          </cell>
          <cell r="D690">
            <v>2250</v>
          </cell>
          <cell r="E690">
            <v>135</v>
          </cell>
        </row>
        <row r="691">
          <cell r="B691" t="str">
            <v>polín</v>
          </cell>
          <cell r="C691" t="str">
            <v>ML</v>
          </cell>
          <cell r="D691">
            <v>1500</v>
          </cell>
          <cell r="E691">
            <v>90</v>
          </cell>
        </row>
        <row r="692">
          <cell r="B692" t="str">
            <v>CEMENTO</v>
          </cell>
          <cell r="C692" t="str">
            <v>KG</v>
          </cell>
          <cell r="D692">
            <v>300</v>
          </cell>
          <cell r="E692">
            <v>18</v>
          </cell>
        </row>
        <row r="693">
          <cell r="B693" t="str">
            <v xml:space="preserve">ARENA </v>
          </cell>
          <cell r="C693" t="str">
            <v>M³</v>
          </cell>
          <cell r="D693">
            <v>20000</v>
          </cell>
          <cell r="E693">
            <v>1200</v>
          </cell>
        </row>
        <row r="694">
          <cell r="B694" t="str">
            <v>GRAVILLA TRITURADA</v>
          </cell>
          <cell r="C694" t="str">
            <v>M³</v>
          </cell>
          <cell r="D694">
            <v>54000</v>
          </cell>
          <cell r="E694">
            <v>3240</v>
          </cell>
        </row>
        <row r="695">
          <cell r="B695" t="str">
            <v>AGUA</v>
          </cell>
          <cell r="C695" t="str">
            <v>LT</v>
          </cell>
          <cell r="D695">
            <v>5</v>
          </cell>
          <cell r="E695">
            <v>0.3</v>
          </cell>
        </row>
        <row r="696">
          <cell r="B696" t="str">
            <v xml:space="preserve">RECEBO </v>
          </cell>
          <cell r="C696" t="str">
            <v>M³</v>
          </cell>
          <cell r="D696">
            <v>16000</v>
          </cell>
          <cell r="E696">
            <v>960</v>
          </cell>
        </row>
        <row r="697">
          <cell r="B697" t="str">
            <v>HIERRO No 5</v>
          </cell>
          <cell r="C697" t="str">
            <v>KG</v>
          </cell>
          <cell r="D697">
            <v>2200</v>
          </cell>
          <cell r="E697">
            <v>132</v>
          </cell>
        </row>
        <row r="698">
          <cell r="B698" t="str">
            <v>HIERRO DE 3/8</v>
          </cell>
          <cell r="C698" t="str">
            <v>KG</v>
          </cell>
          <cell r="D698">
            <v>2200</v>
          </cell>
          <cell r="E698">
            <v>132</v>
          </cell>
        </row>
        <row r="699">
          <cell r="B699" t="str">
            <v>MALLA ELECTROSOLDADA Q2</v>
          </cell>
          <cell r="C699" t="str">
            <v>Und</v>
          </cell>
          <cell r="D699">
            <v>43000</v>
          </cell>
          <cell r="E699">
            <v>2580</v>
          </cell>
        </row>
        <row r="700">
          <cell r="B700" t="str">
            <v>LADRILLO TOLETE</v>
          </cell>
          <cell r="C700" t="str">
            <v>Und</v>
          </cell>
          <cell r="D700">
            <v>240</v>
          </cell>
          <cell r="E700">
            <v>14.399999999999999</v>
          </cell>
        </row>
        <row r="701">
          <cell r="B701" t="str">
            <v>BLOQUE No 5 HUECO 12X20X30</v>
          </cell>
          <cell r="C701" t="str">
            <v>Und</v>
          </cell>
          <cell r="D701">
            <v>670</v>
          </cell>
          <cell r="E701">
            <v>40.199999999999996</v>
          </cell>
        </row>
        <row r="702">
          <cell r="B702" t="str">
            <v>ARENA FINA</v>
          </cell>
          <cell r="C702" t="str">
            <v>M³</v>
          </cell>
          <cell r="D702">
            <v>20000</v>
          </cell>
          <cell r="E702">
            <v>1200</v>
          </cell>
        </row>
        <row r="703">
          <cell r="B703" t="str">
            <v>MALLA GALLINERO</v>
          </cell>
          <cell r="C703" t="str">
            <v>M²</v>
          </cell>
          <cell r="D703">
            <v>1250</v>
          </cell>
          <cell r="E703">
            <v>75</v>
          </cell>
        </row>
        <row r="704">
          <cell r="B704" t="str">
            <v>PINTURA EN ESMALTE</v>
          </cell>
          <cell r="C704" t="str">
            <v>GAL</v>
          </cell>
          <cell r="D704">
            <v>39600</v>
          </cell>
          <cell r="E704">
            <v>2376</v>
          </cell>
        </row>
        <row r="705">
          <cell r="B705" t="str">
            <v>VENTANA CUADRADA (0.50X0.50) INCLUYE VIDRIO</v>
          </cell>
          <cell r="C705" t="str">
            <v>Und</v>
          </cell>
          <cell r="D705">
            <v>80000</v>
          </cell>
          <cell r="E705">
            <v>4800</v>
          </cell>
        </row>
        <row r="706">
          <cell r="B706" t="str">
            <v>TEJA TERMOACUSTIC + CABELLETE</v>
          </cell>
          <cell r="C706" t="str">
            <v>M2</v>
          </cell>
          <cell r="D706">
            <v>24000</v>
          </cell>
          <cell r="E706">
            <v>1440</v>
          </cell>
        </row>
        <row r="707">
          <cell r="B707" t="str">
            <v>TORNILLO FIJA ALA</v>
          </cell>
          <cell r="C707" t="str">
            <v>Und.</v>
          </cell>
          <cell r="D707">
            <v>350</v>
          </cell>
          <cell r="E707">
            <v>21</v>
          </cell>
        </row>
        <row r="708">
          <cell r="B708" t="str">
            <v>TORNILLO AUTOPERFORANTE</v>
          </cell>
          <cell r="C708" t="str">
            <v>Und.</v>
          </cell>
          <cell r="D708">
            <v>300</v>
          </cell>
          <cell r="E708">
            <v>18</v>
          </cell>
        </row>
        <row r="709">
          <cell r="B709" t="str">
            <v>GRANIPLAST</v>
          </cell>
          <cell r="C709" t="str">
            <v>KG</v>
          </cell>
          <cell r="D709">
            <v>1200</v>
          </cell>
          <cell r="E709">
            <v>72</v>
          </cell>
        </row>
        <row r="710">
          <cell r="B710" t="str">
            <v>GRANITO #2</v>
          </cell>
          <cell r="C710" t="str">
            <v>BT</v>
          </cell>
          <cell r="D710">
            <v>6000</v>
          </cell>
          <cell r="E710">
            <v>360</v>
          </cell>
        </row>
        <row r="711">
          <cell r="B711" t="str">
            <v>tubería PVC 4" SANITARIA</v>
          </cell>
          <cell r="C711" t="str">
            <v>ML</v>
          </cell>
          <cell r="D711">
            <v>6000</v>
          </cell>
          <cell r="E711">
            <v>360</v>
          </cell>
        </row>
        <row r="712">
          <cell r="B712" t="str">
            <v>ACCESORIOS</v>
          </cell>
          <cell r="C712" t="str">
            <v>Und</v>
          </cell>
          <cell r="D712">
            <v>2500</v>
          </cell>
          <cell r="E712">
            <v>150</v>
          </cell>
        </row>
        <row r="713">
          <cell r="B713" t="str">
            <v>CANALETA ACESCO 90X12</v>
          </cell>
          <cell r="C713" t="str">
            <v>ML</v>
          </cell>
          <cell r="D713">
            <v>20625</v>
          </cell>
          <cell r="E713">
            <v>1237.5</v>
          </cell>
        </row>
        <row r="714">
          <cell r="B714" t="str">
            <v>TUBOS FLUORESENTES 1.80 m</v>
          </cell>
          <cell r="C714" t="str">
            <v>Und.</v>
          </cell>
          <cell r="D714">
            <v>5000</v>
          </cell>
          <cell r="E714">
            <v>300</v>
          </cell>
        </row>
        <row r="715">
          <cell r="B715" t="str">
            <v>BALASTRA</v>
          </cell>
          <cell r="C715" t="str">
            <v>Und.</v>
          </cell>
          <cell r="D715">
            <v>27000</v>
          </cell>
          <cell r="E715">
            <v>1620</v>
          </cell>
        </row>
        <row r="716">
          <cell r="B716" t="str">
            <v>FOCKER</v>
          </cell>
          <cell r="C716" t="str">
            <v>Und.</v>
          </cell>
          <cell r="D716">
            <v>1100</v>
          </cell>
          <cell r="E716">
            <v>66</v>
          </cell>
        </row>
        <row r="717">
          <cell r="B717" t="str">
            <v>ALAMBRE TW #12</v>
          </cell>
          <cell r="C717" t="str">
            <v>ML</v>
          </cell>
          <cell r="D717">
            <v>600</v>
          </cell>
          <cell r="E717">
            <v>36</v>
          </cell>
        </row>
        <row r="718">
          <cell r="B718" t="str">
            <v>TUBO CONDUIT PVC 1/2"</v>
          </cell>
          <cell r="C718" t="str">
            <v>ML</v>
          </cell>
          <cell r="D718">
            <v>1100</v>
          </cell>
          <cell r="E718">
            <v>66</v>
          </cell>
        </row>
        <row r="719">
          <cell r="B719" t="str">
            <v>CAJILLA TACOS</v>
          </cell>
          <cell r="C719" t="str">
            <v>Und.</v>
          </cell>
          <cell r="D719">
            <v>7000</v>
          </cell>
          <cell r="E719">
            <v>420</v>
          </cell>
        </row>
        <row r="720">
          <cell r="B720" t="str">
            <v>INTERRUPTORES</v>
          </cell>
          <cell r="C720" t="str">
            <v>Und.</v>
          </cell>
          <cell r="D720">
            <v>2900</v>
          </cell>
          <cell r="E720">
            <v>174</v>
          </cell>
        </row>
        <row r="721">
          <cell r="B721" t="str">
            <v>VARILLA DE COBRE DE 1.80M D= 1/2"</v>
          </cell>
          <cell r="C721" t="str">
            <v>Und</v>
          </cell>
          <cell r="D721">
            <v>40000</v>
          </cell>
          <cell r="E721">
            <v>2400</v>
          </cell>
        </row>
        <row r="722">
          <cell r="B722" t="str">
            <v>ALAMBRE COBRE No 10</v>
          </cell>
          <cell r="C722" t="str">
            <v>ML</v>
          </cell>
          <cell r="D722">
            <v>1100</v>
          </cell>
          <cell r="E722">
            <v>66</v>
          </cell>
        </row>
        <row r="723">
          <cell r="B723" t="str">
            <v xml:space="preserve">ACOMETIDA EXTERNA </v>
          </cell>
          <cell r="C723" t="str">
            <v>GL</v>
          </cell>
          <cell r="D723">
            <v>500000</v>
          </cell>
          <cell r="E723">
            <v>30000</v>
          </cell>
        </row>
        <row r="724">
          <cell r="B724" t="str">
            <v xml:space="preserve">CANALETA EN Lámina GALVANIZADA  0.25X0.35M, INCLUYE ángulo Y SUPLEMENTO </v>
          </cell>
          <cell r="C724" t="str">
            <v>ML</v>
          </cell>
          <cell r="D724">
            <v>90000</v>
          </cell>
          <cell r="E724">
            <v>5400</v>
          </cell>
        </row>
        <row r="725">
          <cell r="B725" t="str">
            <v>ángulo DE 2 1/2" X 3/16"</v>
          </cell>
          <cell r="C725" t="str">
            <v>ML</v>
          </cell>
          <cell r="D725">
            <v>71000</v>
          </cell>
          <cell r="E725">
            <v>4260</v>
          </cell>
        </row>
        <row r="726">
          <cell r="B726" t="str">
            <v>NIPLE GALVANIZADO 1/2"</v>
          </cell>
          <cell r="C726" t="str">
            <v>Und</v>
          </cell>
          <cell r="D726">
            <v>600</v>
          </cell>
          <cell r="E726">
            <v>36</v>
          </cell>
        </row>
        <row r="727">
          <cell r="B727" t="str">
            <v>DILATACION EN VIDRIO</v>
          </cell>
          <cell r="C727" t="str">
            <v>ML</v>
          </cell>
          <cell r="D727">
            <v>200</v>
          </cell>
          <cell r="E727">
            <v>12</v>
          </cell>
        </row>
        <row r="728">
          <cell r="B728" t="str">
            <v>ESTUCO PLASTICO PARA INTERIORES</v>
          </cell>
          <cell r="C728" t="str">
            <v>Gal</v>
          </cell>
          <cell r="D728">
            <v>12500</v>
          </cell>
          <cell r="E728">
            <v>750</v>
          </cell>
        </row>
        <row r="729">
          <cell r="B729" t="str">
            <v>VINILO VINILTEX TIPO I</v>
          </cell>
          <cell r="C729" t="str">
            <v>GaL</v>
          </cell>
          <cell r="D729">
            <v>41500</v>
          </cell>
          <cell r="E729">
            <v>2490</v>
          </cell>
        </row>
        <row r="730">
          <cell r="B730" t="str">
            <v>MORTERO 1:4</v>
          </cell>
          <cell r="C730" t="str">
            <v>M³</v>
          </cell>
          <cell r="D730" t="e">
            <v>#REF!</v>
          </cell>
          <cell r="E730" t="e">
            <v>#REF!</v>
          </cell>
        </row>
        <row r="731">
          <cell r="B731" t="str">
            <v>BALDOSA DUROPISO MANCESA  30X30</v>
          </cell>
          <cell r="C731" t="str">
            <v>M²</v>
          </cell>
          <cell r="D731">
            <v>20500</v>
          </cell>
          <cell r="E731">
            <v>1230</v>
          </cell>
        </row>
        <row r="732">
          <cell r="B732" t="str">
            <v>CEMENTO BLANCO</v>
          </cell>
          <cell r="C732" t="str">
            <v>KG</v>
          </cell>
          <cell r="D732">
            <v>970</v>
          </cell>
          <cell r="E732">
            <v>58.199999999999996</v>
          </cell>
        </row>
        <row r="733">
          <cell r="B733" t="str">
            <v>CONCRETO DE 3000 PSI</v>
          </cell>
          <cell r="C733" t="str">
            <v>M³</v>
          </cell>
          <cell r="D733" t="e">
            <v>#REF!</v>
          </cell>
          <cell r="E733" t="e">
            <v>#REF!</v>
          </cell>
        </row>
        <row r="734">
          <cell r="B734" t="str">
            <v>PROCTOR MODIFICADO</v>
          </cell>
          <cell r="C734" t="str">
            <v>Und</v>
          </cell>
          <cell r="D734">
            <v>70000</v>
          </cell>
          <cell r="E734">
            <v>4200</v>
          </cell>
        </row>
        <row r="735">
          <cell r="B735" t="str">
            <v>ENSAYO DE LABORATORIO</v>
          </cell>
          <cell r="C735" t="str">
            <v>M³</v>
          </cell>
          <cell r="D735">
            <v>3500</v>
          </cell>
          <cell r="E735">
            <v>210</v>
          </cell>
        </row>
        <row r="736">
          <cell r="B736" t="str">
            <v>tubería PRESION PVC 1/2"</v>
          </cell>
          <cell r="C736" t="str">
            <v>ML</v>
          </cell>
          <cell r="D736">
            <v>1150</v>
          </cell>
          <cell r="E736">
            <v>69</v>
          </cell>
        </row>
        <row r="737">
          <cell r="B737" t="str">
            <v>ADAPTADOR MACHO 1/2</v>
          </cell>
          <cell r="C737" t="str">
            <v>Und</v>
          </cell>
          <cell r="D737">
            <v>300</v>
          </cell>
          <cell r="E737">
            <v>18</v>
          </cell>
        </row>
        <row r="738">
          <cell r="B738" t="str">
            <v>CODO PVC 1/2"</v>
          </cell>
          <cell r="C738" t="str">
            <v>Und</v>
          </cell>
          <cell r="D738">
            <v>300</v>
          </cell>
          <cell r="E738">
            <v>18</v>
          </cell>
        </row>
        <row r="739">
          <cell r="B739" t="str">
            <v>TEE GALVANIZADA DE 1/2"</v>
          </cell>
          <cell r="C739" t="str">
            <v>Und</v>
          </cell>
          <cell r="D739">
            <v>600</v>
          </cell>
          <cell r="E739">
            <v>36</v>
          </cell>
        </row>
        <row r="740">
          <cell r="B740" t="str">
            <v xml:space="preserve">IMPREMANTE </v>
          </cell>
          <cell r="C740" t="str">
            <v>GL</v>
          </cell>
          <cell r="D740">
            <v>22000</v>
          </cell>
          <cell r="E740">
            <v>1320</v>
          </cell>
        </row>
        <row r="741">
          <cell r="B741" t="str">
            <v>MANTO FIBERGLASS 600 XT</v>
          </cell>
          <cell r="C741" t="str">
            <v>M²</v>
          </cell>
          <cell r="D741">
            <v>11500</v>
          </cell>
          <cell r="E741">
            <v>690</v>
          </cell>
        </row>
        <row r="742">
          <cell r="B742" t="str">
            <v>CONCRETO DE 2500 PSI</v>
          </cell>
          <cell r="C742" t="str">
            <v>M³</v>
          </cell>
          <cell r="E742">
            <v>0</v>
          </cell>
        </row>
        <row r="743">
          <cell r="B743" t="str">
            <v>ENSAYO DE LABORATORIO</v>
          </cell>
          <cell r="C743" t="str">
            <v>M³</v>
          </cell>
          <cell r="D743">
            <v>5000</v>
          </cell>
          <cell r="E743">
            <v>300</v>
          </cell>
        </row>
        <row r="744">
          <cell r="B744" t="str">
            <v>tubería PVC 3" SANITARIA</v>
          </cell>
          <cell r="C744" t="str">
            <v>ML</v>
          </cell>
          <cell r="D744">
            <v>4850</v>
          </cell>
          <cell r="E744">
            <v>291</v>
          </cell>
        </row>
        <row r="745">
          <cell r="B745" t="str">
            <v>CODO 3"X90 CXC SANITARIO</v>
          </cell>
          <cell r="C745" t="str">
            <v>Und</v>
          </cell>
          <cell r="D745">
            <v>3400</v>
          </cell>
          <cell r="E745">
            <v>204</v>
          </cell>
        </row>
        <row r="746">
          <cell r="B746" t="str">
            <v>CODO 4"X90 CXC SANITARIO</v>
          </cell>
          <cell r="C746" t="str">
            <v>Und</v>
          </cell>
          <cell r="D746">
            <v>5500</v>
          </cell>
          <cell r="E746">
            <v>330</v>
          </cell>
        </row>
        <row r="747">
          <cell r="B747" t="str">
            <v xml:space="preserve">LIMPIADOR PVC </v>
          </cell>
          <cell r="C747" t="str">
            <v>Und</v>
          </cell>
          <cell r="D747">
            <v>12500</v>
          </cell>
          <cell r="E747">
            <v>750</v>
          </cell>
        </row>
        <row r="748">
          <cell r="B748" t="str">
            <v>SOLDADURA PVC</v>
          </cell>
          <cell r="C748" t="str">
            <v>Und</v>
          </cell>
          <cell r="D748">
            <v>3500</v>
          </cell>
          <cell r="E748">
            <v>210</v>
          </cell>
        </row>
        <row r="749">
          <cell r="B749" t="str">
            <v>tubería PVC 4" SANITARIA</v>
          </cell>
          <cell r="C749" t="str">
            <v>ML</v>
          </cell>
          <cell r="D749">
            <v>7000</v>
          </cell>
          <cell r="E749">
            <v>420</v>
          </cell>
        </row>
        <row r="750">
          <cell r="B750" t="str">
            <v xml:space="preserve">Arena </v>
          </cell>
          <cell r="C750" t="str">
            <v>M3</v>
          </cell>
          <cell r="D750">
            <v>35000</v>
          </cell>
          <cell r="E750">
            <v>2100</v>
          </cell>
        </row>
        <row r="751">
          <cell r="B751" t="str">
            <v>Gravilla</v>
          </cell>
          <cell r="C751" t="str">
            <v>M3</v>
          </cell>
          <cell r="D751">
            <v>40000</v>
          </cell>
          <cell r="E751">
            <v>2400</v>
          </cell>
        </row>
        <row r="752">
          <cell r="B752" t="str">
            <v>Varilla de 1/2"</v>
          </cell>
          <cell r="C752" t="str">
            <v>ML</v>
          </cell>
          <cell r="D752">
            <v>1900</v>
          </cell>
          <cell r="E752">
            <v>114</v>
          </cell>
        </row>
        <row r="753">
          <cell r="B753" t="str">
            <v>Platina 11/2" x 3/16</v>
          </cell>
          <cell r="C753" t="str">
            <v>ML</v>
          </cell>
          <cell r="D753">
            <v>3600</v>
          </cell>
          <cell r="E753">
            <v>216</v>
          </cell>
        </row>
        <row r="754">
          <cell r="B754" t="str">
            <v>ángulo de 2 1/2" x 1/4</v>
          </cell>
          <cell r="C754" t="str">
            <v>ML</v>
          </cell>
          <cell r="D754">
            <v>13300</v>
          </cell>
          <cell r="E754">
            <v>798</v>
          </cell>
        </row>
        <row r="755">
          <cell r="B755" t="str">
            <v>ángulo de 11/2" x 3/16</v>
          </cell>
          <cell r="C755" t="str">
            <v>ML</v>
          </cell>
          <cell r="D755">
            <v>6400</v>
          </cell>
          <cell r="E755">
            <v>384</v>
          </cell>
        </row>
        <row r="756">
          <cell r="B756" t="str">
            <v>Varilla de 5/8" Corrugada</v>
          </cell>
          <cell r="C756" t="str">
            <v>ML</v>
          </cell>
          <cell r="D756">
            <v>3300</v>
          </cell>
          <cell r="E756">
            <v>198</v>
          </cell>
        </row>
        <row r="757">
          <cell r="B757" t="str">
            <v>Corredera</v>
          </cell>
          <cell r="C757" t="str">
            <v>UN</v>
          </cell>
          <cell r="D757">
            <v>1200</v>
          </cell>
          <cell r="E757">
            <v>72</v>
          </cell>
        </row>
        <row r="758">
          <cell r="B758" t="str">
            <v>Chapa marca Vera sencilla</v>
          </cell>
          <cell r="C758" t="str">
            <v>UN</v>
          </cell>
          <cell r="D758">
            <v>25000</v>
          </cell>
          <cell r="E758">
            <v>1500</v>
          </cell>
        </row>
        <row r="759">
          <cell r="B759" t="str">
            <v>Corredera</v>
          </cell>
          <cell r="C759" t="str">
            <v>UN</v>
          </cell>
          <cell r="D759">
            <v>2500</v>
          </cell>
          <cell r="E759">
            <v>150</v>
          </cell>
        </row>
        <row r="760">
          <cell r="B760" t="str">
            <v>ángulo de 11/2"x1/8"</v>
          </cell>
          <cell r="C760" t="str">
            <v>ML</v>
          </cell>
          <cell r="D760">
            <v>6500</v>
          </cell>
          <cell r="E760">
            <v>390</v>
          </cell>
        </row>
        <row r="761">
          <cell r="B761" t="str">
            <v>Correa tipo canal</v>
          </cell>
          <cell r="C761" t="str">
            <v>ML</v>
          </cell>
          <cell r="D761">
            <v>6600</v>
          </cell>
          <cell r="E761">
            <v>396</v>
          </cell>
        </row>
        <row r="762">
          <cell r="B762" t="str">
            <v>Perno de 3/4"</v>
          </cell>
          <cell r="C762" t="str">
            <v>UN</v>
          </cell>
          <cell r="D762">
            <v>1500</v>
          </cell>
          <cell r="E762">
            <v>90</v>
          </cell>
        </row>
        <row r="763">
          <cell r="B763" t="str">
            <v>Malla eslabonada de 2x2 cal 10</v>
          </cell>
          <cell r="C763" t="str">
            <v>M2</v>
          </cell>
          <cell r="D763">
            <v>10000</v>
          </cell>
          <cell r="E763">
            <v>600</v>
          </cell>
        </row>
        <row r="764">
          <cell r="B764" t="str">
            <v>Tubo galvanizado de 2"</v>
          </cell>
          <cell r="C764" t="str">
            <v>ML</v>
          </cell>
          <cell r="D764">
            <v>8000</v>
          </cell>
          <cell r="E764">
            <v>480</v>
          </cell>
        </row>
        <row r="765">
          <cell r="B765" t="str">
            <v>ángulo de 1"x1/8"</v>
          </cell>
          <cell r="C765" t="str">
            <v>ML</v>
          </cell>
          <cell r="D765">
            <v>2000</v>
          </cell>
          <cell r="E765">
            <v>120</v>
          </cell>
        </row>
        <row r="766">
          <cell r="B766" t="str">
            <v>Platina de 1/2"x1/8"</v>
          </cell>
          <cell r="C766" t="str">
            <v>ML</v>
          </cell>
          <cell r="D766">
            <v>1300</v>
          </cell>
          <cell r="E766">
            <v>78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es A.N."/>
      <sheetName val="SOPORTES A.N."/>
      <sheetName val="DOMI.STA.CECILIA II"/>
      <sheetName val="ACTA"/>
      <sheetName val="BALANCE FINANCIERO"/>
      <sheetName val="AVANCE"/>
      <sheetName val="E.MERCANCIA"/>
      <sheetName val="tuberia"/>
      <sheetName val="CONT INSP Y ENSAYO"/>
      <sheetName val="factores_A_N_"/>
      <sheetName val="SOPORTES_A_N_"/>
      <sheetName val="DOMI_STA_CECILIA_II"/>
      <sheetName val="BALANCE_FINANCIERO"/>
      <sheetName val="E_MERCANCIA"/>
      <sheetName val="CONT_INSP_Y_ENSAYO"/>
      <sheetName val="factores_A_N_1"/>
      <sheetName val="SOPORTES_A_N_1"/>
      <sheetName val="DOMI_STA_CECILIA_II1"/>
      <sheetName val="BALANCE_FINANCIERO1"/>
      <sheetName val="E_MERCANCIA1"/>
      <sheetName val="CONT_INSP_Y_ENSAYO1"/>
      <sheetName val="factores_A_N_3"/>
      <sheetName val="SOPORTES_A_N_3"/>
      <sheetName val="DOMI_STA_CECILIA_II3"/>
      <sheetName val="BALANCE_FINANCIERO3"/>
      <sheetName val="E_MERCANCIA3"/>
      <sheetName val="CONT_INSP_Y_ENSAYO3"/>
      <sheetName val="factores_A_N_2"/>
      <sheetName val="SOPORTES_A_N_2"/>
      <sheetName val="DOMI_STA_CECILIA_II2"/>
      <sheetName val="BALANCE_FINANCIERO2"/>
      <sheetName val="E_MERCANCIA2"/>
      <sheetName val="CONT_INSP_Y_ENSAYO2"/>
    </sheetNames>
    <sheetDataSet>
      <sheetData sheetId="0" refreshError="1">
        <row r="15">
          <cell r="I15">
            <v>0.54751813668079397</v>
          </cell>
        </row>
        <row r="16">
          <cell r="I16">
            <v>0.67002611682034363</v>
          </cell>
        </row>
        <row r="17">
          <cell r="I17">
            <v>0.80535562905411928</v>
          </cell>
        </row>
        <row r="18">
          <cell r="I18">
            <v>0.89811116639918487</v>
          </cell>
        </row>
        <row r="19">
          <cell r="I19">
            <v>0.9744774270287262</v>
          </cell>
        </row>
        <row r="20">
          <cell r="I20">
            <v>1.1239471251137785</v>
          </cell>
        </row>
        <row r="21">
          <cell r="I21">
            <v>1.2825432987340994</v>
          </cell>
        </row>
        <row r="22">
          <cell r="I22">
            <v>1.4530556979861888</v>
          </cell>
        </row>
        <row r="23">
          <cell r="I23">
            <v>1.6392553722877783</v>
          </cell>
        </row>
        <row r="24">
          <cell r="I24">
            <v>1.8401475946639425</v>
          </cell>
        </row>
        <row r="25">
          <cell r="I25">
            <v>2.4052561673438118</v>
          </cell>
        </row>
        <row r="28">
          <cell r="I28">
            <v>3.6230056809750879</v>
          </cell>
        </row>
        <row r="29">
          <cell r="I29">
            <v>4.2349131863889973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d"/>
      <sheetName val="Insum"/>
      <sheetName val="Apu"/>
      <sheetName val="Ppto"/>
      <sheetName val="PreciosApto"/>
      <sheetName val="InsAct"/>
      <sheetName val="Ejecut"/>
      <sheetName val="Hoja2"/>
      <sheetName val="Hoja3"/>
    </sheetNames>
    <sheetDataSet>
      <sheetData sheetId="0" refreshError="1"/>
      <sheetData sheetId="1" refreshError="1"/>
      <sheetData sheetId="2" refreshError="1">
        <row r="8">
          <cell r="N8" t="str">
            <v>Vr. MATERIALES</v>
          </cell>
          <cell r="O8" t="str">
            <v>Vr. M.O</v>
          </cell>
          <cell r="P8" t="str">
            <v>Vr. VARIOS</v>
          </cell>
          <cell r="Q8" t="str">
            <v>Vr. A.I.U</v>
          </cell>
          <cell r="R8" t="str">
            <v>EQUIPO</v>
          </cell>
          <cell r="S8" t="str">
            <v>REPOSICION</v>
          </cell>
          <cell r="T8" t="str">
            <v>REPUESTOS</v>
          </cell>
          <cell r="U8" t="str">
            <v>MANTENIMIENTO</v>
          </cell>
          <cell r="V8" t="str">
            <v>COMBUSTIBLE</v>
          </cell>
          <cell r="W8" t="str">
            <v>OPERADOR</v>
          </cell>
          <cell r="X8">
            <v>2288419024.0599999</v>
          </cell>
          <cell r="AA8" t="str">
            <v>Vr. MATERIALES</v>
          </cell>
          <cell r="AB8" t="str">
            <v>Vr. M.O</v>
          </cell>
          <cell r="AC8" t="str">
            <v>Vr. VARIOS</v>
          </cell>
        </row>
        <row r="9">
          <cell r="E9" t="str">
            <v>ITEM</v>
          </cell>
        </row>
        <row r="10">
          <cell r="D10" t="str">
            <v>TPCAMPA</v>
          </cell>
          <cell r="E10" t="str">
            <v>Campamento alquilado</v>
          </cell>
          <cell r="G10" t="str">
            <v>UN.</v>
          </cell>
          <cell r="H10" t="str">
            <v>Un</v>
          </cell>
          <cell r="I10" t="e">
            <v>#N/A</v>
          </cell>
          <cell r="K10">
            <v>0</v>
          </cell>
          <cell r="L10" t="e">
            <v>#N/A</v>
          </cell>
          <cell r="N10">
            <v>46364</v>
          </cell>
          <cell r="O10" t="e">
            <v>#N/A</v>
          </cell>
          <cell r="P10">
            <v>660000</v>
          </cell>
          <cell r="Q10" t="e">
            <v>#N/A</v>
          </cell>
          <cell r="X10" t="e">
            <v>#N/A</v>
          </cell>
          <cell r="Z10" t="e">
            <v>#VALUE!</v>
          </cell>
          <cell r="AA10" t="e">
            <v>#VALUE!</v>
          </cell>
          <cell r="AB10" t="e">
            <v>#VALUE!</v>
          </cell>
          <cell r="AC10" t="e">
            <v>#VALUE!</v>
          </cell>
        </row>
        <row r="12">
          <cell r="D12" t="str">
            <v>CODIGO</v>
          </cell>
          <cell r="E12" t="str">
            <v>DESCRIPCION</v>
          </cell>
          <cell r="F12" t="str">
            <v>UN</v>
          </cell>
          <cell r="G12" t="str">
            <v>CANT</v>
          </cell>
          <cell r="H12" t="str">
            <v>V/UNIT.</v>
          </cell>
          <cell r="I12" t="str">
            <v>V/TOTAL</v>
          </cell>
          <cell r="K12" t="str">
            <v>CANT TOTAL</v>
          </cell>
          <cell r="L12" t="str">
            <v>Vr TOTAL</v>
          </cell>
          <cell r="Y12" t="str">
            <v>CANT.</v>
          </cell>
          <cell r="Z12" t="str">
            <v>V/TOTAL</v>
          </cell>
        </row>
        <row r="13">
          <cell r="E13" t="str">
            <v>MATERIALES</v>
          </cell>
          <cell r="I13">
            <v>46364</v>
          </cell>
          <cell r="L13">
            <v>0</v>
          </cell>
          <cell r="Z13" t="e">
            <v>#VALUE!</v>
          </cell>
        </row>
        <row r="14">
          <cell r="D14" t="str">
            <v>MA25DURM</v>
          </cell>
          <cell r="E14" t="str">
            <v>Durmiente</v>
          </cell>
          <cell r="F14" t="str">
            <v>Un</v>
          </cell>
          <cell r="G14">
            <v>10</v>
          </cell>
          <cell r="H14">
            <v>2000</v>
          </cell>
          <cell r="I14">
            <v>20000</v>
          </cell>
          <cell r="J14">
            <v>0</v>
          </cell>
          <cell r="K14">
            <v>0</v>
          </cell>
          <cell r="L14">
            <v>0</v>
          </cell>
          <cell r="Y14" t="e">
            <v>#VALUE!</v>
          </cell>
          <cell r="Z14" t="e">
            <v>#VALUE!</v>
          </cell>
        </row>
        <row r="15">
          <cell r="D15" t="str">
            <v>MA19PC25</v>
          </cell>
          <cell r="E15" t="str">
            <v>Puntilla con cabeza 2,5"</v>
          </cell>
          <cell r="F15" t="str">
            <v>Lb</v>
          </cell>
          <cell r="G15">
            <v>4</v>
          </cell>
          <cell r="H15">
            <v>1216</v>
          </cell>
          <cell r="I15">
            <v>4864</v>
          </cell>
          <cell r="J15">
            <v>0</v>
          </cell>
          <cell r="K15">
            <v>0</v>
          </cell>
          <cell r="L15">
            <v>0</v>
          </cell>
          <cell r="Y15" t="e">
            <v>#VALUE!</v>
          </cell>
          <cell r="Z15" t="e">
            <v>#VALUE!</v>
          </cell>
        </row>
        <row r="16">
          <cell r="D16" t="str">
            <v>MA17CAND</v>
          </cell>
          <cell r="E16" t="str">
            <v>Candado</v>
          </cell>
          <cell r="F16" t="str">
            <v>Un</v>
          </cell>
          <cell r="G16">
            <v>1</v>
          </cell>
          <cell r="H16">
            <v>9000</v>
          </cell>
          <cell r="I16">
            <v>9000</v>
          </cell>
          <cell r="J16">
            <v>0</v>
          </cell>
          <cell r="K16">
            <v>0</v>
          </cell>
          <cell r="L16">
            <v>0</v>
          </cell>
          <cell r="Y16" t="e">
            <v>#VALUE!</v>
          </cell>
          <cell r="Z16" t="e">
            <v>#VALUE!</v>
          </cell>
        </row>
        <row r="17">
          <cell r="D17" t="str">
            <v>MA17CADE1</v>
          </cell>
          <cell r="E17" t="str">
            <v>Cadena 1"</v>
          </cell>
          <cell r="F17" t="str">
            <v>Ml</v>
          </cell>
          <cell r="G17">
            <v>5</v>
          </cell>
          <cell r="H17">
            <v>2500</v>
          </cell>
          <cell r="I17">
            <v>12500</v>
          </cell>
          <cell r="J17">
            <v>0</v>
          </cell>
          <cell r="K17">
            <v>0</v>
          </cell>
          <cell r="L17">
            <v>0</v>
          </cell>
          <cell r="Y17" t="e">
            <v>#VALUE!</v>
          </cell>
          <cell r="Z17" t="e">
            <v>#VALUE!</v>
          </cell>
        </row>
        <row r="20">
          <cell r="E20" t="str">
            <v>MANO DE OBRA</v>
          </cell>
          <cell r="I20" t="e">
            <v>#N/A</v>
          </cell>
          <cell r="L20" t="e">
            <v>#N/A</v>
          </cell>
          <cell r="Z20" t="e">
            <v>#VALUE!</v>
          </cell>
        </row>
        <row r="21">
          <cell r="D21" t="str">
            <v>MOTPICAMP</v>
          </cell>
          <cell r="E21" t="e">
            <v>#N/A</v>
          </cell>
          <cell r="F21" t="e">
            <v>#N/A</v>
          </cell>
          <cell r="G21">
            <v>1</v>
          </cell>
          <cell r="H21" t="e">
            <v>#N/A</v>
          </cell>
          <cell r="I21" t="e">
            <v>#N/A</v>
          </cell>
          <cell r="J21" t="e">
            <v>#N/A</v>
          </cell>
          <cell r="K21">
            <v>0</v>
          </cell>
          <cell r="L21" t="e">
            <v>#N/A</v>
          </cell>
          <cell r="Y21" t="e">
            <v>#VALUE!</v>
          </cell>
          <cell r="Z21" t="e">
            <v>#VALUE!</v>
          </cell>
        </row>
        <row r="23">
          <cell r="E23" t="str">
            <v>VARIOS</v>
          </cell>
          <cell r="I23">
            <v>660000</v>
          </cell>
          <cell r="L23">
            <v>0</v>
          </cell>
          <cell r="Z23" t="e">
            <v>#VALUE!</v>
          </cell>
        </row>
        <row r="24">
          <cell r="D24" t="str">
            <v>AL03CAMPA</v>
          </cell>
          <cell r="E24" t="str">
            <v>Alquiler campamento</v>
          </cell>
          <cell r="F24" t="str">
            <v>mes</v>
          </cell>
          <cell r="G24">
            <v>7</v>
          </cell>
          <cell r="H24">
            <v>80000</v>
          </cell>
          <cell r="I24">
            <v>560000</v>
          </cell>
          <cell r="J24">
            <v>0</v>
          </cell>
          <cell r="K24">
            <v>0</v>
          </cell>
          <cell r="L24">
            <v>0</v>
          </cell>
          <cell r="Y24" t="e">
            <v>#VALUE!</v>
          </cell>
          <cell r="Z24" t="e">
            <v>#VALUE!</v>
          </cell>
        </row>
        <row r="25">
          <cell r="D25" t="str">
            <v>TC60TCAMP</v>
          </cell>
          <cell r="E25" t="str">
            <v>Transporte campamento</v>
          </cell>
          <cell r="F25" t="str">
            <v>Un</v>
          </cell>
          <cell r="G25">
            <v>1</v>
          </cell>
          <cell r="H25">
            <v>100000</v>
          </cell>
          <cell r="I25">
            <v>100000</v>
          </cell>
          <cell r="J25">
            <v>0</v>
          </cell>
          <cell r="K25">
            <v>0</v>
          </cell>
          <cell r="L25">
            <v>0</v>
          </cell>
          <cell r="Y25" t="e">
            <v>#VALUE!</v>
          </cell>
          <cell r="Z25" t="e">
            <v>#VALUE!</v>
          </cell>
        </row>
        <row r="27">
          <cell r="E27" t="str">
            <v>SUBTOTAL</v>
          </cell>
          <cell r="I27" t="e">
            <v>#N/A</v>
          </cell>
          <cell r="L27" t="e">
            <v>#N/A</v>
          </cell>
          <cell r="Z27" t="e">
            <v>#VALUE!</v>
          </cell>
        </row>
        <row r="28">
          <cell r="E28" t="str">
            <v>A.I.U</v>
          </cell>
          <cell r="I28" t="e">
            <v>#N/A</v>
          </cell>
          <cell r="L28" t="e">
            <v>#N/A</v>
          </cell>
          <cell r="Z28" t="e">
            <v>#N/A</v>
          </cell>
        </row>
        <row r="29">
          <cell r="D29" t="str">
            <v>AIUAADMON</v>
          </cell>
          <cell r="E29" t="str">
            <v>Admon</v>
          </cell>
          <cell r="F29">
            <v>0</v>
          </cell>
          <cell r="I29" t="e">
            <v>#N/A</v>
          </cell>
          <cell r="J29">
            <v>0</v>
          </cell>
          <cell r="L29" t="e">
            <v>#N/A</v>
          </cell>
          <cell r="Z29" t="e">
            <v>#N/A</v>
          </cell>
        </row>
        <row r="30">
          <cell r="D30" t="str">
            <v>AIUAIMPRE</v>
          </cell>
          <cell r="E30" t="str">
            <v>Imprevistos</v>
          </cell>
          <cell r="F30">
            <v>0</v>
          </cell>
          <cell r="I30" t="e">
            <v>#N/A</v>
          </cell>
          <cell r="J30">
            <v>0</v>
          </cell>
          <cell r="L30" t="e">
            <v>#N/A</v>
          </cell>
          <cell r="Z30" t="e">
            <v>#N/A</v>
          </cell>
        </row>
        <row r="31">
          <cell r="D31" t="str">
            <v>AIUAUTILI</v>
          </cell>
          <cell r="E31" t="str">
            <v>Utilidad</v>
          </cell>
          <cell r="F31">
            <v>0</v>
          </cell>
          <cell r="I31" t="e">
            <v>#N/A</v>
          </cell>
          <cell r="J31">
            <v>0</v>
          </cell>
          <cell r="L31" t="e">
            <v>#N/A</v>
          </cell>
          <cell r="Z31" t="e">
            <v>#N/A</v>
          </cell>
        </row>
        <row r="32">
          <cell r="D32" t="str">
            <v>AIUAIVAUTI</v>
          </cell>
          <cell r="E32" t="str">
            <v>IVA utilidad</v>
          </cell>
          <cell r="F32">
            <v>0</v>
          </cell>
          <cell r="I32" t="e">
            <v>#N/A</v>
          </cell>
          <cell r="J32">
            <v>0</v>
          </cell>
          <cell r="L32" t="e">
            <v>#N/A</v>
          </cell>
          <cell r="Z32" t="e">
            <v>#N/A</v>
          </cell>
        </row>
        <row r="34">
          <cell r="E34" t="str">
            <v>ITEM</v>
          </cell>
        </row>
        <row r="35">
          <cell r="D35" t="str">
            <v>TPCAMP</v>
          </cell>
          <cell r="E35" t="str">
            <v xml:space="preserve">Campamento </v>
          </cell>
          <cell r="G35" t="str">
            <v>UN.</v>
          </cell>
          <cell r="H35" t="str">
            <v>M2</v>
          </cell>
          <cell r="I35" t="e">
            <v>#N/A</v>
          </cell>
          <cell r="K35">
            <v>0</v>
          </cell>
          <cell r="L35" t="e">
            <v>#N/A</v>
          </cell>
          <cell r="N35">
            <v>4205.4799999999996</v>
          </cell>
          <cell r="O35" t="e">
            <v>#N/A</v>
          </cell>
          <cell r="P35" t="e">
            <v>#N/A</v>
          </cell>
          <cell r="Q35" t="e">
            <v>#N/A</v>
          </cell>
          <cell r="X35" t="e">
            <v>#N/A</v>
          </cell>
          <cell r="Z35" t="e">
            <v>#VALUE!</v>
          </cell>
          <cell r="AA35" t="e">
            <v>#VALUE!</v>
          </cell>
          <cell r="AB35" t="e">
            <v>#VALUE!</v>
          </cell>
          <cell r="AC35" t="e">
            <v>#VALUE!</v>
          </cell>
        </row>
        <row r="37">
          <cell r="D37" t="str">
            <v>CODIGO</v>
          </cell>
          <cell r="E37" t="str">
            <v>DESCRIPCION</v>
          </cell>
          <cell r="F37" t="str">
            <v>UN</v>
          </cell>
          <cell r="G37" t="str">
            <v>CANT</v>
          </cell>
          <cell r="H37" t="str">
            <v>V/UNIT.</v>
          </cell>
          <cell r="I37" t="str">
            <v>V/TOTAL</v>
          </cell>
          <cell r="K37" t="str">
            <v>CANT TOTAL</v>
          </cell>
          <cell r="L37" t="str">
            <v>Vr TOTAL</v>
          </cell>
          <cell r="Y37" t="str">
            <v>CANT.</v>
          </cell>
          <cell r="Z37" t="str">
            <v>V/TOTAL</v>
          </cell>
        </row>
        <row r="38">
          <cell r="E38" t="str">
            <v>MATERIALES</v>
          </cell>
          <cell r="I38">
            <v>4205.4799999999996</v>
          </cell>
          <cell r="L38">
            <v>0</v>
          </cell>
          <cell r="Z38" t="e">
            <v>#VALUE!</v>
          </cell>
        </row>
        <row r="39">
          <cell r="D39" t="str">
            <v>MA25DURM</v>
          </cell>
          <cell r="E39" t="str">
            <v>Durmiente</v>
          </cell>
          <cell r="F39" t="str">
            <v>Un</v>
          </cell>
          <cell r="G39">
            <v>2</v>
          </cell>
          <cell r="H39">
            <v>2000</v>
          </cell>
          <cell r="I39">
            <v>4000</v>
          </cell>
          <cell r="J39">
            <v>0</v>
          </cell>
          <cell r="K39">
            <v>0</v>
          </cell>
          <cell r="L39">
            <v>0</v>
          </cell>
          <cell r="Y39" t="e">
            <v>#VALUE!</v>
          </cell>
          <cell r="Z39" t="e">
            <v>#VALUE!</v>
          </cell>
        </row>
        <row r="40">
          <cell r="D40" t="str">
            <v>MA19PC25</v>
          </cell>
          <cell r="E40" t="str">
            <v>Puntilla con cabeza 2,5"</v>
          </cell>
          <cell r="F40" t="str">
            <v>Lb</v>
          </cell>
          <cell r="G40">
            <v>0.03</v>
          </cell>
          <cell r="H40">
            <v>1216</v>
          </cell>
          <cell r="I40">
            <v>36.479999999999997</v>
          </cell>
          <cell r="J40">
            <v>0</v>
          </cell>
          <cell r="K40">
            <v>0</v>
          </cell>
          <cell r="L40">
            <v>0</v>
          </cell>
          <cell r="Y40" t="e">
            <v>#VALUE!</v>
          </cell>
          <cell r="Z40" t="e">
            <v>#VALUE!</v>
          </cell>
        </row>
        <row r="41">
          <cell r="D41" t="str">
            <v>MA17CAND</v>
          </cell>
          <cell r="E41" t="str">
            <v>Candado</v>
          </cell>
          <cell r="F41" t="str">
            <v>Un</v>
          </cell>
          <cell r="G41">
            <v>1.6E-2</v>
          </cell>
          <cell r="H41">
            <v>9000</v>
          </cell>
          <cell r="I41">
            <v>144</v>
          </cell>
          <cell r="J41">
            <v>0</v>
          </cell>
          <cell r="K41">
            <v>0</v>
          </cell>
          <cell r="L41">
            <v>0</v>
          </cell>
          <cell r="Y41" t="e">
            <v>#VALUE!</v>
          </cell>
          <cell r="Z41" t="e">
            <v>#VALUE!</v>
          </cell>
        </row>
        <row r="42">
          <cell r="D42" t="str">
            <v>MA17CADE1</v>
          </cell>
          <cell r="E42" t="str">
            <v>Cadena 1"</v>
          </cell>
          <cell r="F42" t="str">
            <v>Ml</v>
          </cell>
          <cell r="G42">
            <v>0.01</v>
          </cell>
          <cell r="H42">
            <v>2500</v>
          </cell>
          <cell r="I42">
            <v>25</v>
          </cell>
          <cell r="J42">
            <v>0</v>
          </cell>
          <cell r="K42">
            <v>0</v>
          </cell>
          <cell r="L42">
            <v>0</v>
          </cell>
          <cell r="Y42" t="e">
            <v>#VALUE!</v>
          </cell>
          <cell r="Z42" t="e">
            <v>#VALUE!</v>
          </cell>
        </row>
        <row r="45">
          <cell r="E45" t="str">
            <v>MANO DE OBRA</v>
          </cell>
          <cell r="I45" t="e">
            <v>#N/A</v>
          </cell>
          <cell r="L45" t="e">
            <v>#N/A</v>
          </cell>
          <cell r="Z45" t="e">
            <v>#VALUE!</v>
          </cell>
        </row>
        <row r="46">
          <cell r="D46" t="str">
            <v>MOTPICAMP</v>
          </cell>
          <cell r="E46" t="e">
            <v>#N/A</v>
          </cell>
          <cell r="F46" t="e">
            <v>#N/A</v>
          </cell>
          <cell r="G46">
            <v>0</v>
          </cell>
          <cell r="H46" t="e">
            <v>#N/A</v>
          </cell>
          <cell r="I46" t="e">
            <v>#N/A</v>
          </cell>
          <cell r="J46" t="e">
            <v>#N/A</v>
          </cell>
          <cell r="K46">
            <v>0</v>
          </cell>
          <cell r="L46" t="e">
            <v>#N/A</v>
          </cell>
          <cell r="Y46" t="e">
            <v>#VALUE!</v>
          </cell>
          <cell r="Z46" t="e">
            <v>#VALUE!</v>
          </cell>
        </row>
        <row r="48">
          <cell r="E48" t="str">
            <v>VARIOS</v>
          </cell>
          <cell r="I48" t="e">
            <v>#N/A</v>
          </cell>
          <cell r="L48" t="e">
            <v>#N/A</v>
          </cell>
          <cell r="Z48" t="e">
            <v>#VALUE!</v>
          </cell>
        </row>
        <row r="49">
          <cell r="D49" t="str">
            <v>TC03CAMP</v>
          </cell>
          <cell r="E49" t="e">
            <v>#N/A</v>
          </cell>
          <cell r="F49" t="e">
            <v>#N/A</v>
          </cell>
          <cell r="G49">
            <v>1</v>
          </cell>
          <cell r="H49" t="e">
            <v>#N/A</v>
          </cell>
          <cell r="I49" t="e">
            <v>#N/A</v>
          </cell>
          <cell r="J49" t="e">
            <v>#N/A</v>
          </cell>
          <cell r="K49">
            <v>0</v>
          </cell>
          <cell r="L49" t="e">
            <v>#N/A</v>
          </cell>
          <cell r="Y49" t="e">
            <v>#VALUE!</v>
          </cell>
          <cell r="Z49" t="e">
            <v>#VALUE!</v>
          </cell>
        </row>
        <row r="52">
          <cell r="E52" t="str">
            <v>SUBTOTAL</v>
          </cell>
          <cell r="I52" t="e">
            <v>#N/A</v>
          </cell>
          <cell r="L52" t="e">
            <v>#N/A</v>
          </cell>
          <cell r="Z52" t="e">
            <v>#VALUE!</v>
          </cell>
        </row>
        <row r="53">
          <cell r="E53" t="str">
            <v>A.I.U</v>
          </cell>
          <cell r="I53" t="e">
            <v>#N/A</v>
          </cell>
          <cell r="L53" t="e">
            <v>#N/A</v>
          </cell>
          <cell r="Z53" t="e">
            <v>#N/A</v>
          </cell>
        </row>
        <row r="54">
          <cell r="D54" t="str">
            <v>AIUAADMON</v>
          </cell>
          <cell r="E54" t="str">
            <v>Admon</v>
          </cell>
          <cell r="F54">
            <v>0</v>
          </cell>
          <cell r="I54" t="e">
            <v>#N/A</v>
          </cell>
          <cell r="J54">
            <v>0</v>
          </cell>
          <cell r="L54" t="e">
            <v>#N/A</v>
          </cell>
          <cell r="Z54" t="e">
            <v>#N/A</v>
          </cell>
        </row>
        <row r="55">
          <cell r="D55" t="str">
            <v>AIUAIMPRE</v>
          </cell>
          <cell r="E55" t="str">
            <v>Imprevistos</v>
          </cell>
          <cell r="F55">
            <v>0</v>
          </cell>
          <cell r="I55" t="e">
            <v>#N/A</v>
          </cell>
          <cell r="J55">
            <v>0</v>
          </cell>
          <cell r="L55" t="e">
            <v>#N/A</v>
          </cell>
          <cell r="Z55" t="e">
            <v>#N/A</v>
          </cell>
        </row>
        <row r="56">
          <cell r="D56" t="str">
            <v>AIUAUTILI</v>
          </cell>
          <cell r="E56" t="str">
            <v>Utilidad</v>
          </cell>
          <cell r="F56">
            <v>0</v>
          </cell>
          <cell r="I56" t="e">
            <v>#N/A</v>
          </cell>
          <cell r="J56">
            <v>0</v>
          </cell>
          <cell r="L56" t="e">
            <v>#N/A</v>
          </cell>
          <cell r="Z56" t="e">
            <v>#N/A</v>
          </cell>
        </row>
        <row r="57">
          <cell r="D57" t="str">
            <v>AIUAIVAUTI</v>
          </cell>
          <cell r="E57" t="str">
            <v>IVA utilidad</v>
          </cell>
          <cell r="F57">
            <v>0</v>
          </cell>
          <cell r="I57" t="e">
            <v>#N/A</v>
          </cell>
          <cell r="J57">
            <v>0</v>
          </cell>
          <cell r="L57" t="e">
            <v>#N/A</v>
          </cell>
          <cell r="Z57" t="e">
            <v>#N/A</v>
          </cell>
        </row>
        <row r="59">
          <cell r="E59" t="str">
            <v>ITEM</v>
          </cell>
        </row>
        <row r="60">
          <cell r="D60" t="str">
            <v>TPCLZ</v>
          </cell>
          <cell r="E60" t="str">
            <v>Cerramiento Lámina de Zinc H=2,00 m</v>
          </cell>
          <cell r="G60" t="str">
            <v>UN.</v>
          </cell>
          <cell r="H60" t="str">
            <v>Ml</v>
          </cell>
          <cell r="I60" t="e">
            <v>#N/A</v>
          </cell>
          <cell r="K60">
            <v>0</v>
          </cell>
          <cell r="L60" t="e">
            <v>#N/A</v>
          </cell>
          <cell r="N60" t="e">
            <v>#N/A</v>
          </cell>
          <cell r="O60">
            <v>2000</v>
          </cell>
          <cell r="P60" t="e">
            <v>#N/A</v>
          </cell>
          <cell r="Q60" t="e">
            <v>#N/A</v>
          </cell>
          <cell r="X60" t="e">
            <v>#N/A</v>
          </cell>
          <cell r="Z60" t="e">
            <v>#VALUE!</v>
          </cell>
          <cell r="AA60" t="e">
            <v>#VALUE!</v>
          </cell>
          <cell r="AB60" t="e">
            <v>#VALUE!</v>
          </cell>
          <cell r="AC60" t="e">
            <v>#VALUE!</v>
          </cell>
        </row>
        <row r="62">
          <cell r="D62" t="str">
            <v>CODIGO</v>
          </cell>
          <cell r="E62" t="str">
            <v>DESCRIPCION</v>
          </cell>
          <cell r="F62" t="str">
            <v>UN</v>
          </cell>
          <cell r="G62" t="str">
            <v>CANT</v>
          </cell>
          <cell r="H62" t="str">
            <v>V/UNIT.</v>
          </cell>
          <cell r="I62" t="str">
            <v>V/TOTAL</v>
          </cell>
          <cell r="K62" t="str">
            <v>CANT TOTAL</v>
          </cell>
          <cell r="L62" t="str">
            <v>Vr TOTAL</v>
          </cell>
          <cell r="Y62" t="str">
            <v>CANT.</v>
          </cell>
          <cell r="Z62" t="str">
            <v>V/TOTAL</v>
          </cell>
        </row>
        <row r="63">
          <cell r="E63" t="str">
            <v>MATERIALES</v>
          </cell>
          <cell r="I63" t="e">
            <v>#N/A</v>
          </cell>
          <cell r="L63" t="e">
            <v>#N/A</v>
          </cell>
          <cell r="Z63" t="e">
            <v>#VALUE!</v>
          </cell>
        </row>
        <row r="64">
          <cell r="D64" t="str">
            <v>MA29TZ</v>
          </cell>
          <cell r="E64" t="e">
            <v>#N/A</v>
          </cell>
          <cell r="F64" t="e">
            <v>#N/A</v>
          </cell>
          <cell r="G64">
            <v>1.5</v>
          </cell>
          <cell r="H64" t="e">
            <v>#N/A</v>
          </cell>
          <cell r="I64" t="e">
            <v>#N/A</v>
          </cell>
          <cell r="J64" t="e">
            <v>#N/A</v>
          </cell>
          <cell r="K64">
            <v>0</v>
          </cell>
          <cell r="L64" t="e">
            <v>#N/A</v>
          </cell>
          <cell r="Y64" t="e">
            <v>#VALUE!</v>
          </cell>
          <cell r="Z64" t="e">
            <v>#VALUE!</v>
          </cell>
        </row>
        <row r="65">
          <cell r="D65" t="str">
            <v>MA19PC25</v>
          </cell>
          <cell r="E65" t="str">
            <v>Puntilla con cabeza 2,5"</v>
          </cell>
          <cell r="F65" t="str">
            <v>Lb</v>
          </cell>
          <cell r="G65">
            <v>0.05</v>
          </cell>
          <cell r="H65">
            <v>1216</v>
          </cell>
          <cell r="I65">
            <v>60.800000000000004</v>
          </cell>
          <cell r="J65">
            <v>0</v>
          </cell>
          <cell r="K65">
            <v>0</v>
          </cell>
          <cell r="L65">
            <v>0</v>
          </cell>
          <cell r="Y65" t="e">
            <v>#VALUE!</v>
          </cell>
          <cell r="Z65" t="e">
            <v>#VALUE!</v>
          </cell>
        </row>
        <row r="66">
          <cell r="D66" t="str">
            <v>MA25VL6</v>
          </cell>
          <cell r="E66" t="str">
            <v>Vara Limaton 6m Diametro 12-15</v>
          </cell>
          <cell r="F66" t="str">
            <v>Un</v>
          </cell>
          <cell r="G66">
            <v>0.5</v>
          </cell>
          <cell r="H66">
            <v>18560</v>
          </cell>
          <cell r="I66">
            <v>9280</v>
          </cell>
          <cell r="J66">
            <v>0</v>
          </cell>
          <cell r="K66">
            <v>0</v>
          </cell>
          <cell r="L66">
            <v>0</v>
          </cell>
          <cell r="Y66" t="e">
            <v>#VALUE!</v>
          </cell>
          <cell r="Z66" t="e">
            <v>#VALUE!</v>
          </cell>
        </row>
        <row r="67">
          <cell r="D67" t="str">
            <v>MA29CTZ</v>
          </cell>
          <cell r="E67" t="e">
            <v>#N/A</v>
          </cell>
          <cell r="F67" t="e">
            <v>#N/A</v>
          </cell>
          <cell r="G67">
            <v>0.09</v>
          </cell>
          <cell r="H67" t="e">
            <v>#N/A</v>
          </cell>
          <cell r="I67" t="e">
            <v>#N/A</v>
          </cell>
          <cell r="J67" t="e">
            <v>#N/A</v>
          </cell>
          <cell r="K67">
            <v>0</v>
          </cell>
          <cell r="L67" t="e">
            <v>#N/A</v>
          </cell>
          <cell r="Y67" t="e">
            <v>#VALUE!</v>
          </cell>
          <cell r="Z67" t="e">
            <v>#VALUE!</v>
          </cell>
        </row>
        <row r="70">
          <cell r="E70" t="str">
            <v>MANO DE OBRA</v>
          </cell>
          <cell r="I70">
            <v>2000</v>
          </cell>
          <cell r="L70">
            <v>0</v>
          </cell>
          <cell r="Z70" t="e">
            <v>#VALUE!</v>
          </cell>
        </row>
        <row r="71">
          <cell r="D71" t="str">
            <v>MOTPCZ</v>
          </cell>
          <cell r="E71" t="str">
            <v>M.O. Cerramiento Teja Zinc</v>
          </cell>
          <cell r="F71" t="str">
            <v>Ml</v>
          </cell>
          <cell r="G71">
            <v>1</v>
          </cell>
          <cell r="H71">
            <v>2000</v>
          </cell>
          <cell r="I71">
            <v>2000</v>
          </cell>
          <cell r="J71">
            <v>0</v>
          </cell>
          <cell r="K71">
            <v>0</v>
          </cell>
          <cell r="L71">
            <v>0</v>
          </cell>
          <cell r="Y71" t="e">
            <v>#VALUE!</v>
          </cell>
          <cell r="Z71" t="e">
            <v>#VALUE!</v>
          </cell>
        </row>
        <row r="73">
          <cell r="E73" t="str">
            <v>VARIOS</v>
          </cell>
          <cell r="I73" t="e">
            <v>#N/A</v>
          </cell>
          <cell r="L73" t="e">
            <v>#N/A</v>
          </cell>
          <cell r="Z73" t="e">
            <v>#VALUE!</v>
          </cell>
        </row>
        <row r="74">
          <cell r="D74" t="str">
            <v>TC46VTEJ</v>
          </cell>
          <cell r="E74" t="e">
            <v>#N/A</v>
          </cell>
          <cell r="F74" t="e">
            <v>#N/A</v>
          </cell>
          <cell r="G74">
            <v>2</v>
          </cell>
          <cell r="H74" t="e">
            <v>#N/A</v>
          </cell>
          <cell r="I74" t="e">
            <v>#N/A</v>
          </cell>
          <cell r="J74" t="e">
            <v>#N/A</v>
          </cell>
          <cell r="K74">
            <v>0</v>
          </cell>
          <cell r="L74" t="e">
            <v>#N/A</v>
          </cell>
          <cell r="Y74" t="e">
            <v>#VALUE!</v>
          </cell>
          <cell r="Z74" t="e">
            <v>#VALUE!</v>
          </cell>
        </row>
        <row r="75">
          <cell r="D75" t="str">
            <v>TC07H500</v>
          </cell>
          <cell r="E75" t="str">
            <v>Herramienta y Varios</v>
          </cell>
          <cell r="F75" t="str">
            <v>Gb</v>
          </cell>
          <cell r="G75">
            <v>1</v>
          </cell>
          <cell r="H75">
            <v>500</v>
          </cell>
          <cell r="I75">
            <v>500</v>
          </cell>
          <cell r="J75">
            <v>0</v>
          </cell>
          <cell r="K75">
            <v>0</v>
          </cell>
          <cell r="L75">
            <v>0</v>
          </cell>
          <cell r="Y75" t="e">
            <v>#VALUE!</v>
          </cell>
          <cell r="Z75" t="e">
            <v>#VALUE!</v>
          </cell>
        </row>
        <row r="77">
          <cell r="E77" t="str">
            <v>SUBTOTAL</v>
          </cell>
          <cell r="I77" t="e">
            <v>#N/A</v>
          </cell>
          <cell r="L77" t="e">
            <v>#N/A</v>
          </cell>
          <cell r="Z77" t="e">
            <v>#VALUE!</v>
          </cell>
        </row>
        <row r="78">
          <cell r="E78" t="str">
            <v>A.I.U</v>
          </cell>
          <cell r="I78" t="e">
            <v>#N/A</v>
          </cell>
          <cell r="L78" t="e">
            <v>#N/A</v>
          </cell>
          <cell r="Z78" t="e">
            <v>#N/A</v>
          </cell>
        </row>
        <row r="79">
          <cell r="D79" t="str">
            <v>AIUAADMON</v>
          </cell>
          <cell r="E79" t="str">
            <v>Admon</v>
          </cell>
          <cell r="F79">
            <v>0</v>
          </cell>
          <cell r="I79" t="e">
            <v>#N/A</v>
          </cell>
          <cell r="J79">
            <v>0</v>
          </cell>
          <cell r="L79" t="e">
            <v>#N/A</v>
          </cell>
          <cell r="Z79" t="e">
            <v>#N/A</v>
          </cell>
        </row>
        <row r="80">
          <cell r="D80" t="str">
            <v>AIUAIMPRE</v>
          </cell>
          <cell r="E80" t="str">
            <v>Imprevistos</v>
          </cell>
          <cell r="F80">
            <v>0</v>
          </cell>
          <cell r="I80" t="e">
            <v>#N/A</v>
          </cell>
          <cell r="J80">
            <v>0</v>
          </cell>
          <cell r="L80" t="e">
            <v>#N/A</v>
          </cell>
          <cell r="Z80" t="e">
            <v>#N/A</v>
          </cell>
        </row>
        <row r="81">
          <cell r="D81" t="str">
            <v>AIUAUTILI</v>
          </cell>
          <cell r="E81" t="str">
            <v>Utilidad</v>
          </cell>
          <cell r="F81">
            <v>0</v>
          </cell>
          <cell r="I81" t="e">
            <v>#N/A</v>
          </cell>
          <cell r="J81">
            <v>0</v>
          </cell>
          <cell r="L81" t="e">
            <v>#N/A</v>
          </cell>
          <cell r="Z81" t="e">
            <v>#N/A</v>
          </cell>
        </row>
        <row r="82">
          <cell r="D82" t="str">
            <v>AIUAIVAUTI</v>
          </cell>
          <cell r="E82" t="str">
            <v>IVA utilidad</v>
          </cell>
          <cell r="F82">
            <v>0</v>
          </cell>
          <cell r="I82" t="e">
            <v>#N/A</v>
          </cell>
          <cell r="J82">
            <v>0</v>
          </cell>
          <cell r="L82" t="e">
            <v>#N/A</v>
          </cell>
          <cell r="Z82" t="e">
            <v>#N/A</v>
          </cell>
        </row>
        <row r="84">
          <cell r="E84" t="str">
            <v>ITEM</v>
          </cell>
        </row>
        <row r="85">
          <cell r="D85" t="str">
            <v>TPCMP</v>
          </cell>
          <cell r="E85" t="str">
            <v>Cerramiento Malla Protección</v>
          </cell>
          <cell r="G85" t="str">
            <v>UN.</v>
          </cell>
          <cell r="H85" t="str">
            <v>Ml</v>
          </cell>
          <cell r="I85" t="e">
            <v>#N/A</v>
          </cell>
          <cell r="K85">
            <v>0</v>
          </cell>
          <cell r="L85" t="e">
            <v>#N/A</v>
          </cell>
          <cell r="N85" t="e">
            <v>#N/A</v>
          </cell>
          <cell r="O85">
            <v>2000</v>
          </cell>
          <cell r="P85">
            <v>500</v>
          </cell>
          <cell r="Q85" t="e">
            <v>#N/A</v>
          </cell>
          <cell r="X85" t="e">
            <v>#N/A</v>
          </cell>
          <cell r="Z85" t="e">
            <v>#VALUE!</v>
          </cell>
          <cell r="AA85" t="e">
            <v>#VALUE!</v>
          </cell>
          <cell r="AB85" t="e">
            <v>#VALUE!</v>
          </cell>
          <cell r="AC85" t="e">
            <v>#VALUE!</v>
          </cell>
        </row>
        <row r="87">
          <cell r="D87" t="str">
            <v>CODIGO</v>
          </cell>
          <cell r="E87" t="str">
            <v>DESCRIPCION</v>
          </cell>
          <cell r="F87" t="str">
            <v>UN</v>
          </cell>
          <cell r="G87" t="str">
            <v>CANT</v>
          </cell>
          <cell r="H87" t="str">
            <v>V/UNIT.</v>
          </cell>
          <cell r="I87" t="str">
            <v>V/TOTAL</v>
          </cell>
          <cell r="K87" t="str">
            <v>CANT TOTAL</v>
          </cell>
          <cell r="L87" t="str">
            <v>Vr TOTAL</v>
          </cell>
          <cell r="Y87" t="str">
            <v>CANT.</v>
          </cell>
          <cell r="Z87" t="str">
            <v>V/TOTAL</v>
          </cell>
        </row>
        <row r="88">
          <cell r="E88" t="str">
            <v>MATERIALES</v>
          </cell>
          <cell r="I88" t="e">
            <v>#N/A</v>
          </cell>
          <cell r="L88" t="e">
            <v>#N/A</v>
          </cell>
          <cell r="Z88" t="e">
            <v>#VALUE!</v>
          </cell>
        </row>
        <row r="89">
          <cell r="D89" t="str">
            <v>MA17MP</v>
          </cell>
          <cell r="E89" t="e">
            <v>#N/A</v>
          </cell>
          <cell r="F89" t="e">
            <v>#N/A</v>
          </cell>
          <cell r="G89">
            <v>4</v>
          </cell>
          <cell r="H89" t="e">
            <v>#N/A</v>
          </cell>
          <cell r="I89" t="e">
            <v>#N/A</v>
          </cell>
          <cell r="J89" t="e">
            <v>#N/A</v>
          </cell>
          <cell r="K89">
            <v>0</v>
          </cell>
          <cell r="L89" t="e">
            <v>#N/A</v>
          </cell>
          <cell r="Y89" t="e">
            <v>#VALUE!</v>
          </cell>
          <cell r="Z89" t="e">
            <v>#VALUE!</v>
          </cell>
        </row>
        <row r="90">
          <cell r="D90" t="str">
            <v>MA19PC25</v>
          </cell>
          <cell r="E90" t="str">
            <v>Puntilla con cabeza 2,5"</v>
          </cell>
          <cell r="F90" t="str">
            <v>Lb</v>
          </cell>
          <cell r="G90">
            <v>0.05</v>
          </cell>
          <cell r="H90">
            <v>1216</v>
          </cell>
          <cell r="I90">
            <v>60.800000000000004</v>
          </cell>
          <cell r="J90">
            <v>0</v>
          </cell>
          <cell r="K90">
            <v>0</v>
          </cell>
          <cell r="L90">
            <v>0</v>
          </cell>
          <cell r="Y90" t="e">
            <v>#VALUE!</v>
          </cell>
          <cell r="Z90" t="e">
            <v>#VALUE!</v>
          </cell>
        </row>
        <row r="91">
          <cell r="D91" t="str">
            <v>MA25VC6</v>
          </cell>
          <cell r="E91" t="str">
            <v>Vara de Corredor 6 ml</v>
          </cell>
          <cell r="F91" t="str">
            <v>Un</v>
          </cell>
          <cell r="G91">
            <v>0.34</v>
          </cell>
          <cell r="H91">
            <v>6900</v>
          </cell>
          <cell r="I91">
            <v>2346</v>
          </cell>
          <cell r="J91">
            <v>0</v>
          </cell>
          <cell r="K91">
            <v>0</v>
          </cell>
          <cell r="L91">
            <v>0</v>
          </cell>
          <cell r="Y91" t="e">
            <v>#VALUE!</v>
          </cell>
          <cell r="Z91" t="e">
            <v>#VALUE!</v>
          </cell>
        </row>
        <row r="92">
          <cell r="D92" t="str">
            <v>MA17APU</v>
          </cell>
          <cell r="E92" t="e">
            <v>#N/A</v>
          </cell>
          <cell r="F92" t="e">
            <v>#N/A</v>
          </cell>
          <cell r="G92">
            <v>2.7E-2</v>
          </cell>
          <cell r="H92" t="e">
            <v>#N/A</v>
          </cell>
          <cell r="I92" t="e">
            <v>#N/A</v>
          </cell>
          <cell r="J92" t="e">
            <v>#N/A</v>
          </cell>
          <cell r="K92">
            <v>0</v>
          </cell>
          <cell r="L92" t="e">
            <v>#N/A</v>
          </cell>
          <cell r="Y92" t="e">
            <v>#VALUE!</v>
          </cell>
          <cell r="Z92" t="e">
            <v>#VALUE!</v>
          </cell>
        </row>
        <row r="93">
          <cell r="D93" t="str">
            <v>MA17GAP</v>
          </cell>
          <cell r="E93" t="e">
            <v>#N/A</v>
          </cell>
          <cell r="F93" t="e">
            <v>#N/A</v>
          </cell>
          <cell r="G93">
            <v>0.03</v>
          </cell>
          <cell r="H93" t="e">
            <v>#N/A</v>
          </cell>
          <cell r="I93" t="e">
            <v>#N/A</v>
          </cell>
          <cell r="J93" t="e">
            <v>#N/A</v>
          </cell>
          <cell r="K93">
            <v>0</v>
          </cell>
          <cell r="L93" t="e">
            <v>#N/A</v>
          </cell>
          <cell r="Y93" t="e">
            <v>#VALUE!</v>
          </cell>
          <cell r="Z93" t="e">
            <v>#VALUE!</v>
          </cell>
        </row>
        <row r="94">
          <cell r="I94">
            <v>0</v>
          </cell>
          <cell r="J94">
            <v>0</v>
          </cell>
          <cell r="K94">
            <v>0</v>
          </cell>
          <cell r="L94">
            <v>0</v>
          </cell>
          <cell r="Z94">
            <v>0</v>
          </cell>
        </row>
        <row r="95">
          <cell r="E95" t="str">
            <v>MANO DE OBRA</v>
          </cell>
          <cell r="I95">
            <v>2000</v>
          </cell>
          <cell r="L95">
            <v>0</v>
          </cell>
          <cell r="Z95" t="e">
            <v>#VALUE!</v>
          </cell>
        </row>
        <row r="96">
          <cell r="D96" t="str">
            <v>MOTPCMP</v>
          </cell>
          <cell r="E96" t="str">
            <v>M.O. Cerramiento Malla Protección</v>
          </cell>
          <cell r="F96" t="str">
            <v>Ml</v>
          </cell>
          <cell r="G96">
            <v>1</v>
          </cell>
          <cell r="H96">
            <v>2000</v>
          </cell>
          <cell r="I96">
            <v>2000</v>
          </cell>
          <cell r="J96">
            <v>0</v>
          </cell>
          <cell r="K96">
            <v>0</v>
          </cell>
          <cell r="L96">
            <v>0</v>
          </cell>
          <cell r="Y96" t="e">
            <v>#VALUE!</v>
          </cell>
          <cell r="Z96" t="e">
            <v>#VALUE!</v>
          </cell>
        </row>
        <row r="98">
          <cell r="E98" t="str">
            <v>VARIOS</v>
          </cell>
          <cell r="I98">
            <v>500</v>
          </cell>
          <cell r="L98">
            <v>0</v>
          </cell>
          <cell r="Z98" t="e">
            <v>#VALUE!</v>
          </cell>
        </row>
        <row r="99">
          <cell r="D99" t="str">
            <v>TC07H500</v>
          </cell>
          <cell r="E99" t="str">
            <v>Herramienta y Varios</v>
          </cell>
          <cell r="F99" t="str">
            <v>Gb</v>
          </cell>
          <cell r="G99">
            <v>1</v>
          </cell>
          <cell r="H99">
            <v>500</v>
          </cell>
          <cell r="I99">
            <v>500</v>
          </cell>
          <cell r="J99">
            <v>0</v>
          </cell>
          <cell r="K99">
            <v>0</v>
          </cell>
          <cell r="L99">
            <v>0</v>
          </cell>
          <cell r="Y99" t="e">
            <v>#VALUE!</v>
          </cell>
          <cell r="Z99" t="e">
            <v>#VALUE!</v>
          </cell>
        </row>
        <row r="102">
          <cell r="E102" t="str">
            <v>SUBTOTAL</v>
          </cell>
          <cell r="I102" t="e">
            <v>#N/A</v>
          </cell>
          <cell r="L102" t="e">
            <v>#N/A</v>
          </cell>
          <cell r="Z102" t="e">
            <v>#VALUE!</v>
          </cell>
        </row>
        <row r="103">
          <cell r="E103" t="str">
            <v>A.I.U</v>
          </cell>
          <cell r="I103" t="e">
            <v>#N/A</v>
          </cell>
          <cell r="L103" t="e">
            <v>#N/A</v>
          </cell>
          <cell r="Z103" t="e">
            <v>#N/A</v>
          </cell>
        </row>
        <row r="104">
          <cell r="D104" t="str">
            <v>AIUAADMON</v>
          </cell>
          <cell r="E104" t="str">
            <v>Admon</v>
          </cell>
          <cell r="F104">
            <v>0</v>
          </cell>
          <cell r="I104" t="e">
            <v>#N/A</v>
          </cell>
          <cell r="J104">
            <v>0</v>
          </cell>
          <cell r="L104" t="e">
            <v>#N/A</v>
          </cell>
          <cell r="Z104" t="e">
            <v>#N/A</v>
          </cell>
        </row>
        <row r="105">
          <cell r="D105" t="str">
            <v>AIUAIMPRE</v>
          </cell>
          <cell r="E105" t="str">
            <v>Imprevistos</v>
          </cell>
          <cell r="F105">
            <v>0</v>
          </cell>
          <cell r="I105" t="e">
            <v>#N/A</v>
          </cell>
          <cell r="J105">
            <v>0</v>
          </cell>
          <cell r="L105" t="e">
            <v>#N/A</v>
          </cell>
          <cell r="Z105" t="e">
            <v>#N/A</v>
          </cell>
        </row>
        <row r="106">
          <cell r="D106" t="str">
            <v>AIUAUTILI</v>
          </cell>
          <cell r="E106" t="str">
            <v>Utilidad</v>
          </cell>
          <cell r="F106">
            <v>0</v>
          </cell>
          <cell r="I106" t="e">
            <v>#N/A</v>
          </cell>
          <cell r="J106">
            <v>0</v>
          </cell>
          <cell r="L106" t="e">
            <v>#N/A</v>
          </cell>
          <cell r="Z106" t="e">
            <v>#N/A</v>
          </cell>
        </row>
        <row r="107">
          <cell r="D107" t="str">
            <v>AIUAIVAUTI</v>
          </cell>
          <cell r="E107" t="str">
            <v>IVA utilidad</v>
          </cell>
          <cell r="F107">
            <v>0</v>
          </cell>
          <cell r="I107" t="e">
            <v>#N/A</v>
          </cell>
          <cell r="J107">
            <v>0</v>
          </cell>
          <cell r="L107" t="e">
            <v>#N/A</v>
          </cell>
          <cell r="Z107" t="e">
            <v>#N/A</v>
          </cell>
        </row>
        <row r="110">
          <cell r="E110" t="str">
            <v>ITEM</v>
          </cell>
        </row>
        <row r="111">
          <cell r="D111" t="str">
            <v>MTEMRT</v>
          </cell>
          <cell r="E111" t="str">
            <v>Excavacion Manual y Relleno Tuberia</v>
          </cell>
          <cell r="G111" t="str">
            <v>UN.</v>
          </cell>
          <cell r="H111" t="str">
            <v>M3</v>
          </cell>
          <cell r="I111">
            <v>7280</v>
          </cell>
          <cell r="K111">
            <v>0</v>
          </cell>
          <cell r="L111">
            <v>0</v>
          </cell>
          <cell r="N111">
            <v>0</v>
          </cell>
          <cell r="O111">
            <v>6500</v>
          </cell>
          <cell r="P111">
            <v>780</v>
          </cell>
          <cell r="Q111">
            <v>0</v>
          </cell>
          <cell r="X111">
            <v>0</v>
          </cell>
          <cell r="Z111" t="e">
            <v>#VALUE!</v>
          </cell>
          <cell r="AA111">
            <v>0</v>
          </cell>
          <cell r="AB111" t="e">
            <v>#VALUE!</v>
          </cell>
          <cell r="AC111" t="e">
            <v>#VALUE!</v>
          </cell>
        </row>
        <row r="113">
          <cell r="D113" t="str">
            <v>CODIGO</v>
          </cell>
          <cell r="E113" t="str">
            <v>DESCRIPCION</v>
          </cell>
          <cell r="F113" t="str">
            <v>UN</v>
          </cell>
          <cell r="G113" t="str">
            <v>CANT</v>
          </cell>
          <cell r="H113" t="str">
            <v>V/UNIT.</v>
          </cell>
          <cell r="I113" t="str">
            <v>V/TOTAL</v>
          </cell>
          <cell r="K113" t="str">
            <v>CANT TOTAL</v>
          </cell>
          <cell r="L113" t="str">
            <v>Vr TOTAL</v>
          </cell>
          <cell r="Y113" t="str">
            <v>CANT.</v>
          </cell>
          <cell r="Z113" t="str">
            <v>V/TOTAL</v>
          </cell>
        </row>
        <row r="114">
          <cell r="E114" t="str">
            <v>MATERIALES</v>
          </cell>
          <cell r="I114">
            <v>0</v>
          </cell>
          <cell r="L114">
            <v>0</v>
          </cell>
          <cell r="Z114">
            <v>0</v>
          </cell>
        </row>
        <row r="118">
          <cell r="E118" t="str">
            <v>MANO DE OBRA</v>
          </cell>
          <cell r="I118">
            <v>6500</v>
          </cell>
          <cell r="L118">
            <v>0</v>
          </cell>
          <cell r="Z118" t="e">
            <v>#VALUE!</v>
          </cell>
        </row>
        <row r="119">
          <cell r="D119" t="str">
            <v>MOMTEM</v>
          </cell>
          <cell r="E119" t="str">
            <v>Excavacion a Mano</v>
          </cell>
          <cell r="F119" t="str">
            <v>M3</v>
          </cell>
          <cell r="G119">
            <v>1</v>
          </cell>
          <cell r="H119">
            <v>4500</v>
          </cell>
          <cell r="I119">
            <v>4500</v>
          </cell>
          <cell r="J119">
            <v>0</v>
          </cell>
          <cell r="K119">
            <v>0</v>
          </cell>
          <cell r="L119">
            <v>0</v>
          </cell>
          <cell r="Y119" t="e">
            <v>#VALUE!</v>
          </cell>
          <cell r="Z119" t="e">
            <v>#VALUE!</v>
          </cell>
        </row>
        <row r="120">
          <cell r="D120" t="str">
            <v>MOMTRETU</v>
          </cell>
          <cell r="E120" t="str">
            <v xml:space="preserve">Recubrimiento Tuberia </v>
          </cell>
          <cell r="F120" t="str">
            <v>M3</v>
          </cell>
          <cell r="G120">
            <v>1</v>
          </cell>
          <cell r="H120">
            <v>2000</v>
          </cell>
          <cell r="I120">
            <v>2000</v>
          </cell>
          <cell r="J120">
            <v>0</v>
          </cell>
          <cell r="K120">
            <v>0</v>
          </cell>
          <cell r="L120">
            <v>0</v>
          </cell>
          <cell r="Y120" t="e">
            <v>#VALUE!</v>
          </cell>
          <cell r="Z120" t="e">
            <v>#VALUE!</v>
          </cell>
        </row>
        <row r="121">
          <cell r="E121" t="str">
            <v>VARIOS</v>
          </cell>
          <cell r="I121">
            <v>780</v>
          </cell>
          <cell r="L121">
            <v>0</v>
          </cell>
          <cell r="Z121" t="e">
            <v>#VALUE!</v>
          </cell>
        </row>
        <row r="122">
          <cell r="D122" t="str">
            <v>AL04APIS</v>
          </cell>
          <cell r="E122" t="str">
            <v>Apisonador</v>
          </cell>
          <cell r="F122" t="str">
            <v>Dia</v>
          </cell>
          <cell r="G122">
            <v>0.01</v>
          </cell>
          <cell r="H122">
            <v>33000</v>
          </cell>
          <cell r="I122">
            <v>330</v>
          </cell>
          <cell r="J122">
            <v>0</v>
          </cell>
          <cell r="K122">
            <v>0</v>
          </cell>
          <cell r="L122">
            <v>0</v>
          </cell>
          <cell r="Y122" t="e">
            <v>#VALUE!</v>
          </cell>
          <cell r="Z122" t="e">
            <v>#VALUE!</v>
          </cell>
        </row>
        <row r="123">
          <cell r="D123" t="str">
            <v>TC07h450</v>
          </cell>
          <cell r="E123" t="str">
            <v>Herramienta</v>
          </cell>
          <cell r="F123" t="str">
            <v>Gb</v>
          </cell>
          <cell r="G123">
            <v>1</v>
          </cell>
          <cell r="H123">
            <v>450</v>
          </cell>
          <cell r="I123">
            <v>450</v>
          </cell>
          <cell r="J123">
            <v>0</v>
          </cell>
          <cell r="K123">
            <v>0</v>
          </cell>
          <cell r="L123">
            <v>0</v>
          </cell>
          <cell r="Y123" t="e">
            <v>#VALUE!</v>
          </cell>
          <cell r="Z123" t="e">
            <v>#VALUE!</v>
          </cell>
        </row>
        <row r="125">
          <cell r="E125" t="str">
            <v>SUBTOTAL</v>
          </cell>
          <cell r="I125">
            <v>7280</v>
          </cell>
          <cell r="L125">
            <v>0</v>
          </cell>
          <cell r="Z125" t="e">
            <v>#VALUE!</v>
          </cell>
        </row>
        <row r="126">
          <cell r="E126" t="str">
            <v>A.I.U</v>
          </cell>
          <cell r="I126">
            <v>0</v>
          </cell>
          <cell r="L126">
            <v>0</v>
          </cell>
          <cell r="Z126">
            <v>0</v>
          </cell>
        </row>
        <row r="127">
          <cell r="D127" t="str">
            <v>AIUAADMON</v>
          </cell>
          <cell r="E127" t="str">
            <v>Admon</v>
          </cell>
          <cell r="F127">
            <v>0</v>
          </cell>
          <cell r="I127">
            <v>0</v>
          </cell>
          <cell r="J127">
            <v>0</v>
          </cell>
          <cell r="L127">
            <v>0</v>
          </cell>
          <cell r="Z127">
            <v>0</v>
          </cell>
        </row>
        <row r="128">
          <cell r="D128" t="str">
            <v>AIUAIMPRE</v>
          </cell>
          <cell r="E128" t="str">
            <v>Imprevistos</v>
          </cell>
          <cell r="F128">
            <v>0</v>
          </cell>
          <cell r="I128">
            <v>0</v>
          </cell>
          <cell r="J128">
            <v>0</v>
          </cell>
          <cell r="L128">
            <v>0</v>
          </cell>
          <cell r="Z128">
            <v>0</v>
          </cell>
        </row>
        <row r="129">
          <cell r="D129" t="str">
            <v>AIUAUTILI</v>
          </cell>
          <cell r="E129" t="str">
            <v>Utilidad</v>
          </cell>
          <cell r="F129">
            <v>0</v>
          </cell>
          <cell r="I129">
            <v>0</v>
          </cell>
          <cell r="J129">
            <v>0</v>
          </cell>
          <cell r="L129">
            <v>0</v>
          </cell>
          <cell r="Z129">
            <v>0</v>
          </cell>
        </row>
        <row r="130">
          <cell r="D130" t="str">
            <v>AIUAIVAUTI</v>
          </cell>
          <cell r="E130" t="str">
            <v>IVA utilidad</v>
          </cell>
          <cell r="F130">
            <v>0</v>
          </cell>
          <cell r="I130">
            <v>0</v>
          </cell>
          <cell r="J130">
            <v>0</v>
          </cell>
          <cell r="L130">
            <v>0</v>
          </cell>
          <cell r="Z130">
            <v>0</v>
          </cell>
        </row>
        <row r="132">
          <cell r="E132" t="str">
            <v>ITEM</v>
          </cell>
        </row>
        <row r="133">
          <cell r="D133" t="str">
            <v>MTERETROG</v>
          </cell>
          <cell r="E133" t="str">
            <v>Excavación Retro Oruga Grande</v>
          </cell>
          <cell r="G133" t="str">
            <v>UN.</v>
          </cell>
          <cell r="H133" t="str">
            <v>Hr</v>
          </cell>
          <cell r="I133">
            <v>90000</v>
          </cell>
          <cell r="K133">
            <v>0</v>
          </cell>
          <cell r="L133">
            <v>0</v>
          </cell>
          <cell r="N133">
            <v>0</v>
          </cell>
          <cell r="O133">
            <v>0</v>
          </cell>
          <cell r="P133">
            <v>90000</v>
          </cell>
          <cell r="Q133">
            <v>0</v>
          </cell>
          <cell r="X133">
            <v>0</v>
          </cell>
          <cell r="Z133" t="e">
            <v>#VALUE!</v>
          </cell>
          <cell r="AA133">
            <v>0</v>
          </cell>
          <cell r="AB133">
            <v>0</v>
          </cell>
          <cell r="AC133" t="e">
            <v>#VALUE!</v>
          </cell>
        </row>
        <row r="135">
          <cell r="D135" t="str">
            <v>CODIGO</v>
          </cell>
          <cell r="E135" t="str">
            <v>DESCRIPCION</v>
          </cell>
          <cell r="F135" t="str">
            <v>UN</v>
          </cell>
          <cell r="G135" t="str">
            <v>CANT</v>
          </cell>
          <cell r="H135" t="str">
            <v>V/UNIT.</v>
          </cell>
          <cell r="I135" t="str">
            <v>V/TOTAL</v>
          </cell>
          <cell r="K135" t="str">
            <v>CANT TOTAL</v>
          </cell>
          <cell r="L135" t="str">
            <v>Vr TOTAL</v>
          </cell>
          <cell r="Y135" t="str">
            <v>CANT.</v>
          </cell>
          <cell r="Z135" t="str">
            <v>V/TOTAL</v>
          </cell>
        </row>
        <row r="136">
          <cell r="E136" t="str">
            <v>HERRAMIENTA</v>
          </cell>
          <cell r="I136">
            <v>0</v>
          </cell>
          <cell r="L136">
            <v>0</v>
          </cell>
          <cell r="Z136">
            <v>0</v>
          </cell>
        </row>
        <row r="137">
          <cell r="I137">
            <v>0</v>
          </cell>
          <cell r="J137">
            <v>0</v>
          </cell>
          <cell r="K137">
            <v>0</v>
          </cell>
          <cell r="L137">
            <v>0</v>
          </cell>
          <cell r="Z137">
            <v>0</v>
          </cell>
        </row>
        <row r="139">
          <cell r="E139" t="str">
            <v>MANO DE OBRA</v>
          </cell>
          <cell r="I139">
            <v>0</v>
          </cell>
          <cell r="L139">
            <v>0</v>
          </cell>
          <cell r="Z139">
            <v>0</v>
          </cell>
        </row>
        <row r="140">
          <cell r="I140">
            <v>0</v>
          </cell>
          <cell r="J140">
            <v>0</v>
          </cell>
          <cell r="K140">
            <v>0</v>
          </cell>
          <cell r="L140">
            <v>0</v>
          </cell>
          <cell r="Z140">
            <v>0</v>
          </cell>
        </row>
        <row r="142">
          <cell r="E142" t="str">
            <v>VARIOS</v>
          </cell>
          <cell r="I142">
            <v>90000</v>
          </cell>
          <cell r="L142">
            <v>0</v>
          </cell>
          <cell r="Z142" t="e">
            <v>#VALUE!</v>
          </cell>
        </row>
        <row r="143">
          <cell r="D143" t="str">
            <v>AL04RETROG</v>
          </cell>
          <cell r="E143" t="str">
            <v>Retro Oruga 320</v>
          </cell>
          <cell r="F143" t="str">
            <v>Hr</v>
          </cell>
          <cell r="G143">
            <v>1</v>
          </cell>
          <cell r="H143">
            <v>90000</v>
          </cell>
          <cell r="I143">
            <v>90000</v>
          </cell>
          <cell r="J143">
            <v>0</v>
          </cell>
          <cell r="K143">
            <v>0</v>
          </cell>
          <cell r="L143">
            <v>0</v>
          </cell>
          <cell r="Y143" t="e">
            <v>#VALUE!</v>
          </cell>
          <cell r="Z143" t="e">
            <v>#VALUE!</v>
          </cell>
        </row>
        <row r="145">
          <cell r="E145" t="str">
            <v>SUBTOTAL</v>
          </cell>
          <cell r="I145">
            <v>90000</v>
          </cell>
          <cell r="L145">
            <v>0</v>
          </cell>
          <cell r="Z145" t="e">
            <v>#VALUE!</v>
          </cell>
        </row>
        <row r="146">
          <cell r="E146" t="str">
            <v>A.I.U</v>
          </cell>
          <cell r="I146">
            <v>0</v>
          </cell>
          <cell r="L146">
            <v>0</v>
          </cell>
          <cell r="Z146">
            <v>0</v>
          </cell>
        </row>
        <row r="147">
          <cell r="D147" t="str">
            <v>AIUAADMON</v>
          </cell>
          <cell r="E147" t="str">
            <v>Admon</v>
          </cell>
          <cell r="F147">
            <v>0</v>
          </cell>
          <cell r="I147">
            <v>0</v>
          </cell>
          <cell r="J147">
            <v>0</v>
          </cell>
          <cell r="L147">
            <v>0</v>
          </cell>
          <cell r="Z147">
            <v>0</v>
          </cell>
        </row>
        <row r="148">
          <cell r="D148" t="str">
            <v>AIUAIMPRE</v>
          </cell>
          <cell r="E148" t="str">
            <v>Imprevistos</v>
          </cell>
          <cell r="F148">
            <v>0</v>
          </cell>
          <cell r="I148">
            <v>0</v>
          </cell>
          <cell r="J148">
            <v>0</v>
          </cell>
          <cell r="L148">
            <v>0</v>
          </cell>
          <cell r="Z148">
            <v>0</v>
          </cell>
        </row>
        <row r="149">
          <cell r="D149" t="str">
            <v>AIUAUTILI</v>
          </cell>
          <cell r="E149" t="str">
            <v>Utilidad</v>
          </cell>
          <cell r="F149">
            <v>0</v>
          </cell>
          <cell r="I149">
            <v>0</v>
          </cell>
          <cell r="J149">
            <v>0</v>
          </cell>
          <cell r="L149">
            <v>0</v>
          </cell>
          <cell r="Z149">
            <v>0</v>
          </cell>
        </row>
        <row r="150">
          <cell r="D150" t="str">
            <v>AIUAIVAUTI</v>
          </cell>
          <cell r="E150" t="str">
            <v>IVA utilidad</v>
          </cell>
          <cell r="F150">
            <v>0</v>
          </cell>
          <cell r="I150">
            <v>0</v>
          </cell>
          <cell r="J150">
            <v>0</v>
          </cell>
          <cell r="L150">
            <v>0</v>
          </cell>
          <cell r="Z150">
            <v>0</v>
          </cell>
        </row>
        <row r="152">
          <cell r="E152" t="str">
            <v>ITEM</v>
          </cell>
        </row>
        <row r="153">
          <cell r="D153" t="str">
            <v>MTERETRO</v>
          </cell>
          <cell r="E153" t="str">
            <v>Excavación Retro Oruga</v>
          </cell>
          <cell r="G153" t="str">
            <v>UN.</v>
          </cell>
          <cell r="H153" t="str">
            <v>Hr</v>
          </cell>
          <cell r="I153">
            <v>60000</v>
          </cell>
          <cell r="K153">
            <v>0</v>
          </cell>
          <cell r="L153">
            <v>0</v>
          </cell>
          <cell r="N153">
            <v>0</v>
          </cell>
          <cell r="O153">
            <v>0</v>
          </cell>
          <cell r="P153">
            <v>60000</v>
          </cell>
          <cell r="Q153">
            <v>0</v>
          </cell>
          <cell r="X153">
            <v>0</v>
          </cell>
          <cell r="Z153" t="e">
            <v>#VALUE!</v>
          </cell>
          <cell r="AA153">
            <v>0</v>
          </cell>
          <cell r="AB153">
            <v>0</v>
          </cell>
          <cell r="AC153" t="e">
            <v>#VALUE!</v>
          </cell>
        </row>
        <row r="155">
          <cell r="D155" t="str">
            <v>CODIGO</v>
          </cell>
          <cell r="E155" t="str">
            <v>DESCRIPCION</v>
          </cell>
          <cell r="F155" t="str">
            <v>UN</v>
          </cell>
          <cell r="G155" t="str">
            <v>CANT</v>
          </cell>
          <cell r="H155" t="str">
            <v>V/UNIT.</v>
          </cell>
          <cell r="I155" t="str">
            <v>V/TOTAL</v>
          </cell>
          <cell r="K155" t="str">
            <v>CANT TOTAL</v>
          </cell>
          <cell r="L155" t="str">
            <v>Vr TOTAL</v>
          </cell>
          <cell r="Y155" t="str">
            <v>CANT.</v>
          </cell>
          <cell r="Z155" t="str">
            <v>V/TOTAL</v>
          </cell>
        </row>
        <row r="156">
          <cell r="E156" t="str">
            <v>HERRAMIENTA</v>
          </cell>
          <cell r="I156">
            <v>0</v>
          </cell>
          <cell r="L156">
            <v>0</v>
          </cell>
          <cell r="Z156">
            <v>0</v>
          </cell>
        </row>
        <row r="157">
          <cell r="I157">
            <v>0</v>
          </cell>
          <cell r="J157">
            <v>0</v>
          </cell>
          <cell r="K157">
            <v>0</v>
          </cell>
          <cell r="L157">
            <v>0</v>
          </cell>
          <cell r="Z157">
            <v>0</v>
          </cell>
        </row>
        <row r="159">
          <cell r="E159" t="str">
            <v>MANO DE OBRA</v>
          </cell>
          <cell r="I159">
            <v>0</v>
          </cell>
          <cell r="L159">
            <v>0</v>
          </cell>
          <cell r="Z159">
            <v>0</v>
          </cell>
        </row>
        <row r="160">
          <cell r="I160">
            <v>0</v>
          </cell>
          <cell r="J160">
            <v>0</v>
          </cell>
          <cell r="K160">
            <v>0</v>
          </cell>
          <cell r="L160">
            <v>0</v>
          </cell>
          <cell r="Z160">
            <v>0</v>
          </cell>
        </row>
        <row r="162">
          <cell r="E162" t="str">
            <v>VARIOS</v>
          </cell>
          <cell r="I162">
            <v>60000</v>
          </cell>
          <cell r="L162">
            <v>0</v>
          </cell>
          <cell r="Z162" t="e">
            <v>#VALUE!</v>
          </cell>
        </row>
        <row r="163">
          <cell r="D163" t="str">
            <v>AL04RETROE</v>
          </cell>
          <cell r="E163" t="str">
            <v>Retro Oruga</v>
          </cell>
          <cell r="F163" t="str">
            <v>Hr</v>
          </cell>
          <cell r="G163">
            <v>1</v>
          </cell>
          <cell r="H163">
            <v>60000</v>
          </cell>
          <cell r="I163">
            <v>60000</v>
          </cell>
          <cell r="J163">
            <v>0</v>
          </cell>
          <cell r="K163">
            <v>0</v>
          </cell>
          <cell r="L163">
            <v>0</v>
          </cell>
          <cell r="Y163" t="e">
            <v>#VALUE!</v>
          </cell>
          <cell r="Z163" t="e">
            <v>#VALUE!</v>
          </cell>
        </row>
        <row r="165">
          <cell r="E165" t="str">
            <v>SUBTOTAL</v>
          </cell>
          <cell r="I165">
            <v>60000</v>
          </cell>
          <cell r="L165">
            <v>0</v>
          </cell>
          <cell r="Z165" t="e">
            <v>#VALUE!</v>
          </cell>
        </row>
        <row r="166">
          <cell r="E166" t="str">
            <v>A.I.U</v>
          </cell>
          <cell r="I166">
            <v>0</v>
          </cell>
          <cell r="L166">
            <v>0</v>
          </cell>
          <cell r="Z166">
            <v>0</v>
          </cell>
        </row>
        <row r="167">
          <cell r="D167" t="str">
            <v>AIUAADMON</v>
          </cell>
          <cell r="E167" t="str">
            <v>Admon</v>
          </cell>
          <cell r="F167">
            <v>0</v>
          </cell>
          <cell r="I167">
            <v>0</v>
          </cell>
          <cell r="J167">
            <v>0</v>
          </cell>
          <cell r="L167">
            <v>0</v>
          </cell>
          <cell r="Z167">
            <v>0</v>
          </cell>
        </row>
        <row r="168">
          <cell r="D168" t="str">
            <v>AIUAIMPRE</v>
          </cell>
          <cell r="E168" t="str">
            <v>Imprevistos</v>
          </cell>
          <cell r="F168">
            <v>0</v>
          </cell>
          <cell r="I168">
            <v>0</v>
          </cell>
          <cell r="J168">
            <v>0</v>
          </cell>
          <cell r="L168">
            <v>0</v>
          </cell>
          <cell r="Z168">
            <v>0</v>
          </cell>
        </row>
        <row r="169">
          <cell r="D169" t="str">
            <v>AIUAUTILI</v>
          </cell>
          <cell r="E169" t="str">
            <v>Utilidad</v>
          </cell>
          <cell r="F169">
            <v>0</v>
          </cell>
          <cell r="I169">
            <v>0</v>
          </cell>
          <cell r="J169">
            <v>0</v>
          </cell>
          <cell r="L169">
            <v>0</v>
          </cell>
          <cell r="Z169">
            <v>0</v>
          </cell>
        </row>
        <row r="170">
          <cell r="D170" t="str">
            <v>AIUAIVAUTI</v>
          </cell>
          <cell r="E170" t="str">
            <v>IVA utilidad</v>
          </cell>
          <cell r="F170">
            <v>0</v>
          </cell>
          <cell r="I170">
            <v>0</v>
          </cell>
          <cell r="J170">
            <v>0</v>
          </cell>
          <cell r="L170">
            <v>0</v>
          </cell>
          <cell r="Z170">
            <v>0</v>
          </cell>
        </row>
        <row r="172">
          <cell r="E172" t="str">
            <v>ITEM</v>
          </cell>
        </row>
        <row r="173">
          <cell r="D173" t="str">
            <v>MTRETUREMA</v>
          </cell>
          <cell r="E173" t="str">
            <v>Recubrimento Tuberia en Recebo a Mano</v>
          </cell>
          <cell r="G173" t="str">
            <v>UN.</v>
          </cell>
          <cell r="H173" t="str">
            <v>M3</v>
          </cell>
          <cell r="I173">
            <v>29260</v>
          </cell>
          <cell r="K173">
            <v>7270.15</v>
          </cell>
          <cell r="L173">
            <v>212724589</v>
          </cell>
          <cell r="N173">
            <v>24510</v>
          </cell>
          <cell r="O173">
            <v>2000</v>
          </cell>
          <cell r="P173">
            <v>2750</v>
          </cell>
          <cell r="Q173">
            <v>0</v>
          </cell>
          <cell r="X173">
            <v>212724589</v>
          </cell>
          <cell r="Z173" t="e">
            <v>#N/A</v>
          </cell>
          <cell r="AA173" t="e">
            <v>#VALUE!</v>
          </cell>
          <cell r="AB173" t="e">
            <v>#VALUE!</v>
          </cell>
          <cell r="AC173" t="e">
            <v>#N/A</v>
          </cell>
        </row>
        <row r="175">
          <cell r="D175" t="str">
            <v>CODIGO</v>
          </cell>
          <cell r="E175" t="str">
            <v>DESCRIPCION</v>
          </cell>
          <cell r="F175" t="str">
            <v>UN</v>
          </cell>
          <cell r="G175" t="str">
            <v>CANT</v>
          </cell>
          <cell r="H175" t="str">
            <v>V/UNIT.</v>
          </cell>
          <cell r="I175" t="str">
            <v>V/TOTAL</v>
          </cell>
          <cell r="K175" t="str">
            <v>CANT TOTAL</v>
          </cell>
          <cell r="L175" t="str">
            <v>Vr TOTAL</v>
          </cell>
          <cell r="Y175" t="str">
            <v>CANT.</v>
          </cell>
          <cell r="Z175" t="str">
            <v>V/TOTAL</v>
          </cell>
        </row>
        <row r="176">
          <cell r="E176" t="str">
            <v>MATERIALES</v>
          </cell>
          <cell r="I176">
            <v>24510</v>
          </cell>
          <cell r="L176">
            <v>178191376.5</v>
          </cell>
          <cell r="Z176" t="e">
            <v>#VALUE!</v>
          </cell>
        </row>
        <row r="177">
          <cell r="D177" t="str">
            <v>MA02RMC</v>
          </cell>
          <cell r="E177" t="str">
            <v>Recebo en Cantera</v>
          </cell>
          <cell r="F177" t="str">
            <v>M3</v>
          </cell>
          <cell r="G177">
            <v>1.25</v>
          </cell>
          <cell r="H177">
            <v>6000</v>
          </cell>
          <cell r="I177">
            <v>7500</v>
          </cell>
          <cell r="J177">
            <v>0</v>
          </cell>
          <cell r="K177">
            <v>9087.6875</v>
          </cell>
          <cell r="L177">
            <v>54526125</v>
          </cell>
          <cell r="Y177" t="e">
            <v>#VALUE!</v>
          </cell>
          <cell r="Z177" t="e">
            <v>#VALUE!</v>
          </cell>
        </row>
        <row r="178">
          <cell r="D178" t="str">
            <v>TC09TR</v>
          </cell>
          <cell r="E178" t="str">
            <v>Transporte Recebo</v>
          </cell>
          <cell r="F178" t="str">
            <v>Vj</v>
          </cell>
          <cell r="G178">
            <v>0.21</v>
          </cell>
          <cell r="H178">
            <v>81000</v>
          </cell>
          <cell r="I178">
            <v>17010</v>
          </cell>
          <cell r="J178">
            <v>0</v>
          </cell>
          <cell r="K178">
            <v>1526.7314999999999</v>
          </cell>
          <cell r="L178">
            <v>123665251.49999999</v>
          </cell>
          <cell r="Y178" t="e">
            <v>#VALUE!</v>
          </cell>
          <cell r="Z178" t="e">
            <v>#VALUE!</v>
          </cell>
        </row>
        <row r="180">
          <cell r="E180" t="str">
            <v>MANO DE OBRA</v>
          </cell>
          <cell r="I180">
            <v>2000</v>
          </cell>
          <cell r="L180">
            <v>14540300</v>
          </cell>
          <cell r="Z180" t="e">
            <v>#VALUE!</v>
          </cell>
        </row>
        <row r="181">
          <cell r="D181" t="str">
            <v>MOMTRETU</v>
          </cell>
          <cell r="E181" t="str">
            <v xml:space="preserve">Recubrimiento Tuberia </v>
          </cell>
          <cell r="F181" t="str">
            <v>M3</v>
          </cell>
          <cell r="G181">
            <v>1</v>
          </cell>
          <cell r="H181">
            <v>2000</v>
          </cell>
          <cell r="I181">
            <v>2000</v>
          </cell>
          <cell r="J181">
            <v>0</v>
          </cell>
          <cell r="K181">
            <v>7270.15</v>
          </cell>
          <cell r="L181">
            <v>14540300</v>
          </cell>
          <cell r="Y181" t="e">
            <v>#VALUE!</v>
          </cell>
          <cell r="Z181" t="e">
            <v>#VALUE!</v>
          </cell>
        </row>
        <row r="183">
          <cell r="E183" t="str">
            <v>VARIOS</v>
          </cell>
          <cell r="I183">
            <v>2750</v>
          </cell>
          <cell r="L183">
            <v>19992912.5</v>
          </cell>
          <cell r="Z183" t="e">
            <v>#N/A</v>
          </cell>
        </row>
        <row r="184">
          <cell r="D184" t="str">
            <v>AL04BENIT</v>
          </cell>
          <cell r="E184" t="str">
            <v>Benitin</v>
          </cell>
          <cell r="F184" t="str">
            <v>Dia</v>
          </cell>
          <cell r="G184">
            <v>1.6E-2</v>
          </cell>
          <cell r="H184">
            <v>150000</v>
          </cell>
          <cell r="I184">
            <v>2400</v>
          </cell>
          <cell r="J184">
            <v>0</v>
          </cell>
          <cell r="K184">
            <v>116.3224</v>
          </cell>
          <cell r="L184">
            <v>17448360</v>
          </cell>
          <cell r="Y184" t="e">
            <v>#N/A</v>
          </cell>
          <cell r="Z184" t="e">
            <v>#N/A</v>
          </cell>
        </row>
        <row r="185">
          <cell r="D185" t="str">
            <v>TC07H150</v>
          </cell>
          <cell r="E185" t="str">
            <v>Herramienta</v>
          </cell>
          <cell r="F185" t="str">
            <v>Gb</v>
          </cell>
          <cell r="G185">
            <v>1</v>
          </cell>
          <cell r="H185">
            <v>350</v>
          </cell>
          <cell r="I185">
            <v>350</v>
          </cell>
          <cell r="J185">
            <v>0</v>
          </cell>
          <cell r="K185">
            <v>7270.15</v>
          </cell>
          <cell r="L185">
            <v>2544552.5</v>
          </cell>
          <cell r="Y185" t="e">
            <v>#N/A</v>
          </cell>
          <cell r="Z185" t="e">
            <v>#N/A</v>
          </cell>
        </row>
        <row r="186">
          <cell r="E186" t="str">
            <v>SUBTOTAL</v>
          </cell>
          <cell r="I186">
            <v>29260</v>
          </cell>
          <cell r="L186">
            <v>212724589</v>
          </cell>
          <cell r="Z186" t="e">
            <v>#N/A</v>
          </cell>
        </row>
        <row r="187">
          <cell r="E187" t="str">
            <v>A.I.U</v>
          </cell>
          <cell r="I187">
            <v>0</v>
          </cell>
          <cell r="L187">
            <v>0</v>
          </cell>
          <cell r="Z187">
            <v>0</v>
          </cell>
        </row>
        <row r="188">
          <cell r="D188" t="str">
            <v>AIUAADMON</v>
          </cell>
          <cell r="E188" t="str">
            <v>Admon</v>
          </cell>
          <cell r="F188">
            <v>0</v>
          </cell>
          <cell r="I188">
            <v>0</v>
          </cell>
          <cell r="J188">
            <v>0</v>
          </cell>
          <cell r="L188">
            <v>0</v>
          </cell>
          <cell r="Z188">
            <v>0</v>
          </cell>
        </row>
        <row r="189">
          <cell r="D189" t="str">
            <v>AIUAIMPRE</v>
          </cell>
          <cell r="E189" t="str">
            <v>Imprevistos</v>
          </cell>
          <cell r="F189">
            <v>0</v>
          </cell>
          <cell r="I189">
            <v>0</v>
          </cell>
          <cell r="J189">
            <v>0</v>
          </cell>
          <cell r="L189">
            <v>0</v>
          </cell>
          <cell r="Z189">
            <v>0</v>
          </cell>
        </row>
        <row r="190">
          <cell r="D190" t="str">
            <v>AIUAUTILI</v>
          </cell>
          <cell r="E190" t="str">
            <v>Utilidad</v>
          </cell>
          <cell r="F190">
            <v>0</v>
          </cell>
          <cell r="I190">
            <v>0</v>
          </cell>
          <cell r="J190">
            <v>0</v>
          </cell>
          <cell r="L190">
            <v>0</v>
          </cell>
          <cell r="Z190">
            <v>0</v>
          </cell>
        </row>
        <row r="191">
          <cell r="D191" t="str">
            <v>AIUAIVAUTI</v>
          </cell>
          <cell r="E191" t="str">
            <v>IVA utilidad</v>
          </cell>
          <cell r="F191">
            <v>0</v>
          </cell>
          <cell r="I191">
            <v>0</v>
          </cell>
          <cell r="J191">
            <v>0</v>
          </cell>
          <cell r="L191">
            <v>0</v>
          </cell>
          <cell r="Z191">
            <v>0</v>
          </cell>
        </row>
        <row r="193">
          <cell r="E193" t="str">
            <v>ITEM</v>
          </cell>
        </row>
        <row r="194">
          <cell r="D194" t="str">
            <v>MTRTRI</v>
          </cell>
          <cell r="E194" t="str">
            <v>Relleno Gravilla o Triturado</v>
          </cell>
          <cell r="G194" t="str">
            <v>UN.</v>
          </cell>
          <cell r="H194" t="str">
            <v>M3</v>
          </cell>
          <cell r="I194">
            <v>29070</v>
          </cell>
          <cell r="K194">
            <v>4144</v>
          </cell>
          <cell r="L194">
            <v>120466080</v>
          </cell>
          <cell r="N194">
            <v>29070</v>
          </cell>
          <cell r="O194">
            <v>0</v>
          </cell>
          <cell r="P194">
            <v>0</v>
          </cell>
          <cell r="Q194">
            <v>0</v>
          </cell>
          <cell r="X194">
            <v>120466080</v>
          </cell>
          <cell r="Z194" t="e">
            <v>#N/A</v>
          </cell>
          <cell r="AA194" t="e">
            <v>#N/A</v>
          </cell>
          <cell r="AB194">
            <v>0</v>
          </cell>
          <cell r="AC194">
            <v>0</v>
          </cell>
        </row>
        <row r="196">
          <cell r="D196" t="str">
            <v>CODIGO</v>
          </cell>
          <cell r="E196" t="str">
            <v>DESCRIPCION</v>
          </cell>
          <cell r="F196" t="str">
            <v>UN</v>
          </cell>
          <cell r="G196" t="str">
            <v>CANT</v>
          </cell>
          <cell r="H196" t="str">
            <v>V/UNIT.</v>
          </cell>
          <cell r="I196" t="str">
            <v>V/TOTAL</v>
          </cell>
          <cell r="K196" t="str">
            <v>CANT TOTAL</v>
          </cell>
          <cell r="L196" t="str">
            <v>Vr TOTAL</v>
          </cell>
          <cell r="Y196" t="str">
            <v>CANT.</v>
          </cell>
          <cell r="Z196" t="str">
            <v>V/TOTAL</v>
          </cell>
        </row>
        <row r="197">
          <cell r="E197" t="str">
            <v>MATERIALES</v>
          </cell>
          <cell r="I197">
            <v>29070</v>
          </cell>
          <cell r="L197">
            <v>120466080</v>
          </cell>
          <cell r="Z197" t="e">
            <v>#N/A</v>
          </cell>
        </row>
        <row r="198">
          <cell r="D198" t="str">
            <v>MA02TRITU</v>
          </cell>
          <cell r="E198" t="str">
            <v>Triturado</v>
          </cell>
          <cell r="F198" t="str">
            <v>m3</v>
          </cell>
          <cell r="G198">
            <v>1.02</v>
          </cell>
          <cell r="H198">
            <v>28500</v>
          </cell>
          <cell r="I198">
            <v>29070</v>
          </cell>
          <cell r="J198">
            <v>0</v>
          </cell>
          <cell r="K198">
            <v>4226.88</v>
          </cell>
          <cell r="L198">
            <v>120466080</v>
          </cell>
          <cell r="Y198" t="e">
            <v>#N/A</v>
          </cell>
          <cell r="Z198" t="e">
            <v>#N/A</v>
          </cell>
        </row>
        <row r="199">
          <cell r="I199">
            <v>0</v>
          </cell>
          <cell r="J199">
            <v>0</v>
          </cell>
          <cell r="K199">
            <v>0</v>
          </cell>
          <cell r="L199">
            <v>0</v>
          </cell>
          <cell r="Y199">
            <v>0</v>
          </cell>
          <cell r="Z199">
            <v>0</v>
          </cell>
        </row>
        <row r="201">
          <cell r="E201" t="str">
            <v>MANO DE OBRA</v>
          </cell>
          <cell r="I201">
            <v>0</v>
          </cell>
          <cell r="L201">
            <v>0</v>
          </cell>
          <cell r="Z201">
            <v>0</v>
          </cell>
        </row>
        <row r="202">
          <cell r="I202">
            <v>0</v>
          </cell>
          <cell r="J202">
            <v>0</v>
          </cell>
          <cell r="K202">
            <v>0</v>
          </cell>
          <cell r="L202">
            <v>0</v>
          </cell>
          <cell r="Y202">
            <v>0</v>
          </cell>
          <cell r="Z202">
            <v>0</v>
          </cell>
        </row>
        <row r="204">
          <cell r="E204" t="str">
            <v>VARIOS</v>
          </cell>
          <cell r="I204">
            <v>0</v>
          </cell>
          <cell r="L204">
            <v>0</v>
          </cell>
          <cell r="Z204">
            <v>0</v>
          </cell>
        </row>
        <row r="205">
          <cell r="I205">
            <v>0</v>
          </cell>
          <cell r="J205">
            <v>0</v>
          </cell>
          <cell r="K205">
            <v>0</v>
          </cell>
          <cell r="L205">
            <v>0</v>
          </cell>
          <cell r="Y205">
            <v>0</v>
          </cell>
          <cell r="Z205">
            <v>0</v>
          </cell>
        </row>
        <row r="206">
          <cell r="I206">
            <v>0</v>
          </cell>
          <cell r="J206">
            <v>0</v>
          </cell>
          <cell r="K206">
            <v>0</v>
          </cell>
          <cell r="L206">
            <v>0</v>
          </cell>
          <cell r="Y206">
            <v>0</v>
          </cell>
          <cell r="Z206">
            <v>0</v>
          </cell>
        </row>
        <row r="207">
          <cell r="E207" t="str">
            <v>SUBTOTAL</v>
          </cell>
          <cell r="I207">
            <v>29070</v>
          </cell>
          <cell r="L207">
            <v>120466080</v>
          </cell>
          <cell r="Z207" t="e">
            <v>#N/A</v>
          </cell>
        </row>
        <row r="208">
          <cell r="E208" t="str">
            <v>A.I.U</v>
          </cell>
          <cell r="I208">
            <v>0</v>
          </cell>
          <cell r="L208">
            <v>0</v>
          </cell>
          <cell r="Z208">
            <v>0</v>
          </cell>
        </row>
        <row r="209">
          <cell r="D209" t="str">
            <v>AIUAADMON</v>
          </cell>
          <cell r="E209" t="str">
            <v>Admon</v>
          </cell>
          <cell r="F209">
            <v>0</v>
          </cell>
          <cell r="I209">
            <v>0</v>
          </cell>
          <cell r="J209">
            <v>0</v>
          </cell>
          <cell r="L209">
            <v>0</v>
          </cell>
          <cell r="Z209">
            <v>0</v>
          </cell>
        </row>
        <row r="210">
          <cell r="D210" t="str">
            <v>AIUAIMPRE</v>
          </cell>
          <cell r="E210" t="str">
            <v>Imprevistos</v>
          </cell>
          <cell r="F210">
            <v>0</v>
          </cell>
          <cell r="I210">
            <v>0</v>
          </cell>
          <cell r="J210">
            <v>0</v>
          </cell>
          <cell r="L210">
            <v>0</v>
          </cell>
          <cell r="Z210">
            <v>0</v>
          </cell>
        </row>
        <row r="211">
          <cell r="D211" t="str">
            <v>AIUAUTILI</v>
          </cell>
          <cell r="E211" t="str">
            <v>Utilidad</v>
          </cell>
          <cell r="F211">
            <v>0</v>
          </cell>
          <cell r="I211">
            <v>0</v>
          </cell>
          <cell r="J211">
            <v>0</v>
          </cell>
          <cell r="L211">
            <v>0</v>
          </cell>
          <cell r="Z211">
            <v>0</v>
          </cell>
        </row>
        <row r="212">
          <cell r="D212" t="str">
            <v>AIUAIVAUTI</v>
          </cell>
          <cell r="E212" t="str">
            <v>IVA utilidad</v>
          </cell>
          <cell r="F212">
            <v>0</v>
          </cell>
          <cell r="I212">
            <v>0</v>
          </cell>
          <cell r="J212">
            <v>0</v>
          </cell>
          <cell r="L212">
            <v>0</v>
          </cell>
          <cell r="Z212">
            <v>0</v>
          </cell>
        </row>
        <row r="214">
          <cell r="E214" t="str">
            <v>ITEM</v>
          </cell>
        </row>
        <row r="215">
          <cell r="D215" t="str">
            <v>MTRRM</v>
          </cell>
          <cell r="E215" t="str">
            <v>Relleno Recebo a Mano</v>
          </cell>
          <cell r="G215" t="str">
            <v>UN.</v>
          </cell>
          <cell r="H215" t="str">
            <v>M3</v>
          </cell>
          <cell r="I215">
            <v>30330</v>
          </cell>
          <cell r="K215">
            <v>2758.85</v>
          </cell>
          <cell r="L215">
            <v>83675920.5</v>
          </cell>
          <cell r="N215">
            <v>24510</v>
          </cell>
          <cell r="O215">
            <v>4000</v>
          </cell>
          <cell r="P215">
            <v>1820</v>
          </cell>
          <cell r="Q215">
            <v>0</v>
          </cell>
          <cell r="X215">
            <v>83675920.5</v>
          </cell>
          <cell r="Z215" t="e">
            <v>#VALUE!</v>
          </cell>
          <cell r="AA215" t="e">
            <v>#VALUE!</v>
          </cell>
          <cell r="AB215" t="e">
            <v>#VALUE!</v>
          </cell>
          <cell r="AC215" t="e">
            <v>#VALUE!</v>
          </cell>
        </row>
        <row r="217">
          <cell r="D217" t="str">
            <v>CODIGO</v>
          </cell>
          <cell r="E217" t="str">
            <v>DESCRIPCION</v>
          </cell>
          <cell r="F217" t="str">
            <v>UN</v>
          </cell>
          <cell r="G217" t="str">
            <v>CANT</v>
          </cell>
          <cell r="H217" t="str">
            <v>V/UNIT.</v>
          </cell>
          <cell r="I217" t="str">
            <v>V/TOTAL</v>
          </cell>
          <cell r="K217" t="str">
            <v>CANT TOTAL</v>
          </cell>
          <cell r="L217" t="str">
            <v>Vr TOTAL</v>
          </cell>
          <cell r="Y217" t="str">
            <v>CANT.</v>
          </cell>
          <cell r="Z217" t="str">
            <v>V/TOTAL</v>
          </cell>
        </row>
        <row r="218">
          <cell r="E218" t="str">
            <v>MATERIALES</v>
          </cell>
          <cell r="I218">
            <v>24510</v>
          </cell>
          <cell r="L218">
            <v>67619413.5</v>
          </cell>
          <cell r="Z218" t="e">
            <v>#VALUE!</v>
          </cell>
        </row>
        <row r="219">
          <cell r="D219" t="str">
            <v>MA02RMC</v>
          </cell>
          <cell r="E219" t="str">
            <v>Recebo en Cantera</v>
          </cell>
          <cell r="F219" t="str">
            <v>M3</v>
          </cell>
          <cell r="G219">
            <v>1.25</v>
          </cell>
          <cell r="H219">
            <v>6000</v>
          </cell>
          <cell r="I219">
            <v>7500</v>
          </cell>
          <cell r="J219">
            <v>0</v>
          </cell>
          <cell r="K219">
            <v>3448.5625</v>
          </cell>
          <cell r="L219">
            <v>20691375</v>
          </cell>
          <cell r="Y219" t="e">
            <v>#VALUE!</v>
          </cell>
          <cell r="Z219" t="e">
            <v>#VALUE!</v>
          </cell>
        </row>
        <row r="220">
          <cell r="D220" t="str">
            <v>TC09TR</v>
          </cell>
          <cell r="E220" t="str">
            <v>Transporte Recebo</v>
          </cell>
          <cell r="F220" t="str">
            <v>Vj</v>
          </cell>
          <cell r="G220">
            <v>0.21</v>
          </cell>
          <cell r="H220">
            <v>81000</v>
          </cell>
          <cell r="I220">
            <v>17010</v>
          </cell>
          <cell r="J220">
            <v>0</v>
          </cell>
          <cell r="K220">
            <v>579.35849999999994</v>
          </cell>
          <cell r="L220">
            <v>46928038.499999993</v>
          </cell>
          <cell r="Y220" t="e">
            <v>#VALUE!</v>
          </cell>
          <cell r="Z220" t="e">
            <v>#VALUE!</v>
          </cell>
        </row>
        <row r="222">
          <cell r="E222" t="str">
            <v>MANO DE OBRA</v>
          </cell>
          <cell r="I222">
            <v>4000</v>
          </cell>
          <cell r="L222">
            <v>11035400</v>
          </cell>
          <cell r="Z222" t="e">
            <v>#VALUE!</v>
          </cell>
        </row>
        <row r="223">
          <cell r="D223" t="str">
            <v>MOMTRRM</v>
          </cell>
          <cell r="E223" t="str">
            <v>Relleno Receno a Mano</v>
          </cell>
          <cell r="F223" t="str">
            <v>M3</v>
          </cell>
          <cell r="G223">
            <v>1</v>
          </cell>
          <cell r="H223">
            <v>4000</v>
          </cell>
          <cell r="I223">
            <v>4000</v>
          </cell>
          <cell r="J223">
            <v>0</v>
          </cell>
          <cell r="K223">
            <v>2758.85</v>
          </cell>
          <cell r="L223">
            <v>11035400</v>
          </cell>
          <cell r="Y223" t="e">
            <v>#VALUE!</v>
          </cell>
          <cell r="Z223" t="e">
            <v>#VALUE!</v>
          </cell>
        </row>
        <row r="225">
          <cell r="E225" t="str">
            <v>VARIOS</v>
          </cell>
          <cell r="I225">
            <v>1820</v>
          </cell>
          <cell r="L225">
            <v>5021107</v>
          </cell>
          <cell r="Z225" t="e">
            <v>#VALUE!</v>
          </cell>
        </row>
        <row r="226">
          <cell r="D226" t="str">
            <v>AL04APIS</v>
          </cell>
          <cell r="E226" t="str">
            <v>Apisonador</v>
          </cell>
          <cell r="F226" t="str">
            <v>Dia</v>
          </cell>
          <cell r="G226">
            <v>0.04</v>
          </cell>
          <cell r="H226">
            <v>33000</v>
          </cell>
          <cell r="I226">
            <v>1320</v>
          </cell>
          <cell r="J226">
            <v>0</v>
          </cell>
          <cell r="K226">
            <v>110.354</v>
          </cell>
          <cell r="L226">
            <v>3641682</v>
          </cell>
          <cell r="Y226" t="e">
            <v>#VALUE!</v>
          </cell>
          <cell r="Z226" t="e">
            <v>#VALUE!</v>
          </cell>
        </row>
        <row r="227">
          <cell r="D227" t="str">
            <v>TC07H500</v>
          </cell>
          <cell r="E227" t="str">
            <v>Herramienta y Varios</v>
          </cell>
          <cell r="F227" t="str">
            <v>Gb</v>
          </cell>
          <cell r="G227">
            <v>1</v>
          </cell>
          <cell r="H227">
            <v>500</v>
          </cell>
          <cell r="I227">
            <v>500</v>
          </cell>
          <cell r="J227">
            <v>0</v>
          </cell>
          <cell r="K227">
            <v>2758.85</v>
          </cell>
          <cell r="L227">
            <v>1379425</v>
          </cell>
          <cell r="Y227" t="e">
            <v>#VALUE!</v>
          </cell>
          <cell r="Z227" t="e">
            <v>#VALUE!</v>
          </cell>
        </row>
        <row r="228">
          <cell r="E228" t="str">
            <v>SUBTOTAL</v>
          </cell>
          <cell r="I228">
            <v>30330</v>
          </cell>
          <cell r="L228">
            <v>83675920.5</v>
          </cell>
          <cell r="Z228" t="e">
            <v>#VALUE!</v>
          </cell>
        </row>
        <row r="229">
          <cell r="E229" t="str">
            <v>A.I.U</v>
          </cell>
          <cell r="I229">
            <v>0</v>
          </cell>
          <cell r="L229">
            <v>0</v>
          </cell>
          <cell r="Z229">
            <v>0</v>
          </cell>
        </row>
        <row r="230">
          <cell r="D230" t="str">
            <v>AIUAADMON</v>
          </cell>
          <cell r="E230" t="str">
            <v>Admon</v>
          </cell>
          <cell r="F230">
            <v>0</v>
          </cell>
          <cell r="I230">
            <v>0</v>
          </cell>
          <cell r="J230">
            <v>0</v>
          </cell>
          <cell r="L230">
            <v>0</v>
          </cell>
          <cell r="Z230">
            <v>0</v>
          </cell>
        </row>
        <row r="231">
          <cell r="D231" t="str">
            <v>AIUAIMPRE</v>
          </cell>
          <cell r="E231" t="str">
            <v>Imprevistos</v>
          </cell>
          <cell r="F231">
            <v>0</v>
          </cell>
          <cell r="I231">
            <v>0</v>
          </cell>
          <cell r="J231">
            <v>0</v>
          </cell>
          <cell r="L231">
            <v>0</v>
          </cell>
          <cell r="Z231">
            <v>0</v>
          </cell>
        </row>
        <row r="232">
          <cell r="D232" t="str">
            <v>AIUAUTILI</v>
          </cell>
          <cell r="E232" t="str">
            <v>Utilidad</v>
          </cell>
          <cell r="F232">
            <v>0</v>
          </cell>
          <cell r="I232">
            <v>0</v>
          </cell>
          <cell r="J232">
            <v>0</v>
          </cell>
          <cell r="L232">
            <v>0</v>
          </cell>
          <cell r="Z232">
            <v>0</v>
          </cell>
        </row>
        <row r="233">
          <cell r="D233" t="str">
            <v>AIUAIVAUTI</v>
          </cell>
          <cell r="E233" t="str">
            <v>IVA utilidad</v>
          </cell>
          <cell r="F233">
            <v>0</v>
          </cell>
          <cell r="I233">
            <v>0</v>
          </cell>
          <cell r="J233">
            <v>0</v>
          </cell>
          <cell r="L233">
            <v>0</v>
          </cell>
          <cell r="Z233">
            <v>0</v>
          </cell>
        </row>
        <row r="235">
          <cell r="E235" t="str">
            <v>ITEM</v>
          </cell>
        </row>
        <row r="236">
          <cell r="D236" t="str">
            <v>MTRMEX</v>
          </cell>
          <cell r="E236" t="str">
            <v>Retiro Material de Excavacion</v>
          </cell>
          <cell r="G236" t="str">
            <v>UN.</v>
          </cell>
          <cell r="H236" t="str">
            <v>M3</v>
          </cell>
          <cell r="I236">
            <v>11090</v>
          </cell>
          <cell r="K236">
            <v>22649</v>
          </cell>
          <cell r="L236">
            <v>251177410</v>
          </cell>
          <cell r="N236">
            <v>0</v>
          </cell>
          <cell r="O236">
            <v>0</v>
          </cell>
          <cell r="P236">
            <v>11090</v>
          </cell>
          <cell r="Q236">
            <v>0</v>
          </cell>
          <cell r="X236">
            <v>251177410</v>
          </cell>
          <cell r="Z236" t="e">
            <v>#N/A</v>
          </cell>
          <cell r="AA236">
            <v>0</v>
          </cell>
          <cell r="AB236">
            <v>0</v>
          </cell>
          <cell r="AC236" t="e">
            <v>#N/A</v>
          </cell>
        </row>
        <row r="238">
          <cell r="D238" t="str">
            <v>CODIGO</v>
          </cell>
          <cell r="E238" t="str">
            <v>DESCRIPCION</v>
          </cell>
          <cell r="F238" t="str">
            <v>UN</v>
          </cell>
          <cell r="G238" t="str">
            <v>CANT</v>
          </cell>
          <cell r="H238" t="str">
            <v>V/UNIT.</v>
          </cell>
          <cell r="I238" t="str">
            <v>V/TOTAL</v>
          </cell>
          <cell r="K238" t="str">
            <v>CANT TOTAL</v>
          </cell>
          <cell r="L238" t="str">
            <v>Vr TOTAL</v>
          </cell>
          <cell r="Y238" t="str">
            <v>CANT.</v>
          </cell>
          <cell r="Z238" t="str">
            <v>V/TOTAL</v>
          </cell>
        </row>
        <row r="239">
          <cell r="E239" t="str">
            <v>MATERIALES</v>
          </cell>
          <cell r="I239">
            <v>0</v>
          </cell>
          <cell r="L239">
            <v>0</v>
          </cell>
          <cell r="Z239">
            <v>0</v>
          </cell>
        </row>
        <row r="242">
          <cell r="E242" t="str">
            <v>MANO DE OBRA</v>
          </cell>
          <cell r="I242">
            <v>0</v>
          </cell>
          <cell r="L242">
            <v>0</v>
          </cell>
          <cell r="Z242">
            <v>0</v>
          </cell>
        </row>
        <row r="245">
          <cell r="E245" t="str">
            <v>VARIOS</v>
          </cell>
          <cell r="I245">
            <v>11090</v>
          </cell>
          <cell r="L245">
            <v>251177410</v>
          </cell>
          <cell r="Z245" t="e">
            <v>#N/A</v>
          </cell>
        </row>
        <row r="246">
          <cell r="D246" t="str">
            <v>TC09VOLN</v>
          </cell>
          <cell r="E246" t="str">
            <v>Volqueta</v>
          </cell>
          <cell r="F246" t="str">
            <v>M3</v>
          </cell>
          <cell r="G246">
            <v>1.3</v>
          </cell>
          <cell r="H246">
            <v>6667</v>
          </cell>
          <cell r="I246">
            <v>8667</v>
          </cell>
          <cell r="J246">
            <v>0</v>
          </cell>
          <cell r="K246">
            <v>29443.7</v>
          </cell>
          <cell r="L246">
            <v>196301147.90000001</v>
          </cell>
          <cell r="N246">
            <v>0.16666666666666666</v>
          </cell>
          <cell r="Y246" t="e">
            <v>#N/A</v>
          </cell>
          <cell r="Z246" t="e">
            <v>#N/A</v>
          </cell>
          <cell r="AA246">
            <v>0.16666666666666666</v>
          </cell>
        </row>
        <row r="247">
          <cell r="D247" t="str">
            <v>TC09BOT</v>
          </cell>
          <cell r="E247" t="str">
            <v>Botadero</v>
          </cell>
          <cell r="F247" t="str">
            <v>Vj</v>
          </cell>
          <cell r="G247">
            <v>0.3029</v>
          </cell>
          <cell r="H247">
            <v>8000</v>
          </cell>
          <cell r="I247">
            <v>2423</v>
          </cell>
          <cell r="J247">
            <v>0</v>
          </cell>
          <cell r="K247">
            <v>6860.3820999999998</v>
          </cell>
          <cell r="L247">
            <v>54883056.799999997</v>
          </cell>
          <cell r="Y247" t="e">
            <v>#N/A</v>
          </cell>
          <cell r="Z247" t="e">
            <v>#N/A</v>
          </cell>
        </row>
        <row r="248">
          <cell r="E248" t="str">
            <v>SUBTOTAL</v>
          </cell>
          <cell r="I248">
            <v>11090</v>
          </cell>
          <cell r="L248">
            <v>251177410</v>
          </cell>
          <cell r="Z248" t="e">
            <v>#N/A</v>
          </cell>
        </row>
        <row r="249">
          <cell r="E249" t="str">
            <v>A.I.U</v>
          </cell>
          <cell r="I249">
            <v>0</v>
          </cell>
          <cell r="L249">
            <v>0</v>
          </cell>
          <cell r="Z249">
            <v>0</v>
          </cell>
        </row>
        <row r="250">
          <cell r="D250" t="str">
            <v>AIUAADMON</v>
          </cell>
          <cell r="E250" t="str">
            <v>Admon</v>
          </cell>
          <cell r="F250">
            <v>0</v>
          </cell>
          <cell r="I250">
            <v>0</v>
          </cell>
          <cell r="J250">
            <v>0</v>
          </cell>
          <cell r="L250">
            <v>0</v>
          </cell>
          <cell r="Z250">
            <v>0</v>
          </cell>
        </row>
        <row r="251">
          <cell r="D251" t="str">
            <v>AIUAIMPRE</v>
          </cell>
          <cell r="E251" t="str">
            <v>Imprevistos</v>
          </cell>
          <cell r="F251">
            <v>0</v>
          </cell>
          <cell r="I251">
            <v>0</v>
          </cell>
          <cell r="J251">
            <v>0</v>
          </cell>
          <cell r="L251">
            <v>0</v>
          </cell>
          <cell r="Z251">
            <v>0</v>
          </cell>
        </row>
        <row r="252">
          <cell r="D252" t="str">
            <v>AIUAUTILI</v>
          </cell>
          <cell r="E252" t="str">
            <v>Utilidad</v>
          </cell>
          <cell r="F252">
            <v>0</v>
          </cell>
          <cell r="I252">
            <v>0</v>
          </cell>
          <cell r="J252">
            <v>0</v>
          </cell>
          <cell r="L252">
            <v>0</v>
          </cell>
          <cell r="Z252">
            <v>0</v>
          </cell>
        </row>
        <row r="253">
          <cell r="D253" t="str">
            <v>AIUAIVAUTI</v>
          </cell>
          <cell r="E253" t="str">
            <v>IVA utilidad</v>
          </cell>
          <cell r="F253">
            <v>0</v>
          </cell>
          <cell r="I253">
            <v>0</v>
          </cell>
          <cell r="J253">
            <v>0</v>
          </cell>
          <cell r="L253">
            <v>0</v>
          </cell>
          <cell r="Z253">
            <v>0</v>
          </cell>
        </row>
        <row r="255">
          <cell r="D255" t="str">
            <v>MTEXRGTU</v>
          </cell>
          <cell r="E255" t="str">
            <v>Excavacion Mecanica Retro 320 Tuberia</v>
          </cell>
          <cell r="G255" t="str">
            <v>UN.</v>
          </cell>
          <cell r="H255" t="str">
            <v>M3</v>
          </cell>
          <cell r="I255">
            <v>3060</v>
          </cell>
          <cell r="K255">
            <v>9100</v>
          </cell>
          <cell r="L255">
            <v>27846000</v>
          </cell>
          <cell r="N255">
            <v>0</v>
          </cell>
          <cell r="O255">
            <v>0</v>
          </cell>
          <cell r="P255">
            <v>3060</v>
          </cell>
          <cell r="Q255">
            <v>0</v>
          </cell>
          <cell r="X255">
            <v>27846000</v>
          </cell>
          <cell r="Z255" t="e">
            <v>#N/A</v>
          </cell>
          <cell r="AA255">
            <v>0</v>
          </cell>
          <cell r="AB255">
            <v>0</v>
          </cell>
          <cell r="AC255" t="e">
            <v>#N/A</v>
          </cell>
        </row>
        <row r="257">
          <cell r="D257" t="str">
            <v>CODIGO</v>
          </cell>
          <cell r="E257" t="str">
            <v>DESCRIPCION</v>
          </cell>
          <cell r="F257" t="str">
            <v>UN</v>
          </cell>
          <cell r="G257" t="str">
            <v>CANT</v>
          </cell>
          <cell r="H257" t="str">
            <v>V/UNIT.</v>
          </cell>
          <cell r="I257" t="str">
            <v>V/TOTAL</v>
          </cell>
          <cell r="K257" t="str">
            <v>CANT TOTAL</v>
          </cell>
          <cell r="L257" t="str">
            <v>Vr TOTAL</v>
          </cell>
          <cell r="Y257" t="str">
            <v>CANT.</v>
          </cell>
          <cell r="Z257" t="str">
            <v>V/TOTAL</v>
          </cell>
        </row>
        <row r="258">
          <cell r="E258" t="str">
            <v>HERRAMIENTA</v>
          </cell>
          <cell r="I258">
            <v>0</v>
          </cell>
          <cell r="L258">
            <v>0</v>
          </cell>
          <cell r="Z258">
            <v>0</v>
          </cell>
        </row>
        <row r="259">
          <cell r="I259">
            <v>0</v>
          </cell>
          <cell r="J259">
            <v>0</v>
          </cell>
          <cell r="K259">
            <v>0</v>
          </cell>
          <cell r="L259">
            <v>0</v>
          </cell>
          <cell r="Z259">
            <v>0</v>
          </cell>
        </row>
        <row r="261">
          <cell r="E261" t="str">
            <v>MANO DE OBRA</v>
          </cell>
          <cell r="I261">
            <v>0</v>
          </cell>
          <cell r="L261">
            <v>0</v>
          </cell>
          <cell r="Z261">
            <v>0</v>
          </cell>
        </row>
        <row r="262">
          <cell r="I262">
            <v>0</v>
          </cell>
          <cell r="J262">
            <v>0</v>
          </cell>
          <cell r="K262">
            <v>0</v>
          </cell>
          <cell r="L262">
            <v>0</v>
          </cell>
          <cell r="Z262">
            <v>0</v>
          </cell>
        </row>
        <row r="264">
          <cell r="E264" t="str">
            <v>VARIOS</v>
          </cell>
          <cell r="I264">
            <v>3060</v>
          </cell>
          <cell r="L264">
            <v>27846000</v>
          </cell>
          <cell r="Z264" t="e">
            <v>#N/A</v>
          </cell>
        </row>
        <row r="265">
          <cell r="D265" t="str">
            <v>AL04RETROG</v>
          </cell>
          <cell r="E265" t="str">
            <v>Retro Oruga 320</v>
          </cell>
          <cell r="F265" t="str">
            <v>Hr</v>
          </cell>
          <cell r="G265">
            <v>3.4000000000000002E-2</v>
          </cell>
          <cell r="H265">
            <v>90000</v>
          </cell>
          <cell r="I265">
            <v>3060</v>
          </cell>
          <cell r="J265">
            <v>0</v>
          </cell>
          <cell r="K265">
            <v>309.40000000000003</v>
          </cell>
          <cell r="L265">
            <v>27846000.000000004</v>
          </cell>
          <cell r="Y265" t="e">
            <v>#N/A</v>
          </cell>
          <cell r="Z265" t="e">
            <v>#N/A</v>
          </cell>
        </row>
        <row r="267">
          <cell r="E267" t="str">
            <v>SUBTOTAL</v>
          </cell>
          <cell r="I267">
            <v>3060</v>
          </cell>
          <cell r="L267">
            <v>27846000</v>
          </cell>
          <cell r="Z267" t="e">
            <v>#N/A</v>
          </cell>
        </row>
        <row r="268">
          <cell r="E268" t="str">
            <v>A.I.U</v>
          </cell>
          <cell r="I268">
            <v>0</v>
          </cell>
          <cell r="L268">
            <v>0</v>
          </cell>
          <cell r="Z268">
            <v>0</v>
          </cell>
        </row>
        <row r="269">
          <cell r="D269" t="str">
            <v>AIUAADMON</v>
          </cell>
          <cell r="E269" t="str">
            <v>Admon</v>
          </cell>
          <cell r="F269">
            <v>0</v>
          </cell>
          <cell r="I269">
            <v>0</v>
          </cell>
          <cell r="J269">
            <v>0</v>
          </cell>
          <cell r="L269">
            <v>0</v>
          </cell>
          <cell r="Z269">
            <v>0</v>
          </cell>
        </row>
        <row r="270">
          <cell r="D270" t="str">
            <v>AIUAIMPRE</v>
          </cell>
          <cell r="E270" t="str">
            <v>Imprevistos</v>
          </cell>
          <cell r="F270">
            <v>0</v>
          </cell>
          <cell r="I270">
            <v>0</v>
          </cell>
          <cell r="J270">
            <v>0</v>
          </cell>
          <cell r="L270">
            <v>0</v>
          </cell>
          <cell r="Z270">
            <v>0</v>
          </cell>
        </row>
        <row r="271">
          <cell r="D271" t="str">
            <v>AIUAUTILI</v>
          </cell>
          <cell r="E271" t="str">
            <v>Utilidad</v>
          </cell>
          <cell r="F271">
            <v>0</v>
          </cell>
          <cell r="I271">
            <v>0</v>
          </cell>
          <cell r="J271">
            <v>0</v>
          </cell>
          <cell r="L271">
            <v>0</v>
          </cell>
          <cell r="Z271">
            <v>0</v>
          </cell>
        </row>
        <row r="272">
          <cell r="D272" t="str">
            <v>AIUAIVAUTI</v>
          </cell>
          <cell r="E272" t="str">
            <v>IVA utilidad</v>
          </cell>
          <cell r="F272">
            <v>0</v>
          </cell>
          <cell r="I272">
            <v>0</v>
          </cell>
          <cell r="J272">
            <v>0</v>
          </cell>
          <cell r="L272">
            <v>0</v>
          </cell>
          <cell r="Z272">
            <v>0</v>
          </cell>
        </row>
        <row r="274">
          <cell r="D274" t="str">
            <v>MTEXRMTU</v>
          </cell>
          <cell r="E274" t="str">
            <v>Excavacion Mecanica Retro 200 Tuberia</v>
          </cell>
          <cell r="G274" t="str">
            <v>UN.</v>
          </cell>
          <cell r="H274" t="str">
            <v>M3</v>
          </cell>
          <cell r="I274">
            <v>3180</v>
          </cell>
          <cell r="K274">
            <v>10016</v>
          </cell>
          <cell r="L274">
            <v>31850880</v>
          </cell>
          <cell r="N274">
            <v>0</v>
          </cell>
          <cell r="O274">
            <v>0</v>
          </cell>
          <cell r="P274">
            <v>3180</v>
          </cell>
          <cell r="Q274">
            <v>0</v>
          </cell>
          <cell r="X274">
            <v>31850880</v>
          </cell>
          <cell r="Z274" t="e">
            <v>#N/A</v>
          </cell>
          <cell r="AA274">
            <v>0</v>
          </cell>
          <cell r="AB274">
            <v>0</v>
          </cell>
          <cell r="AC274" t="e">
            <v>#N/A</v>
          </cell>
        </row>
        <row r="276">
          <cell r="D276" t="str">
            <v>CODIGO</v>
          </cell>
          <cell r="E276" t="str">
            <v>DESCRIPCION</v>
          </cell>
          <cell r="F276" t="str">
            <v>UN</v>
          </cell>
          <cell r="G276" t="str">
            <v>CANT</v>
          </cell>
          <cell r="H276" t="str">
            <v>V/UNIT.</v>
          </cell>
          <cell r="I276" t="str">
            <v>V/TOTAL</v>
          </cell>
          <cell r="K276" t="str">
            <v>CANT TOTAL</v>
          </cell>
          <cell r="L276" t="str">
            <v>Vr TOTAL</v>
          </cell>
          <cell r="Y276" t="str">
            <v>CANT.</v>
          </cell>
          <cell r="Z276" t="str">
            <v>V/TOTAL</v>
          </cell>
        </row>
        <row r="277">
          <cell r="E277" t="str">
            <v>HERRAMIENTA</v>
          </cell>
          <cell r="I277">
            <v>0</v>
          </cell>
          <cell r="L277">
            <v>0</v>
          </cell>
          <cell r="Z277">
            <v>0</v>
          </cell>
        </row>
        <row r="278">
          <cell r="I278">
            <v>0</v>
          </cell>
          <cell r="J278">
            <v>0</v>
          </cell>
          <cell r="K278">
            <v>0</v>
          </cell>
          <cell r="L278">
            <v>0</v>
          </cell>
          <cell r="Z278">
            <v>0</v>
          </cell>
        </row>
        <row r="280">
          <cell r="E280" t="str">
            <v>MANO DE OBRA</v>
          </cell>
          <cell r="I280">
            <v>0</v>
          </cell>
          <cell r="L280">
            <v>0</v>
          </cell>
          <cell r="Z280">
            <v>0</v>
          </cell>
        </row>
        <row r="281">
          <cell r="I281">
            <v>0</v>
          </cell>
          <cell r="J281">
            <v>0</v>
          </cell>
          <cell r="K281">
            <v>0</v>
          </cell>
          <cell r="L281">
            <v>0</v>
          </cell>
          <cell r="Z281">
            <v>0</v>
          </cell>
        </row>
        <row r="283">
          <cell r="E283" t="str">
            <v>VARIOS</v>
          </cell>
          <cell r="I283">
            <v>3180</v>
          </cell>
          <cell r="L283">
            <v>31850880</v>
          </cell>
          <cell r="Z283" t="e">
            <v>#N/A</v>
          </cell>
        </row>
        <row r="284">
          <cell r="D284" t="str">
            <v>AL04RETROE</v>
          </cell>
          <cell r="E284" t="str">
            <v>Retro Oruga</v>
          </cell>
          <cell r="F284" t="str">
            <v>Hr</v>
          </cell>
          <cell r="G284">
            <v>5.2999999999999999E-2</v>
          </cell>
          <cell r="H284">
            <v>60000</v>
          </cell>
          <cell r="I284">
            <v>3180</v>
          </cell>
          <cell r="J284">
            <v>0</v>
          </cell>
          <cell r="K284">
            <v>530.84799999999996</v>
          </cell>
          <cell r="L284">
            <v>31850879.999999996</v>
          </cell>
          <cell r="Y284" t="e">
            <v>#N/A</v>
          </cell>
          <cell r="Z284" t="e">
            <v>#N/A</v>
          </cell>
        </row>
        <row r="285">
          <cell r="H285">
            <v>112</v>
          </cell>
        </row>
        <row r="286">
          <cell r="E286" t="str">
            <v>SUBTOTAL</v>
          </cell>
          <cell r="I286">
            <v>3180</v>
          </cell>
          <cell r="L286">
            <v>31850880</v>
          </cell>
          <cell r="Z286" t="e">
            <v>#N/A</v>
          </cell>
        </row>
        <row r="287">
          <cell r="E287" t="str">
            <v>A.I.U</v>
          </cell>
          <cell r="I287">
            <v>0</v>
          </cell>
          <cell r="L287">
            <v>0</v>
          </cell>
          <cell r="Z287">
            <v>0</v>
          </cell>
        </row>
        <row r="288">
          <cell r="D288" t="str">
            <v>AIUAADMON</v>
          </cell>
          <cell r="E288" t="str">
            <v>Admon</v>
          </cell>
          <cell r="F288">
            <v>0</v>
          </cell>
          <cell r="I288">
            <v>0</v>
          </cell>
          <cell r="J288">
            <v>0</v>
          </cell>
          <cell r="L288">
            <v>0</v>
          </cell>
          <cell r="Z288">
            <v>0</v>
          </cell>
        </row>
        <row r="289">
          <cell r="D289" t="str">
            <v>AIUAIMPRE</v>
          </cell>
          <cell r="E289" t="str">
            <v>Imprevistos</v>
          </cell>
          <cell r="F289">
            <v>0</v>
          </cell>
          <cell r="I289">
            <v>0</v>
          </cell>
          <cell r="J289">
            <v>0</v>
          </cell>
          <cell r="L289">
            <v>0</v>
          </cell>
          <cell r="Z289">
            <v>0</v>
          </cell>
        </row>
        <row r="290">
          <cell r="D290" t="str">
            <v>AIUAUTILI</v>
          </cell>
          <cell r="E290" t="str">
            <v>Utilidad</v>
          </cell>
          <cell r="F290">
            <v>0</v>
          </cell>
          <cell r="I290">
            <v>0</v>
          </cell>
          <cell r="J290">
            <v>0</v>
          </cell>
          <cell r="L290">
            <v>0</v>
          </cell>
          <cell r="Z290">
            <v>0</v>
          </cell>
        </row>
        <row r="291">
          <cell r="D291" t="str">
            <v>AIUAIVAUTI</v>
          </cell>
          <cell r="E291" t="str">
            <v>IVA utilidad</v>
          </cell>
          <cell r="F291">
            <v>0</v>
          </cell>
          <cell r="I291">
            <v>0</v>
          </cell>
          <cell r="J291">
            <v>0</v>
          </cell>
          <cell r="L291">
            <v>0</v>
          </cell>
          <cell r="Z291">
            <v>0</v>
          </cell>
        </row>
        <row r="293">
          <cell r="E293" t="str">
            <v>ITEM</v>
          </cell>
        </row>
        <row r="294">
          <cell r="D294" t="str">
            <v>MTRAJO</v>
          </cell>
          <cell r="E294" t="e">
            <v>#N/A</v>
          </cell>
          <cell r="G294" t="str">
            <v>UN.</v>
          </cell>
          <cell r="H294" t="e">
            <v>#N/A</v>
          </cell>
          <cell r="I294" t="e">
            <v>#N/A</v>
          </cell>
          <cell r="K294">
            <v>0</v>
          </cell>
          <cell r="L294" t="e">
            <v>#N/A</v>
          </cell>
          <cell r="N294" t="e">
            <v>#N/A</v>
          </cell>
          <cell r="O294">
            <v>2800</v>
          </cell>
          <cell r="P294">
            <v>0</v>
          </cell>
          <cell r="Q294" t="e">
            <v>#N/A</v>
          </cell>
          <cell r="X294" t="e">
            <v>#N/A</v>
          </cell>
          <cell r="Z294" t="e">
            <v>#VALUE!</v>
          </cell>
          <cell r="AA294" t="e">
            <v>#VALUE!</v>
          </cell>
          <cell r="AB294" t="e">
            <v>#VALUE!</v>
          </cell>
          <cell r="AC294">
            <v>0</v>
          </cell>
        </row>
        <row r="296">
          <cell r="D296" t="str">
            <v>CODIGO</v>
          </cell>
          <cell r="E296" t="str">
            <v>DESCRIPCION</v>
          </cell>
          <cell r="F296" t="str">
            <v>UN</v>
          </cell>
          <cell r="G296" t="str">
            <v>CANT</v>
          </cell>
          <cell r="H296" t="str">
            <v>V/UNIT.</v>
          </cell>
          <cell r="I296" t="str">
            <v>V/TOTAL</v>
          </cell>
          <cell r="K296" t="str">
            <v>CANT TOTAL</v>
          </cell>
          <cell r="L296" t="str">
            <v>Vr TOTAL</v>
          </cell>
          <cell r="Y296" t="str">
            <v>CANT.</v>
          </cell>
          <cell r="Z296" t="str">
            <v>V/TOTAL</v>
          </cell>
        </row>
        <row r="297">
          <cell r="E297" t="str">
            <v>MATERIALES</v>
          </cell>
          <cell r="I297" t="e">
            <v>#N/A</v>
          </cell>
          <cell r="L297" t="e">
            <v>#N/A</v>
          </cell>
          <cell r="Z297" t="e">
            <v>#VALUE!</v>
          </cell>
        </row>
        <row r="298">
          <cell r="D298" t="str">
            <v>MA02RA</v>
          </cell>
          <cell r="E298" t="e">
            <v>#N/A</v>
          </cell>
          <cell r="F298" t="e">
            <v>#N/A</v>
          </cell>
          <cell r="G298">
            <v>1</v>
          </cell>
          <cell r="H298" t="e">
            <v>#N/A</v>
          </cell>
          <cell r="I298" t="e">
            <v>#N/A</v>
          </cell>
          <cell r="J298" t="e">
            <v>#N/A</v>
          </cell>
          <cell r="K298">
            <v>0</v>
          </cell>
          <cell r="L298" t="e">
            <v>#N/A</v>
          </cell>
          <cell r="Y298" t="e">
            <v>#VALUE!</v>
          </cell>
          <cell r="Z298" t="e">
            <v>#VALUE!</v>
          </cell>
        </row>
        <row r="300">
          <cell r="E300" t="str">
            <v>MANO DE OBRA</v>
          </cell>
          <cell r="I300">
            <v>2800</v>
          </cell>
          <cell r="L300">
            <v>0</v>
          </cell>
          <cell r="Z300" t="e">
            <v>#VALUE!</v>
          </cell>
        </row>
        <row r="301">
          <cell r="D301" t="str">
            <v>MOVIIRA</v>
          </cell>
          <cell r="E301" t="str">
            <v>Instalacion Rajon</v>
          </cell>
          <cell r="F301" t="str">
            <v>m3</v>
          </cell>
          <cell r="G301">
            <v>1</v>
          </cell>
          <cell r="H301">
            <v>2800</v>
          </cell>
          <cell r="I301">
            <v>2800</v>
          </cell>
          <cell r="J301">
            <v>0</v>
          </cell>
          <cell r="K301">
            <v>0</v>
          </cell>
          <cell r="L301">
            <v>0</v>
          </cell>
          <cell r="Y301" t="e">
            <v>#VALUE!</v>
          </cell>
          <cell r="Z301" t="e">
            <v>#VALUE!</v>
          </cell>
        </row>
        <row r="303">
          <cell r="E303" t="str">
            <v>VARIOS</v>
          </cell>
          <cell r="I303">
            <v>0</v>
          </cell>
          <cell r="L303">
            <v>0</v>
          </cell>
          <cell r="Z303">
            <v>0</v>
          </cell>
        </row>
        <row r="304">
          <cell r="I304">
            <v>0</v>
          </cell>
          <cell r="J304">
            <v>0</v>
          </cell>
          <cell r="K304">
            <v>0</v>
          </cell>
          <cell r="L304">
            <v>0</v>
          </cell>
          <cell r="Z304">
            <v>0</v>
          </cell>
        </row>
        <row r="306">
          <cell r="E306" t="str">
            <v>SUBTOTAL</v>
          </cell>
          <cell r="I306" t="e">
            <v>#N/A</v>
          </cell>
          <cell r="L306" t="e">
            <v>#N/A</v>
          </cell>
          <cell r="Z306" t="e">
            <v>#VALUE!</v>
          </cell>
        </row>
        <row r="307">
          <cell r="E307" t="str">
            <v>A.I.U</v>
          </cell>
          <cell r="I307" t="e">
            <v>#N/A</v>
          </cell>
          <cell r="L307" t="e">
            <v>#N/A</v>
          </cell>
          <cell r="Z307" t="e">
            <v>#N/A</v>
          </cell>
        </row>
        <row r="308">
          <cell r="D308" t="str">
            <v>AIUAADMON</v>
          </cell>
          <cell r="E308" t="str">
            <v>Admon</v>
          </cell>
          <cell r="F308">
            <v>0</v>
          </cell>
          <cell r="I308" t="e">
            <v>#N/A</v>
          </cell>
          <cell r="J308">
            <v>0</v>
          </cell>
          <cell r="L308" t="e">
            <v>#N/A</v>
          </cell>
          <cell r="Z308" t="e">
            <v>#N/A</v>
          </cell>
        </row>
        <row r="309">
          <cell r="D309" t="str">
            <v>AIUAIMPRE</v>
          </cell>
          <cell r="E309" t="str">
            <v>Imprevistos</v>
          </cell>
          <cell r="F309">
            <v>0</v>
          </cell>
          <cell r="I309" t="e">
            <v>#N/A</v>
          </cell>
          <cell r="J309">
            <v>0</v>
          </cell>
          <cell r="L309" t="e">
            <v>#N/A</v>
          </cell>
          <cell r="Z309" t="e">
            <v>#N/A</v>
          </cell>
        </row>
        <row r="310">
          <cell r="D310" t="str">
            <v>AIUAUTILI</v>
          </cell>
          <cell r="E310" t="str">
            <v>Utilidad</v>
          </cell>
          <cell r="F310">
            <v>0</v>
          </cell>
          <cell r="I310" t="e">
            <v>#N/A</v>
          </cell>
          <cell r="J310">
            <v>0</v>
          </cell>
          <cell r="L310" t="e">
            <v>#N/A</v>
          </cell>
          <cell r="Z310" t="e">
            <v>#N/A</v>
          </cell>
        </row>
        <row r="311">
          <cell r="D311" t="str">
            <v>AIUAIVAUTI</v>
          </cell>
          <cell r="E311" t="str">
            <v>IVA utilidad</v>
          </cell>
          <cell r="F311">
            <v>0</v>
          </cell>
          <cell r="I311" t="e">
            <v>#N/A</v>
          </cell>
          <cell r="J311">
            <v>0</v>
          </cell>
          <cell r="L311" t="e">
            <v>#N/A</v>
          </cell>
          <cell r="Z311" t="e">
            <v>#N/A</v>
          </cell>
        </row>
        <row r="314">
          <cell r="E314" t="str">
            <v>ITEM</v>
          </cell>
        </row>
        <row r="315">
          <cell r="D315" t="str">
            <v>ANICBOX</v>
          </cell>
          <cell r="E315" t="str">
            <v>Inst. Concretos y Constr. Box Coulvert</v>
          </cell>
          <cell r="G315" t="str">
            <v>UN.</v>
          </cell>
          <cell r="H315" t="str">
            <v>M3</v>
          </cell>
          <cell r="I315">
            <v>96923</v>
          </cell>
          <cell r="K315">
            <v>214</v>
          </cell>
          <cell r="L315">
            <v>20741522</v>
          </cell>
          <cell r="N315">
            <v>5523</v>
          </cell>
          <cell r="O315">
            <v>78000</v>
          </cell>
          <cell r="P315">
            <v>13400</v>
          </cell>
          <cell r="Q315">
            <v>0</v>
          </cell>
          <cell r="X315">
            <v>20741522</v>
          </cell>
          <cell r="Y315" t="str">
            <v>M3</v>
          </cell>
          <cell r="Z315" t="e">
            <v>#N/A</v>
          </cell>
          <cell r="AA315" t="e">
            <v>#N/A</v>
          </cell>
          <cell r="AB315" t="e">
            <v>#N/A</v>
          </cell>
          <cell r="AC315" t="e">
            <v>#N/A</v>
          </cell>
        </row>
        <row r="317">
          <cell r="D317" t="str">
            <v>CODIGO</v>
          </cell>
          <cell r="E317" t="str">
            <v>DESCRIPCION</v>
          </cell>
          <cell r="F317" t="str">
            <v>UN</v>
          </cell>
          <cell r="G317" t="str">
            <v>CANT</v>
          </cell>
          <cell r="H317" t="str">
            <v>V/UNIT.</v>
          </cell>
          <cell r="I317" t="str">
            <v>V/TOTAL</v>
          </cell>
          <cell r="K317" t="str">
            <v>CANT TOTAL</v>
          </cell>
          <cell r="L317" t="str">
            <v>Vr TOTAL</v>
          </cell>
          <cell r="Y317" t="str">
            <v>CANT.</v>
          </cell>
          <cell r="Z317" t="str">
            <v>V/TOTAL</v>
          </cell>
        </row>
        <row r="318">
          <cell r="E318" t="str">
            <v>MATERIALES</v>
          </cell>
          <cell r="I318">
            <v>5523</v>
          </cell>
          <cell r="L318">
            <v>1181922</v>
          </cell>
          <cell r="Z318" t="e">
            <v>#N/A</v>
          </cell>
        </row>
        <row r="319">
          <cell r="D319" t="str">
            <v>MA19PC3</v>
          </cell>
          <cell r="E319" t="str">
            <v>Puntilla con cabeza 3"</v>
          </cell>
          <cell r="F319" t="str">
            <v>Lb</v>
          </cell>
          <cell r="G319">
            <v>0.5</v>
          </cell>
          <cell r="H319">
            <v>1216</v>
          </cell>
          <cell r="I319">
            <v>608</v>
          </cell>
          <cell r="J319">
            <v>0</v>
          </cell>
          <cell r="K319">
            <v>107</v>
          </cell>
          <cell r="L319">
            <v>130112</v>
          </cell>
          <cell r="Y319" t="e">
            <v>#N/A</v>
          </cell>
          <cell r="Z319" t="e">
            <v>#N/A</v>
          </cell>
        </row>
        <row r="320">
          <cell r="D320" t="str">
            <v>MA19PC25</v>
          </cell>
          <cell r="E320" t="str">
            <v>Puntilla con cabeza 2,5"</v>
          </cell>
          <cell r="F320" t="str">
            <v>Lb</v>
          </cell>
          <cell r="G320">
            <v>0.2</v>
          </cell>
          <cell r="H320">
            <v>1216</v>
          </cell>
          <cell r="I320">
            <v>243</v>
          </cell>
          <cell r="J320">
            <v>0</v>
          </cell>
          <cell r="K320">
            <v>42.800000000000004</v>
          </cell>
          <cell r="L320">
            <v>52044.800000000003</v>
          </cell>
          <cell r="Y320" t="e">
            <v>#N/A</v>
          </cell>
          <cell r="Z320" t="e">
            <v>#N/A</v>
          </cell>
        </row>
        <row r="321">
          <cell r="D321" t="str">
            <v>MA01AN18</v>
          </cell>
          <cell r="E321" t="str">
            <v>Alambre Negro</v>
          </cell>
          <cell r="F321" t="str">
            <v>Kg</v>
          </cell>
          <cell r="G321">
            <v>1.8</v>
          </cell>
          <cell r="H321">
            <v>1940</v>
          </cell>
          <cell r="I321">
            <v>3492</v>
          </cell>
          <cell r="J321">
            <v>0</v>
          </cell>
          <cell r="K321">
            <v>385.2</v>
          </cell>
          <cell r="L321">
            <v>747288</v>
          </cell>
          <cell r="Y321" t="e">
            <v>#N/A</v>
          </cell>
          <cell r="Z321" t="e">
            <v>#N/A</v>
          </cell>
        </row>
        <row r="322">
          <cell r="D322" t="str">
            <v>MA01A3</v>
          </cell>
          <cell r="E322" t="str">
            <v>Acero A-3</v>
          </cell>
          <cell r="F322" t="str">
            <v>Kg</v>
          </cell>
          <cell r="G322">
            <v>0.25</v>
          </cell>
          <cell r="H322">
            <v>1404</v>
          </cell>
          <cell r="I322">
            <v>351</v>
          </cell>
          <cell r="J322">
            <v>0</v>
          </cell>
          <cell r="K322">
            <v>53.5</v>
          </cell>
          <cell r="L322">
            <v>75114</v>
          </cell>
          <cell r="Y322" t="e">
            <v>#N/A</v>
          </cell>
          <cell r="Z322" t="e">
            <v>#N/A</v>
          </cell>
        </row>
        <row r="323">
          <cell r="D323" t="str">
            <v>MA25TB20</v>
          </cell>
          <cell r="E323" t="str">
            <v>Tabla Burra 20 cm</v>
          </cell>
          <cell r="F323" t="str">
            <v>Un</v>
          </cell>
          <cell r="G323">
            <v>0.13</v>
          </cell>
          <cell r="H323">
            <v>6380</v>
          </cell>
          <cell r="I323">
            <v>829</v>
          </cell>
          <cell r="J323">
            <v>0</v>
          </cell>
          <cell r="K323">
            <v>27.82</v>
          </cell>
          <cell r="L323">
            <v>177491.6</v>
          </cell>
          <cell r="Y323" t="e">
            <v>#N/A</v>
          </cell>
          <cell r="Z323" t="e">
            <v>#N/A</v>
          </cell>
        </row>
        <row r="325">
          <cell r="I325">
            <v>0</v>
          </cell>
          <cell r="J325">
            <v>0</v>
          </cell>
          <cell r="K325">
            <v>0</v>
          </cell>
          <cell r="L325">
            <v>0</v>
          </cell>
          <cell r="Z325">
            <v>0</v>
          </cell>
        </row>
        <row r="326">
          <cell r="E326" t="str">
            <v>MANO DE OBRA</v>
          </cell>
          <cell r="I326">
            <v>78000</v>
          </cell>
          <cell r="L326">
            <v>16692000</v>
          </cell>
          <cell r="Z326" t="e">
            <v>#N/A</v>
          </cell>
        </row>
        <row r="327">
          <cell r="D327" t="str">
            <v>MOANBOX</v>
          </cell>
          <cell r="E327" t="str">
            <v>Concreto Box-Coulvert</v>
          </cell>
          <cell r="F327" t="str">
            <v>m3</v>
          </cell>
          <cell r="G327">
            <v>1</v>
          </cell>
          <cell r="H327">
            <v>78000</v>
          </cell>
          <cell r="I327">
            <v>78000</v>
          </cell>
          <cell r="J327">
            <v>0</v>
          </cell>
          <cell r="K327">
            <v>214</v>
          </cell>
          <cell r="L327">
            <v>16692000</v>
          </cell>
          <cell r="Y327" t="e">
            <v>#N/A</v>
          </cell>
          <cell r="Z327" t="e">
            <v>#N/A</v>
          </cell>
        </row>
        <row r="328">
          <cell r="I328">
            <v>0</v>
          </cell>
          <cell r="J328">
            <v>0</v>
          </cell>
          <cell r="K328">
            <v>0</v>
          </cell>
          <cell r="L328">
            <v>0</v>
          </cell>
          <cell r="Z328">
            <v>0</v>
          </cell>
        </row>
        <row r="329">
          <cell r="E329" t="str">
            <v>VARIOS</v>
          </cell>
          <cell r="I329">
            <v>13400</v>
          </cell>
          <cell r="L329">
            <v>2867600</v>
          </cell>
          <cell r="Z329" t="e">
            <v>#N/A</v>
          </cell>
        </row>
        <row r="330">
          <cell r="D330" t="str">
            <v>TC07H800</v>
          </cell>
          <cell r="E330" t="str">
            <v>Herramienta Menor</v>
          </cell>
          <cell r="F330" t="str">
            <v>Gb</v>
          </cell>
          <cell r="G330">
            <v>1</v>
          </cell>
          <cell r="H330">
            <v>800</v>
          </cell>
          <cell r="I330">
            <v>800</v>
          </cell>
          <cell r="J330">
            <v>0</v>
          </cell>
          <cell r="K330">
            <v>214</v>
          </cell>
          <cell r="L330">
            <v>171200</v>
          </cell>
          <cell r="Y330" t="e">
            <v>#N/A</v>
          </cell>
          <cell r="Z330" t="e">
            <v>#N/A</v>
          </cell>
        </row>
        <row r="331">
          <cell r="D331" t="str">
            <v>AL07VCG</v>
          </cell>
          <cell r="E331" t="str">
            <v>Vibrador para concretos a Gasolina</v>
          </cell>
          <cell r="F331" t="str">
            <v>Hr</v>
          </cell>
          <cell r="G331">
            <v>0.08</v>
          </cell>
          <cell r="H331">
            <v>45000</v>
          </cell>
          <cell r="I331">
            <v>3600</v>
          </cell>
          <cell r="J331">
            <v>0</v>
          </cell>
          <cell r="K331">
            <v>17.12</v>
          </cell>
          <cell r="L331">
            <v>770400</v>
          </cell>
          <cell r="Y331" t="e">
            <v>#N/A</v>
          </cell>
          <cell r="Z331" t="e">
            <v>#N/A</v>
          </cell>
        </row>
        <row r="332">
          <cell r="D332" t="str">
            <v>AL04FORBO</v>
          </cell>
          <cell r="E332" t="str">
            <v>Formaleta Box-Coulvert</v>
          </cell>
          <cell r="F332" t="str">
            <v>m2</v>
          </cell>
          <cell r="G332">
            <v>2</v>
          </cell>
          <cell r="H332">
            <v>4500</v>
          </cell>
          <cell r="I332">
            <v>9000</v>
          </cell>
          <cell r="J332">
            <v>0</v>
          </cell>
          <cell r="K332">
            <v>428</v>
          </cell>
          <cell r="L332">
            <v>1926000</v>
          </cell>
          <cell r="Y332" t="e">
            <v>#N/A</v>
          </cell>
          <cell r="Z332" t="e">
            <v>#N/A</v>
          </cell>
        </row>
        <row r="333">
          <cell r="E333" t="str">
            <v>SUBTOTAL</v>
          </cell>
          <cell r="I333">
            <v>96923</v>
          </cell>
          <cell r="L333">
            <v>20741522</v>
          </cell>
          <cell r="Z333" t="e">
            <v>#N/A</v>
          </cell>
        </row>
        <row r="334">
          <cell r="E334" t="str">
            <v>A.I.U</v>
          </cell>
          <cell r="I334">
            <v>0</v>
          </cell>
          <cell r="L334">
            <v>0</v>
          </cell>
          <cell r="Z334">
            <v>0</v>
          </cell>
        </row>
        <row r="335">
          <cell r="D335" t="str">
            <v>AIUAADMON</v>
          </cell>
          <cell r="E335" t="str">
            <v>Admon</v>
          </cell>
          <cell r="F335">
            <v>0</v>
          </cell>
          <cell r="I335">
            <v>0</v>
          </cell>
          <cell r="J335">
            <v>0</v>
          </cell>
          <cell r="L335">
            <v>0</v>
          </cell>
          <cell r="Z335">
            <v>0</v>
          </cell>
        </row>
        <row r="336">
          <cell r="D336" t="str">
            <v>AIUAIMPRE</v>
          </cell>
          <cell r="E336" t="str">
            <v>Imprevistos</v>
          </cell>
          <cell r="F336">
            <v>0</v>
          </cell>
          <cell r="I336">
            <v>0</v>
          </cell>
          <cell r="J336">
            <v>0</v>
          </cell>
          <cell r="L336">
            <v>0</v>
          </cell>
          <cell r="Z336">
            <v>0</v>
          </cell>
        </row>
        <row r="337">
          <cell r="D337" t="str">
            <v>AIUAUTILI</v>
          </cell>
          <cell r="E337" t="str">
            <v>Utilidad</v>
          </cell>
          <cell r="F337">
            <v>0</v>
          </cell>
          <cell r="I337">
            <v>0</v>
          </cell>
          <cell r="J337">
            <v>0</v>
          </cell>
          <cell r="L337">
            <v>0</v>
          </cell>
          <cell r="Z337">
            <v>0</v>
          </cell>
        </row>
        <row r="338">
          <cell r="D338" t="str">
            <v>AIUAIVAUTI</v>
          </cell>
          <cell r="E338" t="str">
            <v>IVA utilidad</v>
          </cell>
          <cell r="F338">
            <v>0</v>
          </cell>
          <cell r="I338">
            <v>0</v>
          </cell>
          <cell r="J338">
            <v>0</v>
          </cell>
          <cell r="L338">
            <v>0</v>
          </cell>
          <cell r="Z338">
            <v>0</v>
          </cell>
        </row>
        <row r="340">
          <cell r="E340" t="str">
            <v>ITEM</v>
          </cell>
        </row>
        <row r="341">
          <cell r="D341" t="str">
            <v>ANICCA</v>
          </cell>
          <cell r="E341" t="str">
            <v>Inst. Concretos y Constr. Camaras y Cajas</v>
          </cell>
          <cell r="G341" t="str">
            <v>UN.</v>
          </cell>
          <cell r="H341" t="str">
            <v>M3</v>
          </cell>
          <cell r="I341">
            <v>75194</v>
          </cell>
          <cell r="K341">
            <v>483</v>
          </cell>
          <cell r="L341">
            <v>36318702</v>
          </cell>
          <cell r="N341">
            <v>3794</v>
          </cell>
          <cell r="O341">
            <v>60000</v>
          </cell>
          <cell r="P341">
            <v>11400</v>
          </cell>
          <cell r="Q341">
            <v>0</v>
          </cell>
          <cell r="X341">
            <v>36318702</v>
          </cell>
          <cell r="Y341" t="str">
            <v>M3</v>
          </cell>
          <cell r="Z341" t="e">
            <v>#N/A</v>
          </cell>
          <cell r="AA341" t="e">
            <v>#N/A</v>
          </cell>
          <cell r="AB341" t="e">
            <v>#N/A</v>
          </cell>
          <cell r="AC341" t="e">
            <v>#N/A</v>
          </cell>
        </row>
        <row r="343">
          <cell r="D343" t="str">
            <v>CODIGO</v>
          </cell>
          <cell r="E343" t="str">
            <v>DESCRIPCION</v>
          </cell>
          <cell r="F343" t="str">
            <v>UN</v>
          </cell>
          <cell r="G343" t="str">
            <v>CANT</v>
          </cell>
          <cell r="H343" t="str">
            <v>V/UNIT.</v>
          </cell>
          <cell r="I343" t="str">
            <v>V/TOTAL</v>
          </cell>
          <cell r="K343" t="str">
            <v>CANT TOTAL</v>
          </cell>
          <cell r="L343" t="str">
            <v>Vr TOTAL</v>
          </cell>
          <cell r="Y343" t="str">
            <v>CANT.</v>
          </cell>
          <cell r="Z343" t="str">
            <v>V/TOTAL</v>
          </cell>
        </row>
        <row r="344">
          <cell r="E344" t="str">
            <v>MATERIALES</v>
          </cell>
          <cell r="I344">
            <v>3794</v>
          </cell>
          <cell r="L344">
            <v>1832502</v>
          </cell>
          <cell r="Z344" t="e">
            <v>#N/A</v>
          </cell>
        </row>
        <row r="345">
          <cell r="D345" t="str">
            <v>MA19PC3</v>
          </cell>
          <cell r="E345" t="str">
            <v>Puntilla con cabeza 3"</v>
          </cell>
          <cell r="F345" t="str">
            <v>Lb</v>
          </cell>
          <cell r="G345">
            <v>0.3</v>
          </cell>
          <cell r="H345">
            <v>1216</v>
          </cell>
          <cell r="I345">
            <v>365</v>
          </cell>
          <cell r="J345">
            <v>0</v>
          </cell>
          <cell r="K345">
            <v>144.9</v>
          </cell>
          <cell r="L345">
            <v>176198.39999999999</v>
          </cell>
          <cell r="Y345" t="e">
            <v>#N/A</v>
          </cell>
          <cell r="Z345" t="e">
            <v>#N/A</v>
          </cell>
        </row>
        <row r="346">
          <cell r="D346" t="str">
            <v>MA19PC25</v>
          </cell>
          <cell r="E346" t="str">
            <v>Puntilla con cabeza 2,5"</v>
          </cell>
          <cell r="F346" t="str">
            <v>Lb</v>
          </cell>
          <cell r="G346">
            <v>0.15</v>
          </cell>
          <cell r="H346">
            <v>1216</v>
          </cell>
          <cell r="I346">
            <v>182</v>
          </cell>
          <cell r="J346">
            <v>0</v>
          </cell>
          <cell r="K346">
            <v>72.45</v>
          </cell>
          <cell r="L346">
            <v>88099.199999999997</v>
          </cell>
          <cell r="Y346" t="e">
            <v>#N/A</v>
          </cell>
          <cell r="Z346" t="e">
            <v>#N/A</v>
          </cell>
        </row>
        <row r="347">
          <cell r="D347" t="str">
            <v>MA01AN18</v>
          </cell>
          <cell r="E347" t="str">
            <v>Alambre Negro</v>
          </cell>
          <cell r="F347" t="str">
            <v>Kg</v>
          </cell>
          <cell r="G347">
            <v>1.2</v>
          </cell>
          <cell r="H347">
            <v>1940</v>
          </cell>
          <cell r="I347">
            <v>2328</v>
          </cell>
          <cell r="J347">
            <v>0</v>
          </cell>
          <cell r="K347">
            <v>579.6</v>
          </cell>
          <cell r="L347">
            <v>1124424</v>
          </cell>
          <cell r="Y347" t="e">
            <v>#N/A</v>
          </cell>
          <cell r="Z347" t="e">
            <v>#N/A</v>
          </cell>
        </row>
        <row r="348">
          <cell r="D348" t="str">
            <v>MA01A3</v>
          </cell>
          <cell r="E348" t="str">
            <v>Acero A-3</v>
          </cell>
          <cell r="F348" t="str">
            <v>Kg</v>
          </cell>
          <cell r="G348">
            <v>0.2</v>
          </cell>
          <cell r="H348">
            <v>1404</v>
          </cell>
          <cell r="I348">
            <v>281</v>
          </cell>
          <cell r="J348">
            <v>0</v>
          </cell>
          <cell r="K348">
            <v>96.600000000000009</v>
          </cell>
          <cell r="L348">
            <v>135626.40000000002</v>
          </cell>
          <cell r="Y348" t="e">
            <v>#N/A</v>
          </cell>
          <cell r="Z348" t="e">
            <v>#N/A</v>
          </cell>
        </row>
        <row r="349">
          <cell r="D349" t="str">
            <v>MA25TB20</v>
          </cell>
          <cell r="E349" t="str">
            <v>Tabla Burra 20 cm</v>
          </cell>
          <cell r="F349" t="str">
            <v>Un</v>
          </cell>
          <cell r="G349">
            <v>0.1</v>
          </cell>
          <cell r="H349">
            <v>6380</v>
          </cell>
          <cell r="I349">
            <v>638</v>
          </cell>
          <cell r="J349">
            <v>0</v>
          </cell>
          <cell r="K349">
            <v>48.300000000000004</v>
          </cell>
          <cell r="L349">
            <v>308154</v>
          </cell>
          <cell r="Y349" t="e">
            <v>#N/A</v>
          </cell>
          <cell r="Z349" t="e">
            <v>#N/A</v>
          </cell>
        </row>
        <row r="351">
          <cell r="I351">
            <v>0</v>
          </cell>
          <cell r="J351">
            <v>0</v>
          </cell>
          <cell r="K351">
            <v>0</v>
          </cell>
          <cell r="L351">
            <v>0</v>
          </cell>
          <cell r="Z351">
            <v>0</v>
          </cell>
        </row>
        <row r="352">
          <cell r="E352" t="str">
            <v>MANO DE OBRA</v>
          </cell>
          <cell r="I352">
            <v>60000</v>
          </cell>
          <cell r="L352">
            <v>28980000</v>
          </cell>
          <cell r="Z352" t="e">
            <v>#N/A</v>
          </cell>
        </row>
        <row r="353">
          <cell r="D353" t="str">
            <v>MOANCACON</v>
          </cell>
          <cell r="E353" t="str">
            <v>Camara en Concreto</v>
          </cell>
          <cell r="F353" t="str">
            <v>m3</v>
          </cell>
          <cell r="G353">
            <v>1</v>
          </cell>
          <cell r="H353">
            <v>60000</v>
          </cell>
          <cell r="I353">
            <v>60000</v>
          </cell>
          <cell r="J353">
            <v>0</v>
          </cell>
          <cell r="K353">
            <v>483</v>
          </cell>
          <cell r="L353">
            <v>28980000</v>
          </cell>
          <cell r="Y353" t="e">
            <v>#N/A</v>
          </cell>
          <cell r="Z353" t="e">
            <v>#N/A</v>
          </cell>
        </row>
        <row r="354">
          <cell r="I354">
            <v>0</v>
          </cell>
          <cell r="J354">
            <v>0</v>
          </cell>
          <cell r="K354">
            <v>0</v>
          </cell>
          <cell r="L354">
            <v>0</v>
          </cell>
          <cell r="Z354">
            <v>0</v>
          </cell>
        </row>
        <row r="355">
          <cell r="E355" t="str">
            <v>VARIOS</v>
          </cell>
          <cell r="I355">
            <v>11400</v>
          </cell>
          <cell r="L355">
            <v>5506200</v>
          </cell>
          <cell r="Z355" t="e">
            <v>#N/A</v>
          </cell>
        </row>
        <row r="356">
          <cell r="D356" t="str">
            <v>TC07H800</v>
          </cell>
          <cell r="E356" t="str">
            <v>Herramienta Menor</v>
          </cell>
          <cell r="F356" t="str">
            <v>Gb</v>
          </cell>
          <cell r="G356">
            <v>1</v>
          </cell>
          <cell r="H356">
            <v>800</v>
          </cell>
          <cell r="I356">
            <v>800</v>
          </cell>
          <cell r="J356">
            <v>0</v>
          </cell>
          <cell r="K356">
            <v>483</v>
          </cell>
          <cell r="L356">
            <v>386400</v>
          </cell>
          <cell r="Y356" t="e">
            <v>#N/A</v>
          </cell>
          <cell r="Z356" t="e">
            <v>#N/A</v>
          </cell>
        </row>
        <row r="357">
          <cell r="D357" t="str">
            <v>AL07VCG</v>
          </cell>
          <cell r="E357" t="str">
            <v>Vibrador para concretos a Gasolina</v>
          </cell>
          <cell r="F357" t="str">
            <v>Hr</v>
          </cell>
          <cell r="G357">
            <v>0.08</v>
          </cell>
          <cell r="H357">
            <v>45000</v>
          </cell>
          <cell r="I357">
            <v>3600</v>
          </cell>
          <cell r="J357">
            <v>0</v>
          </cell>
          <cell r="K357">
            <v>38.64</v>
          </cell>
          <cell r="L357">
            <v>1738800</v>
          </cell>
          <cell r="Y357" t="e">
            <v>#N/A</v>
          </cell>
          <cell r="Z357" t="e">
            <v>#N/A</v>
          </cell>
        </row>
        <row r="358">
          <cell r="D358" t="str">
            <v>AL04FORCA</v>
          </cell>
          <cell r="E358" t="str">
            <v>Formaleta Camaras</v>
          </cell>
          <cell r="F358" t="str">
            <v>m2</v>
          </cell>
          <cell r="G358">
            <v>2</v>
          </cell>
          <cell r="H358">
            <v>3500</v>
          </cell>
          <cell r="I358">
            <v>7000</v>
          </cell>
          <cell r="J358">
            <v>0</v>
          </cell>
          <cell r="K358">
            <v>966</v>
          </cell>
          <cell r="L358">
            <v>3381000</v>
          </cell>
          <cell r="Y358" t="e">
            <v>#N/A</v>
          </cell>
          <cell r="Z358" t="e">
            <v>#N/A</v>
          </cell>
        </row>
        <row r="359">
          <cell r="E359" t="str">
            <v>SUBTOTAL</v>
          </cell>
          <cell r="I359">
            <v>75194</v>
          </cell>
          <cell r="L359">
            <v>36318702</v>
          </cell>
          <cell r="Z359" t="e">
            <v>#N/A</v>
          </cell>
        </row>
        <row r="360">
          <cell r="E360" t="str">
            <v>A.I.U</v>
          </cell>
          <cell r="I360">
            <v>0</v>
          </cell>
          <cell r="L360">
            <v>0</v>
          </cell>
          <cell r="Z360">
            <v>0</v>
          </cell>
        </row>
        <row r="361">
          <cell r="D361" t="str">
            <v>AIUAADMON</v>
          </cell>
          <cell r="E361" t="str">
            <v>Admon</v>
          </cell>
          <cell r="F361">
            <v>0</v>
          </cell>
          <cell r="I361">
            <v>0</v>
          </cell>
          <cell r="J361">
            <v>0</v>
          </cell>
          <cell r="L361">
            <v>0</v>
          </cell>
          <cell r="Z361">
            <v>0</v>
          </cell>
        </row>
        <row r="362">
          <cell r="D362" t="str">
            <v>AIUAIMPRE</v>
          </cell>
          <cell r="E362" t="str">
            <v>Imprevistos</v>
          </cell>
          <cell r="F362">
            <v>0</v>
          </cell>
          <cell r="I362">
            <v>0</v>
          </cell>
          <cell r="J362">
            <v>0</v>
          </cell>
          <cell r="L362">
            <v>0</v>
          </cell>
          <cell r="Z362">
            <v>0</v>
          </cell>
        </row>
        <row r="363">
          <cell r="D363" t="str">
            <v>AIUAUTILI</v>
          </cell>
          <cell r="E363" t="str">
            <v>Utilidad</v>
          </cell>
          <cell r="F363">
            <v>0</v>
          </cell>
          <cell r="I363">
            <v>0</v>
          </cell>
          <cell r="J363">
            <v>0</v>
          </cell>
          <cell r="L363">
            <v>0</v>
          </cell>
          <cell r="Z363">
            <v>0</v>
          </cell>
        </row>
        <row r="364">
          <cell r="D364" t="str">
            <v>AIUAIVAUTI</v>
          </cell>
          <cell r="E364" t="str">
            <v>IVA utilidad</v>
          </cell>
          <cell r="F364">
            <v>0</v>
          </cell>
          <cell r="I364">
            <v>0</v>
          </cell>
          <cell r="J364">
            <v>0</v>
          </cell>
          <cell r="L364">
            <v>0</v>
          </cell>
          <cell r="Z364">
            <v>0</v>
          </cell>
        </row>
        <row r="366">
          <cell r="E366" t="str">
            <v>ITEM</v>
          </cell>
        </row>
        <row r="367">
          <cell r="D367" t="str">
            <v>ANITC12</v>
          </cell>
          <cell r="E367" t="str">
            <v xml:space="preserve">Instalación Tuberia Concreto  Ø 12" </v>
          </cell>
          <cell r="G367" t="str">
            <v>UN.</v>
          </cell>
          <cell r="H367" t="str">
            <v>Ml</v>
          </cell>
          <cell r="I367">
            <v>4028</v>
          </cell>
          <cell r="K367">
            <v>1358</v>
          </cell>
          <cell r="L367">
            <v>5470024</v>
          </cell>
          <cell r="N367">
            <v>218</v>
          </cell>
          <cell r="O367">
            <v>3750</v>
          </cell>
          <cell r="P367">
            <v>60</v>
          </cell>
          <cell r="Q367">
            <v>0</v>
          </cell>
          <cell r="X367">
            <v>5470024</v>
          </cell>
          <cell r="Z367" t="e">
            <v>#N/A</v>
          </cell>
          <cell r="AA367" t="e">
            <v>#N/A</v>
          </cell>
          <cell r="AB367" t="e">
            <v>#N/A</v>
          </cell>
          <cell r="AC367" t="e">
            <v>#N/A</v>
          </cell>
        </row>
        <row r="369">
          <cell r="D369" t="str">
            <v>CODIGO</v>
          </cell>
          <cell r="E369" t="str">
            <v>DESCRIPCION</v>
          </cell>
          <cell r="F369" t="str">
            <v>UN</v>
          </cell>
          <cell r="G369" t="str">
            <v>CANT</v>
          </cell>
          <cell r="H369" t="str">
            <v>V/UNIT.</v>
          </cell>
          <cell r="I369" t="str">
            <v>V/TOTAL</v>
          </cell>
          <cell r="K369" t="str">
            <v>CANT TOTAL</v>
          </cell>
          <cell r="L369" t="str">
            <v>Vr TOTAL</v>
          </cell>
          <cell r="Y369" t="str">
            <v>CANT.</v>
          </cell>
          <cell r="Z369" t="str">
            <v>V/TOTAL</v>
          </cell>
        </row>
        <row r="370">
          <cell r="E370" t="str">
            <v>MATERIALES</v>
          </cell>
          <cell r="I370">
            <v>218</v>
          </cell>
          <cell r="L370">
            <v>296044</v>
          </cell>
          <cell r="Z370" t="e">
            <v>#N/A</v>
          </cell>
        </row>
        <row r="373">
          <cell r="D373" t="str">
            <v>MA27LUBRI</v>
          </cell>
          <cell r="E373" t="str">
            <v>Lubricante</v>
          </cell>
          <cell r="F373" t="str">
            <v>lb</v>
          </cell>
          <cell r="G373">
            <v>0.02</v>
          </cell>
          <cell r="H373">
            <v>10890.543999999998</v>
          </cell>
          <cell r="I373">
            <v>218</v>
          </cell>
          <cell r="J373">
            <v>0</v>
          </cell>
          <cell r="K373">
            <v>27.16</v>
          </cell>
          <cell r="L373">
            <v>295787.17503999994</v>
          </cell>
          <cell r="Y373" t="e">
            <v>#N/A</v>
          </cell>
          <cell r="Z373" t="e">
            <v>#N/A</v>
          </cell>
        </row>
        <row r="374">
          <cell r="E374" t="str">
            <v>MANO DE OBRA</v>
          </cell>
          <cell r="I374">
            <v>3750</v>
          </cell>
          <cell r="L374">
            <v>5092500</v>
          </cell>
          <cell r="Z374" t="e">
            <v>#N/A</v>
          </cell>
        </row>
        <row r="375">
          <cell r="D375" t="str">
            <v>MOANIT12</v>
          </cell>
          <cell r="E375" t="str">
            <v>Inst. Tuberia Ø 12"</v>
          </cell>
          <cell r="F375" t="str">
            <v>ml</v>
          </cell>
          <cell r="G375">
            <v>1</v>
          </cell>
          <cell r="H375">
            <v>3750</v>
          </cell>
          <cell r="I375">
            <v>3750</v>
          </cell>
          <cell r="J375">
            <v>0</v>
          </cell>
          <cell r="K375">
            <v>1358</v>
          </cell>
          <cell r="L375">
            <v>5092500</v>
          </cell>
          <cell r="Y375" t="e">
            <v>#N/A</v>
          </cell>
          <cell r="Z375" t="e">
            <v>#N/A</v>
          </cell>
        </row>
        <row r="377">
          <cell r="E377" t="str">
            <v>VARIOS</v>
          </cell>
          <cell r="I377">
            <v>60</v>
          </cell>
          <cell r="L377">
            <v>81480</v>
          </cell>
          <cell r="Z377" t="e">
            <v>#N/A</v>
          </cell>
        </row>
        <row r="378">
          <cell r="D378" t="str">
            <v>TC07HINT</v>
          </cell>
          <cell r="E378" t="str">
            <v>Herramienta Menor</v>
          </cell>
          <cell r="F378" t="str">
            <v>ML"</v>
          </cell>
          <cell r="G378">
            <v>12</v>
          </cell>
          <cell r="H378">
            <v>5</v>
          </cell>
          <cell r="I378">
            <v>60</v>
          </cell>
          <cell r="J378">
            <v>0</v>
          </cell>
          <cell r="K378">
            <v>16296</v>
          </cell>
          <cell r="L378">
            <v>81480</v>
          </cell>
          <cell r="Y378" t="e">
            <v>#N/A</v>
          </cell>
          <cell r="Z378" t="e">
            <v>#N/A</v>
          </cell>
        </row>
        <row r="379">
          <cell r="E379" t="str">
            <v>SUBTOTAL</v>
          </cell>
          <cell r="I379">
            <v>4028</v>
          </cell>
          <cell r="L379">
            <v>5470024</v>
          </cell>
          <cell r="Z379" t="e">
            <v>#N/A</v>
          </cell>
        </row>
        <row r="380">
          <cell r="E380" t="str">
            <v>A.I.U</v>
          </cell>
          <cell r="I380">
            <v>0</v>
          </cell>
          <cell r="L380">
            <v>0</v>
          </cell>
          <cell r="Z380" t="e">
            <v>#REF!</v>
          </cell>
        </row>
        <row r="381">
          <cell r="D381" t="str">
            <v>AIUAADMON</v>
          </cell>
          <cell r="E381" t="str">
            <v>Admon</v>
          </cell>
          <cell r="F381">
            <v>0</v>
          </cell>
          <cell r="I381">
            <v>0</v>
          </cell>
          <cell r="J381">
            <v>0</v>
          </cell>
          <cell r="L381">
            <v>0</v>
          </cell>
          <cell r="Z381">
            <v>0</v>
          </cell>
        </row>
        <row r="382">
          <cell r="D382" t="str">
            <v>AIUAIMPRE</v>
          </cell>
          <cell r="E382" t="str">
            <v>Imprevistos</v>
          </cell>
          <cell r="F382">
            <v>0</v>
          </cell>
          <cell r="I382">
            <v>0</v>
          </cell>
          <cell r="J382">
            <v>0</v>
          </cell>
          <cell r="L382">
            <v>0</v>
          </cell>
          <cell r="Z382" t="e">
            <v>#REF!</v>
          </cell>
        </row>
        <row r="383">
          <cell r="D383" t="str">
            <v>AIUAUTILI</v>
          </cell>
          <cell r="E383" t="str">
            <v>Utilidad</v>
          </cell>
          <cell r="F383">
            <v>0</v>
          </cell>
          <cell r="I383">
            <v>0</v>
          </cell>
          <cell r="J383">
            <v>0</v>
          </cell>
          <cell r="L383">
            <v>0</v>
          </cell>
          <cell r="Z383" t="e">
            <v>#REF!</v>
          </cell>
        </row>
        <row r="384">
          <cell r="D384" t="str">
            <v>AIUAIVAUTI</v>
          </cell>
          <cell r="E384" t="str">
            <v>IVA utilidad</v>
          </cell>
          <cell r="F384">
            <v>0</v>
          </cell>
          <cell r="I384">
            <v>0</v>
          </cell>
          <cell r="J384">
            <v>0</v>
          </cell>
          <cell r="L384">
            <v>0</v>
          </cell>
          <cell r="Z384" t="e">
            <v>#REF!</v>
          </cell>
        </row>
        <row r="386">
          <cell r="E386" t="str">
            <v>ITEM</v>
          </cell>
        </row>
        <row r="387">
          <cell r="D387" t="str">
            <v>ANITC18</v>
          </cell>
          <cell r="E387" t="str">
            <v xml:space="preserve">Instalación Tuberia Concreto  Ø 14-18" </v>
          </cell>
          <cell r="G387" t="str">
            <v>UN.</v>
          </cell>
          <cell r="H387" t="str">
            <v>Ml</v>
          </cell>
          <cell r="I387">
            <v>5048</v>
          </cell>
          <cell r="K387">
            <v>87.04</v>
          </cell>
          <cell r="L387">
            <v>439377.92000000004</v>
          </cell>
          <cell r="N387">
            <v>218</v>
          </cell>
          <cell r="O387">
            <v>4680</v>
          </cell>
          <cell r="P387">
            <v>150</v>
          </cell>
          <cell r="Q387">
            <v>0</v>
          </cell>
          <cell r="X387">
            <v>439377.92000000004</v>
          </cell>
          <cell r="Y387" t="str">
            <v>Ml</v>
          </cell>
          <cell r="Z387" t="e">
            <v>#N/A</v>
          </cell>
          <cell r="AA387" t="e">
            <v>#N/A</v>
          </cell>
          <cell r="AB387" t="e">
            <v>#N/A</v>
          </cell>
          <cell r="AC387" t="e">
            <v>#N/A</v>
          </cell>
        </row>
        <row r="389">
          <cell r="D389" t="str">
            <v>CODIGO</v>
          </cell>
          <cell r="E389" t="str">
            <v>DESCRIPCION</v>
          </cell>
          <cell r="F389" t="str">
            <v>UN</v>
          </cell>
          <cell r="G389" t="str">
            <v>CANT</v>
          </cell>
          <cell r="H389" t="str">
            <v>V/UNIT.</v>
          </cell>
          <cell r="I389" t="str">
            <v>V/TOTAL</v>
          </cell>
          <cell r="K389" t="str">
            <v>CANT TOTAL</v>
          </cell>
          <cell r="L389" t="str">
            <v>Vr TOTAL</v>
          </cell>
          <cell r="Y389" t="str">
            <v>CANT.</v>
          </cell>
          <cell r="Z389" t="str">
            <v>V/TOTAL</v>
          </cell>
        </row>
        <row r="390">
          <cell r="E390" t="str">
            <v>MATERIALES</v>
          </cell>
          <cell r="I390">
            <v>218</v>
          </cell>
          <cell r="L390">
            <v>18974.72</v>
          </cell>
          <cell r="Z390" t="e">
            <v>#N/A</v>
          </cell>
        </row>
        <row r="391">
          <cell r="I391">
            <v>0</v>
          </cell>
          <cell r="J391">
            <v>0</v>
          </cell>
          <cell r="K391">
            <v>0</v>
          </cell>
          <cell r="L391">
            <v>0</v>
          </cell>
          <cell r="Y391">
            <v>0</v>
          </cell>
          <cell r="Z391">
            <v>0</v>
          </cell>
        </row>
        <row r="392">
          <cell r="I392">
            <v>0</v>
          </cell>
          <cell r="J392">
            <v>0</v>
          </cell>
          <cell r="K392">
            <v>0</v>
          </cell>
          <cell r="L392">
            <v>0</v>
          </cell>
          <cell r="Y392">
            <v>0</v>
          </cell>
          <cell r="Z392">
            <v>0</v>
          </cell>
        </row>
        <row r="393">
          <cell r="I393">
            <v>0</v>
          </cell>
          <cell r="J393">
            <v>0</v>
          </cell>
          <cell r="K393">
            <v>0</v>
          </cell>
          <cell r="L393">
            <v>0</v>
          </cell>
          <cell r="Y393">
            <v>0</v>
          </cell>
          <cell r="Z393">
            <v>0</v>
          </cell>
        </row>
        <row r="394">
          <cell r="D394" t="str">
            <v>MA27LUBRI</v>
          </cell>
          <cell r="E394" t="str">
            <v>Lubricante</v>
          </cell>
          <cell r="F394" t="str">
            <v>lb</v>
          </cell>
          <cell r="G394">
            <v>0.02</v>
          </cell>
          <cell r="H394">
            <v>10890.543999999998</v>
          </cell>
          <cell r="I394">
            <v>218</v>
          </cell>
          <cell r="J394">
            <v>0</v>
          </cell>
          <cell r="K394">
            <v>1.7408000000000001</v>
          </cell>
          <cell r="L394">
            <v>18958.258995199998</v>
          </cell>
          <cell r="Y394" t="e">
            <v>#N/A</v>
          </cell>
          <cell r="Z394" t="e">
            <v>#N/A</v>
          </cell>
        </row>
        <row r="395">
          <cell r="E395" t="str">
            <v>MANO DE OBRA</v>
          </cell>
          <cell r="I395">
            <v>4680</v>
          </cell>
          <cell r="L395">
            <v>407347.20000000001</v>
          </cell>
          <cell r="Z395" t="e">
            <v>#N/A</v>
          </cell>
        </row>
        <row r="396">
          <cell r="D396" t="str">
            <v>MOANIT18</v>
          </cell>
          <cell r="E396" t="str">
            <v>Inst. Tuberia Ø 14-18"</v>
          </cell>
          <cell r="F396" t="str">
            <v>ml</v>
          </cell>
          <cell r="G396">
            <v>1</v>
          </cell>
          <cell r="H396">
            <v>4680</v>
          </cell>
          <cell r="I396">
            <v>4680</v>
          </cell>
          <cell r="J396">
            <v>0</v>
          </cell>
          <cell r="K396">
            <v>87.04</v>
          </cell>
          <cell r="L396">
            <v>407347.20000000001</v>
          </cell>
          <cell r="Y396" t="e">
            <v>#N/A</v>
          </cell>
          <cell r="Z396" t="e">
            <v>#N/A</v>
          </cell>
        </row>
        <row r="398">
          <cell r="E398" t="str">
            <v>VARIOS</v>
          </cell>
          <cell r="I398">
            <v>150</v>
          </cell>
          <cell r="L398">
            <v>13056.000000000002</v>
          </cell>
          <cell r="Z398" t="e">
            <v>#N/A</v>
          </cell>
        </row>
        <row r="399">
          <cell r="I399">
            <v>0</v>
          </cell>
          <cell r="J399">
            <v>0</v>
          </cell>
          <cell r="K399">
            <v>0</v>
          </cell>
          <cell r="L399">
            <v>0</v>
          </cell>
          <cell r="Y399">
            <v>0</v>
          </cell>
          <cell r="Z399">
            <v>0</v>
          </cell>
        </row>
        <row r="400">
          <cell r="D400" t="str">
            <v>TC07HINT</v>
          </cell>
          <cell r="E400" t="str">
            <v>Herramienta Menor</v>
          </cell>
          <cell r="F400" t="str">
            <v>ML"</v>
          </cell>
          <cell r="G400">
            <v>30</v>
          </cell>
          <cell r="H400">
            <v>5</v>
          </cell>
          <cell r="I400">
            <v>150</v>
          </cell>
          <cell r="J400">
            <v>0</v>
          </cell>
          <cell r="K400">
            <v>2611.2000000000003</v>
          </cell>
          <cell r="L400">
            <v>13056.000000000002</v>
          </cell>
          <cell r="Y400" t="e">
            <v>#N/A</v>
          </cell>
          <cell r="Z400" t="e">
            <v>#N/A</v>
          </cell>
        </row>
        <row r="401">
          <cell r="E401" t="str">
            <v>SUBTOTAL</v>
          </cell>
          <cell r="I401">
            <v>5048</v>
          </cell>
          <cell r="L401">
            <v>439377.92000000004</v>
          </cell>
          <cell r="Z401" t="e">
            <v>#N/A</v>
          </cell>
        </row>
        <row r="402">
          <cell r="E402" t="str">
            <v>A.I.U</v>
          </cell>
          <cell r="I402">
            <v>0</v>
          </cell>
          <cell r="L402">
            <v>0</v>
          </cell>
          <cell r="Z402">
            <v>0</v>
          </cell>
        </row>
        <row r="403">
          <cell r="D403" t="str">
            <v>AIUAADMON</v>
          </cell>
          <cell r="E403" t="str">
            <v>Admon</v>
          </cell>
          <cell r="F403">
            <v>0</v>
          </cell>
          <cell r="I403">
            <v>0</v>
          </cell>
          <cell r="J403">
            <v>0</v>
          </cell>
          <cell r="L403">
            <v>0</v>
          </cell>
          <cell r="Z403">
            <v>0</v>
          </cell>
        </row>
        <row r="404">
          <cell r="D404" t="str">
            <v>AIUAIMPRE</v>
          </cell>
          <cell r="E404" t="str">
            <v>Imprevistos</v>
          </cell>
          <cell r="F404">
            <v>0</v>
          </cell>
          <cell r="I404">
            <v>0</v>
          </cell>
          <cell r="J404">
            <v>0</v>
          </cell>
          <cell r="L404">
            <v>0</v>
          </cell>
          <cell r="Z404">
            <v>0</v>
          </cell>
        </row>
        <row r="405">
          <cell r="D405" t="str">
            <v>AIUAUTILI</v>
          </cell>
          <cell r="E405" t="str">
            <v>Utilidad</v>
          </cell>
          <cell r="F405">
            <v>0</v>
          </cell>
          <cell r="I405">
            <v>0</v>
          </cell>
          <cell r="J405">
            <v>0</v>
          </cell>
          <cell r="L405">
            <v>0</v>
          </cell>
          <cell r="Z405">
            <v>0</v>
          </cell>
        </row>
        <row r="406">
          <cell r="D406" t="str">
            <v>AIUAIVAUTI</v>
          </cell>
          <cell r="E406" t="str">
            <v>IVA utilidad</v>
          </cell>
          <cell r="F406">
            <v>0</v>
          </cell>
          <cell r="I406">
            <v>0</v>
          </cell>
          <cell r="J406">
            <v>0</v>
          </cell>
          <cell r="L406">
            <v>0</v>
          </cell>
          <cell r="Z406">
            <v>0</v>
          </cell>
        </row>
        <row r="408">
          <cell r="E408" t="str">
            <v>ITEM</v>
          </cell>
        </row>
        <row r="409">
          <cell r="D409" t="str">
            <v>ANITC30</v>
          </cell>
          <cell r="E409" t="str">
            <v xml:space="preserve">Instalación Tuberia Concreto  Ø 27-30" </v>
          </cell>
          <cell r="G409" t="str">
            <v>UN.</v>
          </cell>
          <cell r="H409" t="str">
            <v>Ml</v>
          </cell>
          <cell r="I409">
            <v>19968</v>
          </cell>
          <cell r="K409">
            <v>106</v>
          </cell>
          <cell r="L409">
            <v>2116608</v>
          </cell>
          <cell r="N409">
            <v>218</v>
          </cell>
          <cell r="O409">
            <v>10000</v>
          </cell>
          <cell r="P409">
            <v>9750</v>
          </cell>
          <cell r="Q409">
            <v>0</v>
          </cell>
          <cell r="X409">
            <v>2116608</v>
          </cell>
          <cell r="Y409" t="str">
            <v>Ml</v>
          </cell>
          <cell r="Z409" t="e">
            <v>#N/A</v>
          </cell>
          <cell r="AA409" t="e">
            <v>#N/A</v>
          </cell>
          <cell r="AB409" t="e">
            <v>#N/A</v>
          </cell>
          <cell r="AC409" t="e">
            <v>#N/A</v>
          </cell>
        </row>
        <row r="411">
          <cell r="D411" t="str">
            <v>CODIGO</v>
          </cell>
          <cell r="E411" t="str">
            <v>DESCRIPCION</v>
          </cell>
          <cell r="F411" t="str">
            <v>UN</v>
          </cell>
          <cell r="G411" t="str">
            <v>CANT</v>
          </cell>
          <cell r="H411" t="str">
            <v>V/UNIT.</v>
          </cell>
          <cell r="I411" t="str">
            <v>V/TOTAL</v>
          </cell>
          <cell r="K411" t="str">
            <v>CANT TOTAL</v>
          </cell>
          <cell r="L411" t="str">
            <v>Vr TOTAL</v>
          </cell>
          <cell r="Y411" t="str">
            <v>CANT.</v>
          </cell>
          <cell r="Z411" t="str">
            <v>V/TOTAL</v>
          </cell>
        </row>
        <row r="412">
          <cell r="E412" t="str">
            <v>MATERIALES</v>
          </cell>
          <cell r="I412">
            <v>218</v>
          </cell>
          <cell r="L412">
            <v>23108</v>
          </cell>
          <cell r="Z412" t="e">
            <v>#N/A</v>
          </cell>
        </row>
        <row r="413">
          <cell r="I413">
            <v>0</v>
          </cell>
          <cell r="J413">
            <v>0</v>
          </cell>
          <cell r="K413">
            <v>0</v>
          </cell>
          <cell r="L413">
            <v>0</v>
          </cell>
          <cell r="Y413">
            <v>0</v>
          </cell>
          <cell r="Z413">
            <v>0</v>
          </cell>
        </row>
        <row r="414">
          <cell r="I414">
            <v>0</v>
          </cell>
          <cell r="J414">
            <v>0</v>
          </cell>
          <cell r="K414">
            <v>0</v>
          </cell>
          <cell r="L414">
            <v>0</v>
          </cell>
          <cell r="Y414">
            <v>0</v>
          </cell>
          <cell r="Z414">
            <v>0</v>
          </cell>
        </row>
        <row r="415">
          <cell r="I415">
            <v>0</v>
          </cell>
          <cell r="J415">
            <v>0</v>
          </cell>
          <cell r="K415">
            <v>0</v>
          </cell>
          <cell r="L415">
            <v>0</v>
          </cell>
          <cell r="Y415">
            <v>0</v>
          </cell>
          <cell r="Z415">
            <v>0</v>
          </cell>
        </row>
        <row r="416">
          <cell r="D416" t="str">
            <v>MA27LUBRI</v>
          </cell>
          <cell r="E416" t="str">
            <v>Lubricante</v>
          </cell>
          <cell r="F416" t="str">
            <v>lb</v>
          </cell>
          <cell r="G416">
            <v>0.02</v>
          </cell>
          <cell r="H416">
            <v>10890.543999999998</v>
          </cell>
          <cell r="I416">
            <v>218</v>
          </cell>
          <cell r="J416">
            <v>0</v>
          </cell>
          <cell r="K416">
            <v>2.12</v>
          </cell>
          <cell r="L416">
            <v>23087.953279999998</v>
          </cell>
          <cell r="Y416" t="e">
            <v>#N/A</v>
          </cell>
          <cell r="Z416" t="e">
            <v>#N/A</v>
          </cell>
        </row>
        <row r="417">
          <cell r="E417" t="str">
            <v>MANO DE OBRA</v>
          </cell>
          <cell r="I417">
            <v>10000</v>
          </cell>
          <cell r="L417">
            <v>1060000</v>
          </cell>
          <cell r="Z417" t="e">
            <v>#N/A</v>
          </cell>
        </row>
        <row r="418">
          <cell r="D418" t="str">
            <v>MOANIT30</v>
          </cell>
          <cell r="E418" t="str">
            <v>Inst. Tuberia Ø 27-30"</v>
          </cell>
          <cell r="F418" t="str">
            <v>ml</v>
          </cell>
          <cell r="G418">
            <v>1</v>
          </cell>
          <cell r="H418">
            <v>10000</v>
          </cell>
          <cell r="I418">
            <v>10000</v>
          </cell>
          <cell r="J418">
            <v>0</v>
          </cell>
          <cell r="K418">
            <v>106</v>
          </cell>
          <cell r="L418">
            <v>1060000</v>
          </cell>
          <cell r="Y418" t="e">
            <v>#N/A</v>
          </cell>
          <cell r="Z418" t="e">
            <v>#N/A</v>
          </cell>
        </row>
        <row r="420">
          <cell r="E420" t="str">
            <v>VARIOS</v>
          </cell>
          <cell r="I420">
            <v>9750</v>
          </cell>
          <cell r="L420">
            <v>1033500</v>
          </cell>
          <cell r="Z420" t="e">
            <v>#N/A</v>
          </cell>
        </row>
        <row r="421">
          <cell r="D421" t="str">
            <v>AL04RETRO</v>
          </cell>
          <cell r="E421" t="str">
            <v>Retro Oruga</v>
          </cell>
          <cell r="F421" t="str">
            <v>Hr</v>
          </cell>
          <cell r="G421">
            <v>0.16</v>
          </cell>
          <cell r="H421">
            <v>60000</v>
          </cell>
          <cell r="I421">
            <v>9600</v>
          </cell>
          <cell r="J421">
            <v>0</v>
          </cell>
          <cell r="K421">
            <v>16.96</v>
          </cell>
          <cell r="L421">
            <v>1017600</v>
          </cell>
          <cell r="Y421" t="e">
            <v>#N/A</v>
          </cell>
          <cell r="Z421" t="e">
            <v>#N/A</v>
          </cell>
        </row>
        <row r="422">
          <cell r="D422" t="str">
            <v>TC07HINT</v>
          </cell>
          <cell r="E422" t="str">
            <v>Herramienta Menor</v>
          </cell>
          <cell r="F422" t="str">
            <v>ML"</v>
          </cell>
          <cell r="G422">
            <v>30</v>
          </cell>
          <cell r="H422">
            <v>5</v>
          </cell>
          <cell r="I422">
            <v>150</v>
          </cell>
          <cell r="J422">
            <v>0</v>
          </cell>
          <cell r="K422">
            <v>3180</v>
          </cell>
          <cell r="L422">
            <v>15900</v>
          </cell>
          <cell r="Y422" t="e">
            <v>#N/A</v>
          </cell>
          <cell r="Z422" t="e">
            <v>#N/A</v>
          </cell>
        </row>
        <row r="423">
          <cell r="E423" t="str">
            <v>SUBTOTAL</v>
          </cell>
          <cell r="I423">
            <v>19968</v>
          </cell>
          <cell r="L423">
            <v>2116608</v>
          </cell>
          <cell r="Z423" t="e">
            <v>#N/A</v>
          </cell>
        </row>
        <row r="424">
          <cell r="E424" t="str">
            <v>A.I.U</v>
          </cell>
          <cell r="I424">
            <v>0</v>
          </cell>
          <cell r="L424">
            <v>0</v>
          </cell>
          <cell r="Z424">
            <v>0</v>
          </cell>
        </row>
        <row r="425">
          <cell r="D425" t="str">
            <v>AIUAADMON</v>
          </cell>
          <cell r="E425" t="str">
            <v>Admon</v>
          </cell>
          <cell r="F425">
            <v>0</v>
          </cell>
          <cell r="I425">
            <v>0</v>
          </cell>
          <cell r="J425">
            <v>0</v>
          </cell>
          <cell r="L425">
            <v>0</v>
          </cell>
          <cell r="Z425">
            <v>0</v>
          </cell>
        </row>
        <row r="426">
          <cell r="D426" t="str">
            <v>AIUAIMPRE</v>
          </cell>
          <cell r="E426" t="str">
            <v>Imprevistos</v>
          </cell>
          <cell r="F426">
            <v>0</v>
          </cell>
          <cell r="I426">
            <v>0</v>
          </cell>
          <cell r="J426">
            <v>0</v>
          </cell>
          <cell r="L426">
            <v>0</v>
          </cell>
          <cell r="Z426">
            <v>0</v>
          </cell>
        </row>
        <row r="427">
          <cell r="D427" t="str">
            <v>AIUAUTILI</v>
          </cell>
          <cell r="E427" t="str">
            <v>Utilidad</v>
          </cell>
          <cell r="F427">
            <v>0</v>
          </cell>
          <cell r="I427">
            <v>0</v>
          </cell>
          <cell r="J427">
            <v>0</v>
          </cell>
          <cell r="L427">
            <v>0</v>
          </cell>
          <cell r="Z427">
            <v>0</v>
          </cell>
        </row>
        <row r="428">
          <cell r="D428" t="str">
            <v>AIUAIVAUTI</v>
          </cell>
          <cell r="E428" t="str">
            <v>IVA utilidad</v>
          </cell>
          <cell r="F428">
            <v>0</v>
          </cell>
          <cell r="I428">
            <v>0</v>
          </cell>
          <cell r="J428">
            <v>0</v>
          </cell>
          <cell r="L428">
            <v>0</v>
          </cell>
          <cell r="Z428">
            <v>0</v>
          </cell>
        </row>
        <row r="430">
          <cell r="E430" t="str">
            <v>ITEM</v>
          </cell>
        </row>
        <row r="431">
          <cell r="D431" t="str">
            <v>ANITC40</v>
          </cell>
          <cell r="E431" t="str">
            <v xml:space="preserve">Instalación Tuberia Concreto  Ø 36-40" </v>
          </cell>
          <cell r="G431" t="str">
            <v>UN.</v>
          </cell>
          <cell r="H431" t="str">
            <v>Ml</v>
          </cell>
          <cell r="I431">
            <v>23945</v>
          </cell>
          <cell r="K431">
            <v>137</v>
          </cell>
          <cell r="L431">
            <v>3280465</v>
          </cell>
          <cell r="N431">
            <v>545</v>
          </cell>
          <cell r="O431">
            <v>11200</v>
          </cell>
          <cell r="P431">
            <v>12200</v>
          </cell>
          <cell r="Q431">
            <v>0</v>
          </cell>
          <cell r="X431">
            <v>3280465</v>
          </cell>
          <cell r="Y431" t="str">
            <v>Ml</v>
          </cell>
          <cell r="Z431" t="e">
            <v>#N/A</v>
          </cell>
          <cell r="AA431" t="e">
            <v>#N/A</v>
          </cell>
          <cell r="AB431" t="e">
            <v>#N/A</v>
          </cell>
          <cell r="AC431" t="e">
            <v>#N/A</v>
          </cell>
        </row>
        <row r="433">
          <cell r="D433" t="str">
            <v>CODIGO</v>
          </cell>
          <cell r="E433" t="str">
            <v>DESCRIPCION</v>
          </cell>
          <cell r="F433" t="str">
            <v>UN</v>
          </cell>
          <cell r="G433" t="str">
            <v>CANT</v>
          </cell>
          <cell r="H433" t="str">
            <v>V/UNIT.</v>
          </cell>
          <cell r="I433" t="str">
            <v>V/TOTAL</v>
          </cell>
          <cell r="K433" t="str">
            <v>CANT TOTAL</v>
          </cell>
          <cell r="L433" t="str">
            <v>Vr TOTAL</v>
          </cell>
          <cell r="Y433" t="str">
            <v>CANT.</v>
          </cell>
          <cell r="Z433" t="str">
            <v>V/TOTAL</v>
          </cell>
        </row>
        <row r="434">
          <cell r="E434" t="str">
            <v>MATERIALES</v>
          </cell>
          <cell r="I434">
            <v>545</v>
          </cell>
          <cell r="L434">
            <v>74665</v>
          </cell>
          <cell r="Z434" t="e">
            <v>#N/A</v>
          </cell>
        </row>
        <row r="435">
          <cell r="I435">
            <v>0</v>
          </cell>
          <cell r="J435">
            <v>0</v>
          </cell>
          <cell r="K435">
            <v>0</v>
          </cell>
          <cell r="L435">
            <v>0</v>
          </cell>
          <cell r="Y435">
            <v>0</v>
          </cell>
          <cell r="Z435">
            <v>0</v>
          </cell>
        </row>
        <row r="436">
          <cell r="I436">
            <v>0</v>
          </cell>
          <cell r="J436">
            <v>0</v>
          </cell>
          <cell r="K436">
            <v>0</v>
          </cell>
          <cell r="L436">
            <v>0</v>
          </cell>
          <cell r="Y436">
            <v>0</v>
          </cell>
          <cell r="Z436">
            <v>0</v>
          </cell>
        </row>
        <row r="437">
          <cell r="I437">
            <v>0</v>
          </cell>
          <cell r="J437">
            <v>0</v>
          </cell>
          <cell r="K437">
            <v>0</v>
          </cell>
          <cell r="L437">
            <v>0</v>
          </cell>
          <cell r="Y437">
            <v>0</v>
          </cell>
          <cell r="Z437">
            <v>0</v>
          </cell>
        </row>
        <row r="438">
          <cell r="D438" t="str">
            <v>MA27LUBRI</v>
          </cell>
          <cell r="E438" t="str">
            <v>Lubricante</v>
          </cell>
          <cell r="F438" t="str">
            <v>lb</v>
          </cell>
          <cell r="G438">
            <v>0.05</v>
          </cell>
          <cell r="H438">
            <v>10890.543999999998</v>
          </cell>
          <cell r="I438">
            <v>545</v>
          </cell>
          <cell r="J438">
            <v>0</v>
          </cell>
          <cell r="K438">
            <v>6.8500000000000005</v>
          </cell>
          <cell r="L438">
            <v>74600.2264</v>
          </cell>
          <cell r="Y438" t="e">
            <v>#N/A</v>
          </cell>
          <cell r="Z438" t="e">
            <v>#N/A</v>
          </cell>
        </row>
        <row r="439">
          <cell r="E439" t="str">
            <v>MANO DE OBRA</v>
          </cell>
          <cell r="I439">
            <v>11200</v>
          </cell>
          <cell r="L439">
            <v>1534400</v>
          </cell>
          <cell r="Z439" t="e">
            <v>#N/A</v>
          </cell>
        </row>
        <row r="440">
          <cell r="D440" t="str">
            <v>MOANIT40</v>
          </cell>
          <cell r="E440" t="str">
            <v>Inst. Tuberia Ø 36-40"</v>
          </cell>
          <cell r="F440" t="str">
            <v>ml</v>
          </cell>
          <cell r="G440">
            <v>1</v>
          </cell>
          <cell r="H440">
            <v>11200</v>
          </cell>
          <cell r="I440">
            <v>11200</v>
          </cell>
          <cell r="J440">
            <v>0</v>
          </cell>
          <cell r="K440">
            <v>137</v>
          </cell>
          <cell r="L440">
            <v>1534400</v>
          </cell>
          <cell r="Y440" t="e">
            <v>#N/A</v>
          </cell>
          <cell r="Z440" t="e">
            <v>#N/A</v>
          </cell>
        </row>
        <row r="442">
          <cell r="E442" t="str">
            <v>VARIOS</v>
          </cell>
          <cell r="I442">
            <v>12200</v>
          </cell>
          <cell r="L442">
            <v>1671400</v>
          </cell>
          <cell r="Z442" t="e">
            <v>#N/A</v>
          </cell>
        </row>
        <row r="443">
          <cell r="D443" t="str">
            <v>AL04RETRO</v>
          </cell>
          <cell r="E443" t="str">
            <v>Retro Oruga</v>
          </cell>
          <cell r="F443" t="str">
            <v>Hr</v>
          </cell>
          <cell r="G443">
            <v>0.2</v>
          </cell>
          <cell r="H443">
            <v>60000</v>
          </cell>
          <cell r="I443">
            <v>12000</v>
          </cell>
          <cell r="J443">
            <v>0</v>
          </cell>
          <cell r="K443">
            <v>27.400000000000002</v>
          </cell>
          <cell r="L443">
            <v>1644000.0000000002</v>
          </cell>
          <cell r="Y443" t="e">
            <v>#N/A</v>
          </cell>
          <cell r="Z443" t="e">
            <v>#N/A</v>
          </cell>
        </row>
        <row r="444">
          <cell r="D444" t="str">
            <v>TC07HINT</v>
          </cell>
          <cell r="E444" t="str">
            <v>Herramienta Menor</v>
          </cell>
          <cell r="F444" t="str">
            <v>ML"</v>
          </cell>
          <cell r="G444">
            <v>40</v>
          </cell>
          <cell r="H444">
            <v>5</v>
          </cell>
          <cell r="I444">
            <v>200</v>
          </cell>
          <cell r="J444">
            <v>0</v>
          </cell>
          <cell r="K444">
            <v>5480</v>
          </cell>
          <cell r="L444">
            <v>27400</v>
          </cell>
          <cell r="Y444" t="e">
            <v>#N/A</v>
          </cell>
          <cell r="Z444" t="e">
            <v>#N/A</v>
          </cell>
        </row>
        <row r="445">
          <cell r="E445" t="str">
            <v>SUBTOTAL</v>
          </cell>
          <cell r="I445">
            <v>23945</v>
          </cell>
          <cell r="L445">
            <v>3280465</v>
          </cell>
          <cell r="Z445" t="e">
            <v>#N/A</v>
          </cell>
        </row>
        <row r="446">
          <cell r="E446" t="str">
            <v>A.I.U</v>
          </cell>
          <cell r="I446">
            <v>0</v>
          </cell>
          <cell r="L446">
            <v>0</v>
          </cell>
          <cell r="Z446">
            <v>0</v>
          </cell>
        </row>
        <row r="447">
          <cell r="D447" t="str">
            <v>AIUAADMON</v>
          </cell>
          <cell r="E447" t="str">
            <v>Admon</v>
          </cell>
          <cell r="F447">
            <v>0</v>
          </cell>
          <cell r="I447">
            <v>0</v>
          </cell>
          <cell r="J447">
            <v>0</v>
          </cell>
          <cell r="L447">
            <v>0</v>
          </cell>
          <cell r="Z447">
            <v>0</v>
          </cell>
        </row>
        <row r="448">
          <cell r="D448" t="str">
            <v>AIUAIMPRE</v>
          </cell>
          <cell r="E448" t="str">
            <v>Imprevistos</v>
          </cell>
          <cell r="F448">
            <v>0</v>
          </cell>
          <cell r="I448">
            <v>0</v>
          </cell>
          <cell r="J448">
            <v>0</v>
          </cell>
          <cell r="L448">
            <v>0</v>
          </cell>
          <cell r="Z448">
            <v>0</v>
          </cell>
        </row>
        <row r="449">
          <cell r="D449" t="str">
            <v>AIUAUTILI</v>
          </cell>
          <cell r="E449" t="str">
            <v>Utilidad</v>
          </cell>
          <cell r="F449">
            <v>0</v>
          </cell>
          <cell r="I449">
            <v>0</v>
          </cell>
          <cell r="J449">
            <v>0</v>
          </cell>
          <cell r="L449">
            <v>0</v>
          </cell>
          <cell r="Z449">
            <v>0</v>
          </cell>
        </row>
        <row r="450">
          <cell r="D450" t="str">
            <v>AIUAIVAUTI</v>
          </cell>
          <cell r="E450" t="str">
            <v>IVA utilidad</v>
          </cell>
          <cell r="F450">
            <v>0</v>
          </cell>
          <cell r="I450">
            <v>0</v>
          </cell>
          <cell r="J450">
            <v>0</v>
          </cell>
          <cell r="L450">
            <v>0</v>
          </cell>
          <cell r="Z450">
            <v>0</v>
          </cell>
        </row>
        <row r="452">
          <cell r="E452" t="str">
            <v>ITEM</v>
          </cell>
        </row>
        <row r="453">
          <cell r="D453" t="str">
            <v>ANITC56</v>
          </cell>
          <cell r="E453" t="str">
            <v>Instalación Tuberia Concreto  Ø 1,40 m</v>
          </cell>
          <cell r="G453" t="str">
            <v>UN.</v>
          </cell>
          <cell r="H453" t="str">
            <v>Ml</v>
          </cell>
          <cell r="I453">
            <v>26433</v>
          </cell>
          <cell r="K453">
            <v>170</v>
          </cell>
          <cell r="L453">
            <v>4493610</v>
          </cell>
          <cell r="N453">
            <v>653</v>
          </cell>
          <cell r="O453">
            <v>13500</v>
          </cell>
          <cell r="P453">
            <v>12280</v>
          </cell>
          <cell r="Q453">
            <v>0</v>
          </cell>
          <cell r="X453">
            <v>4493610</v>
          </cell>
          <cell r="Y453" t="str">
            <v>Ml</v>
          </cell>
          <cell r="Z453" t="e">
            <v>#N/A</v>
          </cell>
          <cell r="AA453" t="e">
            <v>#N/A</v>
          </cell>
          <cell r="AB453" t="e">
            <v>#N/A</v>
          </cell>
          <cell r="AC453" t="e">
            <v>#N/A</v>
          </cell>
        </row>
        <row r="455">
          <cell r="D455" t="str">
            <v>CODIGO</v>
          </cell>
          <cell r="E455" t="str">
            <v>DESCRIPCION</v>
          </cell>
          <cell r="F455" t="str">
            <v>UN</v>
          </cell>
          <cell r="G455" t="str">
            <v>CANT</v>
          </cell>
          <cell r="H455" t="str">
            <v>V/UNIT.</v>
          </cell>
          <cell r="I455" t="str">
            <v>V/TOTAL</v>
          </cell>
          <cell r="K455" t="str">
            <v>CANT TOTAL</v>
          </cell>
          <cell r="L455" t="str">
            <v>Vr TOTAL</v>
          </cell>
          <cell r="Y455" t="str">
            <v>CANT.</v>
          </cell>
          <cell r="Z455" t="str">
            <v>V/TOTAL</v>
          </cell>
        </row>
        <row r="456">
          <cell r="E456" t="str">
            <v>MATERIALES</v>
          </cell>
          <cell r="I456">
            <v>653</v>
          </cell>
          <cell r="L456">
            <v>111010</v>
          </cell>
          <cell r="Z456" t="e">
            <v>#N/A</v>
          </cell>
        </row>
        <row r="459">
          <cell r="D459" t="str">
            <v>MA27LUBRI</v>
          </cell>
          <cell r="E459" t="str">
            <v>Lubricante</v>
          </cell>
          <cell r="F459" t="str">
            <v>lb</v>
          </cell>
          <cell r="G459">
            <v>0.06</v>
          </cell>
          <cell r="H459">
            <v>10890.543999999998</v>
          </cell>
          <cell r="I459">
            <v>653</v>
          </cell>
          <cell r="J459">
            <v>0</v>
          </cell>
          <cell r="K459">
            <v>10.199999999999999</v>
          </cell>
          <cell r="L459">
            <v>111083.54879999998</v>
          </cell>
          <cell r="Y459" t="e">
            <v>#N/A</v>
          </cell>
          <cell r="Z459" t="e">
            <v>#N/A</v>
          </cell>
        </row>
        <row r="460">
          <cell r="E460" t="str">
            <v>MANO DE OBRA</v>
          </cell>
          <cell r="I460">
            <v>13500</v>
          </cell>
          <cell r="L460">
            <v>2295000</v>
          </cell>
          <cell r="Z460" t="e">
            <v>#N/A</v>
          </cell>
        </row>
        <row r="461">
          <cell r="D461" t="str">
            <v>MOANIT56</v>
          </cell>
          <cell r="E461" t="str">
            <v>Inst. Tuberia Ø 1,40 m</v>
          </cell>
          <cell r="F461" t="str">
            <v>ml</v>
          </cell>
          <cell r="G461">
            <v>1</v>
          </cell>
          <cell r="H461">
            <v>13500</v>
          </cell>
          <cell r="I461">
            <v>13500</v>
          </cell>
          <cell r="J461">
            <v>0</v>
          </cell>
          <cell r="K461">
            <v>170</v>
          </cell>
          <cell r="L461">
            <v>2295000</v>
          </cell>
          <cell r="Y461" t="e">
            <v>#N/A</v>
          </cell>
          <cell r="Z461" t="e">
            <v>#N/A</v>
          </cell>
        </row>
        <row r="463">
          <cell r="E463" t="str">
            <v>VARIOS</v>
          </cell>
          <cell r="I463">
            <v>12280</v>
          </cell>
          <cell r="L463">
            <v>2087600</v>
          </cell>
          <cell r="Z463" t="e">
            <v>#N/A</v>
          </cell>
        </row>
        <row r="464">
          <cell r="D464" t="str">
            <v>AL04RETRO</v>
          </cell>
          <cell r="E464" t="str">
            <v>Retro Oruga</v>
          </cell>
          <cell r="F464" t="str">
            <v>Hr</v>
          </cell>
          <cell r="G464">
            <v>0.2</v>
          </cell>
          <cell r="H464">
            <v>60000</v>
          </cell>
          <cell r="I464">
            <v>12000</v>
          </cell>
          <cell r="J464">
            <v>0</v>
          </cell>
          <cell r="K464">
            <v>34</v>
          </cell>
          <cell r="L464">
            <v>2040000</v>
          </cell>
          <cell r="Y464" t="e">
            <v>#N/A</v>
          </cell>
          <cell r="Z464" t="e">
            <v>#N/A</v>
          </cell>
        </row>
        <row r="465">
          <cell r="D465" t="str">
            <v>TC07HINT</v>
          </cell>
          <cell r="E465" t="str">
            <v>Herramienta Menor</v>
          </cell>
          <cell r="F465" t="str">
            <v>ML"</v>
          </cell>
          <cell r="G465">
            <v>56</v>
          </cell>
          <cell r="H465">
            <v>5</v>
          </cell>
          <cell r="I465">
            <v>280</v>
          </cell>
          <cell r="J465">
            <v>0</v>
          </cell>
          <cell r="K465">
            <v>9520</v>
          </cell>
          <cell r="L465">
            <v>47600</v>
          </cell>
          <cell r="Y465" t="e">
            <v>#N/A</v>
          </cell>
          <cell r="Z465" t="e">
            <v>#N/A</v>
          </cell>
        </row>
        <row r="466">
          <cell r="E466" t="str">
            <v>SUBTOTAL</v>
          </cell>
          <cell r="I466">
            <v>26433</v>
          </cell>
          <cell r="L466">
            <v>4493610</v>
          </cell>
          <cell r="Z466" t="e">
            <v>#N/A</v>
          </cell>
        </row>
        <row r="467">
          <cell r="E467" t="str">
            <v>A.I.U</v>
          </cell>
          <cell r="I467">
            <v>0</v>
          </cell>
          <cell r="L467">
            <v>0</v>
          </cell>
          <cell r="Z467">
            <v>0</v>
          </cell>
        </row>
        <row r="468">
          <cell r="D468" t="str">
            <v>AIUAADMON</v>
          </cell>
          <cell r="E468" t="str">
            <v>Admon</v>
          </cell>
          <cell r="F468">
            <v>0</v>
          </cell>
          <cell r="I468">
            <v>0</v>
          </cell>
          <cell r="J468">
            <v>0</v>
          </cell>
          <cell r="L468">
            <v>0</v>
          </cell>
          <cell r="Z468">
            <v>0</v>
          </cell>
        </row>
        <row r="469">
          <cell r="D469" t="str">
            <v>AIUAIMPRE</v>
          </cell>
          <cell r="E469" t="str">
            <v>Imprevistos</v>
          </cell>
          <cell r="F469">
            <v>0</v>
          </cell>
          <cell r="I469">
            <v>0</v>
          </cell>
          <cell r="J469">
            <v>0</v>
          </cell>
          <cell r="L469">
            <v>0</v>
          </cell>
          <cell r="Z469">
            <v>0</v>
          </cell>
        </row>
        <row r="470">
          <cell r="D470" t="str">
            <v>AIUAUTILI</v>
          </cell>
          <cell r="E470" t="str">
            <v>Utilidad</v>
          </cell>
          <cell r="F470">
            <v>0</v>
          </cell>
          <cell r="I470">
            <v>0</v>
          </cell>
          <cell r="J470">
            <v>0</v>
          </cell>
          <cell r="L470">
            <v>0</v>
          </cell>
          <cell r="Z470">
            <v>0</v>
          </cell>
        </row>
        <row r="471">
          <cell r="D471" t="str">
            <v>AIUAIVAUTI</v>
          </cell>
          <cell r="E471" t="str">
            <v>IVA utilidad</v>
          </cell>
          <cell r="F471">
            <v>0</v>
          </cell>
          <cell r="I471">
            <v>0</v>
          </cell>
          <cell r="J471">
            <v>0</v>
          </cell>
          <cell r="L471">
            <v>0</v>
          </cell>
          <cell r="Z471">
            <v>0</v>
          </cell>
        </row>
        <row r="473">
          <cell r="E473" t="str">
            <v>ITEM</v>
          </cell>
        </row>
        <row r="474">
          <cell r="D474" t="str">
            <v>ANITC72</v>
          </cell>
          <cell r="E474" t="str">
            <v>Instalación Tuberia Concreto  Ø 1,80 m</v>
          </cell>
          <cell r="G474" t="str">
            <v>UN.</v>
          </cell>
          <cell r="H474" t="str">
            <v>Ml</v>
          </cell>
          <cell r="I474">
            <v>37333</v>
          </cell>
          <cell r="K474">
            <v>130</v>
          </cell>
          <cell r="L474">
            <v>4853290</v>
          </cell>
          <cell r="N474">
            <v>653</v>
          </cell>
          <cell r="O474">
            <v>14720</v>
          </cell>
          <cell r="P474">
            <v>21960</v>
          </cell>
          <cell r="Q474">
            <v>0</v>
          </cell>
          <cell r="X474">
            <v>4853290</v>
          </cell>
          <cell r="Y474" t="str">
            <v>Ml</v>
          </cell>
          <cell r="Z474" t="e">
            <v>#N/A</v>
          </cell>
          <cell r="AA474" t="e">
            <v>#N/A</v>
          </cell>
          <cell r="AB474" t="e">
            <v>#N/A</v>
          </cell>
          <cell r="AC474" t="e">
            <v>#N/A</v>
          </cell>
        </row>
        <row r="476">
          <cell r="D476" t="str">
            <v>CODIGO</v>
          </cell>
          <cell r="E476" t="str">
            <v>DESCRIPCION</v>
          </cell>
          <cell r="F476" t="str">
            <v>UN</v>
          </cell>
          <cell r="G476" t="str">
            <v>CANT</v>
          </cell>
          <cell r="H476" t="str">
            <v>V/UNIT.</v>
          </cell>
          <cell r="I476" t="str">
            <v>V/TOTAL</v>
          </cell>
          <cell r="K476" t="str">
            <v>CANT TOTAL</v>
          </cell>
          <cell r="L476" t="str">
            <v>Vr TOTAL</v>
          </cell>
          <cell r="Y476" t="str">
            <v>CANT.</v>
          </cell>
          <cell r="Z476" t="str">
            <v>V/TOTAL</v>
          </cell>
        </row>
        <row r="477">
          <cell r="E477" t="str">
            <v>MATERIALES</v>
          </cell>
          <cell r="I477">
            <v>653</v>
          </cell>
          <cell r="L477">
            <v>84890</v>
          </cell>
          <cell r="Z477" t="e">
            <v>#N/A</v>
          </cell>
        </row>
        <row r="480">
          <cell r="D480" t="str">
            <v>MA27LUBRI</v>
          </cell>
          <cell r="E480" t="str">
            <v>Lubricante</v>
          </cell>
          <cell r="F480" t="str">
            <v>lb</v>
          </cell>
          <cell r="G480">
            <v>0.06</v>
          </cell>
          <cell r="H480">
            <v>10890.543999999998</v>
          </cell>
          <cell r="I480">
            <v>653</v>
          </cell>
          <cell r="J480">
            <v>0</v>
          </cell>
          <cell r="K480">
            <v>7.8</v>
          </cell>
          <cell r="L480">
            <v>84946.243199999983</v>
          </cell>
          <cell r="Y480" t="e">
            <v>#N/A</v>
          </cell>
          <cell r="Z480" t="e">
            <v>#N/A</v>
          </cell>
        </row>
        <row r="481">
          <cell r="E481" t="str">
            <v>MANO DE OBRA</v>
          </cell>
          <cell r="I481">
            <v>14720</v>
          </cell>
          <cell r="L481">
            <v>1913600</v>
          </cell>
          <cell r="Z481" t="e">
            <v>#N/A</v>
          </cell>
        </row>
        <row r="482">
          <cell r="D482" t="str">
            <v>MOANIT72</v>
          </cell>
          <cell r="E482" t="str">
            <v>Inst. Tuberia Ø 1,80 m</v>
          </cell>
          <cell r="F482" t="str">
            <v>ml</v>
          </cell>
          <cell r="G482">
            <v>1</v>
          </cell>
          <cell r="H482">
            <v>14720</v>
          </cell>
          <cell r="I482">
            <v>14720</v>
          </cell>
          <cell r="J482">
            <v>0</v>
          </cell>
          <cell r="K482">
            <v>130</v>
          </cell>
          <cell r="L482">
            <v>1913600</v>
          </cell>
          <cell r="Y482" t="e">
            <v>#N/A</v>
          </cell>
          <cell r="Z482" t="e">
            <v>#N/A</v>
          </cell>
        </row>
        <row r="484">
          <cell r="E484" t="str">
            <v>VARIOS</v>
          </cell>
          <cell r="I484">
            <v>21960</v>
          </cell>
          <cell r="L484">
            <v>2854800</v>
          </cell>
          <cell r="Z484" t="e">
            <v>#N/A</v>
          </cell>
        </row>
        <row r="485">
          <cell r="D485" t="str">
            <v>AL04RETROG</v>
          </cell>
          <cell r="E485" t="str">
            <v>Retro Oruga 320</v>
          </cell>
          <cell r="F485" t="str">
            <v>Hr</v>
          </cell>
          <cell r="G485">
            <v>0.24</v>
          </cell>
          <cell r="H485">
            <v>90000</v>
          </cell>
          <cell r="I485">
            <v>21600</v>
          </cell>
          <cell r="J485">
            <v>0</v>
          </cell>
          <cell r="K485">
            <v>31.2</v>
          </cell>
          <cell r="L485">
            <v>2808000</v>
          </cell>
          <cell r="Y485" t="e">
            <v>#N/A</v>
          </cell>
          <cell r="Z485" t="e">
            <v>#N/A</v>
          </cell>
        </row>
        <row r="486">
          <cell r="D486" t="str">
            <v>TC07HINT</v>
          </cell>
          <cell r="E486" t="str">
            <v>Herramienta Menor</v>
          </cell>
          <cell r="F486" t="str">
            <v>ML"</v>
          </cell>
          <cell r="G486">
            <v>72</v>
          </cell>
          <cell r="H486">
            <v>5</v>
          </cell>
          <cell r="I486">
            <v>360</v>
          </cell>
          <cell r="J486">
            <v>0</v>
          </cell>
          <cell r="K486">
            <v>9360</v>
          </cell>
          <cell r="L486">
            <v>46800</v>
          </cell>
          <cell r="Y486" t="e">
            <v>#N/A</v>
          </cell>
          <cell r="Z486" t="e">
            <v>#N/A</v>
          </cell>
        </row>
        <row r="487">
          <cell r="E487" t="str">
            <v>SUBTOTAL</v>
          </cell>
          <cell r="I487">
            <v>37333</v>
          </cell>
          <cell r="L487">
            <v>4853290</v>
          </cell>
          <cell r="Z487" t="e">
            <v>#N/A</v>
          </cell>
        </row>
        <row r="488">
          <cell r="E488" t="str">
            <v>A.I.U</v>
          </cell>
          <cell r="I488">
            <v>0</v>
          </cell>
          <cell r="L488">
            <v>0</v>
          </cell>
          <cell r="Z488">
            <v>0</v>
          </cell>
        </row>
        <row r="489">
          <cell r="D489" t="str">
            <v>AIUAADMON</v>
          </cell>
          <cell r="E489" t="str">
            <v>Admon</v>
          </cell>
          <cell r="F489">
            <v>0</v>
          </cell>
          <cell r="I489">
            <v>0</v>
          </cell>
          <cell r="J489">
            <v>0</v>
          </cell>
          <cell r="L489">
            <v>0</v>
          </cell>
          <cell r="Z489">
            <v>0</v>
          </cell>
        </row>
        <row r="490">
          <cell r="D490" t="str">
            <v>AIUAIMPRE</v>
          </cell>
          <cell r="E490" t="str">
            <v>Imprevistos</v>
          </cell>
          <cell r="F490">
            <v>0</v>
          </cell>
          <cell r="I490">
            <v>0</v>
          </cell>
          <cell r="J490">
            <v>0</v>
          </cell>
          <cell r="L490">
            <v>0</v>
          </cell>
          <cell r="Z490">
            <v>0</v>
          </cell>
        </row>
        <row r="491">
          <cell r="D491" t="str">
            <v>AIUAUTILI</v>
          </cell>
          <cell r="E491" t="str">
            <v>Utilidad</v>
          </cell>
          <cell r="F491">
            <v>0</v>
          </cell>
          <cell r="I491">
            <v>0</v>
          </cell>
          <cell r="J491">
            <v>0</v>
          </cell>
          <cell r="L491">
            <v>0</v>
          </cell>
          <cell r="Z491">
            <v>0</v>
          </cell>
        </row>
        <row r="492">
          <cell r="D492" t="str">
            <v>AIUAIVAUTI</v>
          </cell>
          <cell r="E492" t="str">
            <v>IVA utilidad</v>
          </cell>
          <cell r="F492">
            <v>0</v>
          </cell>
          <cell r="I492">
            <v>0</v>
          </cell>
          <cell r="J492">
            <v>0</v>
          </cell>
          <cell r="L492">
            <v>0</v>
          </cell>
          <cell r="Z492">
            <v>0</v>
          </cell>
        </row>
        <row r="494">
          <cell r="E494" t="str">
            <v>ITEM</v>
          </cell>
        </row>
        <row r="495">
          <cell r="D495" t="str">
            <v>ANITC80</v>
          </cell>
          <cell r="E495" t="str">
            <v>Instalación Tuberia Concreto  Ø 2,00 m</v>
          </cell>
          <cell r="G495" t="str">
            <v>UN.</v>
          </cell>
          <cell r="H495" t="str">
            <v>Ml</v>
          </cell>
          <cell r="I495">
            <v>46413</v>
          </cell>
          <cell r="K495">
            <v>675</v>
          </cell>
          <cell r="L495">
            <v>31328775</v>
          </cell>
          <cell r="N495">
            <v>653</v>
          </cell>
          <cell r="O495">
            <v>18400</v>
          </cell>
          <cell r="P495">
            <v>27360</v>
          </cell>
          <cell r="Q495">
            <v>0</v>
          </cell>
          <cell r="X495">
            <v>31328775</v>
          </cell>
          <cell r="Y495" t="str">
            <v>Ml</v>
          </cell>
          <cell r="Z495" t="e">
            <v>#N/A</v>
          </cell>
          <cell r="AA495" t="e">
            <v>#N/A</v>
          </cell>
          <cell r="AB495" t="e">
            <v>#N/A</v>
          </cell>
          <cell r="AC495" t="e">
            <v>#N/A</v>
          </cell>
        </row>
        <row r="497">
          <cell r="D497" t="str">
            <v>CODIGO</v>
          </cell>
          <cell r="E497" t="str">
            <v>DESCRIPCION</v>
          </cell>
          <cell r="F497" t="str">
            <v>UN</v>
          </cell>
          <cell r="G497" t="str">
            <v>CANT</v>
          </cell>
          <cell r="H497" t="str">
            <v>V/UNIT.</v>
          </cell>
          <cell r="I497" t="str">
            <v>V/TOTAL</v>
          </cell>
          <cell r="K497" t="str">
            <v>CANT TOTAL</v>
          </cell>
          <cell r="L497" t="str">
            <v>Vr TOTAL</v>
          </cell>
          <cell r="Y497" t="str">
            <v>CANT.</v>
          </cell>
          <cell r="Z497" t="str">
            <v>V/TOTAL</v>
          </cell>
        </row>
        <row r="498">
          <cell r="E498" t="str">
            <v>MATERIALES</v>
          </cell>
          <cell r="I498">
            <v>653</v>
          </cell>
          <cell r="L498">
            <v>440775</v>
          </cell>
          <cell r="Z498" t="e">
            <v>#N/A</v>
          </cell>
        </row>
        <row r="501">
          <cell r="D501" t="str">
            <v>MA27LUBRI</v>
          </cell>
          <cell r="E501" t="str">
            <v>Lubricante</v>
          </cell>
          <cell r="F501" t="str">
            <v>lb</v>
          </cell>
          <cell r="G501">
            <v>0.06</v>
          </cell>
          <cell r="H501">
            <v>10890.543999999998</v>
          </cell>
          <cell r="I501">
            <v>653</v>
          </cell>
          <cell r="J501">
            <v>0</v>
          </cell>
          <cell r="K501">
            <v>40.5</v>
          </cell>
          <cell r="L501">
            <v>441067.03199999995</v>
          </cell>
          <cell r="Y501" t="e">
            <v>#N/A</v>
          </cell>
          <cell r="Z501" t="e">
            <v>#N/A</v>
          </cell>
        </row>
        <row r="502">
          <cell r="E502" t="str">
            <v>MANO DE OBRA</v>
          </cell>
          <cell r="I502">
            <v>18400</v>
          </cell>
          <cell r="L502">
            <v>12420000</v>
          </cell>
          <cell r="Z502" t="e">
            <v>#N/A</v>
          </cell>
        </row>
        <row r="503">
          <cell r="D503" t="str">
            <v>MOANIT80</v>
          </cell>
          <cell r="E503" t="str">
            <v>Inst. Tuberia Ø 2,00 m</v>
          </cell>
          <cell r="F503" t="str">
            <v>ml</v>
          </cell>
          <cell r="G503">
            <v>1</v>
          </cell>
          <cell r="H503">
            <v>18400</v>
          </cell>
          <cell r="I503">
            <v>18400</v>
          </cell>
          <cell r="J503">
            <v>0</v>
          </cell>
          <cell r="K503">
            <v>675</v>
          </cell>
          <cell r="L503">
            <v>12420000</v>
          </cell>
          <cell r="Y503" t="e">
            <v>#N/A</v>
          </cell>
          <cell r="Z503" t="e">
            <v>#N/A</v>
          </cell>
        </row>
        <row r="505">
          <cell r="E505" t="str">
            <v>VARIOS</v>
          </cell>
          <cell r="I505">
            <v>27360</v>
          </cell>
          <cell r="L505">
            <v>18468000</v>
          </cell>
          <cell r="Z505" t="e">
            <v>#N/A</v>
          </cell>
        </row>
        <row r="506">
          <cell r="D506" t="str">
            <v>AL04RETROG</v>
          </cell>
          <cell r="E506" t="str">
            <v>Retro Oruga 320</v>
          </cell>
          <cell r="F506" t="str">
            <v>Hr</v>
          </cell>
          <cell r="G506">
            <v>0.3</v>
          </cell>
          <cell r="H506">
            <v>90000</v>
          </cell>
          <cell r="I506">
            <v>27000</v>
          </cell>
          <cell r="J506">
            <v>0</v>
          </cell>
          <cell r="K506">
            <v>202.5</v>
          </cell>
          <cell r="L506">
            <v>18225000</v>
          </cell>
          <cell r="Y506" t="e">
            <v>#N/A</v>
          </cell>
          <cell r="Z506" t="e">
            <v>#N/A</v>
          </cell>
        </row>
        <row r="507">
          <cell r="D507" t="str">
            <v>TC07HINT</v>
          </cell>
          <cell r="E507" t="str">
            <v>Herramienta Menor</v>
          </cell>
          <cell r="F507" t="str">
            <v>ML"</v>
          </cell>
          <cell r="G507">
            <v>72</v>
          </cell>
          <cell r="H507">
            <v>5</v>
          </cell>
          <cell r="I507">
            <v>360</v>
          </cell>
          <cell r="J507">
            <v>0</v>
          </cell>
          <cell r="K507">
            <v>48600</v>
          </cell>
          <cell r="L507">
            <v>243000</v>
          </cell>
          <cell r="Y507" t="e">
            <v>#N/A</v>
          </cell>
          <cell r="Z507" t="e">
            <v>#N/A</v>
          </cell>
        </row>
        <row r="508">
          <cell r="E508" t="str">
            <v>SUBTOTAL</v>
          </cell>
          <cell r="I508">
            <v>46413</v>
          </cell>
          <cell r="L508">
            <v>31328775</v>
          </cell>
          <cell r="Z508" t="e">
            <v>#N/A</v>
          </cell>
        </row>
        <row r="509">
          <cell r="E509" t="str">
            <v>A.I.U</v>
          </cell>
          <cell r="I509">
            <v>0</v>
          </cell>
          <cell r="L509">
            <v>0</v>
          </cell>
          <cell r="Z509">
            <v>0</v>
          </cell>
        </row>
        <row r="510">
          <cell r="D510" t="str">
            <v>AIUAADMON</v>
          </cell>
          <cell r="E510" t="str">
            <v>Admon</v>
          </cell>
          <cell r="F510">
            <v>0</v>
          </cell>
          <cell r="I510">
            <v>0</v>
          </cell>
          <cell r="J510">
            <v>0</v>
          </cell>
          <cell r="L510">
            <v>0</v>
          </cell>
          <cell r="Z510">
            <v>0</v>
          </cell>
        </row>
        <row r="511">
          <cell r="D511" t="str">
            <v>AIUAIMPRE</v>
          </cell>
          <cell r="E511" t="str">
            <v>Imprevistos</v>
          </cell>
          <cell r="F511">
            <v>0</v>
          </cell>
          <cell r="I511">
            <v>0</v>
          </cell>
          <cell r="J511">
            <v>0</v>
          </cell>
          <cell r="L511">
            <v>0</v>
          </cell>
          <cell r="Z511">
            <v>0</v>
          </cell>
        </row>
        <row r="512">
          <cell r="D512" t="str">
            <v>AIUAUTILI</v>
          </cell>
          <cell r="E512" t="str">
            <v>Utilidad</v>
          </cell>
          <cell r="F512">
            <v>0</v>
          </cell>
          <cell r="I512">
            <v>0</v>
          </cell>
          <cell r="J512">
            <v>0</v>
          </cell>
          <cell r="L512">
            <v>0</v>
          </cell>
          <cell r="Z512">
            <v>0</v>
          </cell>
        </row>
        <row r="513">
          <cell r="D513" t="str">
            <v>AIUAIVAUTI</v>
          </cell>
          <cell r="E513" t="str">
            <v>IVA utilidad</v>
          </cell>
          <cell r="F513">
            <v>0</v>
          </cell>
          <cell r="I513">
            <v>0</v>
          </cell>
          <cell r="J513">
            <v>0</v>
          </cell>
          <cell r="L513">
            <v>0</v>
          </cell>
          <cell r="Z513">
            <v>0</v>
          </cell>
        </row>
        <row r="515">
          <cell r="E515" t="str">
            <v>ITEM</v>
          </cell>
        </row>
        <row r="516">
          <cell r="D516" t="str">
            <v>ANITF12</v>
          </cell>
          <cell r="E516" t="str">
            <v xml:space="preserve">Instalación Tuberia Flexible  Ø 12" </v>
          </cell>
          <cell r="G516" t="str">
            <v>UN.</v>
          </cell>
          <cell r="H516" t="str">
            <v>Ml</v>
          </cell>
          <cell r="I516">
            <v>3825</v>
          </cell>
          <cell r="K516">
            <v>1173</v>
          </cell>
          <cell r="L516">
            <v>4486725</v>
          </cell>
          <cell r="N516">
            <v>185</v>
          </cell>
          <cell r="O516">
            <v>3190</v>
          </cell>
          <cell r="P516">
            <v>450</v>
          </cell>
          <cell r="Q516">
            <v>0</v>
          </cell>
          <cell r="X516">
            <v>4486725</v>
          </cell>
          <cell r="Y516" t="str">
            <v>Ml</v>
          </cell>
          <cell r="Z516" t="e">
            <v>#N/A</v>
          </cell>
          <cell r="AA516" t="e">
            <v>#N/A</v>
          </cell>
          <cell r="AB516" t="e">
            <v>#N/A</v>
          </cell>
          <cell r="AC516" t="e">
            <v>#N/A</v>
          </cell>
        </row>
        <row r="518">
          <cell r="D518" t="str">
            <v>CODIGO</v>
          </cell>
          <cell r="E518" t="str">
            <v>DESCRIPCION</v>
          </cell>
          <cell r="F518" t="str">
            <v>UN</v>
          </cell>
          <cell r="G518" t="str">
            <v>CANT</v>
          </cell>
          <cell r="H518" t="str">
            <v>V/UNIT.</v>
          </cell>
          <cell r="I518" t="str">
            <v>V/TOTAL</v>
          </cell>
          <cell r="K518" t="str">
            <v>CANT TOTAL</v>
          </cell>
          <cell r="L518" t="str">
            <v>Vr TOTAL</v>
          </cell>
          <cell r="Y518" t="str">
            <v>CANT.</v>
          </cell>
          <cell r="Z518" t="str">
            <v>V/TOTAL</v>
          </cell>
        </row>
        <row r="519">
          <cell r="E519" t="str">
            <v>MATERIALES</v>
          </cell>
          <cell r="I519">
            <v>185</v>
          </cell>
          <cell r="L519">
            <v>217005</v>
          </cell>
          <cell r="Z519" t="e">
            <v>#N/A</v>
          </cell>
        </row>
        <row r="520">
          <cell r="I520">
            <v>0</v>
          </cell>
          <cell r="J520">
            <v>0</v>
          </cell>
          <cell r="K520">
            <v>0</v>
          </cell>
          <cell r="L520">
            <v>0</v>
          </cell>
          <cell r="Y520">
            <v>0</v>
          </cell>
          <cell r="Z520">
            <v>0</v>
          </cell>
        </row>
        <row r="521">
          <cell r="D521" t="str">
            <v>MA27LUBRI</v>
          </cell>
          <cell r="E521" t="str">
            <v>Lubricante</v>
          </cell>
          <cell r="F521" t="str">
            <v>lb</v>
          </cell>
          <cell r="G521">
            <v>1.7000000000000001E-2</v>
          </cell>
          <cell r="H521">
            <v>10890.543999999998</v>
          </cell>
          <cell r="I521">
            <v>185</v>
          </cell>
          <cell r="J521">
            <v>0</v>
          </cell>
          <cell r="K521">
            <v>19.941000000000003</v>
          </cell>
          <cell r="L521">
            <v>217168.33790399999</v>
          </cell>
          <cell r="Y521" t="e">
            <v>#N/A</v>
          </cell>
          <cell r="Z521" t="e">
            <v>#N/A</v>
          </cell>
        </row>
        <row r="522">
          <cell r="I522">
            <v>0</v>
          </cell>
          <cell r="J522">
            <v>0</v>
          </cell>
          <cell r="K522">
            <v>0</v>
          </cell>
          <cell r="L522">
            <v>0</v>
          </cell>
          <cell r="Y522">
            <v>0</v>
          </cell>
          <cell r="Z522">
            <v>0</v>
          </cell>
        </row>
        <row r="524">
          <cell r="E524" t="str">
            <v>MANO DE OBRA</v>
          </cell>
          <cell r="I524">
            <v>3190</v>
          </cell>
          <cell r="L524">
            <v>3741870</v>
          </cell>
          <cell r="Z524" t="e">
            <v>#N/A</v>
          </cell>
        </row>
        <row r="525">
          <cell r="D525" t="str">
            <v>MOANITF12</v>
          </cell>
          <cell r="E525" t="str">
            <v>Inst. Tuberia Ø 12"</v>
          </cell>
          <cell r="F525" t="str">
            <v>ml</v>
          </cell>
          <cell r="G525">
            <v>1</v>
          </cell>
          <cell r="H525">
            <v>3190</v>
          </cell>
          <cell r="I525">
            <v>3190</v>
          </cell>
          <cell r="J525">
            <v>0</v>
          </cell>
          <cell r="K525">
            <v>1173</v>
          </cell>
          <cell r="L525">
            <v>3741870</v>
          </cell>
          <cell r="Y525" t="e">
            <v>#N/A</v>
          </cell>
          <cell r="Z525" t="e">
            <v>#N/A</v>
          </cell>
        </row>
        <row r="527">
          <cell r="E527" t="str">
            <v>VARIOS</v>
          </cell>
          <cell r="I527">
            <v>450</v>
          </cell>
          <cell r="L527">
            <v>527850</v>
          </cell>
          <cell r="Z527" t="e">
            <v>#N/A</v>
          </cell>
        </row>
        <row r="528">
          <cell r="D528" t="str">
            <v>TC07H400</v>
          </cell>
          <cell r="E528" t="str">
            <v>Herramienta y Varios</v>
          </cell>
          <cell r="F528" t="str">
            <v>Gb</v>
          </cell>
          <cell r="G528">
            <v>1</v>
          </cell>
          <cell r="H528">
            <v>450</v>
          </cell>
          <cell r="I528">
            <v>450</v>
          </cell>
          <cell r="J528">
            <v>0</v>
          </cell>
          <cell r="K528">
            <v>1173</v>
          </cell>
          <cell r="L528">
            <v>527850</v>
          </cell>
          <cell r="Y528" t="e">
            <v>#N/A</v>
          </cell>
          <cell r="Z528" t="e">
            <v>#N/A</v>
          </cell>
        </row>
        <row r="530">
          <cell r="E530" t="str">
            <v>SUBTOTAL</v>
          </cell>
          <cell r="I530">
            <v>3825</v>
          </cell>
          <cell r="L530">
            <v>4486725</v>
          </cell>
          <cell r="Z530" t="e">
            <v>#N/A</v>
          </cell>
        </row>
        <row r="531">
          <cell r="E531" t="str">
            <v>A.I.U</v>
          </cell>
          <cell r="I531">
            <v>0</v>
          </cell>
          <cell r="L531">
            <v>0</v>
          </cell>
          <cell r="Z531">
            <v>0</v>
          </cell>
        </row>
        <row r="532">
          <cell r="D532" t="str">
            <v>AIUAADMON</v>
          </cell>
          <cell r="E532" t="str">
            <v>Admon</v>
          </cell>
          <cell r="F532">
            <v>0</v>
          </cell>
          <cell r="I532">
            <v>0</v>
          </cell>
          <cell r="J532">
            <v>0</v>
          </cell>
          <cell r="L532">
            <v>0</v>
          </cell>
          <cell r="Z532">
            <v>0</v>
          </cell>
        </row>
        <row r="533">
          <cell r="D533" t="str">
            <v>AIUAIMPRE</v>
          </cell>
          <cell r="E533" t="str">
            <v>Imprevistos</v>
          </cell>
          <cell r="F533">
            <v>0</v>
          </cell>
          <cell r="I533">
            <v>0</v>
          </cell>
          <cell r="J533">
            <v>0</v>
          </cell>
          <cell r="L533">
            <v>0</v>
          </cell>
          <cell r="Z533">
            <v>0</v>
          </cell>
        </row>
        <row r="534">
          <cell r="D534" t="str">
            <v>AIUAUTILI</v>
          </cell>
          <cell r="E534" t="str">
            <v>Utilidad</v>
          </cell>
          <cell r="F534">
            <v>0</v>
          </cell>
          <cell r="I534">
            <v>0</v>
          </cell>
          <cell r="J534">
            <v>0</v>
          </cell>
          <cell r="L534">
            <v>0</v>
          </cell>
          <cell r="Z534">
            <v>0</v>
          </cell>
        </row>
        <row r="535">
          <cell r="D535" t="str">
            <v>AIUAIVAUTI</v>
          </cell>
          <cell r="E535" t="str">
            <v>IVA utilidad</v>
          </cell>
          <cell r="F535">
            <v>0</v>
          </cell>
          <cell r="I535">
            <v>0</v>
          </cell>
          <cell r="J535">
            <v>0</v>
          </cell>
          <cell r="L535">
            <v>0</v>
          </cell>
          <cell r="Z535">
            <v>0</v>
          </cell>
        </row>
        <row r="537">
          <cell r="E537" t="str">
            <v>ITEM</v>
          </cell>
        </row>
        <row r="538">
          <cell r="D538" t="str">
            <v>ANITF18</v>
          </cell>
          <cell r="E538" t="str">
            <v xml:space="preserve">Instalación Tuberia Flexible  Ø 14-18" </v>
          </cell>
          <cell r="G538" t="str">
            <v>UN.</v>
          </cell>
          <cell r="H538" t="str">
            <v>Ml</v>
          </cell>
          <cell r="I538">
            <v>5088</v>
          </cell>
          <cell r="K538">
            <v>522</v>
          </cell>
          <cell r="L538">
            <v>2655936</v>
          </cell>
          <cell r="N538">
            <v>218</v>
          </cell>
          <cell r="O538">
            <v>4420</v>
          </cell>
          <cell r="P538">
            <v>450</v>
          </cell>
          <cell r="Q538">
            <v>0</v>
          </cell>
          <cell r="X538">
            <v>2655936</v>
          </cell>
          <cell r="Y538" t="str">
            <v>Ml</v>
          </cell>
          <cell r="Z538" t="e">
            <v>#N/A</v>
          </cell>
          <cell r="AA538" t="e">
            <v>#N/A</v>
          </cell>
          <cell r="AB538" t="e">
            <v>#N/A</v>
          </cell>
          <cell r="AC538" t="e">
            <v>#N/A</v>
          </cell>
        </row>
        <row r="540">
          <cell r="D540" t="str">
            <v>CODIGO</v>
          </cell>
          <cell r="E540" t="str">
            <v>DESCRIPCION</v>
          </cell>
          <cell r="F540" t="str">
            <v>UN</v>
          </cell>
          <cell r="G540" t="str">
            <v>CANT</v>
          </cell>
          <cell r="H540" t="str">
            <v>V/UNIT.</v>
          </cell>
          <cell r="I540" t="str">
            <v>V/TOTAL</v>
          </cell>
          <cell r="K540" t="str">
            <v>CANT TOTAL</v>
          </cell>
          <cell r="L540" t="str">
            <v>Vr TOTAL</v>
          </cell>
          <cell r="Y540" t="str">
            <v>CANT.</v>
          </cell>
          <cell r="Z540" t="str">
            <v>V/TOTAL</v>
          </cell>
        </row>
        <row r="541">
          <cell r="E541" t="str">
            <v>MATERIALES</v>
          </cell>
          <cell r="I541">
            <v>218</v>
          </cell>
          <cell r="L541">
            <v>113796</v>
          </cell>
          <cell r="Z541" t="e">
            <v>#N/A</v>
          </cell>
        </row>
        <row r="542">
          <cell r="I542">
            <v>0</v>
          </cell>
          <cell r="J542">
            <v>0</v>
          </cell>
          <cell r="K542">
            <v>0</v>
          </cell>
          <cell r="L542">
            <v>0</v>
          </cell>
          <cell r="Y542">
            <v>0</v>
          </cell>
          <cell r="Z542">
            <v>0</v>
          </cell>
        </row>
        <row r="543">
          <cell r="D543" t="str">
            <v>MA27LUBRI</v>
          </cell>
          <cell r="E543" t="str">
            <v>Lubricante</v>
          </cell>
          <cell r="F543" t="str">
            <v>lb</v>
          </cell>
          <cell r="G543">
            <v>0.02</v>
          </cell>
          <cell r="H543">
            <v>10890.543999999998</v>
          </cell>
          <cell r="I543">
            <v>218</v>
          </cell>
          <cell r="J543">
            <v>0</v>
          </cell>
          <cell r="K543">
            <v>10.44</v>
          </cell>
          <cell r="L543">
            <v>113697.27935999997</v>
          </cell>
          <cell r="Y543" t="e">
            <v>#N/A</v>
          </cell>
          <cell r="Z543" t="e">
            <v>#N/A</v>
          </cell>
        </row>
        <row r="544">
          <cell r="I544">
            <v>0</v>
          </cell>
          <cell r="J544">
            <v>0</v>
          </cell>
          <cell r="K544">
            <v>0</v>
          </cell>
          <cell r="L544">
            <v>0</v>
          </cell>
          <cell r="Y544">
            <v>0</v>
          </cell>
          <cell r="Z544">
            <v>0</v>
          </cell>
        </row>
        <row r="546">
          <cell r="E546" t="str">
            <v>MANO DE OBRA</v>
          </cell>
          <cell r="I546">
            <v>4420</v>
          </cell>
          <cell r="L546">
            <v>2307240</v>
          </cell>
          <cell r="Z546" t="e">
            <v>#N/A</v>
          </cell>
        </row>
        <row r="547">
          <cell r="D547" t="str">
            <v>MOANITF18</v>
          </cell>
          <cell r="E547" t="str">
            <v>Inst. Tuberia Ø 14-18"</v>
          </cell>
          <cell r="F547" t="str">
            <v>ml</v>
          </cell>
          <cell r="G547">
            <v>1</v>
          </cell>
          <cell r="H547">
            <v>4420</v>
          </cell>
          <cell r="I547">
            <v>4420</v>
          </cell>
          <cell r="J547">
            <v>0</v>
          </cell>
          <cell r="K547">
            <v>522</v>
          </cell>
          <cell r="L547">
            <v>2307240</v>
          </cell>
          <cell r="Y547" t="e">
            <v>#N/A</v>
          </cell>
          <cell r="Z547" t="e">
            <v>#N/A</v>
          </cell>
        </row>
        <row r="549">
          <cell r="E549" t="str">
            <v>VARIOS</v>
          </cell>
          <cell r="I549">
            <v>450</v>
          </cell>
          <cell r="L549">
            <v>234900</v>
          </cell>
          <cell r="Z549" t="e">
            <v>#N/A</v>
          </cell>
        </row>
        <row r="550">
          <cell r="D550" t="str">
            <v>TC07H400</v>
          </cell>
          <cell r="E550" t="str">
            <v>Herramienta y Varios</v>
          </cell>
          <cell r="F550" t="str">
            <v>Gb</v>
          </cell>
          <cell r="G550">
            <v>1</v>
          </cell>
          <cell r="H550">
            <v>450</v>
          </cell>
          <cell r="I550">
            <v>450</v>
          </cell>
          <cell r="J550">
            <v>0</v>
          </cell>
          <cell r="K550">
            <v>522</v>
          </cell>
          <cell r="L550">
            <v>234900</v>
          </cell>
          <cell r="Y550" t="e">
            <v>#N/A</v>
          </cell>
          <cell r="Z550" t="e">
            <v>#N/A</v>
          </cell>
        </row>
        <row r="552">
          <cell r="E552" t="str">
            <v>SUBTOTAL</v>
          </cell>
          <cell r="I552">
            <v>5088</v>
          </cell>
          <cell r="L552">
            <v>2655936</v>
          </cell>
          <cell r="Z552" t="e">
            <v>#N/A</v>
          </cell>
        </row>
        <row r="553">
          <cell r="E553" t="str">
            <v>A.I.U</v>
          </cell>
          <cell r="I553">
            <v>0</v>
          </cell>
          <cell r="L553">
            <v>0</v>
          </cell>
          <cell r="Z553">
            <v>0</v>
          </cell>
        </row>
        <row r="554">
          <cell r="D554" t="str">
            <v>AIUAADMON</v>
          </cell>
          <cell r="E554" t="str">
            <v>Admon</v>
          </cell>
          <cell r="F554">
            <v>0</v>
          </cell>
          <cell r="I554">
            <v>0</v>
          </cell>
          <cell r="J554">
            <v>0</v>
          </cell>
          <cell r="L554">
            <v>0</v>
          </cell>
          <cell r="Z554">
            <v>0</v>
          </cell>
        </row>
        <row r="555">
          <cell r="D555" t="str">
            <v>AIUAIMPRE</v>
          </cell>
          <cell r="E555" t="str">
            <v>Imprevistos</v>
          </cell>
          <cell r="F555">
            <v>0</v>
          </cell>
          <cell r="I555">
            <v>0</v>
          </cell>
          <cell r="J555">
            <v>0</v>
          </cell>
          <cell r="L555">
            <v>0</v>
          </cell>
          <cell r="Z555">
            <v>0</v>
          </cell>
        </row>
        <row r="556">
          <cell r="D556" t="str">
            <v>AIUAUTILI</v>
          </cell>
          <cell r="E556" t="str">
            <v>Utilidad</v>
          </cell>
          <cell r="F556">
            <v>0</v>
          </cell>
          <cell r="I556">
            <v>0</v>
          </cell>
          <cell r="J556">
            <v>0</v>
          </cell>
          <cell r="L556">
            <v>0</v>
          </cell>
          <cell r="Z556">
            <v>0</v>
          </cell>
        </row>
        <row r="557">
          <cell r="D557" t="str">
            <v>AIUAIVAUTI</v>
          </cell>
          <cell r="E557" t="str">
            <v>IVA utilidad</v>
          </cell>
          <cell r="F557">
            <v>0</v>
          </cell>
          <cell r="I557">
            <v>0</v>
          </cell>
          <cell r="J557">
            <v>0</v>
          </cell>
          <cell r="L557">
            <v>0</v>
          </cell>
          <cell r="Z557">
            <v>0</v>
          </cell>
        </row>
        <row r="559">
          <cell r="E559" t="str">
            <v>ITEM</v>
          </cell>
        </row>
        <row r="560">
          <cell r="D560" t="str">
            <v>ANITF24</v>
          </cell>
          <cell r="E560" t="str">
            <v xml:space="preserve">Instalación Tuberia Flexible  Ø 20-24" </v>
          </cell>
          <cell r="G560" t="str">
            <v>UN.</v>
          </cell>
          <cell r="H560" t="str">
            <v>Ml</v>
          </cell>
          <cell r="I560">
            <v>6428</v>
          </cell>
          <cell r="K560">
            <v>0</v>
          </cell>
          <cell r="L560">
            <v>0</v>
          </cell>
          <cell r="N560">
            <v>218</v>
          </cell>
          <cell r="O560">
            <v>5760</v>
          </cell>
          <cell r="P560">
            <v>450</v>
          </cell>
          <cell r="Q560">
            <v>0</v>
          </cell>
          <cell r="X560">
            <v>0</v>
          </cell>
          <cell r="Y560" t="str">
            <v>Ml</v>
          </cell>
          <cell r="Z560" t="e">
            <v>#N/A</v>
          </cell>
          <cell r="AA560" t="e">
            <v>#N/A</v>
          </cell>
          <cell r="AB560" t="e">
            <v>#N/A</v>
          </cell>
          <cell r="AC560" t="e">
            <v>#N/A</v>
          </cell>
        </row>
        <row r="562">
          <cell r="D562" t="str">
            <v>CODIGO</v>
          </cell>
          <cell r="E562" t="str">
            <v>DESCRIPCION</v>
          </cell>
          <cell r="F562" t="str">
            <v>UN</v>
          </cell>
          <cell r="G562" t="str">
            <v>CANT</v>
          </cell>
          <cell r="H562" t="str">
            <v>V/UNIT.</v>
          </cell>
          <cell r="I562" t="str">
            <v>V/TOTAL</v>
          </cell>
          <cell r="K562" t="str">
            <v>CANT TOTAL</v>
          </cell>
          <cell r="L562" t="str">
            <v>Vr TOTAL</v>
          </cell>
          <cell r="Y562" t="str">
            <v>CANT.</v>
          </cell>
          <cell r="Z562" t="str">
            <v>V/TOTAL</v>
          </cell>
        </row>
        <row r="563">
          <cell r="E563" t="str">
            <v>MATERIALES</v>
          </cell>
          <cell r="I563">
            <v>218</v>
          </cell>
          <cell r="L563">
            <v>0</v>
          </cell>
          <cell r="Z563" t="e">
            <v>#N/A</v>
          </cell>
        </row>
        <row r="564">
          <cell r="D564" t="str">
            <v>MA27LUBRI</v>
          </cell>
          <cell r="E564" t="str">
            <v>Lubricante</v>
          </cell>
          <cell r="F564" t="str">
            <v>lb</v>
          </cell>
          <cell r="G564">
            <v>0.02</v>
          </cell>
          <cell r="H564">
            <v>10890.543999999998</v>
          </cell>
          <cell r="I564">
            <v>218</v>
          </cell>
          <cell r="J564">
            <v>0</v>
          </cell>
          <cell r="K564">
            <v>0</v>
          </cell>
          <cell r="L564">
            <v>0</v>
          </cell>
          <cell r="Y564" t="e">
            <v>#N/A</v>
          </cell>
          <cell r="Z564" t="e">
            <v>#N/A</v>
          </cell>
        </row>
        <row r="565">
          <cell r="I565">
            <v>0</v>
          </cell>
          <cell r="J565">
            <v>0</v>
          </cell>
          <cell r="K565">
            <v>0</v>
          </cell>
          <cell r="L565">
            <v>0</v>
          </cell>
          <cell r="Y565">
            <v>0</v>
          </cell>
          <cell r="Z565">
            <v>0</v>
          </cell>
        </row>
        <row r="566">
          <cell r="I566">
            <v>0</v>
          </cell>
          <cell r="J566">
            <v>0</v>
          </cell>
          <cell r="K566">
            <v>0</v>
          </cell>
          <cell r="L566">
            <v>0</v>
          </cell>
          <cell r="Y566">
            <v>0</v>
          </cell>
          <cell r="Z566">
            <v>0</v>
          </cell>
        </row>
        <row r="568">
          <cell r="E568" t="str">
            <v>MANO DE OBRA</v>
          </cell>
          <cell r="I568">
            <v>5760</v>
          </cell>
          <cell r="L568">
            <v>0</v>
          </cell>
          <cell r="Z568" t="e">
            <v>#N/A</v>
          </cell>
        </row>
        <row r="569">
          <cell r="D569" t="str">
            <v>MOANITF24</v>
          </cell>
          <cell r="E569" t="str">
            <v>Inst. Tuberia Ø 20-24"</v>
          </cell>
          <cell r="F569" t="str">
            <v>ml</v>
          </cell>
          <cell r="G569">
            <v>1</v>
          </cell>
          <cell r="H569">
            <v>5760</v>
          </cell>
          <cell r="I569">
            <v>5760</v>
          </cell>
          <cell r="J569">
            <v>0</v>
          </cell>
          <cell r="K569">
            <v>0</v>
          </cell>
          <cell r="L569">
            <v>0</v>
          </cell>
          <cell r="Y569" t="e">
            <v>#N/A</v>
          </cell>
          <cell r="Z569" t="e">
            <v>#N/A</v>
          </cell>
        </row>
        <row r="571">
          <cell r="E571" t="str">
            <v>VARIOS</v>
          </cell>
          <cell r="I571">
            <v>450</v>
          </cell>
          <cell r="L571">
            <v>0</v>
          </cell>
          <cell r="Z571" t="e">
            <v>#N/A</v>
          </cell>
        </row>
        <row r="572">
          <cell r="D572" t="str">
            <v>TC07H400</v>
          </cell>
          <cell r="E572" t="str">
            <v>Herramienta y Varios</v>
          </cell>
          <cell r="F572" t="str">
            <v>Gb</v>
          </cell>
          <cell r="G572">
            <v>1</v>
          </cell>
          <cell r="H572">
            <v>450</v>
          </cell>
          <cell r="I572">
            <v>450</v>
          </cell>
          <cell r="J572">
            <v>0</v>
          </cell>
          <cell r="K572">
            <v>0</v>
          </cell>
          <cell r="L572">
            <v>0</v>
          </cell>
          <cell r="Y572" t="e">
            <v>#N/A</v>
          </cell>
          <cell r="Z572" t="e">
            <v>#N/A</v>
          </cell>
        </row>
        <row r="574">
          <cell r="E574" t="str">
            <v>SUBTOTAL</v>
          </cell>
          <cell r="I574">
            <v>6428</v>
          </cell>
          <cell r="L574">
            <v>0</v>
          </cell>
          <cell r="Z574" t="e">
            <v>#N/A</v>
          </cell>
        </row>
        <row r="575">
          <cell r="E575" t="str">
            <v>A.I.U</v>
          </cell>
          <cell r="I575">
            <v>0</v>
          </cell>
          <cell r="L575">
            <v>0</v>
          </cell>
          <cell r="Z575">
            <v>0</v>
          </cell>
        </row>
        <row r="576">
          <cell r="D576" t="str">
            <v>AIUAADMON</v>
          </cell>
          <cell r="E576" t="str">
            <v>Admon</v>
          </cell>
          <cell r="F576">
            <v>0</v>
          </cell>
          <cell r="I576">
            <v>0</v>
          </cell>
          <cell r="J576">
            <v>0</v>
          </cell>
          <cell r="L576">
            <v>0</v>
          </cell>
          <cell r="Z576">
            <v>0</v>
          </cell>
        </row>
        <row r="577">
          <cell r="D577" t="str">
            <v>AIUAIMPRE</v>
          </cell>
          <cell r="E577" t="str">
            <v>Imprevistos</v>
          </cell>
          <cell r="F577">
            <v>0</v>
          </cell>
          <cell r="I577">
            <v>0</v>
          </cell>
          <cell r="J577">
            <v>0</v>
          </cell>
          <cell r="L577">
            <v>0</v>
          </cell>
          <cell r="Z577">
            <v>0</v>
          </cell>
        </row>
        <row r="578">
          <cell r="D578" t="str">
            <v>AIUAUTILI</v>
          </cell>
          <cell r="E578" t="str">
            <v>Utilidad</v>
          </cell>
          <cell r="F578">
            <v>0</v>
          </cell>
          <cell r="I578">
            <v>0</v>
          </cell>
          <cell r="J578">
            <v>0</v>
          </cell>
          <cell r="L578">
            <v>0</v>
          </cell>
          <cell r="Z578">
            <v>0</v>
          </cell>
        </row>
        <row r="579">
          <cell r="D579" t="str">
            <v>AIUAIVAUTI</v>
          </cell>
          <cell r="E579" t="str">
            <v>IVA utilidad</v>
          </cell>
          <cell r="F579">
            <v>0</v>
          </cell>
          <cell r="I579">
            <v>0</v>
          </cell>
          <cell r="J579">
            <v>0</v>
          </cell>
          <cell r="L579">
            <v>0</v>
          </cell>
          <cell r="Z579">
            <v>0</v>
          </cell>
        </row>
        <row r="581">
          <cell r="E581" t="str">
            <v>ITEM</v>
          </cell>
        </row>
        <row r="582">
          <cell r="D582" t="str">
            <v>ANSCRC130</v>
          </cell>
          <cell r="E582" t="str">
            <v>Suministro Tuberia Concreto TCR CL-1 30"</v>
          </cell>
          <cell r="G582" t="str">
            <v>UN.</v>
          </cell>
          <cell r="H582" t="str">
            <v>Ml</v>
          </cell>
          <cell r="I582">
            <v>168472</v>
          </cell>
          <cell r="K582">
            <v>105.3</v>
          </cell>
          <cell r="L582">
            <v>17740101.599999998</v>
          </cell>
          <cell r="N582">
            <v>160520</v>
          </cell>
          <cell r="O582">
            <v>0</v>
          </cell>
          <cell r="P582">
            <v>7952</v>
          </cell>
          <cell r="Q582">
            <v>0</v>
          </cell>
          <cell r="X582">
            <v>17740101.599999998</v>
          </cell>
          <cell r="Y582" t="str">
            <v>Ml</v>
          </cell>
          <cell r="Z582" t="e">
            <v>#N/A</v>
          </cell>
          <cell r="AA582" t="e">
            <v>#N/A</v>
          </cell>
          <cell r="AB582">
            <v>0</v>
          </cell>
          <cell r="AC582" t="e">
            <v>#N/A</v>
          </cell>
        </row>
        <row r="584">
          <cell r="D584" t="str">
            <v>CODIGO</v>
          </cell>
          <cell r="E584" t="str">
            <v>DESCRIPCION</v>
          </cell>
          <cell r="F584" t="str">
            <v>UN</v>
          </cell>
          <cell r="G584" t="str">
            <v>CANT</v>
          </cell>
          <cell r="H584" t="str">
            <v>V/UNIT.</v>
          </cell>
          <cell r="I584" t="str">
            <v>V/TOTAL</v>
          </cell>
          <cell r="K584" t="str">
            <v>CANT TOTAL</v>
          </cell>
          <cell r="L584" t="str">
            <v>Vr TOTAL</v>
          </cell>
          <cell r="Y584" t="str">
            <v>CANT.</v>
          </cell>
          <cell r="Z584" t="str">
            <v>V/TOTAL</v>
          </cell>
        </row>
        <row r="585">
          <cell r="E585" t="str">
            <v>MATERIALES</v>
          </cell>
          <cell r="I585">
            <v>160520</v>
          </cell>
          <cell r="L585">
            <v>16902756</v>
          </cell>
          <cell r="Z585" t="e">
            <v>#N/A</v>
          </cell>
        </row>
        <row r="586">
          <cell r="D586" t="str">
            <v>MA46TCRC130</v>
          </cell>
          <cell r="E586" t="str">
            <v>Tuberia concreto TCR CL-I 30"</v>
          </cell>
          <cell r="F586" t="str">
            <v>ml</v>
          </cell>
          <cell r="G586">
            <v>1</v>
          </cell>
          <cell r="H586">
            <v>160520</v>
          </cell>
          <cell r="I586">
            <v>160520</v>
          </cell>
          <cell r="J586">
            <v>0</v>
          </cell>
          <cell r="K586">
            <v>105.3</v>
          </cell>
          <cell r="L586">
            <v>16902756</v>
          </cell>
          <cell r="Y586" t="e">
            <v>#N/A</v>
          </cell>
          <cell r="Z586" t="e">
            <v>#N/A</v>
          </cell>
        </row>
        <row r="589">
          <cell r="E589" t="str">
            <v>MANO DE OBRA</v>
          </cell>
          <cell r="I589">
            <v>0</v>
          </cell>
          <cell r="L589">
            <v>0</v>
          </cell>
          <cell r="Z589">
            <v>0</v>
          </cell>
        </row>
        <row r="592">
          <cell r="E592" t="str">
            <v>VARIOS</v>
          </cell>
          <cell r="I592">
            <v>7952</v>
          </cell>
          <cell r="L592">
            <v>837345.6</v>
          </cell>
          <cell r="Z592" t="e">
            <v>#N/A</v>
          </cell>
        </row>
        <row r="593">
          <cell r="D593" t="str">
            <v>TC60TT</v>
          </cell>
          <cell r="E593" t="str">
            <v>Transporte Tuberia</v>
          </cell>
          <cell r="F593" t="str">
            <v>Kg</v>
          </cell>
          <cell r="G593">
            <v>568</v>
          </cell>
          <cell r="H593">
            <v>14</v>
          </cell>
          <cell r="I593">
            <v>7952</v>
          </cell>
          <cell r="J593">
            <v>0</v>
          </cell>
          <cell r="K593">
            <v>59810.400000000001</v>
          </cell>
          <cell r="L593">
            <v>837345.6</v>
          </cell>
          <cell r="Y593" t="e">
            <v>#N/A</v>
          </cell>
          <cell r="Z593" t="e">
            <v>#N/A</v>
          </cell>
        </row>
        <row r="594">
          <cell r="E594" t="str">
            <v>SUBTOTAL</v>
          </cell>
          <cell r="I594">
            <v>168472</v>
          </cell>
          <cell r="L594">
            <v>17740101.599999998</v>
          </cell>
          <cell r="Z594" t="e">
            <v>#N/A</v>
          </cell>
        </row>
        <row r="595">
          <cell r="E595" t="str">
            <v>A.I.U</v>
          </cell>
          <cell r="I595">
            <v>0</v>
          </cell>
          <cell r="L595">
            <v>0</v>
          </cell>
          <cell r="Z595">
            <v>0</v>
          </cell>
        </row>
        <row r="596">
          <cell r="D596" t="str">
            <v>AIUAADMON</v>
          </cell>
          <cell r="E596" t="str">
            <v>Admon</v>
          </cell>
          <cell r="F596">
            <v>0</v>
          </cell>
          <cell r="I596">
            <v>0</v>
          </cell>
          <cell r="J596">
            <v>0</v>
          </cell>
          <cell r="L596">
            <v>0</v>
          </cell>
          <cell r="Z596">
            <v>0</v>
          </cell>
        </row>
        <row r="597">
          <cell r="D597" t="str">
            <v>AIUAIMPRE</v>
          </cell>
          <cell r="E597" t="str">
            <v>Imprevistos</v>
          </cell>
          <cell r="F597">
            <v>0</v>
          </cell>
          <cell r="I597">
            <v>0</v>
          </cell>
          <cell r="J597">
            <v>0</v>
          </cell>
          <cell r="L597">
            <v>0</v>
          </cell>
          <cell r="Z597">
            <v>0</v>
          </cell>
        </row>
        <row r="598">
          <cell r="D598" t="str">
            <v>AIUAUTILI</v>
          </cell>
          <cell r="E598" t="str">
            <v>Utilidad</v>
          </cell>
          <cell r="F598">
            <v>0</v>
          </cell>
          <cell r="I598">
            <v>0</v>
          </cell>
          <cell r="J598">
            <v>0</v>
          </cell>
          <cell r="L598">
            <v>0</v>
          </cell>
          <cell r="Z598">
            <v>0</v>
          </cell>
        </row>
        <row r="599">
          <cell r="D599" t="str">
            <v>AIUAIVAUTI</v>
          </cell>
          <cell r="E599" t="str">
            <v>IVA utilidad</v>
          </cell>
          <cell r="F599">
            <v>0</v>
          </cell>
          <cell r="I599">
            <v>0</v>
          </cell>
          <cell r="J599">
            <v>0</v>
          </cell>
          <cell r="L599">
            <v>0</v>
          </cell>
          <cell r="Z599">
            <v>0</v>
          </cell>
        </row>
        <row r="601">
          <cell r="E601" t="str">
            <v>ITEM</v>
          </cell>
        </row>
        <row r="602">
          <cell r="D602" t="str">
            <v>ANSCRC136</v>
          </cell>
          <cell r="E602" t="str">
            <v>Suministro Tuberia Concreto TCR CL-1 36"</v>
          </cell>
          <cell r="G602" t="str">
            <v>UN.</v>
          </cell>
          <cell r="H602" t="str">
            <v>Ml</v>
          </cell>
          <cell r="I602">
            <v>218113</v>
          </cell>
          <cell r="K602">
            <v>0</v>
          </cell>
          <cell r="L602">
            <v>0</v>
          </cell>
          <cell r="N602">
            <v>205905</v>
          </cell>
          <cell r="O602">
            <v>0</v>
          </cell>
          <cell r="P602">
            <v>12208</v>
          </cell>
          <cell r="Q602">
            <v>0</v>
          </cell>
          <cell r="X602">
            <v>0</v>
          </cell>
          <cell r="Y602" t="str">
            <v>Ml</v>
          </cell>
          <cell r="Z602" t="e">
            <v>#N/A</v>
          </cell>
          <cell r="AA602" t="e">
            <v>#N/A</v>
          </cell>
          <cell r="AB602">
            <v>0</v>
          </cell>
          <cell r="AC602" t="e">
            <v>#N/A</v>
          </cell>
        </row>
        <row r="604">
          <cell r="D604" t="str">
            <v>CODIGO</v>
          </cell>
          <cell r="E604" t="str">
            <v>DESCRIPCION</v>
          </cell>
          <cell r="F604" t="str">
            <v>UN</v>
          </cell>
          <cell r="G604" t="str">
            <v>CANT</v>
          </cell>
          <cell r="H604" t="str">
            <v>V/UNIT.</v>
          </cell>
          <cell r="I604" t="str">
            <v>V/TOTAL</v>
          </cell>
          <cell r="K604" t="str">
            <v>CANT TOTAL</v>
          </cell>
          <cell r="L604" t="str">
            <v>Vr TOTAL</v>
          </cell>
          <cell r="Y604" t="str">
            <v>CANT.</v>
          </cell>
          <cell r="Z604" t="str">
            <v>V/TOTAL</v>
          </cell>
        </row>
        <row r="605">
          <cell r="E605" t="str">
            <v>MATERIALES</v>
          </cell>
          <cell r="I605">
            <v>205905</v>
          </cell>
          <cell r="L605">
            <v>0</v>
          </cell>
          <cell r="Z605" t="e">
            <v>#N/A</v>
          </cell>
        </row>
        <row r="606">
          <cell r="D606" t="str">
            <v>MA46TCRC136</v>
          </cell>
          <cell r="E606" t="str">
            <v>Tuberia concreto TCR CL-I 36"</v>
          </cell>
          <cell r="F606" t="str">
            <v>ml</v>
          </cell>
          <cell r="G606">
            <v>1</v>
          </cell>
          <cell r="H606">
            <v>205904.64000000001</v>
          </cell>
          <cell r="I606">
            <v>205905</v>
          </cell>
          <cell r="J606">
            <v>0</v>
          </cell>
          <cell r="K606">
            <v>0</v>
          </cell>
          <cell r="L606">
            <v>0</v>
          </cell>
          <cell r="Y606" t="e">
            <v>#N/A</v>
          </cell>
          <cell r="Z606" t="e">
            <v>#N/A</v>
          </cell>
        </row>
        <row r="609">
          <cell r="E609" t="str">
            <v>MANO DE OBRA</v>
          </cell>
          <cell r="I609">
            <v>0</v>
          </cell>
          <cell r="L609">
            <v>0</v>
          </cell>
          <cell r="Z609">
            <v>0</v>
          </cell>
        </row>
        <row r="612">
          <cell r="E612" t="str">
            <v>VARIOS</v>
          </cell>
          <cell r="I612">
            <v>12208</v>
          </cell>
          <cell r="L612">
            <v>0</v>
          </cell>
          <cell r="Z612" t="e">
            <v>#N/A</v>
          </cell>
        </row>
        <row r="613">
          <cell r="D613" t="str">
            <v>TC60TT</v>
          </cell>
          <cell r="E613" t="str">
            <v>Transporte Tuberia</v>
          </cell>
          <cell r="F613" t="str">
            <v>Kg</v>
          </cell>
          <cell r="G613">
            <v>872</v>
          </cell>
          <cell r="H613">
            <v>14</v>
          </cell>
          <cell r="I613">
            <v>12208</v>
          </cell>
          <cell r="J613">
            <v>0</v>
          </cell>
          <cell r="K613">
            <v>0</v>
          </cell>
          <cell r="L613">
            <v>0</v>
          </cell>
          <cell r="Y613" t="e">
            <v>#N/A</v>
          </cell>
          <cell r="Z613" t="e">
            <v>#N/A</v>
          </cell>
        </row>
        <row r="614">
          <cell r="E614" t="str">
            <v>SUBTOTAL</v>
          </cell>
          <cell r="I614">
            <v>218113</v>
          </cell>
          <cell r="L614">
            <v>0</v>
          </cell>
          <cell r="Z614" t="e">
            <v>#N/A</v>
          </cell>
        </row>
        <row r="615">
          <cell r="E615" t="str">
            <v>A.I.U</v>
          </cell>
          <cell r="I615">
            <v>0</v>
          </cell>
          <cell r="L615">
            <v>0</v>
          </cell>
          <cell r="Z615">
            <v>0</v>
          </cell>
        </row>
        <row r="616">
          <cell r="D616" t="str">
            <v>AIUAADMON</v>
          </cell>
          <cell r="E616" t="str">
            <v>Admon</v>
          </cell>
          <cell r="F616">
            <v>0</v>
          </cell>
          <cell r="I616">
            <v>0</v>
          </cell>
          <cell r="J616">
            <v>0</v>
          </cell>
          <cell r="L616">
            <v>0</v>
          </cell>
          <cell r="Z616">
            <v>0</v>
          </cell>
        </row>
        <row r="617">
          <cell r="D617" t="str">
            <v>AIUAIMPRE</v>
          </cell>
          <cell r="E617" t="str">
            <v>Imprevistos</v>
          </cell>
          <cell r="F617">
            <v>0</v>
          </cell>
          <cell r="I617">
            <v>0</v>
          </cell>
          <cell r="J617">
            <v>0</v>
          </cell>
          <cell r="L617">
            <v>0</v>
          </cell>
          <cell r="Z617">
            <v>0</v>
          </cell>
        </row>
        <row r="618">
          <cell r="D618" t="str">
            <v>AIUAUTILI</v>
          </cell>
          <cell r="E618" t="str">
            <v>Utilidad</v>
          </cell>
          <cell r="F618">
            <v>0</v>
          </cell>
          <cell r="I618">
            <v>0</v>
          </cell>
          <cell r="J618">
            <v>0</v>
          </cell>
          <cell r="L618">
            <v>0</v>
          </cell>
          <cell r="Z618">
            <v>0</v>
          </cell>
        </row>
        <row r="619">
          <cell r="D619" t="str">
            <v>AIUAIVAUTI</v>
          </cell>
          <cell r="E619" t="str">
            <v>IVA utilidad</v>
          </cell>
          <cell r="F619">
            <v>0</v>
          </cell>
          <cell r="I619">
            <v>0</v>
          </cell>
          <cell r="J619">
            <v>0</v>
          </cell>
          <cell r="L619">
            <v>0</v>
          </cell>
          <cell r="Z619">
            <v>0</v>
          </cell>
        </row>
        <row r="621">
          <cell r="E621" t="str">
            <v>ITEM</v>
          </cell>
        </row>
        <row r="622">
          <cell r="D622" t="str">
            <v>ANSCRC156</v>
          </cell>
          <cell r="E622" t="str">
            <v>Suministro Tuberia Concreto TCR CL-1 Ø 1,40 m</v>
          </cell>
          <cell r="G622" t="str">
            <v>UN.</v>
          </cell>
          <cell r="H622" t="str">
            <v>Ml</v>
          </cell>
          <cell r="I622">
            <v>444059</v>
          </cell>
          <cell r="K622">
            <v>6</v>
          </cell>
          <cell r="L622">
            <v>2664354</v>
          </cell>
          <cell r="N622">
            <v>420987</v>
          </cell>
          <cell r="O622">
            <v>0</v>
          </cell>
          <cell r="P622">
            <v>23072</v>
          </cell>
          <cell r="Q622">
            <v>0</v>
          </cell>
          <cell r="X622">
            <v>2664354</v>
          </cell>
          <cell r="Y622" t="str">
            <v>Ml</v>
          </cell>
          <cell r="Z622" t="e">
            <v>#N/A</v>
          </cell>
          <cell r="AA622" t="e">
            <v>#N/A</v>
          </cell>
          <cell r="AB622">
            <v>0</v>
          </cell>
          <cell r="AC622" t="e">
            <v>#N/A</v>
          </cell>
        </row>
        <row r="624">
          <cell r="D624" t="str">
            <v>CODIGO</v>
          </cell>
          <cell r="E624" t="str">
            <v>DESCRIPCION</v>
          </cell>
          <cell r="F624" t="str">
            <v>UN</v>
          </cell>
          <cell r="G624" t="str">
            <v>CANT</v>
          </cell>
          <cell r="H624" t="str">
            <v>V/UNIT.</v>
          </cell>
          <cell r="I624" t="str">
            <v>V/TOTAL</v>
          </cell>
          <cell r="K624" t="str">
            <v>CANT TOTAL</v>
          </cell>
          <cell r="L624" t="str">
            <v>Vr TOTAL</v>
          </cell>
          <cell r="Y624" t="str">
            <v>CANT.</v>
          </cell>
          <cell r="Z624" t="str">
            <v>V/TOTAL</v>
          </cell>
        </row>
        <row r="625">
          <cell r="E625" t="str">
            <v>MATERIALES</v>
          </cell>
          <cell r="I625">
            <v>420987</v>
          </cell>
          <cell r="L625">
            <v>2525922</v>
          </cell>
          <cell r="Z625" t="e">
            <v>#N/A</v>
          </cell>
        </row>
        <row r="626">
          <cell r="D626" t="str">
            <v>MA46TCRC156</v>
          </cell>
          <cell r="E626" t="str">
            <v>Tuberia concreto TCR CL-I 1,40 m</v>
          </cell>
          <cell r="F626" t="str">
            <v>ml</v>
          </cell>
          <cell r="G626">
            <v>1</v>
          </cell>
          <cell r="H626">
            <v>420987.2</v>
          </cell>
          <cell r="I626">
            <v>420987</v>
          </cell>
          <cell r="J626">
            <v>0</v>
          </cell>
          <cell r="K626">
            <v>6</v>
          </cell>
          <cell r="L626">
            <v>2525923.2000000002</v>
          </cell>
          <cell r="Y626" t="e">
            <v>#N/A</v>
          </cell>
          <cell r="Z626" t="e">
            <v>#N/A</v>
          </cell>
        </row>
        <row r="629">
          <cell r="E629" t="str">
            <v>MANO DE OBRA</v>
          </cell>
          <cell r="I629">
            <v>0</v>
          </cell>
          <cell r="L629">
            <v>0</v>
          </cell>
          <cell r="Z629">
            <v>0</v>
          </cell>
        </row>
        <row r="632">
          <cell r="E632" t="str">
            <v>VARIOS</v>
          </cell>
          <cell r="I632">
            <v>23072</v>
          </cell>
          <cell r="L632">
            <v>138432</v>
          </cell>
          <cell r="Z632" t="e">
            <v>#N/A</v>
          </cell>
        </row>
        <row r="633">
          <cell r="D633" t="str">
            <v>TC60TT</v>
          </cell>
          <cell r="E633" t="str">
            <v>Transporte Tuberia</v>
          </cell>
          <cell r="F633" t="str">
            <v>Kg</v>
          </cell>
          <cell r="G633">
            <v>1648</v>
          </cell>
          <cell r="H633">
            <v>14</v>
          </cell>
          <cell r="I633">
            <v>23072</v>
          </cell>
          <cell r="J633">
            <v>0</v>
          </cell>
          <cell r="K633">
            <v>9888</v>
          </cell>
          <cell r="L633">
            <v>138432</v>
          </cell>
          <cell r="Y633" t="e">
            <v>#N/A</v>
          </cell>
          <cell r="Z633" t="e">
            <v>#N/A</v>
          </cell>
        </row>
        <row r="634">
          <cell r="E634" t="str">
            <v>SUBTOTAL</v>
          </cell>
          <cell r="I634">
            <v>444059</v>
          </cell>
          <cell r="L634">
            <v>2664354</v>
          </cell>
          <cell r="Z634" t="e">
            <v>#N/A</v>
          </cell>
        </row>
        <row r="635">
          <cell r="E635" t="str">
            <v>A.I.U</v>
          </cell>
          <cell r="I635">
            <v>0</v>
          </cell>
          <cell r="L635">
            <v>0</v>
          </cell>
          <cell r="Z635">
            <v>0</v>
          </cell>
        </row>
        <row r="636">
          <cell r="D636" t="str">
            <v>AIUAADMON</v>
          </cell>
          <cell r="E636" t="str">
            <v>Admon</v>
          </cell>
          <cell r="F636">
            <v>0</v>
          </cell>
          <cell r="I636">
            <v>0</v>
          </cell>
          <cell r="J636">
            <v>0</v>
          </cell>
          <cell r="L636">
            <v>0</v>
          </cell>
          <cell r="Z636">
            <v>0</v>
          </cell>
        </row>
        <row r="637">
          <cell r="D637" t="str">
            <v>AIUAIMPRE</v>
          </cell>
          <cell r="E637" t="str">
            <v>Imprevistos</v>
          </cell>
          <cell r="F637">
            <v>0</v>
          </cell>
          <cell r="I637">
            <v>0</v>
          </cell>
          <cell r="J637">
            <v>0</v>
          </cell>
          <cell r="L637">
            <v>0</v>
          </cell>
          <cell r="Z637">
            <v>0</v>
          </cell>
        </row>
        <row r="638">
          <cell r="D638" t="str">
            <v>AIUAUTILI</v>
          </cell>
          <cell r="E638" t="str">
            <v>Utilidad</v>
          </cell>
          <cell r="F638">
            <v>0</v>
          </cell>
          <cell r="I638">
            <v>0</v>
          </cell>
          <cell r="J638">
            <v>0</v>
          </cell>
          <cell r="L638">
            <v>0</v>
          </cell>
          <cell r="Z638">
            <v>0</v>
          </cell>
        </row>
        <row r="639">
          <cell r="D639" t="str">
            <v>AIUAIVAUTI</v>
          </cell>
          <cell r="E639" t="str">
            <v>IVA utilidad</v>
          </cell>
          <cell r="F639">
            <v>0</v>
          </cell>
          <cell r="I639">
            <v>0</v>
          </cell>
          <cell r="J639">
            <v>0</v>
          </cell>
          <cell r="L639">
            <v>0</v>
          </cell>
          <cell r="Z639">
            <v>0</v>
          </cell>
        </row>
        <row r="641">
          <cell r="E641" t="str">
            <v>ITEM</v>
          </cell>
        </row>
        <row r="642">
          <cell r="D642" t="str">
            <v>ANSCRC180</v>
          </cell>
          <cell r="E642" t="str">
            <v>Suministro Tuberia Concreto TCR CL-1  Ø 2,00 m</v>
          </cell>
          <cell r="G642" t="str">
            <v>UN.</v>
          </cell>
          <cell r="H642" t="str">
            <v>Ml</v>
          </cell>
          <cell r="I642">
            <v>844768</v>
          </cell>
          <cell r="K642">
            <v>59</v>
          </cell>
          <cell r="L642">
            <v>49841312</v>
          </cell>
          <cell r="N642">
            <v>844768</v>
          </cell>
          <cell r="O642">
            <v>0</v>
          </cell>
          <cell r="P642">
            <v>0</v>
          </cell>
          <cell r="Q642">
            <v>0</v>
          </cell>
          <cell r="X642">
            <v>49841312</v>
          </cell>
          <cell r="Y642" t="str">
            <v>Ml</v>
          </cell>
          <cell r="Z642" t="e">
            <v>#N/A</v>
          </cell>
          <cell r="AA642" t="e">
            <v>#N/A</v>
          </cell>
          <cell r="AB642">
            <v>0</v>
          </cell>
          <cell r="AC642">
            <v>0</v>
          </cell>
        </row>
        <row r="644">
          <cell r="D644" t="str">
            <v>CODIGO</v>
          </cell>
          <cell r="E644" t="str">
            <v>DESCRIPCION</v>
          </cell>
          <cell r="F644" t="str">
            <v>UN</v>
          </cell>
          <cell r="G644" t="str">
            <v>CANT</v>
          </cell>
          <cell r="H644" t="str">
            <v>V/UNIT.</v>
          </cell>
          <cell r="I644" t="str">
            <v>V/TOTAL</v>
          </cell>
          <cell r="K644" t="str">
            <v>CANT TOTAL</v>
          </cell>
          <cell r="L644" t="str">
            <v>Vr TOTAL</v>
          </cell>
          <cell r="Y644" t="str">
            <v>CANT.</v>
          </cell>
          <cell r="Z644" t="str">
            <v>V/TOTAL</v>
          </cell>
        </row>
        <row r="645">
          <cell r="E645" t="str">
            <v>MATERIALES</v>
          </cell>
          <cell r="I645">
            <v>844768</v>
          </cell>
          <cell r="L645">
            <v>49841312</v>
          </cell>
          <cell r="Z645" t="e">
            <v>#N/A</v>
          </cell>
        </row>
        <row r="646">
          <cell r="D646" t="str">
            <v>MA46TCRC180</v>
          </cell>
          <cell r="E646" t="str">
            <v>Tuberia concreto TCR CL-I 2,00 m</v>
          </cell>
          <cell r="F646" t="str">
            <v>ml</v>
          </cell>
          <cell r="G646">
            <v>1</v>
          </cell>
          <cell r="H646">
            <v>844767.68</v>
          </cell>
          <cell r="I646">
            <v>844768</v>
          </cell>
          <cell r="J646">
            <v>0</v>
          </cell>
          <cell r="K646">
            <v>59</v>
          </cell>
          <cell r="L646">
            <v>49841293.120000005</v>
          </cell>
          <cell r="Y646" t="e">
            <v>#N/A</v>
          </cell>
          <cell r="Z646" t="e">
            <v>#N/A</v>
          </cell>
        </row>
        <row r="649">
          <cell r="E649" t="str">
            <v>MANO DE OBRA</v>
          </cell>
          <cell r="I649">
            <v>0</v>
          </cell>
          <cell r="L649">
            <v>0</v>
          </cell>
          <cell r="Z649">
            <v>0</v>
          </cell>
        </row>
        <row r="652">
          <cell r="E652" t="str">
            <v>VARIOS</v>
          </cell>
          <cell r="I652">
            <v>0</v>
          </cell>
          <cell r="L652">
            <v>0</v>
          </cell>
          <cell r="Z652">
            <v>0</v>
          </cell>
        </row>
        <row r="654">
          <cell r="E654" t="str">
            <v>SUBTOTAL</v>
          </cell>
          <cell r="I654">
            <v>844768</v>
          </cell>
          <cell r="L654">
            <v>49841312</v>
          </cell>
          <cell r="Z654" t="e">
            <v>#N/A</v>
          </cell>
        </row>
        <row r="655">
          <cell r="E655" t="str">
            <v>A.I.U</v>
          </cell>
          <cell r="I655">
            <v>0</v>
          </cell>
          <cell r="L655">
            <v>0</v>
          </cell>
          <cell r="Z655">
            <v>0</v>
          </cell>
        </row>
        <row r="656">
          <cell r="D656" t="str">
            <v>AIUAADMON</v>
          </cell>
          <cell r="E656" t="str">
            <v>Admon</v>
          </cell>
          <cell r="F656">
            <v>0</v>
          </cell>
          <cell r="I656">
            <v>0</v>
          </cell>
          <cell r="J656">
            <v>0</v>
          </cell>
          <cell r="L656">
            <v>0</v>
          </cell>
          <cell r="Z656">
            <v>0</v>
          </cell>
        </row>
        <row r="657">
          <cell r="D657" t="str">
            <v>AIUAIMPRE</v>
          </cell>
          <cell r="E657" t="str">
            <v>Imprevistos</v>
          </cell>
          <cell r="F657">
            <v>0</v>
          </cell>
          <cell r="I657">
            <v>0</v>
          </cell>
          <cell r="J657">
            <v>0</v>
          </cell>
          <cell r="L657">
            <v>0</v>
          </cell>
          <cell r="Z657">
            <v>0</v>
          </cell>
        </row>
        <row r="658">
          <cell r="D658" t="str">
            <v>AIUAUTILI</v>
          </cell>
          <cell r="E658" t="str">
            <v>Utilidad</v>
          </cell>
          <cell r="F658">
            <v>0</v>
          </cell>
          <cell r="I658">
            <v>0</v>
          </cell>
          <cell r="J658">
            <v>0</v>
          </cell>
          <cell r="L658">
            <v>0</v>
          </cell>
          <cell r="Z658">
            <v>0</v>
          </cell>
        </row>
        <row r="659">
          <cell r="D659" t="str">
            <v>AIUAIVAUTI</v>
          </cell>
          <cell r="E659" t="str">
            <v>IVA utilidad</v>
          </cell>
          <cell r="F659">
            <v>0</v>
          </cell>
          <cell r="I659">
            <v>0</v>
          </cell>
          <cell r="J659">
            <v>0</v>
          </cell>
          <cell r="L659">
            <v>0</v>
          </cell>
          <cell r="Z659">
            <v>0</v>
          </cell>
        </row>
        <row r="661">
          <cell r="D661" t="str">
            <v>ANSCRC236</v>
          </cell>
          <cell r="E661" t="str">
            <v>Suministro Tuberia Concreto TCR CL-2  Ø 36"</v>
          </cell>
          <cell r="G661" t="str">
            <v>UN.</v>
          </cell>
          <cell r="H661" t="str">
            <v>Ml</v>
          </cell>
          <cell r="I661">
            <v>209557</v>
          </cell>
          <cell r="K661">
            <v>136.53</v>
          </cell>
          <cell r="L661">
            <v>28610817.210000001</v>
          </cell>
          <cell r="N661">
            <v>209557</v>
          </cell>
          <cell r="O661">
            <v>0</v>
          </cell>
          <cell r="P661">
            <v>0</v>
          </cell>
          <cell r="Q661">
            <v>0</v>
          </cell>
          <cell r="X661">
            <v>28610817.210000001</v>
          </cell>
          <cell r="Y661" t="str">
            <v>Ml</v>
          </cell>
          <cell r="Z661" t="e">
            <v>#N/A</v>
          </cell>
          <cell r="AA661" t="e">
            <v>#N/A</v>
          </cell>
          <cell r="AB661">
            <v>0</v>
          </cell>
          <cell r="AC661">
            <v>0</v>
          </cell>
        </row>
        <row r="663">
          <cell r="D663" t="str">
            <v>CODIGO</v>
          </cell>
          <cell r="E663" t="str">
            <v>DESCRIPCION</v>
          </cell>
          <cell r="F663" t="str">
            <v>UN</v>
          </cell>
          <cell r="G663" t="str">
            <v>CANT</v>
          </cell>
          <cell r="H663" t="str">
            <v>V/UNIT.</v>
          </cell>
          <cell r="I663" t="str">
            <v>V/TOTAL</v>
          </cell>
          <cell r="K663" t="str">
            <v>CANT TOTAL</v>
          </cell>
          <cell r="L663" t="str">
            <v>Vr TOTAL</v>
          </cell>
          <cell r="Y663" t="str">
            <v>CANT.</v>
          </cell>
          <cell r="Z663" t="str">
            <v>V/TOTAL</v>
          </cell>
        </row>
        <row r="664">
          <cell r="E664" t="str">
            <v>MATERIALES</v>
          </cell>
          <cell r="I664">
            <v>209557</v>
          </cell>
          <cell r="L664">
            <v>28610817.210000001</v>
          </cell>
          <cell r="Z664" t="e">
            <v>#N/A</v>
          </cell>
        </row>
        <row r="665">
          <cell r="D665" t="str">
            <v>MA46TCRC236</v>
          </cell>
          <cell r="E665" t="str">
            <v>Tuberia concreto TCR CL-I 36"</v>
          </cell>
          <cell r="F665" t="str">
            <v>ml</v>
          </cell>
          <cell r="G665">
            <v>1</v>
          </cell>
          <cell r="H665">
            <v>209557.25</v>
          </cell>
          <cell r="I665">
            <v>209557</v>
          </cell>
          <cell r="J665">
            <v>0</v>
          </cell>
          <cell r="K665">
            <v>136.53</v>
          </cell>
          <cell r="L665">
            <v>28610851.342500001</v>
          </cell>
          <cell r="Y665" t="e">
            <v>#N/A</v>
          </cell>
          <cell r="Z665" t="e">
            <v>#N/A</v>
          </cell>
        </row>
        <row r="668">
          <cell r="E668" t="str">
            <v>MANO DE OBRA</v>
          </cell>
          <cell r="I668">
            <v>0</v>
          </cell>
          <cell r="L668">
            <v>0</v>
          </cell>
          <cell r="Z668">
            <v>0</v>
          </cell>
        </row>
        <row r="671">
          <cell r="E671" t="str">
            <v>VARIOS</v>
          </cell>
          <cell r="I671">
            <v>0</v>
          </cell>
          <cell r="L671">
            <v>0</v>
          </cell>
          <cell r="Z671">
            <v>0</v>
          </cell>
        </row>
        <row r="673">
          <cell r="E673" t="str">
            <v>SUBTOTAL</v>
          </cell>
          <cell r="I673">
            <v>209557</v>
          </cell>
          <cell r="L673">
            <v>28610817.210000001</v>
          </cell>
          <cell r="Z673" t="e">
            <v>#N/A</v>
          </cell>
        </row>
        <row r="674">
          <cell r="E674" t="str">
            <v>A.I.U</v>
          </cell>
          <cell r="I674">
            <v>0</v>
          </cell>
          <cell r="L674">
            <v>0</v>
          </cell>
          <cell r="Z674">
            <v>0</v>
          </cell>
        </row>
        <row r="675">
          <cell r="D675" t="str">
            <v>AIUAADMON</v>
          </cell>
          <cell r="E675" t="str">
            <v>Admon</v>
          </cell>
          <cell r="F675">
            <v>0</v>
          </cell>
          <cell r="I675">
            <v>0</v>
          </cell>
          <cell r="J675">
            <v>0</v>
          </cell>
          <cell r="L675">
            <v>0</v>
          </cell>
          <cell r="Z675">
            <v>0</v>
          </cell>
        </row>
        <row r="676">
          <cell r="D676" t="str">
            <v>AIUAIMPRE</v>
          </cell>
          <cell r="E676" t="str">
            <v>Imprevistos</v>
          </cell>
          <cell r="F676">
            <v>0</v>
          </cell>
          <cell r="I676">
            <v>0</v>
          </cell>
          <cell r="J676">
            <v>0</v>
          </cell>
          <cell r="L676">
            <v>0</v>
          </cell>
          <cell r="Z676">
            <v>0</v>
          </cell>
        </row>
        <row r="677">
          <cell r="D677" t="str">
            <v>AIUAUTILI</v>
          </cell>
          <cell r="E677" t="str">
            <v>Utilidad</v>
          </cell>
          <cell r="F677">
            <v>0</v>
          </cell>
          <cell r="I677">
            <v>0</v>
          </cell>
          <cell r="J677">
            <v>0</v>
          </cell>
          <cell r="L677">
            <v>0</v>
          </cell>
          <cell r="Z677">
            <v>0</v>
          </cell>
        </row>
        <row r="678">
          <cell r="D678" t="str">
            <v>AIUAIVAUTI</v>
          </cell>
          <cell r="E678" t="str">
            <v>IVA utilidad</v>
          </cell>
          <cell r="F678">
            <v>0</v>
          </cell>
          <cell r="I678">
            <v>0</v>
          </cell>
          <cell r="J678">
            <v>0</v>
          </cell>
          <cell r="L678">
            <v>0</v>
          </cell>
          <cell r="Z678">
            <v>0</v>
          </cell>
        </row>
        <row r="680">
          <cell r="D680" t="str">
            <v>ANSCRC256</v>
          </cell>
          <cell r="E680" t="str">
            <v>Suministro Tuberia Concreto TCR CL-2  Ø 1,40 m</v>
          </cell>
          <cell r="G680" t="str">
            <v>UN.</v>
          </cell>
          <cell r="H680" t="str">
            <v>Ml</v>
          </cell>
          <cell r="I680">
            <v>427372</v>
          </cell>
          <cell r="K680">
            <v>114</v>
          </cell>
          <cell r="L680">
            <v>48720408</v>
          </cell>
          <cell r="N680">
            <v>427372</v>
          </cell>
          <cell r="O680">
            <v>0</v>
          </cell>
          <cell r="P680">
            <v>0</v>
          </cell>
          <cell r="Q680">
            <v>0</v>
          </cell>
          <cell r="X680">
            <v>48720408</v>
          </cell>
          <cell r="Y680" t="str">
            <v>Ml</v>
          </cell>
          <cell r="Z680" t="e">
            <v>#N/A</v>
          </cell>
          <cell r="AA680" t="e">
            <v>#N/A</v>
          </cell>
          <cell r="AB680">
            <v>0</v>
          </cell>
          <cell r="AC680">
            <v>0</v>
          </cell>
        </row>
        <row r="682">
          <cell r="D682" t="str">
            <v>CODIGO</v>
          </cell>
          <cell r="E682" t="str">
            <v>DESCRIPCION</v>
          </cell>
          <cell r="F682" t="str">
            <v>UN</v>
          </cell>
          <cell r="G682" t="str">
            <v>CANT</v>
          </cell>
          <cell r="H682" t="str">
            <v>V/UNIT.</v>
          </cell>
          <cell r="I682" t="str">
            <v>V/TOTAL</v>
          </cell>
          <cell r="K682" t="str">
            <v>CANT TOTAL</v>
          </cell>
          <cell r="L682" t="str">
            <v>Vr TOTAL</v>
          </cell>
          <cell r="Y682" t="str">
            <v>CANT.</v>
          </cell>
          <cell r="Z682" t="str">
            <v>V/TOTAL</v>
          </cell>
        </row>
        <row r="683">
          <cell r="E683" t="str">
            <v>MATERIALES</v>
          </cell>
          <cell r="I683">
            <v>427372</v>
          </cell>
          <cell r="L683">
            <v>48720408</v>
          </cell>
          <cell r="Z683" t="e">
            <v>#N/A</v>
          </cell>
        </row>
        <row r="684">
          <cell r="D684" t="str">
            <v>MA46TCRC256</v>
          </cell>
          <cell r="E684" t="str">
            <v>Tuberia concreto TCR CL-II 1,40 m</v>
          </cell>
          <cell r="F684" t="str">
            <v>ml</v>
          </cell>
          <cell r="G684">
            <v>1</v>
          </cell>
          <cell r="H684">
            <v>427371.84</v>
          </cell>
          <cell r="I684">
            <v>427372</v>
          </cell>
          <cell r="J684">
            <v>0</v>
          </cell>
          <cell r="K684">
            <v>114</v>
          </cell>
          <cell r="L684">
            <v>48720389.760000005</v>
          </cell>
          <cell r="Y684" t="e">
            <v>#N/A</v>
          </cell>
          <cell r="Z684" t="e">
            <v>#N/A</v>
          </cell>
        </row>
        <row r="687">
          <cell r="E687" t="str">
            <v>MANO DE OBRA</v>
          </cell>
          <cell r="I687">
            <v>0</v>
          </cell>
          <cell r="L687">
            <v>0</v>
          </cell>
          <cell r="Z687">
            <v>0</v>
          </cell>
        </row>
        <row r="690">
          <cell r="E690" t="str">
            <v>VARIOS</v>
          </cell>
          <cell r="I690">
            <v>0</v>
          </cell>
          <cell r="L690">
            <v>0</v>
          </cell>
          <cell r="Z690">
            <v>0</v>
          </cell>
        </row>
        <row r="692">
          <cell r="E692" t="str">
            <v>SUBTOTAL</v>
          </cell>
          <cell r="I692">
            <v>427372</v>
          </cell>
          <cell r="L692">
            <v>48720408</v>
          </cell>
          <cell r="Z692" t="e">
            <v>#N/A</v>
          </cell>
        </row>
        <row r="693">
          <cell r="E693" t="str">
            <v>A.I.U</v>
          </cell>
          <cell r="I693">
            <v>0</v>
          </cell>
          <cell r="L693">
            <v>0</v>
          </cell>
          <cell r="Z693">
            <v>0</v>
          </cell>
        </row>
        <row r="694">
          <cell r="D694" t="str">
            <v>AIUAADMON</v>
          </cell>
          <cell r="E694" t="str">
            <v>Admon</v>
          </cell>
          <cell r="F694">
            <v>0</v>
          </cell>
          <cell r="I694">
            <v>0</v>
          </cell>
          <cell r="J694">
            <v>0</v>
          </cell>
          <cell r="L694">
            <v>0</v>
          </cell>
          <cell r="Z694">
            <v>0</v>
          </cell>
        </row>
        <row r="695">
          <cell r="D695" t="str">
            <v>AIUAIMPRE</v>
          </cell>
          <cell r="E695" t="str">
            <v>Imprevistos</v>
          </cell>
          <cell r="F695">
            <v>0</v>
          </cell>
          <cell r="I695">
            <v>0</v>
          </cell>
          <cell r="J695">
            <v>0</v>
          </cell>
          <cell r="L695">
            <v>0</v>
          </cell>
          <cell r="Z695">
            <v>0</v>
          </cell>
        </row>
        <row r="696">
          <cell r="D696" t="str">
            <v>AIUAUTILI</v>
          </cell>
          <cell r="E696" t="str">
            <v>Utilidad</v>
          </cell>
          <cell r="F696">
            <v>0</v>
          </cell>
          <cell r="I696">
            <v>0</v>
          </cell>
          <cell r="J696">
            <v>0</v>
          </cell>
          <cell r="L696">
            <v>0</v>
          </cell>
          <cell r="Z696">
            <v>0</v>
          </cell>
        </row>
        <row r="697">
          <cell r="D697" t="str">
            <v>AIUAIVAUTI</v>
          </cell>
          <cell r="E697" t="str">
            <v>IVA utilidad</v>
          </cell>
          <cell r="F697">
            <v>0</v>
          </cell>
          <cell r="I697">
            <v>0</v>
          </cell>
          <cell r="J697">
            <v>0</v>
          </cell>
          <cell r="L697">
            <v>0</v>
          </cell>
          <cell r="Z697">
            <v>0</v>
          </cell>
        </row>
        <row r="699">
          <cell r="D699" t="str">
            <v>ANSCRC272</v>
          </cell>
          <cell r="E699" t="str">
            <v>Suministro Tuberia Concreto TCR CL-2  Ø 1,80 m</v>
          </cell>
          <cell r="G699" t="str">
            <v>UN.</v>
          </cell>
          <cell r="H699" t="str">
            <v>Ml</v>
          </cell>
          <cell r="I699">
            <v>675974</v>
          </cell>
          <cell r="K699">
            <v>8.9499999999999993</v>
          </cell>
          <cell r="L699">
            <v>6049967.2999999998</v>
          </cell>
          <cell r="N699">
            <v>675974</v>
          </cell>
          <cell r="O699">
            <v>0</v>
          </cell>
          <cell r="P699">
            <v>0</v>
          </cell>
          <cell r="Q699">
            <v>0</v>
          </cell>
          <cell r="X699">
            <v>6049967.2999999998</v>
          </cell>
          <cell r="Y699" t="str">
            <v>Ml</v>
          </cell>
          <cell r="Z699" t="e">
            <v>#N/A</v>
          </cell>
          <cell r="AA699" t="e">
            <v>#N/A</v>
          </cell>
          <cell r="AB699">
            <v>0</v>
          </cell>
          <cell r="AC699">
            <v>0</v>
          </cell>
        </row>
        <row r="701">
          <cell r="D701" t="str">
            <v>CODIGO</v>
          </cell>
          <cell r="E701" t="str">
            <v>DESCRIPCION</v>
          </cell>
          <cell r="F701" t="str">
            <v>UN</v>
          </cell>
          <cell r="G701" t="str">
            <v>CANT</v>
          </cell>
          <cell r="H701" t="str">
            <v>V/UNIT.</v>
          </cell>
          <cell r="I701" t="str">
            <v>V/TOTAL</v>
          </cell>
          <cell r="K701" t="str">
            <v>CANT TOTAL</v>
          </cell>
          <cell r="L701" t="str">
            <v>Vr TOTAL</v>
          </cell>
          <cell r="Y701" t="str">
            <v>CANT.</v>
          </cell>
          <cell r="Z701" t="str">
            <v>V/TOTAL</v>
          </cell>
        </row>
        <row r="702">
          <cell r="E702" t="str">
            <v>MATERIALES</v>
          </cell>
          <cell r="I702">
            <v>675974</v>
          </cell>
          <cell r="L702">
            <v>6049967.2999999998</v>
          </cell>
          <cell r="Z702" t="e">
            <v>#N/A</v>
          </cell>
        </row>
        <row r="703">
          <cell r="D703" t="str">
            <v>MA46TCRC272</v>
          </cell>
          <cell r="E703" t="str">
            <v>Tuberia concreto TCR CL-II 1,80 m</v>
          </cell>
          <cell r="F703" t="str">
            <v>ml</v>
          </cell>
          <cell r="G703">
            <v>1</v>
          </cell>
          <cell r="H703">
            <v>675973.76</v>
          </cell>
          <cell r="I703">
            <v>675974</v>
          </cell>
          <cell r="J703">
            <v>0</v>
          </cell>
          <cell r="K703">
            <v>8.9499999999999993</v>
          </cell>
          <cell r="L703">
            <v>6049965.1519999998</v>
          </cell>
          <cell r="Y703" t="e">
            <v>#N/A</v>
          </cell>
          <cell r="Z703" t="e">
            <v>#N/A</v>
          </cell>
        </row>
        <row r="706">
          <cell r="E706" t="str">
            <v>MANO DE OBRA</v>
          </cell>
          <cell r="I706">
            <v>0</v>
          </cell>
          <cell r="L706">
            <v>0</v>
          </cell>
          <cell r="Z706">
            <v>0</v>
          </cell>
        </row>
        <row r="709">
          <cell r="E709" t="str">
            <v>VARIOS</v>
          </cell>
          <cell r="I709">
            <v>0</v>
          </cell>
          <cell r="L709">
            <v>0</v>
          </cell>
          <cell r="Z709">
            <v>0</v>
          </cell>
        </row>
        <row r="711">
          <cell r="E711" t="str">
            <v>SUBTOTAL</v>
          </cell>
          <cell r="I711">
            <v>675974</v>
          </cell>
          <cell r="L711">
            <v>6049967.2999999998</v>
          </cell>
          <cell r="Z711" t="e">
            <v>#N/A</v>
          </cell>
        </row>
        <row r="712">
          <cell r="E712" t="str">
            <v>A.I.U</v>
          </cell>
          <cell r="I712">
            <v>0</v>
          </cell>
          <cell r="L712">
            <v>0</v>
          </cell>
          <cell r="Z712">
            <v>0</v>
          </cell>
        </row>
        <row r="713">
          <cell r="D713" t="str">
            <v>AIUAADMON</v>
          </cell>
          <cell r="E713" t="str">
            <v>Admon</v>
          </cell>
          <cell r="F713">
            <v>0</v>
          </cell>
          <cell r="I713">
            <v>0</v>
          </cell>
          <cell r="J713">
            <v>0</v>
          </cell>
          <cell r="L713">
            <v>0</v>
          </cell>
          <cell r="Z713">
            <v>0</v>
          </cell>
        </row>
        <row r="714">
          <cell r="D714" t="str">
            <v>AIUAIMPRE</v>
          </cell>
          <cell r="E714" t="str">
            <v>Imprevistos</v>
          </cell>
          <cell r="F714">
            <v>0</v>
          </cell>
          <cell r="I714">
            <v>0</v>
          </cell>
          <cell r="J714">
            <v>0</v>
          </cell>
          <cell r="L714">
            <v>0</v>
          </cell>
          <cell r="Z714">
            <v>0</v>
          </cell>
        </row>
        <row r="715">
          <cell r="D715" t="str">
            <v>AIUAUTILI</v>
          </cell>
          <cell r="E715" t="str">
            <v>Utilidad</v>
          </cell>
          <cell r="F715">
            <v>0</v>
          </cell>
          <cell r="I715">
            <v>0</v>
          </cell>
          <cell r="J715">
            <v>0</v>
          </cell>
          <cell r="L715">
            <v>0</v>
          </cell>
          <cell r="Z715">
            <v>0</v>
          </cell>
        </row>
        <row r="716">
          <cell r="D716" t="str">
            <v>AIUAIVAUTI</v>
          </cell>
          <cell r="E716" t="str">
            <v>IVA utilidad</v>
          </cell>
          <cell r="F716">
            <v>0</v>
          </cell>
          <cell r="I716">
            <v>0</v>
          </cell>
          <cell r="J716">
            <v>0</v>
          </cell>
          <cell r="L716">
            <v>0</v>
          </cell>
          <cell r="Z716">
            <v>0</v>
          </cell>
        </row>
        <row r="718">
          <cell r="D718" t="str">
            <v>ANSCRC280</v>
          </cell>
          <cell r="E718" t="str">
            <v>Suministro Tuberia Concreto TCR CL-2  Ø 2,00 m</v>
          </cell>
          <cell r="G718" t="str">
            <v>UN.</v>
          </cell>
          <cell r="H718" t="str">
            <v>Ml</v>
          </cell>
          <cell r="I718">
            <v>848359</v>
          </cell>
          <cell r="K718">
            <v>374</v>
          </cell>
          <cell r="L718">
            <v>317286266</v>
          </cell>
          <cell r="N718">
            <v>848359</v>
          </cell>
          <cell r="O718">
            <v>0</v>
          </cell>
          <cell r="P718">
            <v>0</v>
          </cell>
          <cell r="Q718">
            <v>0</v>
          </cell>
          <cell r="X718">
            <v>317286266</v>
          </cell>
          <cell r="Y718" t="str">
            <v>Ml</v>
          </cell>
          <cell r="Z718" t="e">
            <v>#N/A</v>
          </cell>
          <cell r="AA718" t="e">
            <v>#N/A</v>
          </cell>
          <cell r="AB718">
            <v>0</v>
          </cell>
          <cell r="AC718">
            <v>0</v>
          </cell>
        </row>
        <row r="720">
          <cell r="D720" t="str">
            <v>CODIGO</v>
          </cell>
          <cell r="E720" t="str">
            <v>DESCRIPCION</v>
          </cell>
          <cell r="F720" t="str">
            <v>UN</v>
          </cell>
          <cell r="G720" t="str">
            <v>CANT</v>
          </cell>
          <cell r="H720" t="str">
            <v>V/UNIT.</v>
          </cell>
          <cell r="I720" t="str">
            <v>V/TOTAL</v>
          </cell>
          <cell r="K720" t="str">
            <v>CANT TOTAL</v>
          </cell>
          <cell r="L720" t="str">
            <v>Vr TOTAL</v>
          </cell>
          <cell r="Y720" t="str">
            <v>CANT.</v>
          </cell>
          <cell r="Z720" t="str">
            <v>V/TOTAL</v>
          </cell>
        </row>
        <row r="721">
          <cell r="E721" t="str">
            <v>MATERIALES</v>
          </cell>
          <cell r="I721">
            <v>848359</v>
          </cell>
          <cell r="L721">
            <v>317286266</v>
          </cell>
          <cell r="Z721" t="e">
            <v>#N/A</v>
          </cell>
        </row>
        <row r="722">
          <cell r="D722" t="str">
            <v>MA46TCRC280</v>
          </cell>
          <cell r="E722" t="str">
            <v>Tuberia concreto TCR CL-II 2,00 m</v>
          </cell>
          <cell r="F722" t="str">
            <v>ml</v>
          </cell>
          <cell r="G722">
            <v>1</v>
          </cell>
          <cell r="H722">
            <v>848359.04</v>
          </cell>
          <cell r="I722">
            <v>848359</v>
          </cell>
          <cell r="J722">
            <v>0</v>
          </cell>
          <cell r="K722">
            <v>374</v>
          </cell>
          <cell r="L722">
            <v>317286280.96000004</v>
          </cell>
          <cell r="Y722" t="e">
            <v>#N/A</v>
          </cell>
          <cell r="Z722" t="e">
            <v>#N/A</v>
          </cell>
        </row>
        <row r="725">
          <cell r="E725" t="str">
            <v>MANO DE OBRA</v>
          </cell>
          <cell r="I725">
            <v>0</v>
          </cell>
          <cell r="L725">
            <v>0</v>
          </cell>
          <cell r="Z725">
            <v>0</v>
          </cell>
        </row>
        <row r="728">
          <cell r="E728" t="str">
            <v>VARIOS</v>
          </cell>
          <cell r="I728">
            <v>0</v>
          </cell>
          <cell r="L728">
            <v>0</v>
          </cell>
          <cell r="Z728">
            <v>0</v>
          </cell>
        </row>
        <row r="730">
          <cell r="E730" t="str">
            <v>SUBTOTAL</v>
          </cell>
          <cell r="I730">
            <v>848359</v>
          </cell>
          <cell r="L730">
            <v>317286266</v>
          </cell>
          <cell r="Z730" t="e">
            <v>#N/A</v>
          </cell>
        </row>
        <row r="731">
          <cell r="E731" t="str">
            <v>A.I.U</v>
          </cell>
          <cell r="I731">
            <v>0</v>
          </cell>
          <cell r="L731">
            <v>0</v>
          </cell>
          <cell r="Z731">
            <v>0</v>
          </cell>
        </row>
        <row r="732">
          <cell r="D732" t="str">
            <v>AIUAADMON</v>
          </cell>
          <cell r="E732" t="str">
            <v>Admon</v>
          </cell>
          <cell r="F732">
            <v>0</v>
          </cell>
          <cell r="I732">
            <v>0</v>
          </cell>
          <cell r="J732">
            <v>0</v>
          </cell>
          <cell r="L732">
            <v>0</v>
          </cell>
          <cell r="Z732">
            <v>0</v>
          </cell>
        </row>
        <row r="733">
          <cell r="D733" t="str">
            <v>AIUAIMPRE</v>
          </cell>
          <cell r="E733" t="str">
            <v>Imprevistos</v>
          </cell>
          <cell r="F733">
            <v>0</v>
          </cell>
          <cell r="I733">
            <v>0</v>
          </cell>
          <cell r="J733">
            <v>0</v>
          </cell>
          <cell r="L733">
            <v>0</v>
          </cell>
          <cell r="Z733">
            <v>0</v>
          </cell>
        </row>
        <row r="734">
          <cell r="D734" t="str">
            <v>AIUAUTILI</v>
          </cell>
          <cell r="E734" t="str">
            <v>Utilidad</v>
          </cell>
          <cell r="F734">
            <v>0</v>
          </cell>
          <cell r="I734">
            <v>0</v>
          </cell>
          <cell r="J734">
            <v>0</v>
          </cell>
          <cell r="L734">
            <v>0</v>
          </cell>
          <cell r="Z734">
            <v>0</v>
          </cell>
        </row>
        <row r="735">
          <cell r="D735" t="str">
            <v>AIUAIVAUTI</v>
          </cell>
          <cell r="E735" t="str">
            <v>IVA utilidad</v>
          </cell>
          <cell r="F735">
            <v>0</v>
          </cell>
          <cell r="I735">
            <v>0</v>
          </cell>
          <cell r="J735">
            <v>0</v>
          </cell>
          <cell r="L735">
            <v>0</v>
          </cell>
          <cell r="Z735">
            <v>0</v>
          </cell>
        </row>
        <row r="737">
          <cell r="D737" t="str">
            <v>ANSCRC324</v>
          </cell>
          <cell r="E737" t="str">
            <v>Suministro Tuberia Concreto TCR CL-3  Ø 24"</v>
          </cell>
          <cell r="G737" t="str">
            <v>UN.</v>
          </cell>
          <cell r="H737" t="str">
            <v>Ml</v>
          </cell>
          <cell r="I737">
            <v>106560</v>
          </cell>
          <cell r="K737">
            <v>0</v>
          </cell>
          <cell r="L737">
            <v>0</v>
          </cell>
          <cell r="N737">
            <v>106560</v>
          </cell>
          <cell r="O737">
            <v>0</v>
          </cell>
          <cell r="P737">
            <v>0</v>
          </cell>
          <cell r="Q737">
            <v>0</v>
          </cell>
          <cell r="X737">
            <v>0</v>
          </cell>
          <cell r="Y737" t="str">
            <v>Ml</v>
          </cell>
          <cell r="Z737" t="e">
            <v>#N/A</v>
          </cell>
          <cell r="AA737" t="e">
            <v>#N/A</v>
          </cell>
          <cell r="AB737">
            <v>0</v>
          </cell>
          <cell r="AC737">
            <v>0</v>
          </cell>
        </row>
        <row r="739">
          <cell r="D739" t="str">
            <v>CODIGO</v>
          </cell>
          <cell r="E739" t="str">
            <v>DESCRIPCION</v>
          </cell>
          <cell r="F739" t="str">
            <v>UN</v>
          </cell>
          <cell r="G739" t="str">
            <v>CANT</v>
          </cell>
          <cell r="H739" t="str">
            <v>V/UNIT.</v>
          </cell>
          <cell r="I739" t="str">
            <v>V/TOTAL</v>
          </cell>
          <cell r="K739" t="str">
            <v>CANT TOTAL</v>
          </cell>
          <cell r="L739" t="str">
            <v>Vr TOTAL</v>
          </cell>
          <cell r="Y739" t="str">
            <v>CANT.</v>
          </cell>
          <cell r="Z739" t="str">
            <v>V/TOTAL</v>
          </cell>
        </row>
        <row r="740">
          <cell r="E740" t="str">
            <v>MATERIALES</v>
          </cell>
          <cell r="I740">
            <v>106560</v>
          </cell>
          <cell r="L740">
            <v>0</v>
          </cell>
          <cell r="Z740" t="e">
            <v>#N/A</v>
          </cell>
        </row>
        <row r="741">
          <cell r="D741" t="str">
            <v>MA46TCRC324</v>
          </cell>
          <cell r="E741" t="str">
            <v>Tuberia concreto TCR CL-III 24</v>
          </cell>
          <cell r="F741" t="str">
            <v>ml</v>
          </cell>
          <cell r="G741">
            <v>1</v>
          </cell>
          <cell r="H741">
            <v>106560</v>
          </cell>
          <cell r="I741">
            <v>106560</v>
          </cell>
          <cell r="J741">
            <v>0</v>
          </cell>
          <cell r="K741">
            <v>0</v>
          </cell>
          <cell r="L741">
            <v>0</v>
          </cell>
          <cell r="Y741" t="e">
            <v>#N/A</v>
          </cell>
          <cell r="Z741" t="e">
            <v>#N/A</v>
          </cell>
        </row>
        <row r="744">
          <cell r="E744" t="str">
            <v>MANO DE OBRA</v>
          </cell>
          <cell r="I744">
            <v>0</v>
          </cell>
          <cell r="L744">
            <v>0</v>
          </cell>
          <cell r="Z744">
            <v>0</v>
          </cell>
        </row>
        <row r="747">
          <cell r="E747" t="str">
            <v>VARIOS</v>
          </cell>
          <cell r="I747">
            <v>0</v>
          </cell>
          <cell r="L747">
            <v>0</v>
          </cell>
          <cell r="Z747">
            <v>0</v>
          </cell>
        </row>
        <row r="749">
          <cell r="E749" t="str">
            <v>SUBTOTAL</v>
          </cell>
          <cell r="I749">
            <v>106560</v>
          </cell>
          <cell r="L749">
            <v>0</v>
          </cell>
          <cell r="Z749" t="e">
            <v>#N/A</v>
          </cell>
        </row>
        <row r="750">
          <cell r="E750" t="str">
            <v>A.I.U</v>
          </cell>
          <cell r="I750">
            <v>0</v>
          </cell>
          <cell r="L750">
            <v>0</v>
          </cell>
          <cell r="Z750">
            <v>0</v>
          </cell>
        </row>
        <row r="751">
          <cell r="D751" t="str">
            <v>AIUAADMON</v>
          </cell>
          <cell r="E751" t="str">
            <v>Admon</v>
          </cell>
          <cell r="F751">
            <v>0</v>
          </cell>
          <cell r="I751">
            <v>0</v>
          </cell>
          <cell r="J751">
            <v>0</v>
          </cell>
          <cell r="L751">
            <v>0</v>
          </cell>
          <cell r="Z751">
            <v>0</v>
          </cell>
        </row>
        <row r="752">
          <cell r="D752" t="str">
            <v>AIUAIMPRE</v>
          </cell>
          <cell r="E752" t="str">
            <v>Imprevistos</v>
          </cell>
          <cell r="F752">
            <v>0</v>
          </cell>
          <cell r="I752">
            <v>0</v>
          </cell>
          <cell r="J752">
            <v>0</v>
          </cell>
          <cell r="L752">
            <v>0</v>
          </cell>
          <cell r="Z752">
            <v>0</v>
          </cell>
        </row>
        <row r="753">
          <cell r="D753" t="str">
            <v>AIUAUTILI</v>
          </cell>
          <cell r="E753" t="str">
            <v>Utilidad</v>
          </cell>
          <cell r="F753">
            <v>0</v>
          </cell>
          <cell r="I753">
            <v>0</v>
          </cell>
          <cell r="J753">
            <v>0</v>
          </cell>
          <cell r="L753">
            <v>0</v>
          </cell>
          <cell r="Z753">
            <v>0</v>
          </cell>
        </row>
        <row r="754">
          <cell r="D754" t="str">
            <v>AIUAIVAUTI</v>
          </cell>
          <cell r="E754" t="str">
            <v>IVA utilidad</v>
          </cell>
          <cell r="F754">
            <v>0</v>
          </cell>
          <cell r="I754">
            <v>0</v>
          </cell>
          <cell r="J754">
            <v>0</v>
          </cell>
          <cell r="L754">
            <v>0</v>
          </cell>
          <cell r="Z754">
            <v>0</v>
          </cell>
        </row>
        <row r="756">
          <cell r="D756" t="str">
            <v>ANSCRC327</v>
          </cell>
          <cell r="E756" t="str">
            <v>Suministro Tuberia Concreto TCR CL-3  Ø 27"</v>
          </cell>
          <cell r="G756" t="str">
            <v>UN.</v>
          </cell>
          <cell r="H756" t="str">
            <v>Ml</v>
          </cell>
          <cell r="I756">
            <v>141978</v>
          </cell>
          <cell r="K756">
            <v>0</v>
          </cell>
          <cell r="L756">
            <v>0</v>
          </cell>
          <cell r="N756">
            <v>141978</v>
          </cell>
          <cell r="O756">
            <v>0</v>
          </cell>
          <cell r="P756">
            <v>0</v>
          </cell>
          <cell r="Q756">
            <v>0</v>
          </cell>
          <cell r="X756">
            <v>0</v>
          </cell>
          <cell r="Y756" t="str">
            <v>Ml</v>
          </cell>
          <cell r="Z756" t="e">
            <v>#N/A</v>
          </cell>
          <cell r="AA756" t="e">
            <v>#N/A</v>
          </cell>
          <cell r="AB756">
            <v>0</v>
          </cell>
          <cell r="AC756">
            <v>0</v>
          </cell>
        </row>
        <row r="758">
          <cell r="D758" t="str">
            <v>CODIGO</v>
          </cell>
          <cell r="E758" t="str">
            <v>DESCRIPCION</v>
          </cell>
          <cell r="F758" t="str">
            <v>UN</v>
          </cell>
          <cell r="G758" t="str">
            <v>CANT</v>
          </cell>
          <cell r="H758" t="str">
            <v>V/UNIT.</v>
          </cell>
          <cell r="I758" t="str">
            <v>V/TOTAL</v>
          </cell>
          <cell r="K758" t="str">
            <v>CANT TOTAL</v>
          </cell>
          <cell r="L758" t="str">
            <v>Vr TOTAL</v>
          </cell>
          <cell r="Y758" t="str">
            <v>CANT.</v>
          </cell>
          <cell r="Z758" t="str">
            <v>V/TOTAL</v>
          </cell>
        </row>
        <row r="759">
          <cell r="E759" t="str">
            <v>MATERIALES</v>
          </cell>
          <cell r="I759">
            <v>141978</v>
          </cell>
          <cell r="L759">
            <v>0</v>
          </cell>
          <cell r="Z759" t="e">
            <v>#N/A</v>
          </cell>
        </row>
        <row r="760">
          <cell r="D760" t="str">
            <v>MA46TCRC327</v>
          </cell>
          <cell r="E760" t="str">
            <v>Tuberia concreto TCR CL-III 27</v>
          </cell>
          <cell r="F760" t="str">
            <v>ml</v>
          </cell>
          <cell r="G760">
            <v>1</v>
          </cell>
          <cell r="H760">
            <v>141977.97</v>
          </cell>
          <cell r="I760">
            <v>141978</v>
          </cell>
          <cell r="J760">
            <v>0</v>
          </cell>
          <cell r="K760">
            <v>0</v>
          </cell>
          <cell r="L760">
            <v>0</v>
          </cell>
          <cell r="Y760" t="e">
            <v>#N/A</v>
          </cell>
          <cell r="Z760" t="e">
            <v>#N/A</v>
          </cell>
        </row>
        <row r="763">
          <cell r="E763" t="str">
            <v>MANO DE OBRA</v>
          </cell>
          <cell r="I763">
            <v>0</v>
          </cell>
          <cell r="L763">
            <v>0</v>
          </cell>
          <cell r="Z763">
            <v>0</v>
          </cell>
        </row>
        <row r="766">
          <cell r="E766" t="str">
            <v>VARIOS</v>
          </cell>
          <cell r="I766">
            <v>0</v>
          </cell>
          <cell r="L766">
            <v>0</v>
          </cell>
          <cell r="Z766">
            <v>0</v>
          </cell>
        </row>
        <row r="768">
          <cell r="E768" t="str">
            <v>SUBTOTAL</v>
          </cell>
          <cell r="I768">
            <v>141978</v>
          </cell>
          <cell r="L768">
            <v>0</v>
          </cell>
          <cell r="Z768" t="e">
            <v>#N/A</v>
          </cell>
        </row>
        <row r="769">
          <cell r="E769" t="str">
            <v>A.I.U</v>
          </cell>
          <cell r="I769">
            <v>0</v>
          </cell>
          <cell r="L769">
            <v>0</v>
          </cell>
          <cell r="Z769">
            <v>0</v>
          </cell>
        </row>
        <row r="770">
          <cell r="D770" t="str">
            <v>AIUAADMON</v>
          </cell>
          <cell r="E770" t="str">
            <v>Admon</v>
          </cell>
          <cell r="F770">
            <v>0</v>
          </cell>
          <cell r="I770">
            <v>0</v>
          </cell>
          <cell r="J770">
            <v>0</v>
          </cell>
          <cell r="L770">
            <v>0</v>
          </cell>
          <cell r="Z770">
            <v>0</v>
          </cell>
        </row>
        <row r="771">
          <cell r="D771" t="str">
            <v>AIUAIMPRE</v>
          </cell>
          <cell r="E771" t="str">
            <v>Imprevistos</v>
          </cell>
          <cell r="F771">
            <v>0</v>
          </cell>
          <cell r="I771">
            <v>0</v>
          </cell>
          <cell r="J771">
            <v>0</v>
          </cell>
          <cell r="L771">
            <v>0</v>
          </cell>
          <cell r="Z771">
            <v>0</v>
          </cell>
        </row>
        <row r="772">
          <cell r="D772" t="str">
            <v>AIUAUTILI</v>
          </cell>
          <cell r="E772" t="str">
            <v>Utilidad</v>
          </cell>
          <cell r="F772">
            <v>0</v>
          </cell>
          <cell r="I772">
            <v>0</v>
          </cell>
          <cell r="J772">
            <v>0</v>
          </cell>
          <cell r="L772">
            <v>0</v>
          </cell>
          <cell r="Z772">
            <v>0</v>
          </cell>
        </row>
        <row r="773">
          <cell r="D773" t="str">
            <v>AIUAIVAUTI</v>
          </cell>
          <cell r="E773" t="str">
            <v>IVA utilidad</v>
          </cell>
          <cell r="F773">
            <v>0</v>
          </cell>
          <cell r="I773">
            <v>0</v>
          </cell>
          <cell r="J773">
            <v>0</v>
          </cell>
          <cell r="L773">
            <v>0</v>
          </cell>
          <cell r="Z773">
            <v>0</v>
          </cell>
        </row>
        <row r="775">
          <cell r="D775" t="str">
            <v>ANSCRC330</v>
          </cell>
          <cell r="E775" t="str">
            <v>Suministro Tuberia Concreto TCR CL-3  Ø 30"</v>
          </cell>
          <cell r="G775" t="str">
            <v>UN.</v>
          </cell>
          <cell r="H775" t="str">
            <v>Ml</v>
          </cell>
          <cell r="I775">
            <v>143608</v>
          </cell>
          <cell r="K775">
            <v>0</v>
          </cell>
          <cell r="L775">
            <v>0</v>
          </cell>
          <cell r="N775">
            <v>143608</v>
          </cell>
          <cell r="O775">
            <v>0</v>
          </cell>
          <cell r="P775">
            <v>0</v>
          </cell>
          <cell r="Q775">
            <v>0</v>
          </cell>
          <cell r="X775">
            <v>0</v>
          </cell>
          <cell r="Y775" t="str">
            <v>Ml</v>
          </cell>
          <cell r="Z775" t="e">
            <v>#N/A</v>
          </cell>
          <cell r="AA775" t="e">
            <v>#N/A</v>
          </cell>
          <cell r="AB775">
            <v>0</v>
          </cell>
          <cell r="AC775">
            <v>0</v>
          </cell>
        </row>
        <row r="777">
          <cell r="D777" t="str">
            <v>CODIGO</v>
          </cell>
          <cell r="E777" t="str">
            <v>DESCRIPCION</v>
          </cell>
          <cell r="F777" t="str">
            <v>UN</v>
          </cell>
          <cell r="G777" t="str">
            <v>CANT</v>
          </cell>
          <cell r="H777" t="str">
            <v>V/UNIT.</v>
          </cell>
          <cell r="I777" t="str">
            <v>V/TOTAL</v>
          </cell>
          <cell r="K777" t="str">
            <v>CANT TOTAL</v>
          </cell>
          <cell r="L777" t="str">
            <v>Vr TOTAL</v>
          </cell>
          <cell r="Y777" t="str">
            <v>CANT.</v>
          </cell>
          <cell r="Z777" t="str">
            <v>V/TOTAL</v>
          </cell>
        </row>
        <row r="778">
          <cell r="E778" t="str">
            <v>MATERIALES</v>
          </cell>
          <cell r="I778">
            <v>143608</v>
          </cell>
          <cell r="L778">
            <v>0</v>
          </cell>
          <cell r="Z778" t="e">
            <v>#N/A</v>
          </cell>
        </row>
        <row r="779">
          <cell r="D779" t="str">
            <v>MA46TCRC330</v>
          </cell>
          <cell r="E779" t="str">
            <v>Tuberia concreto TCR CL-III 30</v>
          </cell>
          <cell r="F779" t="str">
            <v>ml</v>
          </cell>
          <cell r="G779">
            <v>1</v>
          </cell>
          <cell r="H779">
            <v>143608</v>
          </cell>
          <cell r="I779">
            <v>143608</v>
          </cell>
          <cell r="J779">
            <v>0</v>
          </cell>
          <cell r="K779">
            <v>0</v>
          </cell>
          <cell r="L779">
            <v>0</v>
          </cell>
          <cell r="Y779" t="e">
            <v>#N/A</v>
          </cell>
          <cell r="Z779" t="e">
            <v>#N/A</v>
          </cell>
        </row>
        <row r="782">
          <cell r="E782" t="str">
            <v>MANO DE OBRA</v>
          </cell>
          <cell r="I782">
            <v>0</v>
          </cell>
          <cell r="L782">
            <v>0</v>
          </cell>
          <cell r="Z782">
            <v>0</v>
          </cell>
        </row>
        <row r="785">
          <cell r="E785" t="str">
            <v>VARIOS</v>
          </cell>
          <cell r="I785">
            <v>0</v>
          </cell>
          <cell r="L785">
            <v>0</v>
          </cell>
          <cell r="Z785">
            <v>0</v>
          </cell>
        </row>
        <row r="787">
          <cell r="E787" t="str">
            <v>SUBTOTAL</v>
          </cell>
          <cell r="I787">
            <v>143608</v>
          </cell>
          <cell r="L787">
            <v>0</v>
          </cell>
          <cell r="Z787" t="e">
            <v>#N/A</v>
          </cell>
        </row>
        <row r="788">
          <cell r="E788" t="str">
            <v>A.I.U</v>
          </cell>
          <cell r="I788">
            <v>0</v>
          </cell>
          <cell r="L788">
            <v>0</v>
          </cell>
          <cell r="Z788">
            <v>0</v>
          </cell>
        </row>
        <row r="789">
          <cell r="D789" t="str">
            <v>AIUAADMON</v>
          </cell>
          <cell r="E789" t="str">
            <v>Admon</v>
          </cell>
          <cell r="F789">
            <v>0</v>
          </cell>
          <cell r="I789">
            <v>0</v>
          </cell>
          <cell r="J789">
            <v>0</v>
          </cell>
          <cell r="L789">
            <v>0</v>
          </cell>
          <cell r="Z789">
            <v>0</v>
          </cell>
        </row>
        <row r="790">
          <cell r="D790" t="str">
            <v>AIUAIMPRE</v>
          </cell>
          <cell r="E790" t="str">
            <v>Imprevistos</v>
          </cell>
          <cell r="F790">
            <v>0</v>
          </cell>
          <cell r="I790">
            <v>0</v>
          </cell>
          <cell r="J790">
            <v>0</v>
          </cell>
          <cell r="L790">
            <v>0</v>
          </cell>
          <cell r="Z790">
            <v>0</v>
          </cell>
        </row>
        <row r="791">
          <cell r="D791" t="str">
            <v>AIUAUTILI</v>
          </cell>
          <cell r="E791" t="str">
            <v>Utilidad</v>
          </cell>
          <cell r="F791">
            <v>0</v>
          </cell>
          <cell r="I791">
            <v>0</v>
          </cell>
          <cell r="J791">
            <v>0</v>
          </cell>
          <cell r="L791">
            <v>0</v>
          </cell>
          <cell r="Z791">
            <v>0</v>
          </cell>
        </row>
        <row r="792">
          <cell r="D792" t="str">
            <v>AIUAIVAUTI</v>
          </cell>
          <cell r="E792" t="str">
            <v>IVA utilidad</v>
          </cell>
          <cell r="F792">
            <v>0</v>
          </cell>
          <cell r="I792">
            <v>0</v>
          </cell>
          <cell r="J792">
            <v>0</v>
          </cell>
          <cell r="L792">
            <v>0</v>
          </cell>
          <cell r="Z792">
            <v>0</v>
          </cell>
        </row>
        <row r="794">
          <cell r="D794" t="str">
            <v>ANSCRC336</v>
          </cell>
          <cell r="E794" t="str">
            <v>Suministro Tuberia Concreto TCR CL-3  Ø 36"</v>
          </cell>
          <cell r="G794" t="str">
            <v>UN.</v>
          </cell>
          <cell r="H794" t="str">
            <v>Ml</v>
          </cell>
          <cell r="I794">
            <v>186992</v>
          </cell>
          <cell r="K794">
            <v>0</v>
          </cell>
          <cell r="L794">
            <v>0</v>
          </cell>
          <cell r="N794">
            <v>186992</v>
          </cell>
          <cell r="O794">
            <v>0</v>
          </cell>
          <cell r="P794">
            <v>0</v>
          </cell>
          <cell r="Q794">
            <v>0</v>
          </cell>
          <cell r="X794">
            <v>0</v>
          </cell>
          <cell r="Y794" t="str">
            <v>Ml</v>
          </cell>
          <cell r="Z794" t="e">
            <v>#N/A</v>
          </cell>
          <cell r="AA794" t="e">
            <v>#N/A</v>
          </cell>
          <cell r="AB794">
            <v>0</v>
          </cell>
          <cell r="AC794">
            <v>0</v>
          </cell>
        </row>
        <row r="796">
          <cell r="D796" t="str">
            <v>CODIGO</v>
          </cell>
          <cell r="E796" t="str">
            <v>DESCRIPCION</v>
          </cell>
          <cell r="F796" t="str">
            <v>UN</v>
          </cell>
          <cell r="G796" t="str">
            <v>CANT</v>
          </cell>
          <cell r="H796" t="str">
            <v>V/UNIT.</v>
          </cell>
          <cell r="I796" t="str">
            <v>V/TOTAL</v>
          </cell>
          <cell r="K796" t="str">
            <v>CANT TOTAL</v>
          </cell>
          <cell r="L796" t="str">
            <v>Vr TOTAL</v>
          </cell>
          <cell r="Y796" t="str">
            <v>CANT.</v>
          </cell>
          <cell r="Z796" t="str">
            <v>V/TOTAL</v>
          </cell>
        </row>
        <row r="797">
          <cell r="E797" t="str">
            <v>MATERIALES</v>
          </cell>
          <cell r="I797">
            <v>186992</v>
          </cell>
          <cell r="L797">
            <v>0</v>
          </cell>
          <cell r="Z797" t="e">
            <v>#N/A</v>
          </cell>
        </row>
        <row r="798">
          <cell r="D798" t="str">
            <v>MA46TCRC336</v>
          </cell>
          <cell r="E798" t="str">
            <v>Tuberia concreto TCR CL-III 36</v>
          </cell>
          <cell r="F798" t="str">
            <v>ml</v>
          </cell>
          <cell r="G798">
            <v>1</v>
          </cell>
          <cell r="H798">
            <v>186992</v>
          </cell>
          <cell r="I798">
            <v>186992</v>
          </cell>
          <cell r="J798">
            <v>0</v>
          </cell>
          <cell r="K798">
            <v>0</v>
          </cell>
          <cell r="L798">
            <v>0</v>
          </cell>
          <cell r="Y798" t="e">
            <v>#N/A</v>
          </cell>
          <cell r="Z798" t="e">
            <v>#N/A</v>
          </cell>
        </row>
        <row r="801">
          <cell r="E801" t="str">
            <v>MANO DE OBRA</v>
          </cell>
          <cell r="I801">
            <v>0</v>
          </cell>
          <cell r="L801">
            <v>0</v>
          </cell>
          <cell r="Z801">
            <v>0</v>
          </cell>
        </row>
        <row r="804">
          <cell r="E804" t="str">
            <v>VARIOS</v>
          </cell>
          <cell r="I804">
            <v>0</v>
          </cell>
          <cell r="L804">
            <v>0</v>
          </cell>
          <cell r="Z804">
            <v>0</v>
          </cell>
        </row>
        <row r="806">
          <cell r="E806" t="str">
            <v>SUBTOTAL</v>
          </cell>
          <cell r="I806">
            <v>186992</v>
          </cell>
          <cell r="L806">
            <v>0</v>
          </cell>
          <cell r="Z806" t="e">
            <v>#N/A</v>
          </cell>
        </row>
        <row r="807">
          <cell r="E807" t="str">
            <v>A.I.U</v>
          </cell>
          <cell r="I807">
            <v>0</v>
          </cell>
          <cell r="L807">
            <v>0</v>
          </cell>
          <cell r="Z807">
            <v>0</v>
          </cell>
        </row>
        <row r="808">
          <cell r="D808" t="str">
            <v>AIUAADMON</v>
          </cell>
          <cell r="E808" t="str">
            <v>Admon</v>
          </cell>
          <cell r="F808">
            <v>0</v>
          </cell>
          <cell r="I808">
            <v>0</v>
          </cell>
          <cell r="J808">
            <v>0</v>
          </cell>
          <cell r="L808">
            <v>0</v>
          </cell>
          <cell r="Z808">
            <v>0</v>
          </cell>
        </row>
        <row r="809">
          <cell r="D809" t="str">
            <v>AIUAIMPRE</v>
          </cell>
          <cell r="E809" t="str">
            <v>Imprevistos</v>
          </cell>
          <cell r="F809">
            <v>0</v>
          </cell>
          <cell r="I809">
            <v>0</v>
          </cell>
          <cell r="J809">
            <v>0</v>
          </cell>
          <cell r="L809">
            <v>0</v>
          </cell>
          <cell r="Z809">
            <v>0</v>
          </cell>
        </row>
        <row r="810">
          <cell r="D810" t="str">
            <v>AIUAUTILI</v>
          </cell>
          <cell r="E810" t="str">
            <v>Utilidad</v>
          </cell>
          <cell r="F810">
            <v>0</v>
          </cell>
          <cell r="I810">
            <v>0</v>
          </cell>
          <cell r="J810">
            <v>0</v>
          </cell>
          <cell r="L810">
            <v>0</v>
          </cell>
          <cell r="Z810">
            <v>0</v>
          </cell>
        </row>
        <row r="811">
          <cell r="D811" t="str">
            <v>AIUAIVAUTI</v>
          </cell>
          <cell r="E811" t="str">
            <v>IVA utilidad</v>
          </cell>
          <cell r="F811">
            <v>0</v>
          </cell>
          <cell r="I811">
            <v>0</v>
          </cell>
          <cell r="J811">
            <v>0</v>
          </cell>
          <cell r="L811">
            <v>0</v>
          </cell>
          <cell r="Z811">
            <v>0</v>
          </cell>
        </row>
        <row r="813">
          <cell r="D813" t="str">
            <v>ANSCRC356</v>
          </cell>
          <cell r="E813" t="str">
            <v>Suministro Tuberia Concreto TCR CL-3  Ø 1,40 m</v>
          </cell>
          <cell r="G813" t="str">
            <v>UN.</v>
          </cell>
          <cell r="H813" t="str">
            <v>Ml</v>
          </cell>
          <cell r="I813">
            <v>447942</v>
          </cell>
          <cell r="K813">
            <v>49</v>
          </cell>
          <cell r="L813">
            <v>21949158</v>
          </cell>
          <cell r="N813">
            <v>447942</v>
          </cell>
          <cell r="O813">
            <v>0</v>
          </cell>
          <cell r="P813">
            <v>0</v>
          </cell>
          <cell r="Q813">
            <v>0</v>
          </cell>
          <cell r="X813">
            <v>21949158</v>
          </cell>
          <cell r="Y813" t="str">
            <v>Ml</v>
          </cell>
          <cell r="Z813" t="e">
            <v>#N/A</v>
          </cell>
          <cell r="AA813" t="e">
            <v>#N/A</v>
          </cell>
          <cell r="AB813">
            <v>0</v>
          </cell>
          <cell r="AC813">
            <v>0</v>
          </cell>
        </row>
        <row r="815">
          <cell r="D815" t="str">
            <v>CODIGO</v>
          </cell>
          <cell r="E815" t="str">
            <v>DESCRIPCION</v>
          </cell>
          <cell r="F815" t="str">
            <v>UN</v>
          </cell>
          <cell r="G815" t="str">
            <v>CANT</v>
          </cell>
          <cell r="H815" t="str">
            <v>V/UNIT.</v>
          </cell>
          <cell r="I815" t="str">
            <v>V/TOTAL</v>
          </cell>
          <cell r="K815" t="str">
            <v>CANT TOTAL</v>
          </cell>
          <cell r="L815" t="str">
            <v>Vr TOTAL</v>
          </cell>
          <cell r="Y815" t="str">
            <v>CANT.</v>
          </cell>
          <cell r="Z815" t="str">
            <v>V/TOTAL</v>
          </cell>
        </row>
        <row r="816">
          <cell r="E816" t="str">
            <v>MATERIALES</v>
          </cell>
          <cell r="I816">
            <v>447942</v>
          </cell>
          <cell r="L816">
            <v>21949158</v>
          </cell>
          <cell r="Z816" t="e">
            <v>#N/A</v>
          </cell>
        </row>
        <row r="817">
          <cell r="D817" t="str">
            <v>MA46TCRC356</v>
          </cell>
          <cell r="E817" t="str">
            <v>Tuberia concreto TCR CL-III 1,40 m</v>
          </cell>
          <cell r="F817" t="str">
            <v>ml</v>
          </cell>
          <cell r="G817">
            <v>1</v>
          </cell>
          <cell r="H817">
            <v>447942.35</v>
          </cell>
          <cell r="I817">
            <v>447942</v>
          </cell>
          <cell r="J817">
            <v>0</v>
          </cell>
          <cell r="K817">
            <v>49</v>
          </cell>
          <cell r="L817">
            <v>21949175.149999999</v>
          </cell>
          <cell r="Y817" t="e">
            <v>#N/A</v>
          </cell>
          <cell r="Z817" t="e">
            <v>#N/A</v>
          </cell>
        </row>
        <row r="820">
          <cell r="E820" t="str">
            <v>MANO DE OBRA</v>
          </cell>
          <cell r="I820">
            <v>0</v>
          </cell>
          <cell r="L820">
            <v>0</v>
          </cell>
          <cell r="Z820">
            <v>0</v>
          </cell>
        </row>
        <row r="823">
          <cell r="E823" t="str">
            <v>VARIOS</v>
          </cell>
          <cell r="I823">
            <v>0</v>
          </cell>
          <cell r="L823">
            <v>0</v>
          </cell>
          <cell r="Z823">
            <v>0</v>
          </cell>
        </row>
        <row r="825">
          <cell r="E825" t="str">
            <v>SUBTOTAL</v>
          </cell>
          <cell r="I825">
            <v>447942</v>
          </cell>
          <cell r="L825">
            <v>21949158</v>
          </cell>
          <cell r="Z825" t="e">
            <v>#N/A</v>
          </cell>
        </row>
        <row r="826">
          <cell r="E826" t="str">
            <v>A.I.U</v>
          </cell>
          <cell r="I826">
            <v>0</v>
          </cell>
          <cell r="L826">
            <v>0</v>
          </cell>
          <cell r="Z826">
            <v>0</v>
          </cell>
        </row>
        <row r="827">
          <cell r="D827" t="str">
            <v>AIUAADMON</v>
          </cell>
          <cell r="E827" t="str">
            <v>Admon</v>
          </cell>
          <cell r="F827">
            <v>0</v>
          </cell>
          <cell r="I827">
            <v>0</v>
          </cell>
          <cell r="J827">
            <v>0</v>
          </cell>
          <cell r="L827">
            <v>0</v>
          </cell>
          <cell r="Z827">
            <v>0</v>
          </cell>
        </row>
        <row r="828">
          <cell r="D828" t="str">
            <v>AIUAIMPRE</v>
          </cell>
          <cell r="E828" t="str">
            <v>Imprevistos</v>
          </cell>
          <cell r="F828">
            <v>0</v>
          </cell>
          <cell r="I828">
            <v>0</v>
          </cell>
          <cell r="J828">
            <v>0</v>
          </cell>
          <cell r="L828">
            <v>0</v>
          </cell>
          <cell r="Z828">
            <v>0</v>
          </cell>
        </row>
        <row r="829">
          <cell r="D829" t="str">
            <v>AIUAUTILI</v>
          </cell>
          <cell r="E829" t="str">
            <v>Utilidad</v>
          </cell>
          <cell r="F829">
            <v>0</v>
          </cell>
          <cell r="I829">
            <v>0</v>
          </cell>
          <cell r="J829">
            <v>0</v>
          </cell>
          <cell r="L829">
            <v>0</v>
          </cell>
          <cell r="Z829">
            <v>0</v>
          </cell>
        </row>
        <row r="830">
          <cell r="D830" t="str">
            <v>AIUAIVAUTI</v>
          </cell>
          <cell r="E830" t="str">
            <v>IVA utilidad</v>
          </cell>
          <cell r="F830">
            <v>0</v>
          </cell>
          <cell r="I830">
            <v>0</v>
          </cell>
          <cell r="J830">
            <v>0</v>
          </cell>
          <cell r="L830">
            <v>0</v>
          </cell>
          <cell r="Z830">
            <v>0</v>
          </cell>
        </row>
        <row r="832">
          <cell r="D832" t="str">
            <v>ANSCRC372</v>
          </cell>
          <cell r="E832" t="str">
            <v>Suministro Tuberia Concreto TCR CL-3  Ø 1,80 m</v>
          </cell>
          <cell r="G832" t="str">
            <v>UN.</v>
          </cell>
          <cell r="H832" t="str">
            <v>Ml</v>
          </cell>
          <cell r="I832">
            <v>748998</v>
          </cell>
          <cell r="K832">
            <v>58</v>
          </cell>
          <cell r="L832">
            <v>43441884</v>
          </cell>
          <cell r="N832">
            <v>748998</v>
          </cell>
          <cell r="O832">
            <v>0</v>
          </cell>
          <cell r="P832">
            <v>0</v>
          </cell>
          <cell r="Q832">
            <v>0</v>
          </cell>
          <cell r="X832">
            <v>43441884</v>
          </cell>
          <cell r="Y832" t="str">
            <v>Ml</v>
          </cell>
          <cell r="Z832" t="e">
            <v>#N/A</v>
          </cell>
          <cell r="AA832" t="e">
            <v>#N/A</v>
          </cell>
          <cell r="AB832">
            <v>0</v>
          </cell>
          <cell r="AC832">
            <v>0</v>
          </cell>
        </row>
        <row r="834">
          <cell r="D834" t="str">
            <v>CODIGO</v>
          </cell>
          <cell r="E834" t="str">
            <v>DESCRIPCION</v>
          </cell>
          <cell r="F834" t="str">
            <v>UN</v>
          </cell>
          <cell r="G834" t="str">
            <v>CANT</v>
          </cell>
          <cell r="H834" t="str">
            <v>V/UNIT.</v>
          </cell>
          <cell r="I834" t="str">
            <v>V/TOTAL</v>
          </cell>
          <cell r="K834" t="str">
            <v>CANT TOTAL</v>
          </cell>
          <cell r="L834" t="str">
            <v>Vr TOTAL</v>
          </cell>
          <cell r="Y834" t="str">
            <v>CANT.</v>
          </cell>
          <cell r="Z834" t="str">
            <v>V/TOTAL</v>
          </cell>
        </row>
        <row r="835">
          <cell r="E835" t="str">
            <v>MATERIALES</v>
          </cell>
          <cell r="I835">
            <v>748998</v>
          </cell>
          <cell r="L835">
            <v>43441884</v>
          </cell>
          <cell r="Z835" t="e">
            <v>#N/A</v>
          </cell>
        </row>
        <row r="836">
          <cell r="D836" t="str">
            <v>MA46TCRC372</v>
          </cell>
          <cell r="E836" t="str">
            <v>Tuberia concreto TCR CL-III 1,80 m</v>
          </cell>
          <cell r="F836" t="str">
            <v>ml</v>
          </cell>
          <cell r="G836">
            <v>1</v>
          </cell>
          <cell r="H836">
            <v>748998.08</v>
          </cell>
          <cell r="I836">
            <v>748998</v>
          </cell>
          <cell r="J836">
            <v>0</v>
          </cell>
          <cell r="K836">
            <v>58</v>
          </cell>
          <cell r="L836">
            <v>43441888.640000001</v>
          </cell>
          <cell r="Y836" t="e">
            <v>#N/A</v>
          </cell>
          <cell r="Z836" t="e">
            <v>#N/A</v>
          </cell>
        </row>
        <row r="839">
          <cell r="E839" t="str">
            <v>MANO DE OBRA</v>
          </cell>
          <cell r="I839">
            <v>0</v>
          </cell>
          <cell r="L839">
            <v>0</v>
          </cell>
          <cell r="Z839">
            <v>0</v>
          </cell>
        </row>
        <row r="842">
          <cell r="E842" t="str">
            <v>VARIOS</v>
          </cell>
          <cell r="I842">
            <v>0</v>
          </cell>
          <cell r="L842">
            <v>0</v>
          </cell>
          <cell r="Z842">
            <v>0</v>
          </cell>
        </row>
        <row r="844">
          <cell r="E844" t="str">
            <v>SUBTOTAL</v>
          </cell>
          <cell r="I844">
            <v>748998</v>
          </cell>
          <cell r="L844">
            <v>43441884</v>
          </cell>
          <cell r="Z844" t="e">
            <v>#N/A</v>
          </cell>
        </row>
        <row r="845">
          <cell r="E845" t="str">
            <v>A.I.U</v>
          </cell>
          <cell r="I845">
            <v>0</v>
          </cell>
          <cell r="L845">
            <v>0</v>
          </cell>
          <cell r="Z845">
            <v>0</v>
          </cell>
        </row>
        <row r="846">
          <cell r="D846" t="str">
            <v>AIUAADMON</v>
          </cell>
          <cell r="E846" t="str">
            <v>Admon</v>
          </cell>
          <cell r="F846">
            <v>0</v>
          </cell>
          <cell r="I846">
            <v>0</v>
          </cell>
          <cell r="J846">
            <v>0</v>
          </cell>
          <cell r="L846">
            <v>0</v>
          </cell>
          <cell r="Z846">
            <v>0</v>
          </cell>
        </row>
        <row r="847">
          <cell r="D847" t="str">
            <v>AIUAIMPRE</v>
          </cell>
          <cell r="E847" t="str">
            <v>Imprevistos</v>
          </cell>
          <cell r="F847">
            <v>0</v>
          </cell>
          <cell r="I847">
            <v>0</v>
          </cell>
          <cell r="J847">
            <v>0</v>
          </cell>
          <cell r="L847">
            <v>0</v>
          </cell>
          <cell r="Z847">
            <v>0</v>
          </cell>
        </row>
        <row r="848">
          <cell r="D848" t="str">
            <v>AIUAUTILI</v>
          </cell>
          <cell r="E848" t="str">
            <v>Utilidad</v>
          </cell>
          <cell r="F848">
            <v>0</v>
          </cell>
          <cell r="I848">
            <v>0</v>
          </cell>
          <cell r="J848">
            <v>0</v>
          </cell>
          <cell r="L848">
            <v>0</v>
          </cell>
          <cell r="Z848">
            <v>0</v>
          </cell>
        </row>
        <row r="849">
          <cell r="D849" t="str">
            <v>AIUAIVAUTI</v>
          </cell>
          <cell r="E849" t="str">
            <v>IVA utilidad</v>
          </cell>
          <cell r="F849">
            <v>0</v>
          </cell>
          <cell r="I849">
            <v>0</v>
          </cell>
          <cell r="J849">
            <v>0</v>
          </cell>
          <cell r="L849">
            <v>0</v>
          </cell>
          <cell r="Z849">
            <v>0</v>
          </cell>
        </row>
        <row r="851">
          <cell r="D851" t="str">
            <v>ANSCSC112</v>
          </cell>
          <cell r="E851" t="str">
            <v xml:space="preserve">Suministro Tuberia Concreto TCS-C1 Ø 12" </v>
          </cell>
          <cell r="G851" t="str">
            <v>UN.</v>
          </cell>
          <cell r="H851" t="str">
            <v>Ml</v>
          </cell>
          <cell r="I851">
            <v>21716</v>
          </cell>
          <cell r="K851">
            <v>1359</v>
          </cell>
          <cell r="L851">
            <v>29512044</v>
          </cell>
          <cell r="N851">
            <v>21716</v>
          </cell>
          <cell r="O851">
            <v>0</v>
          </cell>
          <cell r="P851">
            <v>0</v>
          </cell>
          <cell r="Q851">
            <v>0</v>
          </cell>
          <cell r="X851">
            <v>29512044</v>
          </cell>
          <cell r="Y851" t="str">
            <v>Ml</v>
          </cell>
          <cell r="Z851" t="e">
            <v>#N/A</v>
          </cell>
          <cell r="AA851" t="e">
            <v>#N/A</v>
          </cell>
          <cell r="AB851">
            <v>0</v>
          </cell>
          <cell r="AC851">
            <v>0</v>
          </cell>
        </row>
        <row r="853">
          <cell r="D853" t="str">
            <v>CODIGO</v>
          </cell>
          <cell r="E853" t="str">
            <v>DESCRIPCION</v>
          </cell>
          <cell r="F853" t="str">
            <v>UN</v>
          </cell>
          <cell r="G853" t="str">
            <v>CANT</v>
          </cell>
          <cell r="H853" t="str">
            <v>V/UNIT.</v>
          </cell>
          <cell r="I853" t="str">
            <v>V/TOTAL</v>
          </cell>
          <cell r="K853" t="str">
            <v>CANT TOTAL</v>
          </cell>
          <cell r="L853" t="str">
            <v>Vr TOTAL</v>
          </cell>
          <cell r="Y853" t="str">
            <v>CANT.</v>
          </cell>
          <cell r="Z853" t="str">
            <v>V/TOTAL</v>
          </cell>
        </row>
        <row r="854">
          <cell r="E854" t="str">
            <v>MATERIALES</v>
          </cell>
          <cell r="I854">
            <v>21716</v>
          </cell>
          <cell r="L854">
            <v>29512044</v>
          </cell>
          <cell r="Z854" t="e">
            <v>#N/A</v>
          </cell>
        </row>
        <row r="855">
          <cell r="D855" t="str">
            <v>MA46CSC112</v>
          </cell>
          <cell r="E855" t="str">
            <v>Tuberia concreto TCS-CL1 12</v>
          </cell>
          <cell r="F855" t="str">
            <v>ml</v>
          </cell>
          <cell r="G855">
            <v>1</v>
          </cell>
          <cell r="H855">
            <v>21716.36</v>
          </cell>
          <cell r="I855">
            <v>21716</v>
          </cell>
          <cell r="J855">
            <v>0</v>
          </cell>
          <cell r="K855">
            <v>1359</v>
          </cell>
          <cell r="L855">
            <v>29512533.240000002</v>
          </cell>
          <cell r="Y855" t="e">
            <v>#N/A</v>
          </cell>
          <cell r="Z855" t="e">
            <v>#N/A</v>
          </cell>
        </row>
        <row r="858">
          <cell r="E858" t="str">
            <v>MANO DE OBRA</v>
          </cell>
          <cell r="I858">
            <v>0</v>
          </cell>
          <cell r="L858">
            <v>0</v>
          </cell>
          <cell r="Z858">
            <v>0</v>
          </cell>
        </row>
        <row r="861">
          <cell r="E861" t="str">
            <v>VARIOS</v>
          </cell>
          <cell r="I861">
            <v>0</v>
          </cell>
          <cell r="L861">
            <v>0</v>
          </cell>
          <cell r="Z861">
            <v>0</v>
          </cell>
        </row>
        <row r="863">
          <cell r="E863" t="str">
            <v>SUBTOTAL</v>
          </cell>
          <cell r="I863">
            <v>21716</v>
          </cell>
          <cell r="L863">
            <v>29512044</v>
          </cell>
          <cell r="Z863" t="e">
            <v>#N/A</v>
          </cell>
        </row>
        <row r="864">
          <cell r="E864" t="str">
            <v>A.I.U</v>
          </cell>
          <cell r="I864">
            <v>0</v>
          </cell>
          <cell r="L864">
            <v>0</v>
          </cell>
          <cell r="Z864">
            <v>0</v>
          </cell>
        </row>
        <row r="865">
          <cell r="D865" t="str">
            <v>AIUAADMON</v>
          </cell>
          <cell r="E865" t="str">
            <v>Admon</v>
          </cell>
          <cell r="F865">
            <v>0</v>
          </cell>
          <cell r="I865">
            <v>0</v>
          </cell>
          <cell r="J865">
            <v>0</v>
          </cell>
          <cell r="L865">
            <v>0</v>
          </cell>
          <cell r="Z865">
            <v>0</v>
          </cell>
        </row>
        <row r="866">
          <cell r="D866" t="str">
            <v>AIUAIMPRE</v>
          </cell>
          <cell r="E866" t="str">
            <v>Imprevistos</v>
          </cell>
          <cell r="F866">
            <v>0</v>
          </cell>
          <cell r="I866">
            <v>0</v>
          </cell>
          <cell r="J866">
            <v>0</v>
          </cell>
          <cell r="L866">
            <v>0</v>
          </cell>
          <cell r="Z866">
            <v>0</v>
          </cell>
        </row>
        <row r="867">
          <cell r="D867" t="str">
            <v>AIUAUTILI</v>
          </cell>
          <cell r="E867" t="str">
            <v>Utilidad</v>
          </cell>
          <cell r="F867">
            <v>0</v>
          </cell>
          <cell r="I867">
            <v>0</v>
          </cell>
          <cell r="J867">
            <v>0</v>
          </cell>
          <cell r="L867">
            <v>0</v>
          </cell>
          <cell r="Z867">
            <v>0</v>
          </cell>
        </row>
        <row r="868">
          <cell r="D868" t="str">
            <v>AIUAIVAUTI</v>
          </cell>
          <cell r="E868" t="str">
            <v>IVA utilidad</v>
          </cell>
          <cell r="F868">
            <v>0</v>
          </cell>
          <cell r="I868">
            <v>0</v>
          </cell>
          <cell r="J868">
            <v>0</v>
          </cell>
          <cell r="L868">
            <v>0</v>
          </cell>
          <cell r="Z868">
            <v>0</v>
          </cell>
        </row>
        <row r="870">
          <cell r="D870" t="str">
            <v>ANSCSC114</v>
          </cell>
          <cell r="E870" t="str">
            <v xml:space="preserve">Suministro Tuberia Concreto TCS-C1 Ø 14" </v>
          </cell>
          <cell r="G870" t="str">
            <v>UN.</v>
          </cell>
          <cell r="H870" t="str">
            <v>Ml</v>
          </cell>
          <cell r="I870">
            <v>27399</v>
          </cell>
          <cell r="K870">
            <v>0</v>
          </cell>
          <cell r="L870">
            <v>0</v>
          </cell>
          <cell r="N870">
            <v>27399</v>
          </cell>
          <cell r="O870">
            <v>0</v>
          </cell>
          <cell r="P870">
            <v>0</v>
          </cell>
          <cell r="Q870">
            <v>0</v>
          </cell>
          <cell r="X870">
            <v>0</v>
          </cell>
          <cell r="Y870" t="str">
            <v>Ml</v>
          </cell>
          <cell r="Z870" t="e">
            <v>#N/A</v>
          </cell>
          <cell r="AA870" t="e">
            <v>#N/A</v>
          </cell>
          <cell r="AB870">
            <v>0</v>
          </cell>
          <cell r="AC870">
            <v>0</v>
          </cell>
        </row>
        <row r="872">
          <cell r="D872" t="str">
            <v>CODIGO</v>
          </cell>
          <cell r="E872" t="str">
            <v>DESCRIPCION</v>
          </cell>
          <cell r="F872" t="str">
            <v>UN</v>
          </cell>
          <cell r="G872" t="str">
            <v>CANT</v>
          </cell>
          <cell r="H872" t="str">
            <v>V/UNIT.</v>
          </cell>
          <cell r="I872" t="str">
            <v>V/TOTAL</v>
          </cell>
          <cell r="K872" t="str">
            <v>CANT TOTAL</v>
          </cell>
          <cell r="L872" t="str">
            <v>Vr TOTAL</v>
          </cell>
          <cell r="Y872" t="str">
            <v>CANT.</v>
          </cell>
          <cell r="Z872" t="str">
            <v>V/TOTAL</v>
          </cell>
        </row>
        <row r="873">
          <cell r="E873" t="str">
            <v>MATERIALES</v>
          </cell>
          <cell r="I873">
            <v>27399</v>
          </cell>
          <cell r="L873">
            <v>0</v>
          </cell>
          <cell r="Z873" t="e">
            <v>#N/A</v>
          </cell>
        </row>
        <row r="874">
          <cell r="D874" t="str">
            <v>MA46CSC114</v>
          </cell>
          <cell r="E874" t="str">
            <v>Tuberia concreto TCS-CL1 14</v>
          </cell>
          <cell r="F874" t="str">
            <v>ml</v>
          </cell>
          <cell r="G874">
            <v>1</v>
          </cell>
          <cell r="H874">
            <v>27398.62</v>
          </cell>
          <cell r="I874">
            <v>27399</v>
          </cell>
          <cell r="J874">
            <v>0</v>
          </cell>
          <cell r="K874">
            <v>0</v>
          </cell>
          <cell r="L874">
            <v>0</v>
          </cell>
          <cell r="Y874" t="e">
            <v>#N/A</v>
          </cell>
          <cell r="Z874" t="e">
            <v>#N/A</v>
          </cell>
        </row>
        <row r="877">
          <cell r="E877" t="str">
            <v>MANO DE OBRA</v>
          </cell>
          <cell r="I877">
            <v>0</v>
          </cell>
          <cell r="L877">
            <v>0</v>
          </cell>
          <cell r="Z877">
            <v>0</v>
          </cell>
        </row>
        <row r="880">
          <cell r="E880" t="str">
            <v>VARIOS</v>
          </cell>
          <cell r="I880">
            <v>0</v>
          </cell>
          <cell r="L880">
            <v>0</v>
          </cell>
          <cell r="Z880">
            <v>0</v>
          </cell>
        </row>
        <row r="882">
          <cell r="E882" t="str">
            <v>SUBTOTAL</v>
          </cell>
          <cell r="I882">
            <v>27399</v>
          </cell>
          <cell r="L882">
            <v>0</v>
          </cell>
          <cell r="Z882" t="e">
            <v>#N/A</v>
          </cell>
        </row>
        <row r="883">
          <cell r="E883" t="str">
            <v>A.I.U</v>
          </cell>
          <cell r="I883">
            <v>0</v>
          </cell>
          <cell r="L883">
            <v>0</v>
          </cell>
          <cell r="Z883">
            <v>0</v>
          </cell>
        </row>
        <row r="884">
          <cell r="D884" t="str">
            <v>AIUAADMON</v>
          </cell>
          <cell r="E884" t="str">
            <v>Admon</v>
          </cell>
          <cell r="F884">
            <v>0</v>
          </cell>
          <cell r="I884">
            <v>0</v>
          </cell>
          <cell r="J884">
            <v>0</v>
          </cell>
          <cell r="L884">
            <v>0</v>
          </cell>
          <cell r="Z884">
            <v>0</v>
          </cell>
        </row>
        <row r="885">
          <cell r="D885" t="str">
            <v>AIUAIMPRE</v>
          </cell>
          <cell r="E885" t="str">
            <v>Imprevistos</v>
          </cell>
          <cell r="F885">
            <v>0</v>
          </cell>
          <cell r="I885">
            <v>0</v>
          </cell>
          <cell r="J885">
            <v>0</v>
          </cell>
          <cell r="L885">
            <v>0</v>
          </cell>
          <cell r="Z885">
            <v>0</v>
          </cell>
        </row>
        <row r="886">
          <cell r="D886" t="str">
            <v>AIUAUTILI</v>
          </cell>
          <cell r="E886" t="str">
            <v>Utilidad</v>
          </cell>
          <cell r="F886">
            <v>0</v>
          </cell>
          <cell r="I886">
            <v>0</v>
          </cell>
          <cell r="J886">
            <v>0</v>
          </cell>
          <cell r="L886">
            <v>0</v>
          </cell>
          <cell r="Z886">
            <v>0</v>
          </cell>
        </row>
        <row r="887">
          <cell r="D887" t="str">
            <v>AIUAIVAUTI</v>
          </cell>
          <cell r="E887" t="str">
            <v>IVA utilidad</v>
          </cell>
          <cell r="F887">
            <v>0</v>
          </cell>
          <cell r="I887">
            <v>0</v>
          </cell>
          <cell r="J887">
            <v>0</v>
          </cell>
          <cell r="L887">
            <v>0</v>
          </cell>
          <cell r="Z887">
            <v>0</v>
          </cell>
        </row>
        <row r="889">
          <cell r="D889" t="str">
            <v>ANSCSC116</v>
          </cell>
          <cell r="E889" t="str">
            <v xml:space="preserve">Suministro Tuberia Concreto TCS-C1 Ø 16" </v>
          </cell>
          <cell r="G889" t="str">
            <v>UN.</v>
          </cell>
          <cell r="H889" t="str">
            <v>Ml</v>
          </cell>
          <cell r="I889">
            <v>47522</v>
          </cell>
          <cell r="K889">
            <v>87.04</v>
          </cell>
          <cell r="L889">
            <v>4136314.8800000004</v>
          </cell>
          <cell r="N889">
            <v>47522</v>
          </cell>
          <cell r="O889">
            <v>0</v>
          </cell>
          <cell r="P889">
            <v>0</v>
          </cell>
          <cell r="Q889">
            <v>0</v>
          </cell>
          <cell r="X889">
            <v>4136314.8800000004</v>
          </cell>
          <cell r="Y889" t="str">
            <v>Ml</v>
          </cell>
          <cell r="Z889" t="e">
            <v>#N/A</v>
          </cell>
          <cell r="AA889" t="e">
            <v>#N/A</v>
          </cell>
          <cell r="AB889">
            <v>0</v>
          </cell>
          <cell r="AC889">
            <v>0</v>
          </cell>
        </row>
        <row r="891">
          <cell r="D891" t="str">
            <v>CODIGO</v>
          </cell>
          <cell r="E891" t="str">
            <v>DESCRIPCION</v>
          </cell>
          <cell r="F891" t="str">
            <v>UN</v>
          </cell>
          <cell r="G891" t="str">
            <v>CANT</v>
          </cell>
          <cell r="H891" t="str">
            <v>V/UNIT.</v>
          </cell>
          <cell r="I891" t="str">
            <v>V/TOTAL</v>
          </cell>
          <cell r="K891" t="str">
            <v>CANT TOTAL</v>
          </cell>
          <cell r="L891" t="str">
            <v>Vr TOTAL</v>
          </cell>
          <cell r="Y891" t="str">
            <v>CANT.</v>
          </cell>
          <cell r="Z891" t="str">
            <v>V/TOTAL</v>
          </cell>
        </row>
        <row r="892">
          <cell r="E892" t="str">
            <v>MATERIALES</v>
          </cell>
          <cell r="I892">
            <v>47522</v>
          </cell>
          <cell r="L892">
            <v>4136314.8800000004</v>
          </cell>
          <cell r="Z892" t="e">
            <v>#N/A</v>
          </cell>
        </row>
        <row r="893">
          <cell r="D893" t="str">
            <v>MA46CSC116</v>
          </cell>
          <cell r="E893" t="str">
            <v>Tuberia concreto TCS-CL1 16</v>
          </cell>
          <cell r="F893" t="str">
            <v>ml</v>
          </cell>
          <cell r="G893">
            <v>1</v>
          </cell>
          <cell r="H893">
            <v>47522.3</v>
          </cell>
          <cell r="I893">
            <v>47522</v>
          </cell>
          <cell r="J893">
            <v>0</v>
          </cell>
          <cell r="K893">
            <v>87.04</v>
          </cell>
          <cell r="L893">
            <v>4136340.9920000006</v>
          </cell>
          <cell r="Y893" t="e">
            <v>#N/A</v>
          </cell>
          <cell r="Z893" t="e">
            <v>#N/A</v>
          </cell>
        </row>
        <row r="896">
          <cell r="E896" t="str">
            <v>MANO DE OBRA</v>
          </cell>
          <cell r="I896">
            <v>0</v>
          </cell>
          <cell r="L896">
            <v>0</v>
          </cell>
          <cell r="Z896">
            <v>0</v>
          </cell>
        </row>
        <row r="899">
          <cell r="E899" t="str">
            <v>VARIOS</v>
          </cell>
          <cell r="I899">
            <v>0</v>
          </cell>
          <cell r="L899">
            <v>0</v>
          </cell>
          <cell r="Z899">
            <v>0</v>
          </cell>
        </row>
        <row r="901">
          <cell r="E901" t="str">
            <v>SUBTOTAL</v>
          </cell>
          <cell r="I901">
            <v>47522</v>
          </cell>
          <cell r="L901">
            <v>4136314.8800000004</v>
          </cell>
          <cell r="Z901" t="e">
            <v>#N/A</v>
          </cell>
        </row>
        <row r="902">
          <cell r="E902" t="str">
            <v>A.I.U</v>
          </cell>
          <cell r="I902">
            <v>0</v>
          </cell>
          <cell r="L902">
            <v>0</v>
          </cell>
          <cell r="Z902">
            <v>0</v>
          </cell>
        </row>
        <row r="903">
          <cell r="D903" t="str">
            <v>AIUAADMON</v>
          </cell>
          <cell r="E903" t="str">
            <v>Admon</v>
          </cell>
          <cell r="F903">
            <v>0</v>
          </cell>
          <cell r="I903">
            <v>0</v>
          </cell>
          <cell r="J903">
            <v>0</v>
          </cell>
          <cell r="L903">
            <v>0</v>
          </cell>
          <cell r="Z903">
            <v>0</v>
          </cell>
        </row>
        <row r="904">
          <cell r="D904" t="str">
            <v>AIUAIMPRE</v>
          </cell>
          <cell r="E904" t="str">
            <v>Imprevistos</v>
          </cell>
          <cell r="F904">
            <v>0</v>
          </cell>
          <cell r="I904">
            <v>0</v>
          </cell>
          <cell r="J904">
            <v>0</v>
          </cell>
          <cell r="L904">
            <v>0</v>
          </cell>
          <cell r="Z904">
            <v>0</v>
          </cell>
        </row>
        <row r="905">
          <cell r="D905" t="str">
            <v>AIUAUTILI</v>
          </cell>
          <cell r="E905" t="str">
            <v>Utilidad</v>
          </cell>
          <cell r="F905">
            <v>0</v>
          </cell>
          <cell r="I905">
            <v>0</v>
          </cell>
          <cell r="J905">
            <v>0</v>
          </cell>
          <cell r="L905">
            <v>0</v>
          </cell>
          <cell r="Z905">
            <v>0</v>
          </cell>
        </row>
        <row r="906">
          <cell r="D906" t="str">
            <v>AIUAIVAUTI</v>
          </cell>
          <cell r="E906" t="str">
            <v>IVA utilidad</v>
          </cell>
          <cell r="F906">
            <v>0</v>
          </cell>
          <cell r="I906">
            <v>0</v>
          </cell>
          <cell r="J906">
            <v>0</v>
          </cell>
          <cell r="L906">
            <v>0</v>
          </cell>
          <cell r="Z906">
            <v>0</v>
          </cell>
        </row>
        <row r="908">
          <cell r="D908" t="str">
            <v>ANSCSC118</v>
          </cell>
          <cell r="E908" t="str">
            <v xml:space="preserve">Suministro Tuberia Concreto TCS-C1 Ø 18" </v>
          </cell>
          <cell r="G908" t="str">
            <v>UN.</v>
          </cell>
          <cell r="H908" t="str">
            <v>Ml</v>
          </cell>
          <cell r="I908">
            <v>67582</v>
          </cell>
          <cell r="K908">
            <v>0</v>
          </cell>
          <cell r="L908">
            <v>0</v>
          </cell>
          <cell r="N908">
            <v>67582</v>
          </cell>
          <cell r="O908">
            <v>0</v>
          </cell>
          <cell r="P908">
            <v>0</v>
          </cell>
          <cell r="Q908">
            <v>0</v>
          </cell>
          <cell r="X908">
            <v>0</v>
          </cell>
          <cell r="Y908" t="str">
            <v>Ml</v>
          </cell>
          <cell r="Z908" t="e">
            <v>#N/A</v>
          </cell>
          <cell r="AA908" t="e">
            <v>#N/A</v>
          </cell>
          <cell r="AB908">
            <v>0</v>
          </cell>
          <cell r="AC908">
            <v>0</v>
          </cell>
        </row>
        <row r="910">
          <cell r="D910" t="str">
            <v>CODIGO</v>
          </cell>
          <cell r="E910" t="str">
            <v>DESCRIPCION</v>
          </cell>
          <cell r="F910" t="str">
            <v>UN</v>
          </cell>
          <cell r="G910" t="str">
            <v>CANT</v>
          </cell>
          <cell r="H910" t="str">
            <v>V/UNIT.</v>
          </cell>
          <cell r="I910" t="str">
            <v>V/TOTAL</v>
          </cell>
          <cell r="K910" t="str">
            <v>CANT TOTAL</v>
          </cell>
          <cell r="L910" t="str">
            <v>Vr TOTAL</v>
          </cell>
          <cell r="Y910" t="str">
            <v>CANT.</v>
          </cell>
          <cell r="Z910" t="str">
            <v>V/TOTAL</v>
          </cell>
        </row>
        <row r="911">
          <cell r="E911" t="str">
            <v>MATERIALES</v>
          </cell>
          <cell r="I911">
            <v>67582</v>
          </cell>
          <cell r="L911">
            <v>0</v>
          </cell>
          <cell r="Z911" t="e">
            <v>#N/A</v>
          </cell>
        </row>
        <row r="912">
          <cell r="D912" t="str">
            <v>MA46CSC118</v>
          </cell>
          <cell r="E912" t="str">
            <v>Tuberia concreto TCS-CL1 18</v>
          </cell>
          <cell r="F912" t="str">
            <v>ml</v>
          </cell>
          <cell r="G912">
            <v>1</v>
          </cell>
          <cell r="H912">
            <v>67581.600000000006</v>
          </cell>
          <cell r="I912">
            <v>67582</v>
          </cell>
          <cell r="J912">
            <v>0</v>
          </cell>
          <cell r="K912">
            <v>0</v>
          </cell>
          <cell r="L912">
            <v>0</v>
          </cell>
          <cell r="Y912" t="e">
            <v>#N/A</v>
          </cell>
          <cell r="Z912" t="e">
            <v>#N/A</v>
          </cell>
        </row>
        <row r="915">
          <cell r="E915" t="str">
            <v>MANO DE OBRA</v>
          </cell>
          <cell r="I915">
            <v>0</v>
          </cell>
          <cell r="L915">
            <v>0</v>
          </cell>
          <cell r="Z915">
            <v>0</v>
          </cell>
        </row>
        <row r="918">
          <cell r="E918" t="str">
            <v>VARIOS</v>
          </cell>
          <cell r="I918">
            <v>0</v>
          </cell>
          <cell r="L918">
            <v>0</v>
          </cell>
          <cell r="Z918">
            <v>0</v>
          </cell>
        </row>
        <row r="920">
          <cell r="E920" t="str">
            <v>SUBTOTAL</v>
          </cell>
          <cell r="I920">
            <v>67582</v>
          </cell>
          <cell r="L920">
            <v>0</v>
          </cell>
          <cell r="Z920" t="e">
            <v>#N/A</v>
          </cell>
        </row>
        <row r="921">
          <cell r="E921" t="str">
            <v>A.I.U</v>
          </cell>
          <cell r="I921">
            <v>0</v>
          </cell>
          <cell r="L921">
            <v>0</v>
          </cell>
          <cell r="Z921">
            <v>0</v>
          </cell>
        </row>
        <row r="922">
          <cell r="D922" t="str">
            <v>AIUAADMON</v>
          </cell>
          <cell r="E922" t="str">
            <v>Admon</v>
          </cell>
          <cell r="F922">
            <v>0</v>
          </cell>
          <cell r="I922">
            <v>0</v>
          </cell>
          <cell r="J922">
            <v>0</v>
          </cell>
          <cell r="L922">
            <v>0</v>
          </cell>
          <cell r="Z922">
            <v>0</v>
          </cell>
        </row>
        <row r="923">
          <cell r="D923" t="str">
            <v>AIUAIMPRE</v>
          </cell>
          <cell r="E923" t="str">
            <v>Imprevistos</v>
          </cell>
          <cell r="F923">
            <v>0</v>
          </cell>
          <cell r="I923">
            <v>0</v>
          </cell>
          <cell r="J923">
            <v>0</v>
          </cell>
          <cell r="L923">
            <v>0</v>
          </cell>
          <cell r="Z923">
            <v>0</v>
          </cell>
        </row>
        <row r="924">
          <cell r="D924" t="str">
            <v>AIUAUTILI</v>
          </cell>
          <cell r="E924" t="str">
            <v>Utilidad</v>
          </cell>
          <cell r="F924">
            <v>0</v>
          </cell>
          <cell r="I924">
            <v>0</v>
          </cell>
          <cell r="J924">
            <v>0</v>
          </cell>
          <cell r="L924">
            <v>0</v>
          </cell>
          <cell r="Z924">
            <v>0</v>
          </cell>
        </row>
        <row r="925">
          <cell r="D925" t="str">
            <v>AIUAIVAUTI</v>
          </cell>
          <cell r="E925" t="str">
            <v>IVA utilidad</v>
          </cell>
          <cell r="F925">
            <v>0</v>
          </cell>
          <cell r="I925">
            <v>0</v>
          </cell>
          <cell r="J925">
            <v>0</v>
          </cell>
          <cell r="L925">
            <v>0</v>
          </cell>
          <cell r="Z925">
            <v>0</v>
          </cell>
        </row>
        <row r="927">
          <cell r="D927" t="str">
            <v>ANSCSC120</v>
          </cell>
          <cell r="E927" t="str">
            <v xml:space="preserve">Suministro Tuberia Concreto TCS-C1 Ø 20" </v>
          </cell>
          <cell r="G927" t="str">
            <v>UN.</v>
          </cell>
          <cell r="H927" t="str">
            <v>Ml</v>
          </cell>
          <cell r="I927">
            <v>60761</v>
          </cell>
          <cell r="K927">
            <v>0</v>
          </cell>
          <cell r="L927">
            <v>0</v>
          </cell>
          <cell r="N927">
            <v>60761</v>
          </cell>
          <cell r="O927">
            <v>0</v>
          </cell>
          <cell r="P927">
            <v>0</v>
          </cell>
          <cell r="Q927">
            <v>0</v>
          </cell>
          <cell r="X927">
            <v>0</v>
          </cell>
          <cell r="Y927" t="str">
            <v>Ml</v>
          </cell>
          <cell r="Z927" t="e">
            <v>#N/A</v>
          </cell>
          <cell r="AA927" t="e">
            <v>#N/A</v>
          </cell>
          <cell r="AB927">
            <v>0</v>
          </cell>
          <cell r="AC927">
            <v>0</v>
          </cell>
        </row>
        <row r="929">
          <cell r="D929" t="str">
            <v>CODIGO</v>
          </cell>
          <cell r="E929" t="str">
            <v>DESCRIPCION</v>
          </cell>
          <cell r="F929" t="str">
            <v>UN</v>
          </cell>
          <cell r="G929" t="str">
            <v>CANT</v>
          </cell>
          <cell r="H929" t="str">
            <v>V/UNIT.</v>
          </cell>
          <cell r="I929" t="str">
            <v>V/TOTAL</v>
          </cell>
          <cell r="K929" t="str">
            <v>CANT TOTAL</v>
          </cell>
          <cell r="L929" t="str">
            <v>Vr TOTAL</v>
          </cell>
          <cell r="Y929" t="str">
            <v>CANT.</v>
          </cell>
          <cell r="Z929" t="str">
            <v>V/TOTAL</v>
          </cell>
        </row>
        <row r="930">
          <cell r="E930" t="str">
            <v>MATERIALES</v>
          </cell>
          <cell r="I930">
            <v>60761</v>
          </cell>
          <cell r="L930">
            <v>0</v>
          </cell>
          <cell r="Z930" t="e">
            <v>#N/A</v>
          </cell>
        </row>
        <row r="931">
          <cell r="D931" t="str">
            <v>MA46CSC120</v>
          </cell>
          <cell r="E931" t="str">
            <v>Tuberia concreto TCS-C1 20</v>
          </cell>
          <cell r="F931" t="str">
            <v>ml</v>
          </cell>
          <cell r="G931">
            <v>1</v>
          </cell>
          <cell r="H931">
            <v>60760.800000000003</v>
          </cell>
          <cell r="I931">
            <v>60761</v>
          </cell>
          <cell r="J931">
            <v>0</v>
          </cell>
          <cell r="K931">
            <v>0</v>
          </cell>
          <cell r="L931">
            <v>0</v>
          </cell>
          <cell r="Y931" t="e">
            <v>#N/A</v>
          </cell>
          <cell r="Z931" t="e">
            <v>#N/A</v>
          </cell>
        </row>
        <row r="934">
          <cell r="E934" t="str">
            <v>MANO DE OBRA</v>
          </cell>
          <cell r="I934">
            <v>0</v>
          </cell>
          <cell r="L934">
            <v>0</v>
          </cell>
          <cell r="Z934">
            <v>0</v>
          </cell>
        </row>
        <row r="937">
          <cell r="E937" t="str">
            <v>VARIOS</v>
          </cell>
          <cell r="I937">
            <v>0</v>
          </cell>
          <cell r="L937">
            <v>0</v>
          </cell>
          <cell r="Z937">
            <v>0</v>
          </cell>
        </row>
        <row r="939">
          <cell r="E939" t="str">
            <v>SUBTOTAL</v>
          </cell>
          <cell r="I939">
            <v>60761</v>
          </cell>
          <cell r="L939">
            <v>0</v>
          </cell>
          <cell r="Z939" t="e">
            <v>#N/A</v>
          </cell>
        </row>
        <row r="940">
          <cell r="E940" t="str">
            <v>A.I.U</v>
          </cell>
          <cell r="I940">
            <v>0</v>
          </cell>
          <cell r="L940">
            <v>0</v>
          </cell>
          <cell r="Z940">
            <v>0</v>
          </cell>
        </row>
        <row r="941">
          <cell r="D941" t="str">
            <v>AIUAADMON</v>
          </cell>
          <cell r="E941" t="str">
            <v>Admon</v>
          </cell>
          <cell r="F941">
            <v>0</v>
          </cell>
          <cell r="I941">
            <v>0</v>
          </cell>
          <cell r="J941">
            <v>0</v>
          </cell>
          <cell r="L941">
            <v>0</v>
          </cell>
          <cell r="Z941">
            <v>0</v>
          </cell>
        </row>
        <row r="942">
          <cell r="D942" t="str">
            <v>AIUAIMPRE</v>
          </cell>
          <cell r="E942" t="str">
            <v>Imprevistos</v>
          </cell>
          <cell r="F942">
            <v>0</v>
          </cell>
          <cell r="I942">
            <v>0</v>
          </cell>
          <cell r="J942">
            <v>0</v>
          </cell>
          <cell r="L942">
            <v>0</v>
          </cell>
          <cell r="Z942">
            <v>0</v>
          </cell>
        </row>
        <row r="943">
          <cell r="D943" t="str">
            <v>AIUAUTILI</v>
          </cell>
          <cell r="E943" t="str">
            <v>Utilidad</v>
          </cell>
          <cell r="F943">
            <v>0</v>
          </cell>
          <cell r="I943">
            <v>0</v>
          </cell>
          <cell r="J943">
            <v>0</v>
          </cell>
          <cell r="L943">
            <v>0</v>
          </cell>
          <cell r="Z943">
            <v>0</v>
          </cell>
        </row>
        <row r="944">
          <cell r="D944" t="str">
            <v>AIUAIVAUTI</v>
          </cell>
          <cell r="E944" t="str">
            <v>IVA utilidad</v>
          </cell>
          <cell r="F944">
            <v>0</v>
          </cell>
          <cell r="I944">
            <v>0</v>
          </cell>
          <cell r="J944">
            <v>0</v>
          </cell>
          <cell r="L944">
            <v>0</v>
          </cell>
          <cell r="Z944">
            <v>0</v>
          </cell>
        </row>
        <row r="946">
          <cell r="E946" t="str">
            <v>ITEM</v>
          </cell>
        </row>
        <row r="947">
          <cell r="D947" t="str">
            <v>ANSTF12</v>
          </cell>
          <cell r="E947" t="str">
            <v xml:space="preserve">Suministro Tuberia Flexible  PS 57 Ø 12" </v>
          </cell>
          <cell r="G947" t="str">
            <v>UN.</v>
          </cell>
          <cell r="H947" t="str">
            <v>Ml</v>
          </cell>
          <cell r="I947">
            <v>28400</v>
          </cell>
          <cell r="K947">
            <v>1173</v>
          </cell>
          <cell r="L947">
            <v>33313200</v>
          </cell>
          <cell r="N947">
            <v>28400</v>
          </cell>
          <cell r="O947">
            <v>0</v>
          </cell>
          <cell r="P947">
            <v>0</v>
          </cell>
          <cell r="Q947">
            <v>0</v>
          </cell>
          <cell r="X947">
            <v>33313200</v>
          </cell>
          <cell r="Y947" t="str">
            <v>Ml</v>
          </cell>
          <cell r="Z947" t="e">
            <v>#N/A</v>
          </cell>
          <cell r="AA947" t="e">
            <v>#N/A</v>
          </cell>
          <cell r="AB947">
            <v>0</v>
          </cell>
          <cell r="AC947">
            <v>0</v>
          </cell>
        </row>
        <row r="949">
          <cell r="D949" t="str">
            <v>CODIGO</v>
          </cell>
          <cell r="E949" t="str">
            <v>DESCRIPCION</v>
          </cell>
          <cell r="F949" t="str">
            <v>UN</v>
          </cell>
          <cell r="G949" t="str">
            <v>CANT</v>
          </cell>
          <cell r="H949" t="str">
            <v>V/UNIT.</v>
          </cell>
          <cell r="I949" t="str">
            <v>V/TOTAL</v>
          </cell>
          <cell r="K949" t="str">
            <v>CANT TOTAL</v>
          </cell>
          <cell r="L949" t="str">
            <v>Vr TOTAL</v>
          </cell>
          <cell r="Y949" t="str">
            <v>CANT.</v>
          </cell>
          <cell r="Z949" t="str">
            <v>V/TOTAL</v>
          </cell>
        </row>
        <row r="950">
          <cell r="E950" t="str">
            <v>MATERIALES</v>
          </cell>
          <cell r="I950">
            <v>28400</v>
          </cell>
          <cell r="L950">
            <v>33313200</v>
          </cell>
          <cell r="Z950" t="e">
            <v>#N/A</v>
          </cell>
        </row>
        <row r="951">
          <cell r="D951" t="str">
            <v>MA44TF12</v>
          </cell>
          <cell r="E951" t="str">
            <v>Tuberia Flexible PS 57 12 "</v>
          </cell>
          <cell r="F951" t="str">
            <v>Ml</v>
          </cell>
          <cell r="G951">
            <v>1</v>
          </cell>
          <cell r="H951">
            <v>28400</v>
          </cell>
          <cell r="I951">
            <v>28400</v>
          </cell>
          <cell r="J951">
            <v>0</v>
          </cell>
          <cell r="K951">
            <v>1173</v>
          </cell>
          <cell r="L951">
            <v>33313200</v>
          </cell>
          <cell r="Y951" t="e">
            <v>#N/A</v>
          </cell>
          <cell r="Z951" t="e">
            <v>#N/A</v>
          </cell>
        </row>
        <row r="952">
          <cell r="I952">
            <v>0</v>
          </cell>
          <cell r="J952">
            <v>0</v>
          </cell>
          <cell r="K952">
            <v>0</v>
          </cell>
          <cell r="L952">
            <v>0</v>
          </cell>
          <cell r="Y952">
            <v>0</v>
          </cell>
          <cell r="Z952">
            <v>0</v>
          </cell>
        </row>
        <row r="953">
          <cell r="I953">
            <v>0</v>
          </cell>
          <cell r="J953">
            <v>0</v>
          </cell>
          <cell r="K953">
            <v>0</v>
          </cell>
          <cell r="L953">
            <v>0</v>
          </cell>
          <cell r="Y953">
            <v>0</v>
          </cell>
          <cell r="Z953">
            <v>0</v>
          </cell>
        </row>
        <row r="955">
          <cell r="E955" t="str">
            <v>MANO DE OBRA</v>
          </cell>
          <cell r="I955">
            <v>0</v>
          </cell>
          <cell r="L955">
            <v>0</v>
          </cell>
          <cell r="Z955">
            <v>0</v>
          </cell>
        </row>
        <row r="956">
          <cell r="I956">
            <v>0</v>
          </cell>
          <cell r="J956">
            <v>0</v>
          </cell>
          <cell r="K956">
            <v>0</v>
          </cell>
          <cell r="L956">
            <v>0</v>
          </cell>
          <cell r="Y956">
            <v>0</v>
          </cell>
          <cell r="Z956">
            <v>0</v>
          </cell>
        </row>
        <row r="958">
          <cell r="E958" t="str">
            <v>VARIOS</v>
          </cell>
          <cell r="I958">
            <v>0</v>
          </cell>
          <cell r="L958">
            <v>0</v>
          </cell>
          <cell r="Z958">
            <v>0</v>
          </cell>
        </row>
        <row r="959">
          <cell r="I959">
            <v>0</v>
          </cell>
          <cell r="J959">
            <v>0</v>
          </cell>
          <cell r="K959">
            <v>0</v>
          </cell>
          <cell r="L959">
            <v>0</v>
          </cell>
          <cell r="Y959">
            <v>0</v>
          </cell>
          <cell r="Z959">
            <v>0</v>
          </cell>
        </row>
        <row r="961">
          <cell r="E961" t="str">
            <v>SUBTOTAL</v>
          </cell>
          <cell r="I961">
            <v>28400</v>
          </cell>
          <cell r="L961">
            <v>33313200</v>
          </cell>
          <cell r="Z961" t="e">
            <v>#N/A</v>
          </cell>
        </row>
        <row r="962">
          <cell r="E962" t="str">
            <v>A.I.U</v>
          </cell>
          <cell r="I962">
            <v>0</v>
          </cell>
          <cell r="L962">
            <v>0</v>
          </cell>
          <cell r="Z962">
            <v>0</v>
          </cell>
        </row>
        <row r="963">
          <cell r="D963" t="str">
            <v>AIUAADMON</v>
          </cell>
          <cell r="E963" t="str">
            <v>Admon</v>
          </cell>
          <cell r="F963">
            <v>0</v>
          </cell>
          <cell r="I963">
            <v>0</v>
          </cell>
          <cell r="J963">
            <v>0</v>
          </cell>
          <cell r="L963">
            <v>0</v>
          </cell>
          <cell r="Z963">
            <v>0</v>
          </cell>
        </row>
        <row r="964">
          <cell r="D964" t="str">
            <v>AIUAIMPRE</v>
          </cell>
          <cell r="E964" t="str">
            <v>Imprevistos</v>
          </cell>
          <cell r="F964">
            <v>0</v>
          </cell>
          <cell r="I964">
            <v>0</v>
          </cell>
          <cell r="J964">
            <v>0</v>
          </cell>
          <cell r="L964">
            <v>0</v>
          </cell>
          <cell r="Z964">
            <v>0</v>
          </cell>
        </row>
        <row r="965">
          <cell r="D965" t="str">
            <v>AIUAUTILI</v>
          </cell>
          <cell r="E965" t="str">
            <v>Utilidad</v>
          </cell>
          <cell r="F965">
            <v>0</v>
          </cell>
          <cell r="I965">
            <v>0</v>
          </cell>
          <cell r="J965">
            <v>0</v>
          </cell>
          <cell r="L965">
            <v>0</v>
          </cell>
          <cell r="Z965">
            <v>0</v>
          </cell>
        </row>
        <row r="966">
          <cell r="D966" t="str">
            <v>AIUAIVAUTI</v>
          </cell>
          <cell r="E966" t="str">
            <v>IVA utilidad</v>
          </cell>
          <cell r="F966">
            <v>0</v>
          </cell>
          <cell r="I966">
            <v>0</v>
          </cell>
          <cell r="J966">
            <v>0</v>
          </cell>
          <cell r="L966">
            <v>0</v>
          </cell>
          <cell r="Z966">
            <v>0</v>
          </cell>
        </row>
        <row r="968">
          <cell r="E968" t="str">
            <v>ITEM</v>
          </cell>
        </row>
        <row r="969">
          <cell r="D969" t="str">
            <v>ANSTF16</v>
          </cell>
          <cell r="E969" t="str">
            <v xml:space="preserve">Suministro Tuberia Flexible  PS 57 Ø 16" </v>
          </cell>
          <cell r="G969" t="str">
            <v>UN.</v>
          </cell>
          <cell r="H969" t="str">
            <v>Ml</v>
          </cell>
          <cell r="I969">
            <v>48350</v>
          </cell>
          <cell r="K969">
            <v>330</v>
          </cell>
          <cell r="L969">
            <v>15955500</v>
          </cell>
          <cell r="N969">
            <v>48350</v>
          </cell>
          <cell r="O969">
            <v>0</v>
          </cell>
          <cell r="P969">
            <v>0</v>
          </cell>
          <cell r="Q969">
            <v>0</v>
          </cell>
          <cell r="X969">
            <v>15955500</v>
          </cell>
          <cell r="Y969" t="str">
            <v>Ml</v>
          </cell>
          <cell r="Z969" t="e">
            <v>#N/A</v>
          </cell>
          <cell r="AA969" t="e">
            <v>#N/A</v>
          </cell>
          <cell r="AB969">
            <v>0</v>
          </cell>
          <cell r="AC969">
            <v>0</v>
          </cell>
        </row>
        <row r="971">
          <cell r="D971" t="str">
            <v>CODIGO</v>
          </cell>
          <cell r="E971" t="str">
            <v>DESCRIPCION</v>
          </cell>
          <cell r="F971" t="str">
            <v>UN</v>
          </cell>
          <cell r="G971" t="str">
            <v>CANT</v>
          </cell>
          <cell r="H971" t="str">
            <v>V/UNIT.</v>
          </cell>
          <cell r="I971" t="str">
            <v>V/TOTAL</v>
          </cell>
          <cell r="K971" t="str">
            <v>CANT TOTAL</v>
          </cell>
          <cell r="L971" t="str">
            <v>Vr TOTAL</v>
          </cell>
          <cell r="Y971" t="str">
            <v>CANT.</v>
          </cell>
          <cell r="Z971" t="str">
            <v>V/TOTAL</v>
          </cell>
        </row>
        <row r="972">
          <cell r="E972" t="str">
            <v>MATERIALES</v>
          </cell>
          <cell r="I972">
            <v>48350</v>
          </cell>
          <cell r="L972">
            <v>15955500</v>
          </cell>
          <cell r="Z972" t="e">
            <v>#N/A</v>
          </cell>
        </row>
        <row r="973">
          <cell r="D973" t="str">
            <v>MA44TF16</v>
          </cell>
          <cell r="E973" t="str">
            <v>Tuberia Flexible PS 57 16 "</v>
          </cell>
          <cell r="F973" t="str">
            <v>Ml</v>
          </cell>
          <cell r="G973">
            <v>1</v>
          </cell>
          <cell r="H973">
            <v>48350</v>
          </cell>
          <cell r="I973">
            <v>48350</v>
          </cell>
          <cell r="J973">
            <v>0</v>
          </cell>
          <cell r="K973">
            <v>330</v>
          </cell>
          <cell r="L973">
            <v>15955500</v>
          </cell>
          <cell r="Y973" t="e">
            <v>#N/A</v>
          </cell>
          <cell r="Z973" t="e">
            <v>#N/A</v>
          </cell>
        </row>
        <row r="974">
          <cell r="I974">
            <v>0</v>
          </cell>
          <cell r="J974">
            <v>0</v>
          </cell>
          <cell r="K974">
            <v>0</v>
          </cell>
          <cell r="L974">
            <v>0</v>
          </cell>
          <cell r="Y974">
            <v>0</v>
          </cell>
          <cell r="Z974">
            <v>0</v>
          </cell>
        </row>
        <row r="975">
          <cell r="I975">
            <v>0</v>
          </cell>
          <cell r="J975">
            <v>0</v>
          </cell>
          <cell r="K975">
            <v>0</v>
          </cell>
          <cell r="L975">
            <v>0</v>
          </cell>
          <cell r="Y975">
            <v>0</v>
          </cell>
          <cell r="Z975">
            <v>0</v>
          </cell>
        </row>
        <row r="977">
          <cell r="E977" t="str">
            <v>MANO DE OBRA</v>
          </cell>
          <cell r="I977">
            <v>0</v>
          </cell>
          <cell r="L977">
            <v>0</v>
          </cell>
          <cell r="Z977">
            <v>0</v>
          </cell>
        </row>
        <row r="978">
          <cell r="I978">
            <v>0</v>
          </cell>
          <cell r="J978">
            <v>0</v>
          </cell>
          <cell r="K978">
            <v>0</v>
          </cell>
          <cell r="L978">
            <v>0</v>
          </cell>
          <cell r="Y978">
            <v>0</v>
          </cell>
          <cell r="Z978">
            <v>0</v>
          </cell>
        </row>
        <row r="980">
          <cell r="E980" t="str">
            <v>VARIOS</v>
          </cell>
          <cell r="I980">
            <v>0</v>
          </cell>
          <cell r="L980">
            <v>0</v>
          </cell>
          <cell r="Z980">
            <v>0</v>
          </cell>
        </row>
        <row r="981">
          <cell r="I981">
            <v>0</v>
          </cell>
          <cell r="J981">
            <v>0</v>
          </cell>
          <cell r="K981">
            <v>0</v>
          </cell>
          <cell r="L981">
            <v>0</v>
          </cell>
          <cell r="Y981">
            <v>0</v>
          </cell>
          <cell r="Z981">
            <v>0</v>
          </cell>
        </row>
        <row r="983">
          <cell r="E983" t="str">
            <v>SUBTOTAL</v>
          </cell>
          <cell r="I983">
            <v>48350</v>
          </cell>
          <cell r="L983">
            <v>15955500</v>
          </cell>
          <cell r="Z983" t="e">
            <v>#N/A</v>
          </cell>
        </row>
        <row r="984">
          <cell r="E984" t="str">
            <v>A.I.U</v>
          </cell>
          <cell r="I984">
            <v>0</v>
          </cell>
          <cell r="L984">
            <v>0</v>
          </cell>
          <cell r="Z984">
            <v>0</v>
          </cell>
        </row>
        <row r="985">
          <cell r="D985" t="str">
            <v>AIUAADMON</v>
          </cell>
          <cell r="E985" t="str">
            <v>Admon</v>
          </cell>
          <cell r="F985">
            <v>0</v>
          </cell>
          <cell r="I985">
            <v>0</v>
          </cell>
          <cell r="J985">
            <v>0</v>
          </cell>
          <cell r="L985">
            <v>0</v>
          </cell>
          <cell r="Z985">
            <v>0</v>
          </cell>
        </row>
        <row r="986">
          <cell r="D986" t="str">
            <v>AIUAIMPRE</v>
          </cell>
          <cell r="E986" t="str">
            <v>Imprevistos</v>
          </cell>
          <cell r="F986">
            <v>0</v>
          </cell>
          <cell r="I986">
            <v>0</v>
          </cell>
          <cell r="J986">
            <v>0</v>
          </cell>
          <cell r="L986">
            <v>0</v>
          </cell>
          <cell r="Z986">
            <v>0</v>
          </cell>
        </row>
        <row r="987">
          <cell r="D987" t="str">
            <v>AIUAUTILI</v>
          </cell>
          <cell r="E987" t="str">
            <v>Utilidad</v>
          </cell>
          <cell r="F987">
            <v>0</v>
          </cell>
          <cell r="I987">
            <v>0</v>
          </cell>
          <cell r="J987">
            <v>0</v>
          </cell>
          <cell r="L987">
            <v>0</v>
          </cell>
          <cell r="Z987">
            <v>0</v>
          </cell>
        </row>
        <row r="988">
          <cell r="D988" t="str">
            <v>AIUAIVAUTI</v>
          </cell>
          <cell r="E988" t="str">
            <v>IVA utilidad</v>
          </cell>
          <cell r="F988">
            <v>0</v>
          </cell>
          <cell r="I988">
            <v>0</v>
          </cell>
          <cell r="J988">
            <v>0</v>
          </cell>
          <cell r="L988">
            <v>0</v>
          </cell>
          <cell r="Z988">
            <v>0</v>
          </cell>
        </row>
        <row r="990">
          <cell r="D990" t="str">
            <v>ANSTF18</v>
          </cell>
          <cell r="E990" t="str">
            <v xml:space="preserve">Suministro Tuberia Flexible  PS 57 Ø 18" </v>
          </cell>
          <cell r="G990" t="str">
            <v>UN.</v>
          </cell>
          <cell r="H990" t="str">
            <v>Ml</v>
          </cell>
          <cell r="I990">
            <v>56210</v>
          </cell>
          <cell r="K990">
            <v>192</v>
          </cell>
          <cell r="L990">
            <v>10792320</v>
          </cell>
          <cell r="N990">
            <v>56210</v>
          </cell>
          <cell r="O990">
            <v>0</v>
          </cell>
          <cell r="P990">
            <v>0</v>
          </cell>
          <cell r="Q990">
            <v>0</v>
          </cell>
          <cell r="X990">
            <v>10792320</v>
          </cell>
          <cell r="Y990" t="str">
            <v>Ml</v>
          </cell>
          <cell r="Z990" t="e">
            <v>#N/A</v>
          </cell>
          <cell r="AA990" t="e">
            <v>#N/A</v>
          </cell>
          <cell r="AB990">
            <v>0</v>
          </cell>
          <cell r="AC990">
            <v>0</v>
          </cell>
        </row>
        <row r="992">
          <cell r="D992" t="str">
            <v>CODIGO</v>
          </cell>
          <cell r="E992" t="str">
            <v>DESCRIPCION</v>
          </cell>
          <cell r="F992" t="str">
            <v>UN</v>
          </cell>
          <cell r="G992" t="str">
            <v>CANT</v>
          </cell>
          <cell r="H992" t="str">
            <v>V/UNIT.</v>
          </cell>
          <cell r="I992" t="str">
            <v>V/TOTAL</v>
          </cell>
          <cell r="K992" t="str">
            <v>CANT TOTAL</v>
          </cell>
          <cell r="L992" t="str">
            <v>Vr TOTAL</v>
          </cell>
          <cell r="Y992" t="str">
            <v>CANT.</v>
          </cell>
          <cell r="Z992" t="str">
            <v>V/TOTAL</v>
          </cell>
        </row>
        <row r="993">
          <cell r="E993" t="str">
            <v>MATERIALES</v>
          </cell>
          <cell r="I993">
            <v>56210</v>
          </cell>
          <cell r="L993">
            <v>10792320</v>
          </cell>
          <cell r="Z993" t="e">
            <v>#N/A</v>
          </cell>
        </row>
        <row r="994">
          <cell r="D994" t="str">
            <v>MA44TF18</v>
          </cell>
          <cell r="E994" t="str">
            <v>Tuberia Flexible PS 57 18 "</v>
          </cell>
          <cell r="F994" t="str">
            <v>Ml</v>
          </cell>
          <cell r="G994">
            <v>1</v>
          </cell>
          <cell r="H994">
            <v>56210</v>
          </cell>
          <cell r="I994">
            <v>56210</v>
          </cell>
          <cell r="J994">
            <v>0</v>
          </cell>
          <cell r="K994">
            <v>192</v>
          </cell>
          <cell r="L994">
            <v>10792320</v>
          </cell>
          <cell r="Y994" t="e">
            <v>#N/A</v>
          </cell>
          <cell r="Z994" t="e">
            <v>#N/A</v>
          </cell>
        </row>
        <row r="995">
          <cell r="I995">
            <v>0</v>
          </cell>
          <cell r="J995">
            <v>0</v>
          </cell>
          <cell r="K995">
            <v>0</v>
          </cell>
          <cell r="L995">
            <v>0</v>
          </cell>
          <cell r="Y995">
            <v>0</v>
          </cell>
          <cell r="Z995">
            <v>0</v>
          </cell>
        </row>
        <row r="996">
          <cell r="I996">
            <v>0</v>
          </cell>
          <cell r="J996">
            <v>0</v>
          </cell>
          <cell r="K996">
            <v>0</v>
          </cell>
          <cell r="L996">
            <v>0</v>
          </cell>
          <cell r="Y996">
            <v>0</v>
          </cell>
          <cell r="Z996">
            <v>0</v>
          </cell>
        </row>
        <row r="998">
          <cell r="E998" t="str">
            <v>MANO DE OBRA</v>
          </cell>
          <cell r="I998">
            <v>0</v>
          </cell>
          <cell r="L998">
            <v>0</v>
          </cell>
          <cell r="Z998">
            <v>0</v>
          </cell>
        </row>
        <row r="999">
          <cell r="I999">
            <v>0</v>
          </cell>
          <cell r="J999">
            <v>0</v>
          </cell>
          <cell r="K999">
            <v>0</v>
          </cell>
          <cell r="L999">
            <v>0</v>
          </cell>
          <cell r="Y999">
            <v>0</v>
          </cell>
          <cell r="Z999">
            <v>0</v>
          </cell>
        </row>
        <row r="1001">
          <cell r="E1001" t="str">
            <v>VARIOS</v>
          </cell>
          <cell r="I1001">
            <v>0</v>
          </cell>
          <cell r="L1001">
            <v>0</v>
          </cell>
          <cell r="Z1001">
            <v>0</v>
          </cell>
        </row>
        <row r="1002">
          <cell r="I1002">
            <v>0</v>
          </cell>
          <cell r="J1002">
            <v>0</v>
          </cell>
          <cell r="K1002">
            <v>0</v>
          </cell>
          <cell r="L1002">
            <v>0</v>
          </cell>
          <cell r="Y1002">
            <v>0</v>
          </cell>
          <cell r="Z1002">
            <v>0</v>
          </cell>
        </row>
        <row r="1004">
          <cell r="E1004" t="str">
            <v>SUBTOTAL</v>
          </cell>
          <cell r="I1004">
            <v>56210</v>
          </cell>
          <cell r="L1004">
            <v>10792320</v>
          </cell>
          <cell r="Z1004" t="e">
            <v>#N/A</v>
          </cell>
        </row>
        <row r="1005">
          <cell r="E1005" t="str">
            <v>A.I.U</v>
          </cell>
          <cell r="I1005">
            <v>0</v>
          </cell>
          <cell r="L1005">
            <v>0</v>
          </cell>
          <cell r="Z1005">
            <v>0</v>
          </cell>
        </row>
        <row r="1006">
          <cell r="D1006" t="str">
            <v>AIUAADMON</v>
          </cell>
          <cell r="E1006" t="str">
            <v>Admon</v>
          </cell>
          <cell r="F1006">
            <v>0</v>
          </cell>
          <cell r="I1006">
            <v>0</v>
          </cell>
          <cell r="J1006">
            <v>0</v>
          </cell>
          <cell r="L1006">
            <v>0</v>
          </cell>
          <cell r="Z1006">
            <v>0</v>
          </cell>
        </row>
        <row r="1007">
          <cell r="D1007" t="str">
            <v>AIUAIMPRE</v>
          </cell>
          <cell r="E1007" t="str">
            <v>Imprevistos</v>
          </cell>
          <cell r="F1007">
            <v>0</v>
          </cell>
          <cell r="I1007">
            <v>0</v>
          </cell>
          <cell r="J1007">
            <v>0</v>
          </cell>
          <cell r="L1007">
            <v>0</v>
          </cell>
          <cell r="Z1007">
            <v>0</v>
          </cell>
        </row>
        <row r="1008">
          <cell r="D1008" t="str">
            <v>AIUAUTILI</v>
          </cell>
          <cell r="E1008" t="str">
            <v>Utilidad</v>
          </cell>
          <cell r="F1008">
            <v>0</v>
          </cell>
          <cell r="I1008">
            <v>0</v>
          </cell>
          <cell r="J1008">
            <v>0</v>
          </cell>
          <cell r="L1008">
            <v>0</v>
          </cell>
          <cell r="Z1008">
            <v>0</v>
          </cell>
        </row>
        <row r="1009">
          <cell r="D1009" t="str">
            <v>AIUAIVAUTI</v>
          </cell>
          <cell r="E1009" t="str">
            <v>IVA utilidad</v>
          </cell>
          <cell r="F1009">
            <v>0</v>
          </cell>
          <cell r="I1009">
            <v>0</v>
          </cell>
          <cell r="J1009">
            <v>0</v>
          </cell>
          <cell r="L1009">
            <v>0</v>
          </cell>
          <cell r="Z1009">
            <v>0</v>
          </cell>
        </row>
        <row r="1011">
          <cell r="D1011" t="str">
            <v>ANSTF20</v>
          </cell>
          <cell r="E1011" t="str">
            <v xml:space="preserve">Suministro Tuberia Flexible  PS 57 Ø 20" </v>
          </cell>
          <cell r="G1011" t="str">
            <v>UN.</v>
          </cell>
          <cell r="H1011" t="str">
            <v>Ml</v>
          </cell>
          <cell r="I1011">
            <v>86450</v>
          </cell>
          <cell r="K1011">
            <v>0</v>
          </cell>
          <cell r="L1011">
            <v>0</v>
          </cell>
          <cell r="N1011">
            <v>86450</v>
          </cell>
          <cell r="O1011">
            <v>0</v>
          </cell>
          <cell r="P1011">
            <v>0</v>
          </cell>
          <cell r="Q1011">
            <v>0</v>
          </cell>
          <cell r="X1011">
            <v>0</v>
          </cell>
          <cell r="Y1011" t="str">
            <v>Ml</v>
          </cell>
          <cell r="Z1011" t="e">
            <v>#N/A</v>
          </cell>
          <cell r="AA1011" t="e">
            <v>#N/A</v>
          </cell>
          <cell r="AB1011">
            <v>0</v>
          </cell>
          <cell r="AC1011">
            <v>0</v>
          </cell>
        </row>
        <row r="1013">
          <cell r="D1013" t="str">
            <v>CODIGO</v>
          </cell>
          <cell r="E1013" t="str">
            <v>DESCRIPCION</v>
          </cell>
          <cell r="F1013" t="str">
            <v>UN</v>
          </cell>
          <cell r="G1013" t="str">
            <v>CANT</v>
          </cell>
          <cell r="H1013" t="str">
            <v>V/UNIT.</v>
          </cell>
          <cell r="I1013" t="str">
            <v>V/TOTAL</v>
          </cell>
          <cell r="K1013" t="str">
            <v>CANT TOTAL</v>
          </cell>
          <cell r="L1013" t="str">
            <v>Vr TOTAL</v>
          </cell>
          <cell r="Y1013" t="str">
            <v>CANT.</v>
          </cell>
          <cell r="Z1013" t="str">
            <v>V/TOTAL</v>
          </cell>
        </row>
        <row r="1014">
          <cell r="E1014" t="str">
            <v>MATERIALES</v>
          </cell>
          <cell r="I1014">
            <v>86450</v>
          </cell>
          <cell r="L1014">
            <v>0</v>
          </cell>
          <cell r="Z1014" t="e">
            <v>#N/A</v>
          </cell>
        </row>
        <row r="1015">
          <cell r="D1015" t="str">
            <v>MA44TF20</v>
          </cell>
          <cell r="E1015" t="str">
            <v>Tuberia Flexible PS 57 20 "</v>
          </cell>
          <cell r="F1015" t="str">
            <v>Ml</v>
          </cell>
          <cell r="G1015">
            <v>1</v>
          </cell>
          <cell r="H1015">
            <v>86450</v>
          </cell>
          <cell r="I1015">
            <v>86450</v>
          </cell>
          <cell r="J1015">
            <v>0</v>
          </cell>
          <cell r="K1015">
            <v>0</v>
          </cell>
          <cell r="L1015">
            <v>0</v>
          </cell>
          <cell r="Y1015" t="e">
            <v>#N/A</v>
          </cell>
          <cell r="Z1015" t="e">
            <v>#N/A</v>
          </cell>
        </row>
        <row r="1016">
          <cell r="I1016">
            <v>0</v>
          </cell>
          <cell r="J1016">
            <v>0</v>
          </cell>
          <cell r="K1016">
            <v>0</v>
          </cell>
          <cell r="L1016">
            <v>0</v>
          </cell>
          <cell r="Y1016">
            <v>0</v>
          </cell>
          <cell r="Z1016">
            <v>0</v>
          </cell>
        </row>
        <row r="1017">
          <cell r="I1017">
            <v>0</v>
          </cell>
          <cell r="J1017">
            <v>0</v>
          </cell>
          <cell r="K1017">
            <v>0</v>
          </cell>
          <cell r="L1017">
            <v>0</v>
          </cell>
          <cell r="Y1017">
            <v>0</v>
          </cell>
          <cell r="Z1017">
            <v>0</v>
          </cell>
        </row>
        <row r="1019">
          <cell r="E1019" t="str">
            <v>MANO DE OBRA</v>
          </cell>
          <cell r="I1019">
            <v>0</v>
          </cell>
          <cell r="L1019">
            <v>0</v>
          </cell>
          <cell r="Z1019">
            <v>0</v>
          </cell>
        </row>
        <row r="1020">
          <cell r="I1020">
            <v>0</v>
          </cell>
          <cell r="J1020">
            <v>0</v>
          </cell>
          <cell r="K1020">
            <v>0</v>
          </cell>
          <cell r="L1020">
            <v>0</v>
          </cell>
          <cell r="Y1020">
            <v>0</v>
          </cell>
          <cell r="Z1020">
            <v>0</v>
          </cell>
        </row>
        <row r="1022">
          <cell r="E1022" t="str">
            <v>VARIOS</v>
          </cell>
          <cell r="I1022">
            <v>0</v>
          </cell>
          <cell r="L1022">
            <v>0</v>
          </cell>
          <cell r="Z1022">
            <v>0</v>
          </cell>
        </row>
        <row r="1023">
          <cell r="I1023">
            <v>0</v>
          </cell>
          <cell r="J1023">
            <v>0</v>
          </cell>
          <cell r="K1023">
            <v>0</v>
          </cell>
          <cell r="L1023">
            <v>0</v>
          </cell>
          <cell r="Y1023">
            <v>0</v>
          </cell>
          <cell r="Z1023">
            <v>0</v>
          </cell>
        </row>
        <row r="1025">
          <cell r="E1025" t="str">
            <v>SUBTOTAL</v>
          </cell>
          <cell r="I1025">
            <v>86450</v>
          </cell>
          <cell r="L1025">
            <v>0</v>
          </cell>
          <cell r="Z1025" t="e">
            <v>#N/A</v>
          </cell>
        </row>
        <row r="1026">
          <cell r="E1026" t="str">
            <v>A.I.U</v>
          </cell>
          <cell r="I1026">
            <v>0</v>
          </cell>
          <cell r="L1026">
            <v>0</v>
          </cell>
          <cell r="Z1026">
            <v>0</v>
          </cell>
        </row>
        <row r="1027">
          <cell r="D1027" t="str">
            <v>AIUAADMON</v>
          </cell>
          <cell r="E1027" t="str">
            <v>Admon</v>
          </cell>
          <cell r="F1027">
            <v>0</v>
          </cell>
          <cell r="I1027">
            <v>0</v>
          </cell>
          <cell r="J1027">
            <v>0</v>
          </cell>
          <cell r="L1027">
            <v>0</v>
          </cell>
          <cell r="Z1027">
            <v>0</v>
          </cell>
        </row>
        <row r="1028">
          <cell r="D1028" t="str">
            <v>AIUAIMPRE</v>
          </cell>
          <cell r="E1028" t="str">
            <v>Imprevistos</v>
          </cell>
          <cell r="F1028">
            <v>0</v>
          </cell>
          <cell r="I1028">
            <v>0</v>
          </cell>
          <cell r="J1028">
            <v>0</v>
          </cell>
          <cell r="L1028">
            <v>0</v>
          </cell>
          <cell r="Z1028">
            <v>0</v>
          </cell>
        </row>
        <row r="1029">
          <cell r="D1029" t="str">
            <v>AIUAUTILI</v>
          </cell>
          <cell r="E1029" t="str">
            <v>Utilidad</v>
          </cell>
          <cell r="F1029">
            <v>0</v>
          </cell>
          <cell r="I1029">
            <v>0</v>
          </cell>
          <cell r="J1029">
            <v>0</v>
          </cell>
          <cell r="L1029">
            <v>0</v>
          </cell>
          <cell r="Z1029">
            <v>0</v>
          </cell>
        </row>
        <row r="1030">
          <cell r="D1030" t="str">
            <v>AIUAIVAUTI</v>
          </cell>
          <cell r="E1030" t="str">
            <v>IVA utilidad</v>
          </cell>
          <cell r="F1030">
            <v>0</v>
          </cell>
          <cell r="I1030">
            <v>0</v>
          </cell>
          <cell r="J1030">
            <v>0</v>
          </cell>
          <cell r="L1030">
            <v>0</v>
          </cell>
          <cell r="Z1030">
            <v>0</v>
          </cell>
        </row>
        <row r="1032">
          <cell r="E1032" t="str">
            <v>ITEM</v>
          </cell>
        </row>
        <row r="1033">
          <cell r="D1033" t="str">
            <v>ANENTIMA</v>
          </cell>
          <cell r="E1033" t="str">
            <v>Entibado Madera</v>
          </cell>
          <cell r="G1033" t="str">
            <v>UN.</v>
          </cell>
          <cell r="H1033" t="str">
            <v>M3</v>
          </cell>
          <cell r="I1033">
            <v>2302</v>
          </cell>
          <cell r="K1033">
            <v>13728</v>
          </cell>
          <cell r="L1033">
            <v>31601856</v>
          </cell>
          <cell r="N1033">
            <v>1003</v>
          </cell>
          <cell r="O1033">
            <v>712</v>
          </cell>
          <cell r="P1033">
            <v>587</v>
          </cell>
          <cell r="Q1033">
            <v>0</v>
          </cell>
          <cell r="X1033">
            <v>31601856</v>
          </cell>
          <cell r="Y1033" t="str">
            <v>M3</v>
          </cell>
          <cell r="Z1033" t="e">
            <v>#N/A</v>
          </cell>
          <cell r="AA1033" t="e">
            <v>#N/A</v>
          </cell>
          <cell r="AB1033" t="e">
            <v>#N/A</v>
          </cell>
          <cell r="AC1033" t="e">
            <v>#N/A</v>
          </cell>
        </row>
        <row r="1035">
          <cell r="D1035" t="str">
            <v>CODIGO</v>
          </cell>
          <cell r="E1035" t="str">
            <v>DESCRIPCION</v>
          </cell>
          <cell r="F1035" t="str">
            <v>UN</v>
          </cell>
          <cell r="G1035" t="str">
            <v>CANT</v>
          </cell>
          <cell r="H1035" t="str">
            <v>V/UNIT.</v>
          </cell>
          <cell r="I1035" t="str">
            <v>V/TOTAL</v>
          </cell>
          <cell r="K1035" t="str">
            <v>CANT TOTAL</v>
          </cell>
          <cell r="L1035" t="str">
            <v>Vr TOTAL</v>
          </cell>
          <cell r="Y1035" t="str">
            <v>CANT.</v>
          </cell>
          <cell r="Z1035" t="str">
            <v>V/TOTAL</v>
          </cell>
        </row>
        <row r="1036">
          <cell r="E1036" t="str">
            <v>MATERIALES</v>
          </cell>
          <cell r="I1036">
            <v>1003</v>
          </cell>
          <cell r="L1036">
            <v>13769184</v>
          </cell>
          <cell r="Z1036" t="e">
            <v>#N/A</v>
          </cell>
        </row>
        <row r="1037">
          <cell r="D1037" t="str">
            <v>MA25VL6</v>
          </cell>
          <cell r="E1037" t="str">
            <v>Vara Limaton 6m Diametro 12-15</v>
          </cell>
          <cell r="F1037" t="str">
            <v>Un</v>
          </cell>
          <cell r="G1037">
            <v>2.4E-2</v>
          </cell>
          <cell r="H1037">
            <v>18560</v>
          </cell>
          <cell r="I1037">
            <v>445</v>
          </cell>
          <cell r="J1037">
            <v>0</v>
          </cell>
          <cell r="K1037">
            <v>329.47199999999998</v>
          </cell>
          <cell r="L1037">
            <v>6115000.3199999994</v>
          </cell>
          <cell r="Y1037" t="e">
            <v>#N/A</v>
          </cell>
          <cell r="Z1037" t="e">
            <v>#N/A</v>
          </cell>
        </row>
        <row r="1038">
          <cell r="D1038" t="str">
            <v>MA25PO3</v>
          </cell>
          <cell r="E1038" t="str">
            <v>Planchon 3 Mts. 0,04*0,20*3,00</v>
          </cell>
          <cell r="F1038" t="str">
            <v>Un</v>
          </cell>
          <cell r="G1038">
            <v>2.7E-2</v>
          </cell>
          <cell r="H1038">
            <v>9860</v>
          </cell>
          <cell r="I1038">
            <v>266</v>
          </cell>
          <cell r="J1038">
            <v>0</v>
          </cell>
          <cell r="K1038">
            <v>370.65600000000001</v>
          </cell>
          <cell r="L1038">
            <v>3654668.16</v>
          </cell>
          <cell r="Y1038" t="e">
            <v>#N/A</v>
          </cell>
          <cell r="Z1038" t="e">
            <v>#N/A</v>
          </cell>
        </row>
        <row r="1039">
          <cell r="D1039" t="str">
            <v>MA25VI3</v>
          </cell>
          <cell r="E1039" t="str">
            <v>Vigas 0,10*0,20*3,00</v>
          </cell>
          <cell r="F1039" t="str">
            <v>Un</v>
          </cell>
          <cell r="G1039">
            <v>1.4E-2</v>
          </cell>
          <cell r="H1039">
            <v>20880</v>
          </cell>
          <cell r="I1039">
            <v>292</v>
          </cell>
          <cell r="J1039">
            <v>0</v>
          </cell>
          <cell r="K1039">
            <v>192.19200000000001</v>
          </cell>
          <cell r="L1039">
            <v>4012968.96</v>
          </cell>
          <cell r="Y1039" t="e">
            <v>#N/A</v>
          </cell>
          <cell r="Z1039" t="e">
            <v>#N/A</v>
          </cell>
        </row>
        <row r="1041">
          <cell r="E1041" t="str">
            <v>MANO DE OBRA</v>
          </cell>
          <cell r="I1041">
            <v>712</v>
          </cell>
          <cell r="L1041">
            <v>9774336</v>
          </cell>
          <cell r="Z1041" t="e">
            <v>#N/A</v>
          </cell>
        </row>
        <row r="1042">
          <cell r="D1042" t="str">
            <v>MOANENT</v>
          </cell>
          <cell r="E1042" t="str">
            <v>Entibado</v>
          </cell>
          <cell r="F1042" t="str">
            <v>M2</v>
          </cell>
          <cell r="G1042">
            <v>0.57199999999999995</v>
          </cell>
          <cell r="H1042">
            <v>1245</v>
          </cell>
          <cell r="I1042">
            <v>712</v>
          </cell>
          <cell r="J1042">
            <v>0</v>
          </cell>
          <cell r="K1042">
            <v>7852.4159999999993</v>
          </cell>
          <cell r="L1042">
            <v>9776257.9199999999</v>
          </cell>
          <cell r="Y1042" t="e">
            <v>#N/A</v>
          </cell>
          <cell r="Z1042" t="e">
            <v>#N/A</v>
          </cell>
        </row>
        <row r="1044">
          <cell r="E1044" t="str">
            <v>VARIOS</v>
          </cell>
          <cell r="I1044">
            <v>587</v>
          </cell>
          <cell r="L1044">
            <v>8058336</v>
          </cell>
          <cell r="Z1044" t="e">
            <v>#N/A</v>
          </cell>
        </row>
        <row r="1045">
          <cell r="D1045" t="str">
            <v>AL07PA</v>
          </cell>
          <cell r="E1045" t="str">
            <v>Parales</v>
          </cell>
          <cell r="F1045" t="str">
            <v>mes</v>
          </cell>
          <cell r="G1045">
            <v>0.115</v>
          </cell>
          <cell r="H1045">
            <v>1450</v>
          </cell>
          <cell r="I1045">
            <v>167</v>
          </cell>
          <cell r="J1045">
            <v>0</v>
          </cell>
          <cell r="K1045">
            <v>1578.72</v>
          </cell>
          <cell r="L1045">
            <v>2289144</v>
          </cell>
          <cell r="Y1045" t="e">
            <v>#N/A</v>
          </cell>
          <cell r="Z1045" t="e">
            <v>#N/A</v>
          </cell>
        </row>
        <row r="1046">
          <cell r="D1046" t="str">
            <v>AL04RETROE</v>
          </cell>
          <cell r="E1046" t="str">
            <v>Retro Oruga</v>
          </cell>
          <cell r="F1046" t="str">
            <v>Hr</v>
          </cell>
          <cell r="G1046">
            <v>7.0000000000000001E-3</v>
          </cell>
          <cell r="H1046">
            <v>60000</v>
          </cell>
          <cell r="I1046">
            <v>420</v>
          </cell>
          <cell r="J1046">
            <v>0</v>
          </cell>
          <cell r="K1046">
            <v>96.096000000000004</v>
          </cell>
          <cell r="L1046">
            <v>5765760</v>
          </cell>
          <cell r="Y1046" t="e">
            <v>#N/A</v>
          </cell>
          <cell r="Z1046" t="e">
            <v>#N/A</v>
          </cell>
        </row>
        <row r="1047">
          <cell r="E1047" t="str">
            <v>SUBTOTAL</v>
          </cell>
          <cell r="I1047">
            <v>2302</v>
          </cell>
          <cell r="L1047">
            <v>31601856</v>
          </cell>
          <cell r="Z1047" t="e">
            <v>#N/A</v>
          </cell>
        </row>
        <row r="1048">
          <cell r="E1048" t="str">
            <v>A.I.U</v>
          </cell>
          <cell r="I1048">
            <v>0</v>
          </cell>
          <cell r="L1048">
            <v>0</v>
          </cell>
          <cell r="Z1048">
            <v>0</v>
          </cell>
        </row>
        <row r="1049">
          <cell r="D1049" t="str">
            <v>AIUAADMON</v>
          </cell>
          <cell r="E1049" t="str">
            <v>Admon</v>
          </cell>
          <cell r="F1049">
            <v>0</v>
          </cell>
          <cell r="I1049">
            <v>0</v>
          </cell>
          <cell r="J1049">
            <v>0</v>
          </cell>
          <cell r="L1049">
            <v>0</v>
          </cell>
          <cell r="Z1049">
            <v>0</v>
          </cell>
        </row>
        <row r="1050">
          <cell r="D1050" t="str">
            <v>AIUAIMPRE</v>
          </cell>
          <cell r="E1050" t="str">
            <v>Imprevistos</v>
          </cell>
          <cell r="F1050">
            <v>0</v>
          </cell>
          <cell r="I1050">
            <v>0</v>
          </cell>
          <cell r="J1050">
            <v>0</v>
          </cell>
          <cell r="L1050">
            <v>0</v>
          </cell>
          <cell r="Z1050">
            <v>0</v>
          </cell>
        </row>
        <row r="1051">
          <cell r="D1051" t="str">
            <v>AIUAUTILI</v>
          </cell>
          <cell r="E1051" t="str">
            <v>Utilidad</v>
          </cell>
          <cell r="F1051">
            <v>0</v>
          </cell>
          <cell r="I1051">
            <v>0</v>
          </cell>
          <cell r="J1051">
            <v>0</v>
          </cell>
          <cell r="L1051">
            <v>0</v>
          </cell>
          <cell r="Z1051">
            <v>0</v>
          </cell>
        </row>
        <row r="1052">
          <cell r="D1052" t="str">
            <v>AIUAIVAUTI</v>
          </cell>
          <cell r="E1052" t="str">
            <v>IVA utilidad</v>
          </cell>
          <cell r="F1052">
            <v>0</v>
          </cell>
          <cell r="I1052">
            <v>0</v>
          </cell>
          <cell r="J1052">
            <v>0</v>
          </cell>
          <cell r="L1052">
            <v>0</v>
          </cell>
          <cell r="Z1052">
            <v>0</v>
          </cell>
        </row>
        <row r="1054">
          <cell r="D1054" t="str">
            <v>ANGER</v>
          </cell>
          <cell r="E1054" t="str">
            <v>Geotextil para Estabilización y Refuerzo Tipo 1</v>
          </cell>
          <cell r="G1054" t="str">
            <v>UN.</v>
          </cell>
          <cell r="H1054" t="str">
            <v>M2</v>
          </cell>
          <cell r="I1054">
            <v>3058</v>
          </cell>
          <cell r="K1054">
            <v>165</v>
          </cell>
          <cell r="L1054">
            <v>504570</v>
          </cell>
          <cell r="N1054">
            <v>2258</v>
          </cell>
          <cell r="O1054">
            <v>800</v>
          </cell>
          <cell r="P1054">
            <v>0</v>
          </cell>
          <cell r="Q1054">
            <v>0</v>
          </cell>
          <cell r="X1054">
            <v>504570</v>
          </cell>
          <cell r="Y1054" t="str">
            <v>M2</v>
          </cell>
          <cell r="Z1054" t="e">
            <v>#N/A</v>
          </cell>
          <cell r="AA1054" t="e">
            <v>#N/A</v>
          </cell>
          <cell r="AB1054" t="e">
            <v>#N/A</v>
          </cell>
          <cell r="AC1054">
            <v>0</v>
          </cell>
        </row>
        <row r="1056">
          <cell r="D1056" t="str">
            <v>CODIGO</v>
          </cell>
          <cell r="E1056" t="str">
            <v>DESCRIPCION</v>
          </cell>
          <cell r="F1056" t="str">
            <v>UN</v>
          </cell>
          <cell r="G1056" t="str">
            <v>CANT</v>
          </cell>
          <cell r="H1056" t="str">
            <v>V/UNIT.</v>
          </cell>
          <cell r="I1056" t="str">
            <v>V/TOTAL</v>
          </cell>
          <cell r="K1056" t="str">
            <v>CANT TOTAL</v>
          </cell>
          <cell r="L1056" t="str">
            <v>Vr TOTAL</v>
          </cell>
          <cell r="Y1056" t="str">
            <v>CANT.</v>
          </cell>
          <cell r="Z1056" t="str">
            <v>V/TOTAL</v>
          </cell>
        </row>
        <row r="1057">
          <cell r="E1057" t="str">
            <v>MATERIALES</v>
          </cell>
          <cell r="I1057">
            <v>2258</v>
          </cell>
          <cell r="L1057">
            <v>372570</v>
          </cell>
          <cell r="Z1057" t="e">
            <v>#N/A</v>
          </cell>
        </row>
        <row r="1058">
          <cell r="D1058" t="str">
            <v>MA26GE16NT</v>
          </cell>
          <cell r="E1058" t="str">
            <v>Geotextil 1600 NT</v>
          </cell>
          <cell r="F1058" t="str">
            <v>m2</v>
          </cell>
          <cell r="G1058">
            <v>1.05</v>
          </cell>
          <cell r="H1058">
            <v>2150</v>
          </cell>
          <cell r="I1058">
            <v>2258</v>
          </cell>
          <cell r="J1058">
            <v>0</v>
          </cell>
          <cell r="K1058">
            <v>173.25</v>
          </cell>
          <cell r="L1058">
            <v>372487.5</v>
          </cell>
          <cell r="Y1058" t="e">
            <v>#N/A</v>
          </cell>
          <cell r="Z1058" t="e">
            <v>#N/A</v>
          </cell>
        </row>
        <row r="1060">
          <cell r="E1060" t="str">
            <v>MANO DE OBRA</v>
          </cell>
          <cell r="I1060">
            <v>800</v>
          </cell>
          <cell r="L1060">
            <v>132000</v>
          </cell>
          <cell r="Z1060" t="e">
            <v>#N/A</v>
          </cell>
        </row>
        <row r="1061">
          <cell r="D1061" t="str">
            <v>MOANIGE</v>
          </cell>
          <cell r="E1061" t="str">
            <v xml:space="preserve">Instalación Geotextilespara estabilizacion </v>
          </cell>
          <cell r="F1061" t="str">
            <v>M2</v>
          </cell>
          <cell r="G1061">
            <v>1</v>
          </cell>
          <cell r="H1061">
            <v>800</v>
          </cell>
          <cell r="I1061">
            <v>800</v>
          </cell>
          <cell r="J1061">
            <v>0</v>
          </cell>
          <cell r="K1061">
            <v>165</v>
          </cell>
          <cell r="L1061">
            <v>132000</v>
          </cell>
          <cell r="Y1061" t="e">
            <v>#N/A</v>
          </cell>
          <cell r="Z1061" t="e">
            <v>#N/A</v>
          </cell>
        </row>
        <row r="1063">
          <cell r="E1063" t="str">
            <v>VARIOS</v>
          </cell>
          <cell r="I1063">
            <v>0</v>
          </cell>
          <cell r="L1063">
            <v>0</v>
          </cell>
          <cell r="Z1063">
            <v>0</v>
          </cell>
        </row>
        <row r="1065">
          <cell r="D1065" t="str">
            <v/>
          </cell>
        </row>
        <row r="1066">
          <cell r="E1066" t="str">
            <v>SUBTOTAL</v>
          </cell>
          <cell r="I1066">
            <v>3058</v>
          </cell>
          <cell r="L1066">
            <v>504570</v>
          </cell>
          <cell r="Z1066" t="e">
            <v>#N/A</v>
          </cell>
        </row>
        <row r="1067">
          <cell r="E1067" t="str">
            <v>A.I.U</v>
          </cell>
          <cell r="I1067">
            <v>0</v>
          </cell>
          <cell r="L1067">
            <v>0</v>
          </cell>
          <cell r="Z1067">
            <v>0</v>
          </cell>
        </row>
        <row r="1068">
          <cell r="D1068" t="str">
            <v>AIUAADMON</v>
          </cell>
          <cell r="E1068" t="str">
            <v>Admon</v>
          </cell>
          <cell r="F1068">
            <v>0</v>
          </cell>
          <cell r="I1068">
            <v>0</v>
          </cell>
          <cell r="J1068">
            <v>0</v>
          </cell>
          <cell r="L1068">
            <v>0</v>
          </cell>
          <cell r="Z1068">
            <v>0</v>
          </cell>
        </row>
        <row r="1069">
          <cell r="D1069" t="str">
            <v>AIUAIMPRE</v>
          </cell>
          <cell r="E1069" t="str">
            <v>Imprevistos</v>
          </cell>
          <cell r="F1069">
            <v>0</v>
          </cell>
          <cell r="I1069">
            <v>0</v>
          </cell>
          <cell r="J1069">
            <v>0</v>
          </cell>
          <cell r="L1069">
            <v>0</v>
          </cell>
          <cell r="Z1069">
            <v>0</v>
          </cell>
        </row>
        <row r="1070">
          <cell r="D1070" t="str">
            <v>AIUAUTILI</v>
          </cell>
          <cell r="E1070" t="str">
            <v>Utilidad</v>
          </cell>
          <cell r="F1070">
            <v>0</v>
          </cell>
          <cell r="I1070">
            <v>0</v>
          </cell>
          <cell r="J1070">
            <v>0</v>
          </cell>
          <cell r="L1070">
            <v>0</v>
          </cell>
          <cell r="Z1070">
            <v>0</v>
          </cell>
        </row>
        <row r="1071">
          <cell r="D1071" t="str">
            <v>AIUAIVAUTI</v>
          </cell>
          <cell r="E1071" t="str">
            <v>IVA utilidad</v>
          </cell>
          <cell r="F1071">
            <v>0</v>
          </cell>
          <cell r="I1071">
            <v>0</v>
          </cell>
          <cell r="J1071">
            <v>0</v>
          </cell>
          <cell r="L1071">
            <v>0</v>
          </cell>
          <cell r="Z1071">
            <v>0</v>
          </cell>
        </row>
        <row r="1073">
          <cell r="D1073" t="str">
            <v>ANGFD</v>
          </cell>
          <cell r="E1073" t="str">
            <v>Geotextil para Filtración y Drenaje Tipo 1</v>
          </cell>
          <cell r="G1073" t="str">
            <v>UN.</v>
          </cell>
          <cell r="H1073" t="str">
            <v>M2</v>
          </cell>
          <cell r="I1073">
            <v>3108</v>
          </cell>
          <cell r="K1073">
            <v>383</v>
          </cell>
          <cell r="L1073">
            <v>1190364</v>
          </cell>
          <cell r="N1073">
            <v>2258</v>
          </cell>
          <cell r="O1073">
            <v>850</v>
          </cell>
          <cell r="P1073">
            <v>0</v>
          </cell>
          <cell r="Q1073">
            <v>0</v>
          </cell>
          <cell r="X1073">
            <v>1190364</v>
          </cell>
          <cell r="Y1073" t="str">
            <v>M2</v>
          </cell>
          <cell r="Z1073" t="e">
            <v>#N/A</v>
          </cell>
          <cell r="AA1073" t="e">
            <v>#N/A</v>
          </cell>
          <cell r="AB1073" t="e">
            <v>#N/A</v>
          </cell>
          <cell r="AC1073">
            <v>0</v>
          </cell>
        </row>
        <row r="1075">
          <cell r="D1075" t="str">
            <v>CODIGO</v>
          </cell>
          <cell r="E1075" t="str">
            <v>DESCRIPCION</v>
          </cell>
          <cell r="F1075" t="str">
            <v>UN</v>
          </cell>
          <cell r="G1075" t="str">
            <v>CANT</v>
          </cell>
          <cell r="H1075" t="str">
            <v>V/UNIT.</v>
          </cell>
          <cell r="I1075" t="str">
            <v>V/TOTAL</v>
          </cell>
          <cell r="K1075" t="str">
            <v>CANT TOTAL</v>
          </cell>
          <cell r="L1075" t="str">
            <v>Vr TOTAL</v>
          </cell>
          <cell r="Y1075" t="str">
            <v>CANT.</v>
          </cell>
          <cell r="Z1075" t="str">
            <v>V/TOTAL</v>
          </cell>
        </row>
        <row r="1076">
          <cell r="E1076" t="str">
            <v>MATERIALES</v>
          </cell>
          <cell r="I1076">
            <v>2258</v>
          </cell>
          <cell r="L1076">
            <v>864814</v>
          </cell>
          <cell r="Z1076" t="e">
            <v>#N/A</v>
          </cell>
        </row>
        <row r="1077">
          <cell r="D1077" t="str">
            <v>MA26GE16NT</v>
          </cell>
          <cell r="E1077" t="str">
            <v>Geotextil 1600 NT</v>
          </cell>
          <cell r="F1077" t="str">
            <v>m2</v>
          </cell>
          <cell r="G1077">
            <v>1.05</v>
          </cell>
          <cell r="H1077">
            <v>2150</v>
          </cell>
          <cell r="I1077">
            <v>2258</v>
          </cell>
          <cell r="J1077">
            <v>0</v>
          </cell>
          <cell r="K1077">
            <v>402.15000000000003</v>
          </cell>
          <cell r="L1077">
            <v>864622.50000000012</v>
          </cell>
          <cell r="Y1077" t="e">
            <v>#N/A</v>
          </cell>
          <cell r="Z1077" t="e">
            <v>#N/A</v>
          </cell>
        </row>
        <row r="1079">
          <cell r="E1079" t="str">
            <v>MANO DE OBRA</v>
          </cell>
          <cell r="I1079">
            <v>850</v>
          </cell>
          <cell r="L1079">
            <v>325550</v>
          </cell>
          <cell r="Z1079" t="e">
            <v>#N/A</v>
          </cell>
        </row>
        <row r="1080">
          <cell r="D1080" t="str">
            <v>MOANIGF</v>
          </cell>
          <cell r="E1080" t="str">
            <v>Instalación Geotextilespara Filtraciones</v>
          </cell>
          <cell r="F1080" t="str">
            <v>M2</v>
          </cell>
          <cell r="G1080">
            <v>1</v>
          </cell>
          <cell r="H1080">
            <v>850</v>
          </cell>
          <cell r="I1080">
            <v>850</v>
          </cell>
          <cell r="J1080">
            <v>0</v>
          </cell>
          <cell r="K1080">
            <v>383</v>
          </cell>
          <cell r="L1080">
            <v>325550</v>
          </cell>
          <cell r="Y1080" t="e">
            <v>#N/A</v>
          </cell>
          <cell r="Z1080" t="e">
            <v>#N/A</v>
          </cell>
        </row>
        <row r="1082">
          <cell r="E1082" t="str">
            <v>VARIOS</v>
          </cell>
          <cell r="I1082">
            <v>0</v>
          </cell>
          <cell r="L1082">
            <v>0</v>
          </cell>
          <cell r="Z1082">
            <v>0</v>
          </cell>
        </row>
        <row r="1084">
          <cell r="D1084" t="str">
            <v/>
          </cell>
        </row>
        <row r="1085">
          <cell r="E1085" t="str">
            <v>SUBTOTAL</v>
          </cell>
          <cell r="I1085">
            <v>3108</v>
          </cell>
          <cell r="L1085">
            <v>1190364</v>
          </cell>
          <cell r="Z1085" t="e">
            <v>#N/A</v>
          </cell>
        </row>
        <row r="1086">
          <cell r="E1086" t="str">
            <v>A.I.U</v>
          </cell>
          <cell r="I1086">
            <v>0</v>
          </cell>
          <cell r="L1086">
            <v>0</v>
          </cell>
          <cell r="Z1086">
            <v>0</v>
          </cell>
        </row>
        <row r="1087">
          <cell r="D1087" t="str">
            <v>AIUAADMON</v>
          </cell>
          <cell r="E1087" t="str">
            <v>Admon</v>
          </cell>
          <cell r="F1087">
            <v>0</v>
          </cell>
          <cell r="I1087">
            <v>0</v>
          </cell>
          <cell r="J1087">
            <v>0</v>
          </cell>
          <cell r="L1087">
            <v>0</v>
          </cell>
          <cell r="Z1087">
            <v>0</v>
          </cell>
        </row>
        <row r="1088">
          <cell r="D1088" t="str">
            <v>AIUAIMPRE</v>
          </cell>
          <cell r="E1088" t="str">
            <v>Imprevistos</v>
          </cell>
          <cell r="F1088">
            <v>0</v>
          </cell>
          <cell r="I1088">
            <v>0</v>
          </cell>
          <cell r="J1088">
            <v>0</v>
          </cell>
          <cell r="L1088">
            <v>0</v>
          </cell>
          <cell r="Z1088">
            <v>0</v>
          </cell>
        </row>
        <row r="1089">
          <cell r="D1089" t="str">
            <v>AIUAUTILI</v>
          </cell>
          <cell r="E1089" t="str">
            <v>Utilidad</v>
          </cell>
          <cell r="F1089">
            <v>0</v>
          </cell>
          <cell r="I1089">
            <v>0</v>
          </cell>
          <cell r="J1089">
            <v>0</v>
          </cell>
          <cell r="L1089">
            <v>0</v>
          </cell>
          <cell r="Z1089">
            <v>0</v>
          </cell>
        </row>
        <row r="1090">
          <cell r="D1090" t="str">
            <v>AIUAIVAUTI</v>
          </cell>
          <cell r="E1090" t="str">
            <v>IVA utilidad</v>
          </cell>
          <cell r="F1090">
            <v>0</v>
          </cell>
          <cell r="I1090">
            <v>0</v>
          </cell>
          <cell r="J1090">
            <v>0</v>
          </cell>
          <cell r="L1090">
            <v>0</v>
          </cell>
          <cell r="Z1090">
            <v>0</v>
          </cell>
        </row>
        <row r="1092">
          <cell r="E1092" t="str">
            <v>ITEM</v>
          </cell>
        </row>
        <row r="1093">
          <cell r="D1093" t="str">
            <v>ANPOMA</v>
          </cell>
          <cell r="E1093" t="str">
            <v xml:space="preserve">Pozo Inspección Mamposteria </v>
          </cell>
          <cell r="G1093" t="str">
            <v>UN.</v>
          </cell>
          <cell r="H1093" t="str">
            <v>Ml</v>
          </cell>
          <cell r="I1093">
            <v>224479</v>
          </cell>
          <cell r="K1093">
            <v>234.95</v>
          </cell>
          <cell r="L1093">
            <v>52741341.049999997</v>
          </cell>
          <cell r="N1093">
            <v>188979</v>
          </cell>
          <cell r="O1093">
            <v>35000</v>
          </cell>
          <cell r="P1093">
            <v>500</v>
          </cell>
          <cell r="Q1093">
            <v>0</v>
          </cell>
          <cell r="X1093">
            <v>52741341.049999997</v>
          </cell>
          <cell r="Y1093" t="str">
            <v>Ml</v>
          </cell>
          <cell r="Z1093" t="e">
            <v>#VALUE!</v>
          </cell>
          <cell r="AA1093" t="e">
            <v>#VALUE!</v>
          </cell>
          <cell r="AB1093" t="e">
            <v>#VALUE!</v>
          </cell>
          <cell r="AC1093" t="e">
            <v>#VALUE!</v>
          </cell>
        </row>
        <row r="1095">
          <cell r="D1095" t="str">
            <v>CODIGO</v>
          </cell>
          <cell r="E1095" t="str">
            <v>DESCRIPCION</v>
          </cell>
          <cell r="F1095" t="str">
            <v>UN</v>
          </cell>
          <cell r="G1095" t="str">
            <v>CANT</v>
          </cell>
          <cell r="H1095" t="str">
            <v>V/UNIT.</v>
          </cell>
          <cell r="I1095" t="str">
            <v>V/TOTAL</v>
          </cell>
          <cell r="K1095" t="str">
            <v>CANT TOTAL</v>
          </cell>
          <cell r="L1095" t="str">
            <v>Vr TOTAL</v>
          </cell>
          <cell r="Y1095" t="str">
            <v>CANT.</v>
          </cell>
          <cell r="Z1095" t="str">
            <v>V/TOTAL</v>
          </cell>
        </row>
        <row r="1096">
          <cell r="E1096" t="str">
            <v>MATERIALES</v>
          </cell>
          <cell r="I1096">
            <v>188979</v>
          </cell>
          <cell r="L1096">
            <v>44400616.049999997</v>
          </cell>
          <cell r="Z1096" t="e">
            <v>#VALUE!</v>
          </cell>
        </row>
        <row r="1097">
          <cell r="D1097" t="str">
            <v>MA06TR</v>
          </cell>
          <cell r="E1097" t="str">
            <v>Ladrillo Tolete Recocido</v>
          </cell>
          <cell r="F1097" t="str">
            <v>Un</v>
          </cell>
          <cell r="G1097">
            <v>380</v>
          </cell>
          <cell r="H1097">
            <v>220</v>
          </cell>
          <cell r="I1097">
            <v>83600</v>
          </cell>
          <cell r="J1097">
            <v>0</v>
          </cell>
          <cell r="K1097">
            <v>89281</v>
          </cell>
          <cell r="L1097">
            <v>19641820</v>
          </cell>
          <cell r="Y1097" t="e">
            <v>#VALUE!</v>
          </cell>
          <cell r="Z1097" t="e">
            <v>#VALUE!</v>
          </cell>
        </row>
        <row r="1098">
          <cell r="D1098" t="str">
            <v>MA02AS</v>
          </cell>
          <cell r="E1098" t="str">
            <v>Arena Semilavada</v>
          </cell>
          <cell r="F1098" t="str">
            <v>M3</v>
          </cell>
          <cell r="G1098">
            <v>1.0455999999999999</v>
          </cell>
          <cell r="H1098">
            <v>19500</v>
          </cell>
          <cell r="I1098">
            <v>20389</v>
          </cell>
          <cell r="J1098">
            <v>0</v>
          </cell>
          <cell r="K1098">
            <v>245.66371999999996</v>
          </cell>
          <cell r="L1098">
            <v>4790442.5399999991</v>
          </cell>
          <cell r="Y1098" t="e">
            <v>#VALUE!</v>
          </cell>
          <cell r="Z1098" t="e">
            <v>#VALUE!</v>
          </cell>
        </row>
        <row r="1099">
          <cell r="D1099" t="str">
            <v>MA03CG</v>
          </cell>
          <cell r="E1099" t="str">
            <v>Cemento Gris</v>
          </cell>
          <cell r="F1099" t="str">
            <v>Kg</v>
          </cell>
          <cell r="G1099">
            <v>195.249</v>
          </cell>
          <cell r="H1099">
            <v>190</v>
          </cell>
          <cell r="I1099">
            <v>37097</v>
          </cell>
          <cell r="J1099">
            <v>0</v>
          </cell>
          <cell r="K1099">
            <v>45873.752549999997</v>
          </cell>
          <cell r="L1099">
            <v>8716012.9845000003</v>
          </cell>
          <cell r="Y1099" t="e">
            <v>#VALUE!</v>
          </cell>
          <cell r="Z1099" t="e">
            <v>#VALUE!</v>
          </cell>
        </row>
        <row r="1100">
          <cell r="D1100" t="str">
            <v>MA01H6</v>
          </cell>
          <cell r="E1100" t="str">
            <v>Acero PDR60 N. 6</v>
          </cell>
          <cell r="F1100" t="str">
            <v>Kg</v>
          </cell>
          <cell r="G1100">
            <v>8</v>
          </cell>
          <cell r="H1100">
            <v>2150</v>
          </cell>
          <cell r="I1100">
            <v>17200</v>
          </cell>
          <cell r="J1100">
            <v>0</v>
          </cell>
          <cell r="K1100">
            <v>1879.6</v>
          </cell>
          <cell r="L1100">
            <v>4041140</v>
          </cell>
          <cell r="Y1100" t="e">
            <v>#VALUE!</v>
          </cell>
          <cell r="Z1100" t="e">
            <v>#VALUE!</v>
          </cell>
        </row>
        <row r="1101">
          <cell r="D1101" t="str">
            <v>MA26GE16NT</v>
          </cell>
          <cell r="E1101" t="str">
            <v>Geotextil 1600 NT</v>
          </cell>
          <cell r="F1101" t="str">
            <v>m2</v>
          </cell>
          <cell r="G1101">
            <v>7.3920000000000003</v>
          </cell>
          <cell r="H1101">
            <v>2150</v>
          </cell>
          <cell r="I1101">
            <v>15893</v>
          </cell>
          <cell r="J1101">
            <v>0</v>
          </cell>
          <cell r="K1101">
            <v>1736.7503999999999</v>
          </cell>
          <cell r="L1101">
            <v>3734013.36</v>
          </cell>
          <cell r="Y1101" t="e">
            <v>#N/A</v>
          </cell>
          <cell r="Z1101" t="e">
            <v>#N/A</v>
          </cell>
        </row>
        <row r="1102">
          <cell r="D1102" t="str">
            <v>MA27T</v>
          </cell>
          <cell r="E1102" t="str">
            <v>Toxement</v>
          </cell>
          <cell r="F1102" t="str">
            <v>kg</v>
          </cell>
          <cell r="G1102">
            <v>8</v>
          </cell>
          <cell r="H1102">
            <v>1850</v>
          </cell>
          <cell r="I1102">
            <v>14800</v>
          </cell>
          <cell r="J1102">
            <v>0</v>
          </cell>
          <cell r="K1102">
            <v>1879.6</v>
          </cell>
          <cell r="L1102">
            <v>3477260</v>
          </cell>
          <cell r="Y1102" t="e">
            <v>#VALUE!</v>
          </cell>
          <cell r="Z1102" t="e">
            <v>#VALUE!</v>
          </cell>
        </row>
        <row r="1104">
          <cell r="E1104" t="str">
            <v>MANO DE OBRA</v>
          </cell>
          <cell r="I1104">
            <v>35000</v>
          </cell>
          <cell r="J1104">
            <v>0</v>
          </cell>
          <cell r="L1104">
            <v>8223250</v>
          </cell>
          <cell r="Z1104" t="e">
            <v>#VALUE!</v>
          </cell>
        </row>
        <row r="1105">
          <cell r="D1105" t="str">
            <v>MOANPM</v>
          </cell>
          <cell r="E1105" t="str">
            <v>Pozo Inspeccion Mamposteria</v>
          </cell>
          <cell r="F1105" t="str">
            <v>Ml</v>
          </cell>
          <cell r="G1105">
            <v>1</v>
          </cell>
          <cell r="H1105">
            <v>35000</v>
          </cell>
          <cell r="I1105">
            <v>35000</v>
          </cell>
          <cell r="J1105">
            <v>0</v>
          </cell>
          <cell r="K1105">
            <v>234.95</v>
          </cell>
          <cell r="L1105">
            <v>8223250</v>
          </cell>
          <cell r="Y1105" t="e">
            <v>#VALUE!</v>
          </cell>
          <cell r="Z1105" t="e">
            <v>#VALUE!</v>
          </cell>
        </row>
        <row r="1107">
          <cell r="E1107" t="str">
            <v>VARIOS</v>
          </cell>
          <cell r="I1107">
            <v>500</v>
          </cell>
          <cell r="L1107">
            <v>117475</v>
          </cell>
          <cell r="Z1107" t="e">
            <v>#VALUE!</v>
          </cell>
        </row>
        <row r="1108">
          <cell r="D1108" t="str">
            <v>TC07H350</v>
          </cell>
          <cell r="E1108" t="str">
            <v>Herramienta</v>
          </cell>
          <cell r="F1108" t="str">
            <v>Gb</v>
          </cell>
          <cell r="G1108">
            <v>1</v>
          </cell>
          <cell r="H1108">
            <v>500</v>
          </cell>
          <cell r="I1108">
            <v>500</v>
          </cell>
          <cell r="J1108">
            <v>0</v>
          </cell>
          <cell r="K1108">
            <v>234.95</v>
          </cell>
          <cell r="L1108">
            <v>117475</v>
          </cell>
          <cell r="Y1108" t="e">
            <v>#VALUE!</v>
          </cell>
          <cell r="Z1108" t="e">
            <v>#VALUE!</v>
          </cell>
        </row>
        <row r="1109">
          <cell r="D1109" t="str">
            <v/>
          </cell>
        </row>
        <row r="1110">
          <cell r="E1110" t="str">
            <v>SUBTOTAL</v>
          </cell>
          <cell r="I1110">
            <v>224479</v>
          </cell>
          <cell r="L1110">
            <v>52741341.049999997</v>
          </cell>
          <cell r="Z1110" t="e">
            <v>#VALUE!</v>
          </cell>
        </row>
        <row r="1111">
          <cell r="E1111" t="str">
            <v>A.I.U</v>
          </cell>
          <cell r="I1111">
            <v>0</v>
          </cell>
          <cell r="L1111">
            <v>0</v>
          </cell>
          <cell r="Z1111">
            <v>0</v>
          </cell>
        </row>
        <row r="1112">
          <cell r="D1112" t="str">
            <v>AIUAADMON</v>
          </cell>
          <cell r="E1112" t="str">
            <v>Admon</v>
          </cell>
          <cell r="F1112">
            <v>0</v>
          </cell>
          <cell r="I1112">
            <v>0</v>
          </cell>
          <cell r="L1112">
            <v>0</v>
          </cell>
          <cell r="Z1112">
            <v>0</v>
          </cell>
        </row>
        <row r="1113">
          <cell r="D1113" t="str">
            <v>AIUAIMPRE</v>
          </cell>
          <cell r="E1113" t="str">
            <v>Imprevistos</v>
          </cell>
          <cell r="F1113">
            <v>0</v>
          </cell>
          <cell r="I1113">
            <v>0</v>
          </cell>
          <cell r="J1113">
            <v>0</v>
          </cell>
          <cell r="L1113">
            <v>0</v>
          </cell>
          <cell r="Z1113">
            <v>0</v>
          </cell>
        </row>
        <row r="1114">
          <cell r="D1114" t="str">
            <v>AIUAUTILI</v>
          </cell>
          <cell r="E1114" t="str">
            <v>Utilidad</v>
          </cell>
          <cell r="F1114">
            <v>0</v>
          </cell>
          <cell r="I1114">
            <v>0</v>
          </cell>
          <cell r="J1114">
            <v>0</v>
          </cell>
          <cell r="L1114">
            <v>0</v>
          </cell>
          <cell r="Z1114">
            <v>0</v>
          </cell>
        </row>
        <row r="1115">
          <cell r="D1115" t="str">
            <v>AIUAIVAUTI</v>
          </cell>
          <cell r="E1115" t="str">
            <v>IVA utilidad</v>
          </cell>
          <cell r="F1115">
            <v>0</v>
          </cell>
          <cell r="I1115">
            <v>0</v>
          </cell>
          <cell r="J1115">
            <v>0</v>
          </cell>
          <cell r="L1115">
            <v>0</v>
          </cell>
          <cell r="Z1115">
            <v>0</v>
          </cell>
        </row>
        <row r="1117">
          <cell r="E1117" t="str">
            <v>ITEM</v>
          </cell>
        </row>
        <row r="1118">
          <cell r="D1118" t="str">
            <v>ANPOMA37</v>
          </cell>
          <cell r="E1118" t="str">
            <v>Pozo Inspección Mamposteria  e=0.37</v>
          </cell>
          <cell r="G1118" t="str">
            <v>UN.</v>
          </cell>
          <cell r="H1118" t="str">
            <v>Ml</v>
          </cell>
          <cell r="I1118">
            <v>386181</v>
          </cell>
          <cell r="K1118">
            <v>6</v>
          </cell>
          <cell r="L1118">
            <v>2317086</v>
          </cell>
          <cell r="N1118">
            <v>320681</v>
          </cell>
          <cell r="O1118">
            <v>65000</v>
          </cell>
          <cell r="P1118">
            <v>500</v>
          </cell>
          <cell r="Q1118">
            <v>0</v>
          </cell>
          <cell r="X1118">
            <v>2317086</v>
          </cell>
          <cell r="Y1118" t="str">
            <v>Ml</v>
          </cell>
          <cell r="Z1118" t="e">
            <v>#N/A</v>
          </cell>
          <cell r="AA1118" t="e">
            <v>#N/A</v>
          </cell>
          <cell r="AB1118" t="e">
            <v>#N/A</v>
          </cell>
          <cell r="AC1118" t="e">
            <v>#N/A</v>
          </cell>
        </row>
        <row r="1120">
          <cell r="D1120" t="str">
            <v>CODIGO</v>
          </cell>
          <cell r="E1120" t="str">
            <v>DESCRIPCION</v>
          </cell>
          <cell r="F1120" t="str">
            <v>UN</v>
          </cell>
          <cell r="G1120" t="str">
            <v>CANT</v>
          </cell>
          <cell r="H1120" t="str">
            <v>V/UNIT.</v>
          </cell>
          <cell r="I1120" t="str">
            <v>V/TOTAL</v>
          </cell>
          <cell r="K1120" t="str">
            <v>CANT TOTAL</v>
          </cell>
          <cell r="L1120" t="str">
            <v>Vr TOTAL</v>
          </cell>
          <cell r="Y1120" t="str">
            <v>CANT.</v>
          </cell>
          <cell r="Z1120" t="str">
            <v>V/TOTAL</v>
          </cell>
        </row>
        <row r="1121">
          <cell r="E1121" t="str">
            <v>MATERIALES</v>
          </cell>
          <cell r="I1121">
            <v>320681</v>
          </cell>
          <cell r="L1121">
            <v>1924086</v>
          </cell>
          <cell r="Z1121" t="e">
            <v>#N/A</v>
          </cell>
        </row>
        <row r="1122">
          <cell r="D1122" t="str">
            <v>MA06TR</v>
          </cell>
          <cell r="E1122" t="str">
            <v>Ladrillo Tolete Recocido</v>
          </cell>
          <cell r="F1122" t="str">
            <v>Un</v>
          </cell>
          <cell r="G1122">
            <v>760</v>
          </cell>
          <cell r="H1122">
            <v>220</v>
          </cell>
          <cell r="I1122">
            <v>167200</v>
          </cell>
          <cell r="J1122">
            <v>0</v>
          </cell>
          <cell r="K1122">
            <v>4560</v>
          </cell>
          <cell r="L1122">
            <v>1003200</v>
          </cell>
          <cell r="Y1122" t="e">
            <v>#N/A</v>
          </cell>
          <cell r="Z1122" t="e">
            <v>#N/A</v>
          </cell>
        </row>
        <row r="1123">
          <cell r="D1123" t="str">
            <v>MA02AS</v>
          </cell>
          <cell r="E1123" t="str">
            <v>Arena Semilavada</v>
          </cell>
          <cell r="F1123" t="str">
            <v>M3</v>
          </cell>
          <cell r="G1123">
            <v>2.0911999999999997</v>
          </cell>
          <cell r="H1123">
            <v>19500</v>
          </cell>
          <cell r="I1123">
            <v>40778</v>
          </cell>
          <cell r="J1123">
            <v>0</v>
          </cell>
          <cell r="K1123">
            <v>12.547199999999998</v>
          </cell>
          <cell r="L1123">
            <v>244670.39999999997</v>
          </cell>
          <cell r="Y1123" t="e">
            <v>#N/A</v>
          </cell>
          <cell r="Z1123" t="e">
            <v>#N/A</v>
          </cell>
        </row>
        <row r="1124">
          <cell r="D1124" t="str">
            <v>MA03CG</v>
          </cell>
          <cell r="E1124" t="str">
            <v>Cemento Gris</v>
          </cell>
          <cell r="F1124" t="str">
            <v>Kg</v>
          </cell>
          <cell r="G1124">
            <v>292.87349999999998</v>
          </cell>
          <cell r="H1124">
            <v>190</v>
          </cell>
          <cell r="I1124">
            <v>55646</v>
          </cell>
          <cell r="J1124">
            <v>0</v>
          </cell>
          <cell r="K1124">
            <v>1757.241</v>
          </cell>
          <cell r="L1124">
            <v>333875.78999999998</v>
          </cell>
          <cell r="Y1124" t="e">
            <v>#N/A</v>
          </cell>
          <cell r="Z1124" t="e">
            <v>#N/A</v>
          </cell>
        </row>
        <row r="1125">
          <cell r="D1125" t="str">
            <v>MA01H6</v>
          </cell>
          <cell r="E1125" t="str">
            <v>Acero PDR60 N. 6</v>
          </cell>
          <cell r="F1125" t="str">
            <v>Kg</v>
          </cell>
          <cell r="G1125">
            <v>14</v>
          </cell>
          <cell r="H1125">
            <v>2150</v>
          </cell>
          <cell r="I1125">
            <v>30100</v>
          </cell>
          <cell r="J1125">
            <v>0</v>
          </cell>
          <cell r="K1125">
            <v>84</v>
          </cell>
          <cell r="L1125">
            <v>180600</v>
          </cell>
          <cell r="Y1125" t="e">
            <v>#N/A</v>
          </cell>
          <cell r="Z1125" t="e">
            <v>#N/A</v>
          </cell>
        </row>
        <row r="1126">
          <cell r="D1126" t="str">
            <v>MA26GE16NT</v>
          </cell>
          <cell r="E1126" t="str">
            <v>Geotextil 1600 NT</v>
          </cell>
          <cell r="F1126" t="str">
            <v>m2</v>
          </cell>
          <cell r="G1126">
            <v>8.9239999999999995</v>
          </cell>
          <cell r="H1126">
            <v>2150</v>
          </cell>
          <cell r="I1126">
            <v>19187</v>
          </cell>
          <cell r="J1126">
            <v>0</v>
          </cell>
          <cell r="K1126">
            <v>53.543999999999997</v>
          </cell>
          <cell r="L1126">
            <v>115119.59999999999</v>
          </cell>
          <cell r="Y1126" t="e">
            <v>#N/A</v>
          </cell>
          <cell r="Z1126" t="e">
            <v>#N/A</v>
          </cell>
        </row>
        <row r="1127">
          <cell r="D1127" t="str">
            <v>MA27T</v>
          </cell>
          <cell r="E1127" t="str">
            <v>Toxement</v>
          </cell>
          <cell r="F1127" t="str">
            <v>kg</v>
          </cell>
          <cell r="G1127">
            <v>4.2</v>
          </cell>
          <cell r="H1127">
            <v>1850</v>
          </cell>
          <cell r="I1127">
            <v>7770</v>
          </cell>
          <cell r="J1127">
            <v>0</v>
          </cell>
          <cell r="K1127">
            <v>25.200000000000003</v>
          </cell>
          <cell r="L1127">
            <v>46620.000000000007</v>
          </cell>
          <cell r="Y1127" t="e">
            <v>#N/A</v>
          </cell>
          <cell r="Z1127" t="e">
            <v>#N/A</v>
          </cell>
        </row>
        <row r="1129">
          <cell r="E1129" t="str">
            <v>MANO DE OBRA</v>
          </cell>
          <cell r="I1129">
            <v>65000</v>
          </cell>
          <cell r="J1129">
            <v>0</v>
          </cell>
          <cell r="L1129">
            <v>390000</v>
          </cell>
          <cell r="Z1129" t="e">
            <v>#N/A</v>
          </cell>
        </row>
        <row r="1130">
          <cell r="D1130" t="str">
            <v>MOANPM37</v>
          </cell>
          <cell r="E1130" t="str">
            <v>Pozo Inspeccion Mamposteria e=0.37</v>
          </cell>
          <cell r="F1130" t="str">
            <v>Ml</v>
          </cell>
          <cell r="G1130">
            <v>1</v>
          </cell>
          <cell r="H1130">
            <v>65000</v>
          </cell>
          <cell r="I1130">
            <v>65000</v>
          </cell>
          <cell r="J1130">
            <v>0</v>
          </cell>
          <cell r="K1130">
            <v>6</v>
          </cell>
          <cell r="L1130">
            <v>390000</v>
          </cell>
          <cell r="Y1130" t="e">
            <v>#N/A</v>
          </cell>
          <cell r="Z1130" t="e">
            <v>#N/A</v>
          </cell>
        </row>
        <row r="1132">
          <cell r="E1132" t="str">
            <v>VARIOS</v>
          </cell>
          <cell r="I1132">
            <v>500</v>
          </cell>
          <cell r="L1132">
            <v>3000</v>
          </cell>
          <cell r="Z1132" t="e">
            <v>#N/A</v>
          </cell>
        </row>
        <row r="1133">
          <cell r="D1133" t="str">
            <v>TC07H350</v>
          </cell>
          <cell r="E1133" t="str">
            <v>Herramienta</v>
          </cell>
          <cell r="F1133" t="str">
            <v>Gb</v>
          </cell>
          <cell r="G1133">
            <v>1</v>
          </cell>
          <cell r="H1133">
            <v>500</v>
          </cell>
          <cell r="I1133">
            <v>500</v>
          </cell>
          <cell r="J1133">
            <v>0</v>
          </cell>
          <cell r="K1133">
            <v>6</v>
          </cell>
          <cell r="L1133">
            <v>3000</v>
          </cell>
          <cell r="Y1133" t="e">
            <v>#N/A</v>
          </cell>
          <cell r="Z1133" t="e">
            <v>#N/A</v>
          </cell>
        </row>
        <row r="1134">
          <cell r="D1134" t="str">
            <v/>
          </cell>
        </row>
        <row r="1135">
          <cell r="E1135" t="str">
            <v>SUBTOTAL</v>
          </cell>
          <cell r="I1135">
            <v>386181</v>
          </cell>
          <cell r="L1135">
            <v>2317086</v>
          </cell>
          <cell r="Z1135" t="e">
            <v>#N/A</v>
          </cell>
        </row>
        <row r="1136">
          <cell r="E1136" t="str">
            <v>A.I.U</v>
          </cell>
          <cell r="I1136">
            <v>0</v>
          </cell>
          <cell r="L1136">
            <v>0</v>
          </cell>
          <cell r="Z1136">
            <v>0</v>
          </cell>
        </row>
        <row r="1137">
          <cell r="D1137" t="str">
            <v>AIUAADMON</v>
          </cell>
          <cell r="E1137" t="str">
            <v>Admon</v>
          </cell>
          <cell r="F1137">
            <v>0</v>
          </cell>
          <cell r="I1137">
            <v>0</v>
          </cell>
          <cell r="L1137">
            <v>0</v>
          </cell>
          <cell r="Z1137">
            <v>0</v>
          </cell>
        </row>
        <row r="1138">
          <cell r="D1138" t="str">
            <v>AIUAIMPRE</v>
          </cell>
          <cell r="E1138" t="str">
            <v>Imprevistos</v>
          </cell>
          <cell r="F1138">
            <v>0</v>
          </cell>
          <cell r="I1138">
            <v>0</v>
          </cell>
          <cell r="J1138">
            <v>0</v>
          </cell>
          <cell r="L1138">
            <v>0</v>
          </cell>
          <cell r="Z1138">
            <v>0</v>
          </cell>
        </row>
        <row r="1139">
          <cell r="D1139" t="str">
            <v>AIUAUTILI</v>
          </cell>
          <cell r="E1139" t="str">
            <v>Utilidad</v>
          </cell>
          <cell r="F1139">
            <v>0</v>
          </cell>
          <cell r="I1139">
            <v>0</v>
          </cell>
          <cell r="J1139">
            <v>0</v>
          </cell>
          <cell r="L1139">
            <v>0</v>
          </cell>
          <cell r="Z1139">
            <v>0</v>
          </cell>
        </row>
        <row r="1140">
          <cell r="D1140" t="str">
            <v>AIUAIVAUTI</v>
          </cell>
          <cell r="E1140" t="str">
            <v>IVA utilidad</v>
          </cell>
          <cell r="F1140">
            <v>0</v>
          </cell>
          <cell r="I1140">
            <v>0</v>
          </cell>
          <cell r="J1140">
            <v>0</v>
          </cell>
          <cell r="L1140">
            <v>0</v>
          </cell>
          <cell r="Z1140">
            <v>0</v>
          </cell>
        </row>
        <row r="1142">
          <cell r="E1142" t="str">
            <v>ITEM</v>
          </cell>
        </row>
        <row r="1143">
          <cell r="D1143" t="str">
            <v>ANPOBA</v>
          </cell>
          <cell r="E1143" t="str">
            <v xml:space="preserve">Pozo Base </v>
          </cell>
          <cell r="G1143" t="str">
            <v>UN.</v>
          </cell>
          <cell r="H1143" t="str">
            <v>Un</v>
          </cell>
          <cell r="I1143" t="e">
            <v>#N/A</v>
          </cell>
          <cell r="K1143">
            <v>0</v>
          </cell>
          <cell r="L1143" t="e">
            <v>#N/A</v>
          </cell>
          <cell r="N1143" t="e">
            <v>#N/A</v>
          </cell>
          <cell r="O1143">
            <v>16000</v>
          </cell>
          <cell r="P1143">
            <v>500</v>
          </cell>
          <cell r="Q1143" t="e">
            <v>#N/A</v>
          </cell>
          <cell r="X1143" t="e">
            <v>#N/A</v>
          </cell>
          <cell r="Y1143" t="str">
            <v>Un</v>
          </cell>
          <cell r="Z1143" t="e">
            <v>#VALUE!</v>
          </cell>
          <cell r="AA1143" t="e">
            <v>#VALUE!</v>
          </cell>
          <cell r="AB1143" t="e">
            <v>#VALUE!</v>
          </cell>
          <cell r="AC1143" t="e">
            <v>#VALUE!</v>
          </cell>
        </row>
        <row r="1145">
          <cell r="D1145" t="str">
            <v>CODIGO</v>
          </cell>
          <cell r="E1145" t="str">
            <v>DESCRIPCION</v>
          </cell>
          <cell r="F1145" t="str">
            <v>UN</v>
          </cell>
          <cell r="G1145" t="str">
            <v>CANT</v>
          </cell>
          <cell r="H1145" t="str">
            <v>V/UNIT.</v>
          </cell>
          <cell r="I1145" t="str">
            <v>V/TOTAL</v>
          </cell>
          <cell r="K1145" t="str">
            <v>CANT TOTAL</v>
          </cell>
          <cell r="L1145" t="str">
            <v>Vr TOTAL</v>
          </cell>
          <cell r="Y1145" t="str">
            <v>CANT.</v>
          </cell>
          <cell r="Z1145" t="str">
            <v>V/TOTAL</v>
          </cell>
        </row>
        <row r="1146">
          <cell r="E1146" t="str">
            <v>MATERIALES</v>
          </cell>
          <cell r="I1146" t="e">
            <v>#N/A</v>
          </cell>
          <cell r="L1146" t="e">
            <v>#N/A</v>
          </cell>
          <cell r="Z1146" t="e">
            <v>#VALUE!</v>
          </cell>
        </row>
        <row r="1147">
          <cell r="D1147" t="str">
            <v>MA03CG</v>
          </cell>
          <cell r="E1147" t="str">
            <v>Cemento Gris</v>
          </cell>
          <cell r="F1147" t="str">
            <v>Kg</v>
          </cell>
          <cell r="G1147">
            <v>225</v>
          </cell>
          <cell r="H1147">
            <v>190</v>
          </cell>
          <cell r="I1147">
            <v>42750</v>
          </cell>
          <cell r="J1147">
            <v>0</v>
          </cell>
          <cell r="K1147">
            <v>0</v>
          </cell>
          <cell r="L1147">
            <v>0</v>
          </cell>
          <cell r="Y1147" t="e">
            <v>#VALUE!</v>
          </cell>
          <cell r="Z1147" t="e">
            <v>#VALUE!</v>
          </cell>
        </row>
        <row r="1148">
          <cell r="D1148" t="str">
            <v>MA02ALR</v>
          </cell>
          <cell r="E1148" t="str">
            <v>Arena Lavada Rio</v>
          </cell>
          <cell r="F1148" t="str">
            <v>M3</v>
          </cell>
          <cell r="G1148">
            <v>0.71</v>
          </cell>
          <cell r="H1148">
            <v>45000</v>
          </cell>
          <cell r="I1148">
            <v>31950</v>
          </cell>
          <cell r="J1148">
            <v>0</v>
          </cell>
          <cell r="K1148">
            <v>0</v>
          </cell>
          <cell r="L1148">
            <v>0</v>
          </cell>
          <cell r="Y1148" t="e">
            <v>#VALUE!</v>
          </cell>
          <cell r="Z1148" t="e">
            <v>#VALUE!</v>
          </cell>
        </row>
        <row r="1149">
          <cell r="D1149" t="str">
            <v>MA02GCR</v>
          </cell>
          <cell r="E1149" t="e">
            <v>#N/A</v>
          </cell>
          <cell r="F1149" t="e">
            <v>#N/A</v>
          </cell>
          <cell r="G1149">
            <v>0.7</v>
          </cell>
          <cell r="H1149" t="e">
            <v>#N/A</v>
          </cell>
          <cell r="I1149" t="e">
            <v>#N/A</v>
          </cell>
          <cell r="J1149" t="e">
            <v>#N/A</v>
          </cell>
          <cell r="K1149">
            <v>0</v>
          </cell>
          <cell r="L1149" t="e">
            <v>#N/A</v>
          </cell>
          <cell r="Y1149" t="e">
            <v>#VALUE!</v>
          </cell>
          <cell r="Z1149" t="e">
            <v>#VALUE!</v>
          </cell>
        </row>
        <row r="1150">
          <cell r="D1150" t="str">
            <v>MA01H3</v>
          </cell>
          <cell r="E1150" t="str">
            <v>Acero PDR60 N. 3</v>
          </cell>
          <cell r="F1150" t="str">
            <v>Kg</v>
          </cell>
          <cell r="G1150">
            <v>35</v>
          </cell>
          <cell r="H1150">
            <v>2150</v>
          </cell>
          <cell r="I1150">
            <v>75250</v>
          </cell>
          <cell r="J1150">
            <v>0</v>
          </cell>
          <cell r="K1150">
            <v>0</v>
          </cell>
          <cell r="L1150">
            <v>0</v>
          </cell>
          <cell r="Y1150" t="e">
            <v>#VALUE!</v>
          </cell>
          <cell r="Z1150" t="e">
            <v>#VALUE!</v>
          </cell>
        </row>
        <row r="1151">
          <cell r="D1151" t="str">
            <v>MA01H4</v>
          </cell>
          <cell r="E1151" t="str">
            <v>Acero PDR60 N. 4</v>
          </cell>
          <cell r="F1151" t="str">
            <v>Kg</v>
          </cell>
          <cell r="G1151">
            <v>45</v>
          </cell>
          <cell r="H1151">
            <v>2150</v>
          </cell>
          <cell r="I1151">
            <v>96750</v>
          </cell>
          <cell r="J1151">
            <v>0</v>
          </cell>
          <cell r="K1151">
            <v>0</v>
          </cell>
          <cell r="L1151">
            <v>0</v>
          </cell>
          <cell r="Y1151" t="e">
            <v>#VALUE!</v>
          </cell>
          <cell r="Z1151" t="e">
            <v>#VALUE!</v>
          </cell>
        </row>
        <row r="1152">
          <cell r="D1152" t="str">
            <v>MA01H5</v>
          </cell>
          <cell r="E1152" t="str">
            <v>Acero PDR60 N. 5</v>
          </cell>
          <cell r="F1152" t="str">
            <v>Kg</v>
          </cell>
          <cell r="G1152">
            <v>20</v>
          </cell>
          <cell r="H1152">
            <v>2150</v>
          </cell>
          <cell r="I1152">
            <v>43000</v>
          </cell>
          <cell r="J1152">
            <v>0</v>
          </cell>
          <cell r="K1152">
            <v>0</v>
          </cell>
          <cell r="L1152">
            <v>0</v>
          </cell>
          <cell r="Y1152" t="e">
            <v>#VALUE!</v>
          </cell>
          <cell r="Z1152" t="e">
            <v>#VALUE!</v>
          </cell>
        </row>
        <row r="1154">
          <cell r="E1154" t="str">
            <v>MANO DE OBRA</v>
          </cell>
          <cell r="I1154">
            <v>16000</v>
          </cell>
          <cell r="J1154">
            <v>0</v>
          </cell>
          <cell r="L1154">
            <v>0</v>
          </cell>
          <cell r="Z1154" t="e">
            <v>#VALUE!</v>
          </cell>
        </row>
        <row r="1155">
          <cell r="D1155" t="str">
            <v>MOANPB</v>
          </cell>
          <cell r="E1155" t="str">
            <v>Base</v>
          </cell>
          <cell r="F1155" t="str">
            <v>Un</v>
          </cell>
          <cell r="G1155">
            <v>1</v>
          </cell>
          <cell r="H1155">
            <v>16000</v>
          </cell>
          <cell r="I1155">
            <v>16000</v>
          </cell>
          <cell r="J1155">
            <v>0</v>
          </cell>
          <cell r="K1155">
            <v>0</v>
          </cell>
          <cell r="L1155">
            <v>0</v>
          </cell>
          <cell r="Y1155" t="e">
            <v>#VALUE!</v>
          </cell>
          <cell r="Z1155" t="e">
            <v>#VALUE!</v>
          </cell>
        </row>
        <row r="1157">
          <cell r="E1157" t="str">
            <v>VARIOS</v>
          </cell>
          <cell r="I1157">
            <v>500</v>
          </cell>
          <cell r="L1157">
            <v>0</v>
          </cell>
          <cell r="Z1157" t="e">
            <v>#VALUE!</v>
          </cell>
        </row>
        <row r="1158">
          <cell r="D1158" t="str">
            <v>TC07H350</v>
          </cell>
          <cell r="E1158" t="str">
            <v>Herramienta</v>
          </cell>
          <cell r="F1158" t="str">
            <v>Gb</v>
          </cell>
          <cell r="G1158">
            <v>1</v>
          </cell>
          <cell r="H1158">
            <v>500</v>
          </cell>
          <cell r="I1158">
            <v>500</v>
          </cell>
          <cell r="J1158">
            <v>0</v>
          </cell>
          <cell r="K1158">
            <v>0</v>
          </cell>
          <cell r="L1158">
            <v>0</v>
          </cell>
          <cell r="Y1158" t="e">
            <v>#VALUE!</v>
          </cell>
          <cell r="Z1158" t="e">
            <v>#VALUE!</v>
          </cell>
        </row>
        <row r="1159">
          <cell r="D1159" t="str">
            <v/>
          </cell>
        </row>
        <row r="1160">
          <cell r="E1160" t="str">
            <v>SUBTOTAL</v>
          </cell>
          <cell r="I1160" t="e">
            <v>#N/A</v>
          </cell>
          <cell r="L1160" t="e">
            <v>#N/A</v>
          </cell>
          <cell r="Z1160" t="e">
            <v>#VALUE!</v>
          </cell>
        </row>
        <row r="1161">
          <cell r="E1161" t="str">
            <v>A.I.U</v>
          </cell>
          <cell r="I1161" t="e">
            <v>#N/A</v>
          </cell>
          <cell r="L1161" t="e">
            <v>#N/A</v>
          </cell>
          <cell r="Z1161" t="e">
            <v>#N/A</v>
          </cell>
        </row>
        <row r="1162">
          <cell r="D1162" t="str">
            <v>AIUAADMON</v>
          </cell>
          <cell r="E1162" t="str">
            <v>Admon</v>
          </cell>
          <cell r="F1162">
            <v>0</v>
          </cell>
          <cell r="I1162" t="e">
            <v>#N/A</v>
          </cell>
          <cell r="L1162" t="e">
            <v>#N/A</v>
          </cell>
          <cell r="Z1162" t="e">
            <v>#N/A</v>
          </cell>
        </row>
        <row r="1163">
          <cell r="D1163" t="str">
            <v>AIUAIMPRE</v>
          </cell>
          <cell r="E1163" t="str">
            <v>Imprevistos</v>
          </cell>
          <cell r="F1163">
            <v>0</v>
          </cell>
          <cell r="I1163" t="e">
            <v>#N/A</v>
          </cell>
          <cell r="J1163">
            <v>0</v>
          </cell>
          <cell r="L1163" t="e">
            <v>#N/A</v>
          </cell>
          <cell r="Z1163" t="e">
            <v>#N/A</v>
          </cell>
        </row>
        <row r="1164">
          <cell r="D1164" t="str">
            <v>AIUAUTILI</v>
          </cell>
          <cell r="E1164" t="str">
            <v>Utilidad</v>
          </cell>
          <cell r="F1164">
            <v>0</v>
          </cell>
          <cell r="I1164" t="e">
            <v>#N/A</v>
          </cell>
          <cell r="J1164">
            <v>0</v>
          </cell>
          <cell r="L1164" t="e">
            <v>#N/A</v>
          </cell>
          <cell r="Z1164" t="e">
            <v>#N/A</v>
          </cell>
        </row>
        <row r="1165">
          <cell r="D1165" t="str">
            <v>AIUAIVAUTI</v>
          </cell>
          <cell r="E1165" t="str">
            <v>IVA utilidad</v>
          </cell>
          <cell r="F1165">
            <v>0</v>
          </cell>
          <cell r="I1165" t="e">
            <v>#N/A</v>
          </cell>
          <cell r="J1165">
            <v>0</v>
          </cell>
          <cell r="L1165" t="e">
            <v>#N/A</v>
          </cell>
          <cell r="Z1165" t="e">
            <v>#N/A</v>
          </cell>
        </row>
        <row r="1167">
          <cell r="E1167" t="str">
            <v>ITEM</v>
          </cell>
        </row>
        <row r="1168">
          <cell r="D1168" t="str">
            <v>ANPOBACA</v>
          </cell>
          <cell r="E1168" t="str">
            <v>Base y Cañuela</v>
          </cell>
          <cell r="G1168" t="str">
            <v>UN.</v>
          </cell>
          <cell r="H1168" t="str">
            <v>Un</v>
          </cell>
          <cell r="I1168">
            <v>202081</v>
          </cell>
          <cell r="K1168">
            <v>100</v>
          </cell>
          <cell r="L1168">
            <v>20208100</v>
          </cell>
          <cell r="N1168">
            <v>172631</v>
          </cell>
          <cell r="O1168">
            <v>28500</v>
          </cell>
          <cell r="P1168">
            <v>950</v>
          </cell>
          <cell r="Q1168">
            <v>0</v>
          </cell>
          <cell r="X1168">
            <v>20208100</v>
          </cell>
          <cell r="Y1168" t="str">
            <v>Un</v>
          </cell>
          <cell r="Z1168" t="e">
            <v>#N/A</v>
          </cell>
          <cell r="AA1168" t="e">
            <v>#N/A</v>
          </cell>
          <cell r="AB1168" t="e">
            <v>#N/A</v>
          </cell>
          <cell r="AC1168" t="e">
            <v>#N/A</v>
          </cell>
        </row>
        <row r="1170">
          <cell r="D1170" t="str">
            <v>CODIGO</v>
          </cell>
          <cell r="E1170" t="str">
            <v>DESCRIPCION</v>
          </cell>
          <cell r="F1170" t="str">
            <v>UN</v>
          </cell>
          <cell r="G1170" t="str">
            <v>CANT</v>
          </cell>
          <cell r="H1170" t="str">
            <v>V/UNIT.</v>
          </cell>
          <cell r="I1170" t="str">
            <v>V/TOTAL</v>
          </cell>
          <cell r="K1170" t="str">
            <v>CANT TOTAL</v>
          </cell>
          <cell r="L1170" t="str">
            <v>Vr TOTAL</v>
          </cell>
          <cell r="Y1170" t="str">
            <v>CANT.</v>
          </cell>
          <cell r="Z1170" t="str">
            <v>V/TOTAL</v>
          </cell>
        </row>
        <row r="1171">
          <cell r="E1171" t="str">
            <v>MATERIALES</v>
          </cell>
          <cell r="I1171">
            <v>172631</v>
          </cell>
          <cell r="L1171">
            <v>17263100</v>
          </cell>
          <cell r="Z1171" t="e">
            <v>#N/A</v>
          </cell>
        </row>
        <row r="1172">
          <cell r="D1172" t="str">
            <v>MA04C4I</v>
          </cell>
          <cell r="E1172" t="str">
            <v>Concreto 4000 psi Impermeabilizado</v>
          </cell>
          <cell r="F1172" t="str">
            <v>M3</v>
          </cell>
          <cell r="G1172">
            <v>0.75</v>
          </cell>
          <cell r="H1172">
            <v>230175</v>
          </cell>
          <cell r="I1172">
            <v>172631</v>
          </cell>
          <cell r="J1172">
            <v>0</v>
          </cell>
          <cell r="K1172">
            <v>75</v>
          </cell>
          <cell r="L1172">
            <v>17263125</v>
          </cell>
          <cell r="Y1172" t="e">
            <v>#N/A</v>
          </cell>
          <cell r="Z1172" t="e">
            <v>#N/A</v>
          </cell>
        </row>
        <row r="1173">
          <cell r="I1173">
            <v>0</v>
          </cell>
          <cell r="J1173">
            <v>0</v>
          </cell>
          <cell r="K1173">
            <v>0</v>
          </cell>
          <cell r="L1173">
            <v>0</v>
          </cell>
          <cell r="Y1173">
            <v>0</v>
          </cell>
          <cell r="Z1173">
            <v>0</v>
          </cell>
        </row>
        <row r="1174">
          <cell r="I1174">
            <v>0</v>
          </cell>
          <cell r="J1174">
            <v>0</v>
          </cell>
          <cell r="K1174">
            <v>0</v>
          </cell>
          <cell r="L1174">
            <v>0</v>
          </cell>
          <cell r="Y1174">
            <v>0</v>
          </cell>
          <cell r="Z1174">
            <v>0</v>
          </cell>
        </row>
        <row r="1175">
          <cell r="I1175">
            <v>0</v>
          </cell>
          <cell r="J1175">
            <v>0</v>
          </cell>
          <cell r="K1175">
            <v>0</v>
          </cell>
          <cell r="L1175">
            <v>0</v>
          </cell>
          <cell r="Y1175">
            <v>0</v>
          </cell>
          <cell r="Z1175">
            <v>0</v>
          </cell>
        </row>
        <row r="1177">
          <cell r="E1177" t="str">
            <v>MANO DE OBRA</v>
          </cell>
          <cell r="I1177">
            <v>28500</v>
          </cell>
          <cell r="J1177">
            <v>0</v>
          </cell>
          <cell r="L1177">
            <v>2850000</v>
          </cell>
          <cell r="Z1177" t="e">
            <v>#N/A</v>
          </cell>
        </row>
        <row r="1178">
          <cell r="D1178" t="str">
            <v>MOANPB</v>
          </cell>
          <cell r="E1178" t="str">
            <v>Base</v>
          </cell>
          <cell r="F1178" t="str">
            <v>Un</v>
          </cell>
          <cell r="G1178">
            <v>1</v>
          </cell>
          <cell r="H1178">
            <v>16000</v>
          </cell>
          <cell r="I1178">
            <v>16000</v>
          </cell>
          <cell r="J1178">
            <v>0</v>
          </cell>
          <cell r="K1178">
            <v>100</v>
          </cell>
          <cell r="L1178">
            <v>1600000</v>
          </cell>
          <cell r="Y1178" t="e">
            <v>#N/A</v>
          </cell>
          <cell r="Z1178" t="e">
            <v>#N/A</v>
          </cell>
        </row>
        <row r="1179">
          <cell r="D1179" t="str">
            <v>MOANPC</v>
          </cell>
          <cell r="E1179" t="str">
            <v>Canuela</v>
          </cell>
          <cell r="F1179" t="str">
            <v>Un</v>
          </cell>
          <cell r="G1179">
            <v>1</v>
          </cell>
          <cell r="H1179">
            <v>12500</v>
          </cell>
          <cell r="I1179">
            <v>12500</v>
          </cell>
          <cell r="J1179">
            <v>0</v>
          </cell>
          <cell r="K1179">
            <v>0</v>
          </cell>
          <cell r="L1179">
            <v>0</v>
          </cell>
          <cell r="Y1179" t="e">
            <v>#N/A</v>
          </cell>
          <cell r="Z1179" t="e">
            <v>#N/A</v>
          </cell>
        </row>
        <row r="1180">
          <cell r="E1180" t="str">
            <v>VARIOS</v>
          </cell>
          <cell r="I1180">
            <v>950</v>
          </cell>
          <cell r="L1180">
            <v>95000</v>
          </cell>
          <cell r="Z1180" t="e">
            <v>#N/A</v>
          </cell>
        </row>
        <row r="1181">
          <cell r="D1181" t="str">
            <v>TC07H350</v>
          </cell>
          <cell r="E1181" t="str">
            <v>Herramienta</v>
          </cell>
          <cell r="F1181" t="str">
            <v>Gb</v>
          </cell>
          <cell r="G1181">
            <v>1</v>
          </cell>
          <cell r="H1181">
            <v>500</v>
          </cell>
          <cell r="I1181">
            <v>500</v>
          </cell>
          <cell r="J1181">
            <v>0</v>
          </cell>
          <cell r="K1181">
            <v>100</v>
          </cell>
          <cell r="L1181">
            <v>50000</v>
          </cell>
          <cell r="Y1181" t="e">
            <v>#N/A</v>
          </cell>
          <cell r="Z1181" t="e">
            <v>#N/A</v>
          </cell>
        </row>
        <row r="1182">
          <cell r="D1182" t="str">
            <v>AL07VCG</v>
          </cell>
          <cell r="E1182" t="str">
            <v>Vibrador para concretos a Gasolina</v>
          </cell>
          <cell r="F1182" t="str">
            <v>Hr</v>
          </cell>
          <cell r="G1182">
            <v>0.01</v>
          </cell>
          <cell r="H1182">
            <v>45000</v>
          </cell>
          <cell r="I1182">
            <v>450</v>
          </cell>
          <cell r="J1182">
            <v>0</v>
          </cell>
          <cell r="K1182">
            <v>1</v>
          </cell>
          <cell r="L1182">
            <v>45000</v>
          </cell>
          <cell r="Y1182" t="e">
            <v>#N/A</v>
          </cell>
          <cell r="Z1182" t="e">
            <v>#N/A</v>
          </cell>
        </row>
        <row r="1183">
          <cell r="E1183" t="str">
            <v>SUBTOTAL</v>
          </cell>
          <cell r="I1183">
            <v>202081</v>
          </cell>
          <cell r="L1183">
            <v>20208100</v>
          </cell>
          <cell r="Z1183" t="e">
            <v>#N/A</v>
          </cell>
        </row>
        <row r="1184">
          <cell r="E1184" t="str">
            <v>A.I.U</v>
          </cell>
          <cell r="I1184">
            <v>0</v>
          </cell>
          <cell r="L1184">
            <v>0</v>
          </cell>
          <cell r="Z1184">
            <v>0</v>
          </cell>
        </row>
        <row r="1185">
          <cell r="D1185" t="str">
            <v>AIUAADMON</v>
          </cell>
          <cell r="E1185" t="str">
            <v>Admon</v>
          </cell>
          <cell r="F1185">
            <v>0</v>
          </cell>
          <cell r="I1185">
            <v>0</v>
          </cell>
          <cell r="L1185">
            <v>0</v>
          </cell>
          <cell r="Z1185">
            <v>0</v>
          </cell>
        </row>
        <row r="1186">
          <cell r="D1186" t="str">
            <v>AIUAIMPRE</v>
          </cell>
          <cell r="E1186" t="str">
            <v>Imprevistos</v>
          </cell>
          <cell r="F1186">
            <v>0</v>
          </cell>
          <cell r="I1186">
            <v>0</v>
          </cell>
          <cell r="J1186">
            <v>0</v>
          </cell>
          <cell r="L1186">
            <v>0</v>
          </cell>
          <cell r="Z1186">
            <v>0</v>
          </cell>
        </row>
        <row r="1187">
          <cell r="D1187" t="str">
            <v>AIUAUTILI</v>
          </cell>
          <cell r="E1187" t="str">
            <v>Utilidad</v>
          </cell>
          <cell r="F1187">
            <v>0</v>
          </cell>
          <cell r="I1187">
            <v>0</v>
          </cell>
          <cell r="J1187">
            <v>0</v>
          </cell>
          <cell r="L1187">
            <v>0</v>
          </cell>
          <cell r="Z1187">
            <v>0</v>
          </cell>
        </row>
        <row r="1188">
          <cell r="D1188" t="str">
            <v>AIUAIVAUTI</v>
          </cell>
          <cell r="E1188" t="str">
            <v>IVA utilidad</v>
          </cell>
          <cell r="F1188">
            <v>0</v>
          </cell>
          <cell r="I1188">
            <v>0</v>
          </cell>
          <cell r="J1188">
            <v>0</v>
          </cell>
          <cell r="L1188">
            <v>0</v>
          </cell>
          <cell r="Z1188">
            <v>0</v>
          </cell>
        </row>
        <row r="1190">
          <cell r="E1190" t="str">
            <v>ITEM</v>
          </cell>
        </row>
        <row r="1191">
          <cell r="D1191" t="str">
            <v>ANPOCA</v>
          </cell>
          <cell r="E1191" t="str">
            <v>Pozo Cañuela</v>
          </cell>
          <cell r="G1191" t="str">
            <v>UN.</v>
          </cell>
          <cell r="H1191" t="str">
            <v>Un</v>
          </cell>
          <cell r="I1191" t="e">
            <v>#N/A</v>
          </cell>
          <cell r="K1191">
            <v>0</v>
          </cell>
          <cell r="L1191" t="e">
            <v>#N/A</v>
          </cell>
          <cell r="N1191" t="e">
            <v>#N/A</v>
          </cell>
          <cell r="O1191">
            <v>12500</v>
          </cell>
          <cell r="P1191">
            <v>350</v>
          </cell>
          <cell r="Q1191" t="e">
            <v>#N/A</v>
          </cell>
          <cell r="X1191" t="e">
            <v>#N/A</v>
          </cell>
          <cell r="Y1191" t="str">
            <v>Un</v>
          </cell>
          <cell r="Z1191" t="e">
            <v>#VALUE!</v>
          </cell>
          <cell r="AA1191" t="e">
            <v>#VALUE!</v>
          </cell>
          <cell r="AB1191" t="e">
            <v>#VALUE!</v>
          </cell>
          <cell r="AC1191" t="e">
            <v>#VALUE!</v>
          </cell>
        </row>
        <row r="1193">
          <cell r="D1193" t="str">
            <v>CODIGO</v>
          </cell>
          <cell r="E1193" t="str">
            <v>DESCRIPCION</v>
          </cell>
          <cell r="F1193" t="str">
            <v>UN</v>
          </cell>
          <cell r="G1193" t="str">
            <v>CANT</v>
          </cell>
          <cell r="H1193" t="str">
            <v>V/UNIT.</v>
          </cell>
          <cell r="I1193" t="str">
            <v>V/TOTAL</v>
          </cell>
          <cell r="K1193" t="str">
            <v>CANT TOTAL</v>
          </cell>
          <cell r="L1193" t="str">
            <v>Vr TOTAL</v>
          </cell>
          <cell r="Y1193" t="str">
            <v>CANT.</v>
          </cell>
          <cell r="Z1193" t="str">
            <v>V/TOTAL</v>
          </cell>
        </row>
        <row r="1194">
          <cell r="E1194" t="str">
            <v>MATERIALES</v>
          </cell>
          <cell r="I1194" t="e">
            <v>#N/A</v>
          </cell>
          <cell r="L1194" t="e">
            <v>#N/A</v>
          </cell>
          <cell r="Z1194" t="e">
            <v>#VALUE!</v>
          </cell>
        </row>
        <row r="1195">
          <cell r="D1195" t="str">
            <v>MA03CG</v>
          </cell>
          <cell r="E1195" t="str">
            <v>Cemento Gris</v>
          </cell>
          <cell r="F1195" t="str">
            <v>Kg</v>
          </cell>
          <cell r="G1195">
            <v>33.6</v>
          </cell>
          <cell r="H1195">
            <v>190</v>
          </cell>
          <cell r="I1195">
            <v>6384</v>
          </cell>
          <cell r="J1195">
            <v>0</v>
          </cell>
          <cell r="K1195">
            <v>0</v>
          </cell>
          <cell r="L1195">
            <v>0</v>
          </cell>
          <cell r="Y1195" t="e">
            <v>#VALUE!</v>
          </cell>
          <cell r="Z1195" t="e">
            <v>#VALUE!</v>
          </cell>
        </row>
        <row r="1196">
          <cell r="D1196" t="str">
            <v>MA02ALR</v>
          </cell>
          <cell r="E1196" t="str">
            <v>Arena Lavada Rio</v>
          </cell>
          <cell r="F1196" t="str">
            <v>M3</v>
          </cell>
          <cell r="G1196">
            <v>0.05</v>
          </cell>
          <cell r="H1196">
            <v>45000</v>
          </cell>
          <cell r="I1196">
            <v>2250</v>
          </cell>
          <cell r="J1196">
            <v>0</v>
          </cell>
          <cell r="K1196">
            <v>0</v>
          </cell>
          <cell r="L1196">
            <v>0</v>
          </cell>
          <cell r="Y1196" t="e">
            <v>#VALUE!</v>
          </cell>
          <cell r="Z1196" t="e">
            <v>#VALUE!</v>
          </cell>
        </row>
        <row r="1197">
          <cell r="D1197" t="str">
            <v>MA02GCR</v>
          </cell>
          <cell r="E1197" t="e">
            <v>#N/A</v>
          </cell>
          <cell r="F1197" t="e">
            <v>#N/A</v>
          </cell>
          <cell r="G1197">
            <v>0.11</v>
          </cell>
          <cell r="H1197" t="e">
            <v>#N/A</v>
          </cell>
          <cell r="I1197" t="e">
            <v>#N/A</v>
          </cell>
          <cell r="J1197" t="e">
            <v>#N/A</v>
          </cell>
          <cell r="K1197">
            <v>0</v>
          </cell>
          <cell r="L1197" t="e">
            <v>#N/A</v>
          </cell>
          <cell r="Y1197" t="e">
            <v>#VALUE!</v>
          </cell>
          <cell r="Z1197" t="e">
            <v>#VALUE!</v>
          </cell>
        </row>
        <row r="1199">
          <cell r="E1199" t="str">
            <v>MANO DE OBRA</v>
          </cell>
          <cell r="I1199">
            <v>12500</v>
          </cell>
          <cell r="J1199">
            <v>0</v>
          </cell>
          <cell r="L1199">
            <v>0</v>
          </cell>
          <cell r="Z1199" t="e">
            <v>#VALUE!</v>
          </cell>
        </row>
        <row r="1200">
          <cell r="D1200" t="str">
            <v>MOANPC</v>
          </cell>
          <cell r="E1200" t="str">
            <v>Canuela</v>
          </cell>
          <cell r="F1200" t="str">
            <v>Un</v>
          </cell>
          <cell r="G1200">
            <v>1</v>
          </cell>
          <cell r="H1200">
            <v>12500</v>
          </cell>
          <cell r="I1200">
            <v>12500</v>
          </cell>
          <cell r="J1200">
            <v>0</v>
          </cell>
          <cell r="K1200">
            <v>0</v>
          </cell>
          <cell r="L1200">
            <v>0</v>
          </cell>
          <cell r="Y1200" t="e">
            <v>#VALUE!</v>
          </cell>
          <cell r="Z1200" t="e">
            <v>#VALUE!</v>
          </cell>
        </row>
        <row r="1202">
          <cell r="E1202" t="str">
            <v>VARIOS</v>
          </cell>
          <cell r="I1202">
            <v>350</v>
          </cell>
          <cell r="L1202">
            <v>0</v>
          </cell>
          <cell r="Z1202" t="e">
            <v>#VALUE!</v>
          </cell>
        </row>
        <row r="1203">
          <cell r="D1203" t="str">
            <v>TC07H150</v>
          </cell>
          <cell r="E1203" t="str">
            <v>Herramienta</v>
          </cell>
          <cell r="F1203" t="str">
            <v>Gb</v>
          </cell>
          <cell r="G1203">
            <v>1</v>
          </cell>
          <cell r="H1203">
            <v>350</v>
          </cell>
          <cell r="I1203">
            <v>350</v>
          </cell>
          <cell r="J1203">
            <v>0</v>
          </cell>
          <cell r="K1203">
            <v>0</v>
          </cell>
          <cell r="L1203">
            <v>0</v>
          </cell>
          <cell r="Y1203" t="e">
            <v>#VALUE!</v>
          </cell>
          <cell r="Z1203" t="e">
            <v>#VALUE!</v>
          </cell>
        </row>
        <row r="1204">
          <cell r="D1204" t="str">
            <v/>
          </cell>
        </row>
        <row r="1205">
          <cell r="E1205" t="str">
            <v>SUBTOTAL</v>
          </cell>
          <cell r="I1205" t="e">
            <v>#N/A</v>
          </cell>
          <cell r="L1205" t="e">
            <v>#N/A</v>
          </cell>
          <cell r="Z1205" t="e">
            <v>#VALUE!</v>
          </cell>
        </row>
        <row r="1206">
          <cell r="E1206" t="str">
            <v>A.I.U</v>
          </cell>
          <cell r="I1206" t="e">
            <v>#N/A</v>
          </cell>
          <cell r="L1206" t="e">
            <v>#N/A</v>
          </cell>
          <cell r="Z1206" t="e">
            <v>#N/A</v>
          </cell>
        </row>
        <row r="1207">
          <cell r="D1207" t="str">
            <v>AIUAADMON</v>
          </cell>
          <cell r="E1207" t="str">
            <v>Admon</v>
          </cell>
          <cell r="F1207">
            <v>0</v>
          </cell>
          <cell r="I1207" t="e">
            <v>#N/A</v>
          </cell>
          <cell r="L1207" t="e">
            <v>#N/A</v>
          </cell>
          <cell r="Z1207" t="e">
            <v>#N/A</v>
          </cell>
        </row>
        <row r="1208">
          <cell r="D1208" t="str">
            <v>AIUAIMPRE</v>
          </cell>
          <cell r="E1208" t="str">
            <v>Imprevistos</v>
          </cell>
          <cell r="F1208">
            <v>0</v>
          </cell>
          <cell r="I1208" t="e">
            <v>#N/A</v>
          </cell>
          <cell r="J1208">
            <v>0</v>
          </cell>
          <cell r="L1208" t="e">
            <v>#N/A</v>
          </cell>
          <cell r="Z1208" t="e">
            <v>#N/A</v>
          </cell>
        </row>
        <row r="1209">
          <cell r="D1209" t="str">
            <v>AIUAUTILI</v>
          </cell>
          <cell r="E1209" t="str">
            <v>Utilidad</v>
          </cell>
          <cell r="F1209">
            <v>0</v>
          </cell>
          <cell r="I1209" t="e">
            <v>#N/A</v>
          </cell>
          <cell r="J1209">
            <v>0</v>
          </cell>
          <cell r="L1209" t="e">
            <v>#N/A</v>
          </cell>
          <cell r="Z1209" t="e">
            <v>#N/A</v>
          </cell>
        </row>
        <row r="1210">
          <cell r="D1210" t="str">
            <v>AIUAIVAUTI</v>
          </cell>
          <cell r="E1210" t="str">
            <v>IVA utilidad</v>
          </cell>
          <cell r="F1210">
            <v>0</v>
          </cell>
          <cell r="I1210" t="e">
            <v>#N/A</v>
          </cell>
          <cell r="J1210">
            <v>0</v>
          </cell>
          <cell r="L1210" t="e">
            <v>#N/A</v>
          </cell>
          <cell r="Z1210" t="e">
            <v>#N/A</v>
          </cell>
        </row>
        <row r="1212">
          <cell r="E1212" t="str">
            <v>ITEM</v>
          </cell>
        </row>
        <row r="1213">
          <cell r="D1213" t="str">
            <v>ANPOITA</v>
          </cell>
          <cell r="E1213" t="str">
            <v>Inst. Placa Prefabricada Tapa Pozos y Camaras</v>
          </cell>
          <cell r="G1213" t="str">
            <v>UN.</v>
          </cell>
          <cell r="H1213" t="str">
            <v>Un</v>
          </cell>
          <cell r="I1213">
            <v>87605</v>
          </cell>
          <cell r="K1213">
            <v>102</v>
          </cell>
          <cell r="L1213">
            <v>8935710</v>
          </cell>
          <cell r="N1213">
            <v>8605</v>
          </cell>
          <cell r="O1213">
            <v>60000</v>
          </cell>
          <cell r="P1213">
            <v>19000</v>
          </cell>
          <cell r="Q1213">
            <v>0</v>
          </cell>
          <cell r="X1213">
            <v>8935710</v>
          </cell>
          <cell r="Y1213" t="str">
            <v>Un</v>
          </cell>
          <cell r="Z1213" t="e">
            <v>#N/A</v>
          </cell>
          <cell r="AA1213" t="e">
            <v>#N/A</v>
          </cell>
          <cell r="AB1213" t="e">
            <v>#N/A</v>
          </cell>
          <cell r="AC1213" t="e">
            <v>#N/A</v>
          </cell>
        </row>
        <row r="1215">
          <cell r="D1215" t="str">
            <v>CODIGO</v>
          </cell>
          <cell r="E1215" t="str">
            <v>DESCRIPCION</v>
          </cell>
          <cell r="F1215" t="str">
            <v>UN</v>
          </cell>
          <cell r="G1215" t="str">
            <v>CANT</v>
          </cell>
          <cell r="H1215" t="str">
            <v>V/UNIT.</v>
          </cell>
          <cell r="I1215" t="str">
            <v>V/TOTAL</v>
          </cell>
          <cell r="K1215" t="str">
            <v>CANT TOTAL</v>
          </cell>
          <cell r="L1215" t="str">
            <v>Vr TOTAL</v>
          </cell>
          <cell r="Y1215" t="str">
            <v>CANT.</v>
          </cell>
          <cell r="Z1215" t="str">
            <v>V/TOTAL</v>
          </cell>
        </row>
        <row r="1216">
          <cell r="E1216" t="str">
            <v>MATERIALES</v>
          </cell>
          <cell r="I1216">
            <v>8605</v>
          </cell>
          <cell r="L1216">
            <v>877710</v>
          </cell>
          <cell r="Z1216" t="e">
            <v>#N/A</v>
          </cell>
        </row>
        <row r="1217">
          <cell r="D1217" t="str">
            <v>MA26GE16NT</v>
          </cell>
          <cell r="E1217" t="str">
            <v>Geotextil 1600 NT</v>
          </cell>
          <cell r="F1217" t="str">
            <v>m2</v>
          </cell>
          <cell r="G1217">
            <v>1.5</v>
          </cell>
          <cell r="H1217">
            <v>2150</v>
          </cell>
          <cell r="I1217">
            <v>3225</v>
          </cell>
          <cell r="J1217">
            <v>0</v>
          </cell>
          <cell r="K1217">
            <v>153</v>
          </cell>
          <cell r="L1217">
            <v>328950</v>
          </cell>
          <cell r="Y1217" t="e">
            <v>#N/A</v>
          </cell>
          <cell r="Z1217" t="e">
            <v>#N/A</v>
          </cell>
        </row>
        <row r="1218">
          <cell r="D1218" t="str">
            <v>MA02ALR</v>
          </cell>
          <cell r="E1218" t="str">
            <v>Arena Lavada Rio</v>
          </cell>
          <cell r="F1218" t="str">
            <v>M3</v>
          </cell>
          <cell r="G1218">
            <v>0.09</v>
          </cell>
          <cell r="H1218">
            <v>45000</v>
          </cell>
          <cell r="I1218">
            <v>4050</v>
          </cell>
          <cell r="J1218">
            <v>0</v>
          </cell>
          <cell r="K1218">
            <v>9.18</v>
          </cell>
          <cell r="L1218">
            <v>413100</v>
          </cell>
          <cell r="Y1218" t="e">
            <v>#N/A</v>
          </cell>
          <cell r="Z1218" t="e">
            <v>#N/A</v>
          </cell>
        </row>
        <row r="1219">
          <cell r="D1219" t="str">
            <v>MA03CG</v>
          </cell>
          <cell r="E1219" t="str">
            <v>Cemento Gris</v>
          </cell>
          <cell r="F1219" t="str">
            <v>Kg</v>
          </cell>
          <cell r="G1219">
            <v>7</v>
          </cell>
          <cell r="H1219">
            <v>190</v>
          </cell>
          <cell r="I1219">
            <v>1330</v>
          </cell>
          <cell r="J1219">
            <v>0</v>
          </cell>
          <cell r="K1219">
            <v>714</v>
          </cell>
          <cell r="L1219">
            <v>135660</v>
          </cell>
          <cell r="Y1219" t="e">
            <v>#N/A</v>
          </cell>
          <cell r="Z1219" t="e">
            <v>#N/A</v>
          </cell>
        </row>
        <row r="1220">
          <cell r="I1220">
            <v>0</v>
          </cell>
          <cell r="J1220">
            <v>0</v>
          </cell>
          <cell r="K1220">
            <v>0</v>
          </cell>
          <cell r="L1220">
            <v>0</v>
          </cell>
          <cell r="Y1220">
            <v>0</v>
          </cell>
          <cell r="Z1220">
            <v>0</v>
          </cell>
        </row>
        <row r="1222">
          <cell r="E1222" t="str">
            <v>MANO DE OBRA</v>
          </cell>
          <cell r="I1222">
            <v>60000</v>
          </cell>
          <cell r="J1222">
            <v>0</v>
          </cell>
          <cell r="L1222">
            <v>6120000</v>
          </cell>
          <cell r="Z1222" t="e">
            <v>#N/A</v>
          </cell>
        </row>
        <row r="1223">
          <cell r="D1223" t="str">
            <v>MOANPT</v>
          </cell>
          <cell r="E1223" t="str">
            <v>Tapa</v>
          </cell>
          <cell r="F1223" t="str">
            <v>Un</v>
          </cell>
          <cell r="G1223">
            <v>1</v>
          </cell>
          <cell r="H1223">
            <v>60000</v>
          </cell>
          <cell r="I1223">
            <v>60000</v>
          </cell>
          <cell r="J1223">
            <v>0</v>
          </cell>
          <cell r="K1223">
            <v>102</v>
          </cell>
          <cell r="L1223">
            <v>6120000</v>
          </cell>
          <cell r="Y1223" t="e">
            <v>#N/A</v>
          </cell>
          <cell r="Z1223" t="e">
            <v>#N/A</v>
          </cell>
        </row>
        <row r="1225">
          <cell r="E1225" t="str">
            <v>VARIOS</v>
          </cell>
          <cell r="I1225">
            <v>19000</v>
          </cell>
          <cell r="L1225">
            <v>1938000</v>
          </cell>
          <cell r="Z1225" t="e">
            <v>#N/A</v>
          </cell>
        </row>
        <row r="1226">
          <cell r="D1226" t="str">
            <v>AL04RETRLL</v>
          </cell>
          <cell r="E1226" t="str">
            <v xml:space="preserve">Retro Llanta </v>
          </cell>
          <cell r="F1226" t="str">
            <v>Hr</v>
          </cell>
          <cell r="G1226">
            <v>0.5</v>
          </cell>
          <cell r="H1226">
            <v>38000</v>
          </cell>
          <cell r="I1226">
            <v>19000</v>
          </cell>
          <cell r="J1226">
            <v>0</v>
          </cell>
          <cell r="K1226">
            <v>51</v>
          </cell>
          <cell r="L1226">
            <v>1938000</v>
          </cell>
          <cell r="Y1226" t="e">
            <v>#N/A</v>
          </cell>
          <cell r="Z1226" t="e">
            <v>#N/A</v>
          </cell>
        </row>
        <row r="1227">
          <cell r="D1227" t="str">
            <v/>
          </cell>
        </row>
        <row r="1228">
          <cell r="E1228" t="str">
            <v>SUBTOTAL</v>
          </cell>
          <cell r="I1228">
            <v>87605</v>
          </cell>
          <cell r="L1228">
            <v>8935710</v>
          </cell>
          <cell r="Z1228" t="e">
            <v>#N/A</v>
          </cell>
        </row>
        <row r="1229">
          <cell r="E1229" t="str">
            <v>A.I.U</v>
          </cell>
          <cell r="I1229">
            <v>0</v>
          </cell>
          <cell r="L1229">
            <v>0</v>
          </cell>
          <cell r="Z1229">
            <v>0</v>
          </cell>
        </row>
        <row r="1230">
          <cell r="D1230" t="str">
            <v>AIUAADMON</v>
          </cell>
          <cell r="E1230" t="str">
            <v>Admon</v>
          </cell>
          <cell r="F1230">
            <v>0</v>
          </cell>
          <cell r="I1230">
            <v>0</v>
          </cell>
          <cell r="L1230">
            <v>0</v>
          </cell>
          <cell r="Z1230">
            <v>0</v>
          </cell>
        </row>
        <row r="1231">
          <cell r="D1231" t="str">
            <v>AIUAIMPRE</v>
          </cell>
          <cell r="E1231" t="str">
            <v>Imprevistos</v>
          </cell>
          <cell r="F1231">
            <v>0</v>
          </cell>
          <cell r="I1231">
            <v>0</v>
          </cell>
          <cell r="J1231">
            <v>0</v>
          </cell>
          <cell r="L1231">
            <v>0</v>
          </cell>
          <cell r="Z1231">
            <v>0</v>
          </cell>
        </row>
        <row r="1232">
          <cell r="D1232" t="str">
            <v>AIUAUTILI</v>
          </cell>
          <cell r="E1232" t="str">
            <v>Utilidad</v>
          </cell>
          <cell r="F1232">
            <v>0</v>
          </cell>
          <cell r="I1232">
            <v>0</v>
          </cell>
          <cell r="J1232">
            <v>0</v>
          </cell>
          <cell r="L1232">
            <v>0</v>
          </cell>
          <cell r="Z1232">
            <v>0</v>
          </cell>
        </row>
        <row r="1233">
          <cell r="D1233" t="str">
            <v>AIUAIVAUTI</v>
          </cell>
          <cell r="E1233" t="str">
            <v>IVA utilidad</v>
          </cell>
          <cell r="F1233">
            <v>0</v>
          </cell>
          <cell r="I1233">
            <v>0</v>
          </cell>
          <cell r="J1233">
            <v>0</v>
          </cell>
          <cell r="L1233">
            <v>0</v>
          </cell>
          <cell r="Z1233">
            <v>0</v>
          </cell>
        </row>
        <row r="1235">
          <cell r="E1235" t="str">
            <v>ITEM</v>
          </cell>
        </row>
        <row r="1236">
          <cell r="D1236" t="str">
            <v>ANPOSTA</v>
          </cell>
          <cell r="E1236" t="str">
            <v>Sumin. Placa Prefabricada Tapa Pozos y Camaras</v>
          </cell>
          <cell r="G1236" t="str">
            <v>UN.</v>
          </cell>
          <cell r="H1236" t="str">
            <v>Un</v>
          </cell>
          <cell r="I1236">
            <v>465000</v>
          </cell>
          <cell r="K1236">
            <v>101</v>
          </cell>
          <cell r="L1236">
            <v>46965000</v>
          </cell>
          <cell r="N1236">
            <v>465000</v>
          </cell>
          <cell r="O1236">
            <v>0</v>
          </cell>
          <cell r="P1236">
            <v>0</v>
          </cell>
          <cell r="Q1236">
            <v>0</v>
          </cell>
          <cell r="X1236">
            <v>46965000</v>
          </cell>
          <cell r="Y1236" t="str">
            <v>Un</v>
          </cell>
          <cell r="Z1236" t="e">
            <v>#N/A</v>
          </cell>
          <cell r="AA1236" t="e">
            <v>#N/A</v>
          </cell>
          <cell r="AB1236">
            <v>0</v>
          </cell>
          <cell r="AC1236">
            <v>0</v>
          </cell>
        </row>
        <row r="1238">
          <cell r="D1238" t="str">
            <v>CODIGO</v>
          </cell>
          <cell r="E1238" t="str">
            <v>DESCRIPCION</v>
          </cell>
          <cell r="F1238" t="str">
            <v>UN</v>
          </cell>
          <cell r="G1238" t="str">
            <v>CANT</v>
          </cell>
          <cell r="H1238" t="str">
            <v>V/UNIT.</v>
          </cell>
          <cell r="I1238" t="str">
            <v>V/TOTAL</v>
          </cell>
          <cell r="K1238" t="str">
            <v>CANT TOTAL</v>
          </cell>
          <cell r="L1238" t="str">
            <v>Vr TOTAL</v>
          </cell>
          <cell r="Y1238" t="str">
            <v>CANT.</v>
          </cell>
          <cell r="Z1238" t="str">
            <v>V/TOTAL</v>
          </cell>
        </row>
        <row r="1239">
          <cell r="E1239" t="str">
            <v>MATERIALES</v>
          </cell>
          <cell r="I1239">
            <v>465000</v>
          </cell>
          <cell r="L1239">
            <v>46965000</v>
          </cell>
          <cell r="Z1239" t="e">
            <v>#N/A</v>
          </cell>
        </row>
        <row r="1240">
          <cell r="D1240" t="str">
            <v>MA05PLPOIN</v>
          </cell>
          <cell r="E1240" t="str">
            <v>Placa Prefabricada Pozo de Inspeccion e=0.25</v>
          </cell>
          <cell r="F1240" t="str">
            <v>Un</v>
          </cell>
          <cell r="G1240">
            <v>1</v>
          </cell>
          <cell r="H1240">
            <v>465000</v>
          </cell>
          <cell r="I1240">
            <v>465000</v>
          </cell>
          <cell r="J1240">
            <v>0</v>
          </cell>
          <cell r="K1240">
            <v>101</v>
          </cell>
          <cell r="L1240">
            <v>46965000</v>
          </cell>
          <cell r="Y1240" t="e">
            <v>#N/A</v>
          </cell>
          <cell r="Z1240" t="e">
            <v>#N/A</v>
          </cell>
        </row>
        <row r="1245">
          <cell r="E1245" t="str">
            <v>MANO DE OBRA</v>
          </cell>
          <cell r="I1245">
            <v>0</v>
          </cell>
          <cell r="J1245">
            <v>0</v>
          </cell>
          <cell r="L1245">
            <v>0</v>
          </cell>
          <cell r="Z1245">
            <v>0</v>
          </cell>
        </row>
        <row r="1246">
          <cell r="I1246">
            <v>0</v>
          </cell>
          <cell r="J1246">
            <v>0</v>
          </cell>
          <cell r="K1246">
            <v>0</v>
          </cell>
          <cell r="L1246">
            <v>0</v>
          </cell>
          <cell r="Y1246">
            <v>0</v>
          </cell>
          <cell r="Z1246">
            <v>0</v>
          </cell>
        </row>
        <row r="1248">
          <cell r="E1248" t="str">
            <v>VARIOS</v>
          </cell>
          <cell r="I1248">
            <v>0</v>
          </cell>
          <cell r="L1248">
            <v>0</v>
          </cell>
          <cell r="Z1248">
            <v>0</v>
          </cell>
        </row>
        <row r="1249">
          <cell r="I1249">
            <v>0</v>
          </cell>
          <cell r="J1249">
            <v>0</v>
          </cell>
          <cell r="K1249">
            <v>0</v>
          </cell>
          <cell r="L1249">
            <v>0</v>
          </cell>
          <cell r="Y1249">
            <v>0</v>
          </cell>
          <cell r="Z1249">
            <v>0</v>
          </cell>
        </row>
        <row r="1250">
          <cell r="D1250" t="str">
            <v/>
          </cell>
        </row>
        <row r="1251">
          <cell r="E1251" t="str">
            <v>SUBTOTAL</v>
          </cell>
          <cell r="I1251">
            <v>465000</v>
          </cell>
          <cell r="L1251">
            <v>46965000</v>
          </cell>
          <cell r="Z1251" t="e">
            <v>#N/A</v>
          </cell>
        </row>
        <row r="1252">
          <cell r="E1252" t="str">
            <v>A.I.U</v>
          </cell>
          <cell r="I1252">
            <v>0</v>
          </cell>
          <cell r="L1252">
            <v>0</v>
          </cell>
          <cell r="Z1252">
            <v>0</v>
          </cell>
        </row>
        <row r="1253">
          <cell r="D1253" t="str">
            <v>AIUAADMON</v>
          </cell>
          <cell r="E1253" t="str">
            <v>Admon</v>
          </cell>
          <cell r="F1253">
            <v>0</v>
          </cell>
          <cell r="I1253">
            <v>0</v>
          </cell>
          <cell r="L1253">
            <v>0</v>
          </cell>
          <cell r="Z1253">
            <v>0</v>
          </cell>
        </row>
        <row r="1254">
          <cell r="D1254" t="str">
            <v>AIUAIMPRE</v>
          </cell>
          <cell r="E1254" t="str">
            <v>Imprevistos</v>
          </cell>
          <cell r="F1254">
            <v>0</v>
          </cell>
          <cell r="I1254">
            <v>0</v>
          </cell>
          <cell r="J1254">
            <v>0</v>
          </cell>
          <cell r="L1254">
            <v>0</v>
          </cell>
          <cell r="Z1254">
            <v>0</v>
          </cell>
        </row>
        <row r="1255">
          <cell r="D1255" t="str">
            <v>AIUAUTILI</v>
          </cell>
          <cell r="E1255" t="str">
            <v>Utilidad</v>
          </cell>
          <cell r="F1255">
            <v>0</v>
          </cell>
          <cell r="I1255">
            <v>0</v>
          </cell>
          <cell r="J1255">
            <v>0</v>
          </cell>
          <cell r="L1255">
            <v>0</v>
          </cell>
          <cell r="Z1255">
            <v>0</v>
          </cell>
        </row>
        <row r="1256">
          <cell r="D1256" t="str">
            <v>AIUAIVAUTI</v>
          </cell>
          <cell r="E1256" t="str">
            <v>IVA utilidad</v>
          </cell>
          <cell r="F1256">
            <v>0</v>
          </cell>
          <cell r="I1256">
            <v>0</v>
          </cell>
          <cell r="J1256">
            <v>0</v>
          </cell>
          <cell r="L1256">
            <v>0</v>
          </cell>
          <cell r="Z1256">
            <v>0</v>
          </cell>
        </row>
        <row r="1258">
          <cell r="E1258" t="str">
            <v>ITEM</v>
          </cell>
        </row>
        <row r="1259">
          <cell r="D1259" t="str">
            <v>ANCCB12</v>
          </cell>
          <cell r="E1259" t="str">
            <v>Camara Caida Bajante 12"</v>
          </cell>
          <cell r="G1259" t="str">
            <v>UN.</v>
          </cell>
          <cell r="H1259" t="str">
            <v>Un</v>
          </cell>
          <cell r="I1259">
            <v>121919</v>
          </cell>
          <cell r="K1259">
            <v>8</v>
          </cell>
          <cell r="L1259">
            <v>975352</v>
          </cell>
          <cell r="N1259">
            <v>91069</v>
          </cell>
          <cell r="O1259">
            <v>30000</v>
          </cell>
          <cell r="P1259">
            <v>850</v>
          </cell>
          <cell r="Q1259">
            <v>0</v>
          </cell>
          <cell r="X1259">
            <v>975352</v>
          </cell>
          <cell r="Y1259" t="str">
            <v>Un</v>
          </cell>
          <cell r="Z1259" t="e">
            <v>#N/A</v>
          </cell>
          <cell r="AA1259" t="e">
            <v>#N/A</v>
          </cell>
          <cell r="AB1259" t="e">
            <v>#N/A</v>
          </cell>
          <cell r="AC1259" t="e">
            <v>#N/A</v>
          </cell>
        </row>
        <row r="1261">
          <cell r="D1261" t="str">
            <v>CODIGO</v>
          </cell>
          <cell r="E1261" t="str">
            <v>DESCRIPCION</v>
          </cell>
          <cell r="F1261" t="str">
            <v>UN</v>
          </cell>
          <cell r="G1261" t="str">
            <v>CANT</v>
          </cell>
          <cell r="H1261" t="str">
            <v>V/UNIT.</v>
          </cell>
          <cell r="I1261" t="str">
            <v>V/TOTAL</v>
          </cell>
          <cell r="K1261" t="str">
            <v>CANT TOTAL</v>
          </cell>
          <cell r="L1261" t="str">
            <v>Vr TOTAL</v>
          </cell>
          <cell r="Y1261" t="str">
            <v>CANT.</v>
          </cell>
          <cell r="Z1261" t="str">
            <v>V/TOTAL</v>
          </cell>
        </row>
        <row r="1262">
          <cell r="E1262" t="str">
            <v>MATERIALES</v>
          </cell>
          <cell r="I1262">
            <v>91069</v>
          </cell>
          <cell r="L1262">
            <v>728552</v>
          </cell>
          <cell r="Z1262" t="e">
            <v>#N/A</v>
          </cell>
        </row>
        <row r="1263">
          <cell r="D1263" t="str">
            <v>MA46CSC112</v>
          </cell>
          <cell r="E1263" t="str">
            <v>Tuberia concreto TCS-CL1 12</v>
          </cell>
          <cell r="F1263" t="str">
            <v>ml</v>
          </cell>
          <cell r="G1263">
            <v>1</v>
          </cell>
          <cell r="H1263">
            <v>21716.36</v>
          </cell>
          <cell r="I1263">
            <v>21716</v>
          </cell>
          <cell r="J1263">
            <v>0</v>
          </cell>
          <cell r="K1263">
            <v>8</v>
          </cell>
          <cell r="L1263">
            <v>173730.88</v>
          </cell>
          <cell r="Y1263" t="e">
            <v>#N/A</v>
          </cell>
          <cell r="Z1263" t="e">
            <v>#N/A</v>
          </cell>
        </row>
        <row r="1264">
          <cell r="D1264" t="str">
            <v>MA04C3</v>
          </cell>
          <cell r="E1264" t="str">
            <v xml:space="preserve">Concreto 3000 psi </v>
          </cell>
          <cell r="F1264" t="str">
            <v>M3</v>
          </cell>
          <cell r="G1264">
            <v>0.34</v>
          </cell>
          <cell r="H1264">
            <v>202575</v>
          </cell>
          <cell r="I1264">
            <v>68876</v>
          </cell>
          <cell r="J1264">
            <v>0</v>
          </cell>
          <cell r="K1264">
            <v>2.72</v>
          </cell>
          <cell r="L1264">
            <v>551004</v>
          </cell>
          <cell r="Y1264" t="e">
            <v>#N/A</v>
          </cell>
          <cell r="Z1264" t="e">
            <v>#N/A</v>
          </cell>
        </row>
        <row r="1265">
          <cell r="D1265" t="str">
            <v>MA01A3</v>
          </cell>
          <cell r="E1265" t="str">
            <v>Acero A-3</v>
          </cell>
          <cell r="F1265" t="str">
            <v>Kg</v>
          </cell>
          <cell r="G1265">
            <v>0.34</v>
          </cell>
          <cell r="H1265">
            <v>1404</v>
          </cell>
          <cell r="I1265">
            <v>477</v>
          </cell>
          <cell r="J1265">
            <v>0</v>
          </cell>
          <cell r="K1265">
            <v>2.72</v>
          </cell>
          <cell r="L1265">
            <v>3818.88</v>
          </cell>
          <cell r="Y1265" t="e">
            <v>#N/A</v>
          </cell>
          <cell r="Z1265" t="e">
            <v>#N/A</v>
          </cell>
        </row>
        <row r="1266">
          <cell r="I1266">
            <v>0</v>
          </cell>
          <cell r="J1266">
            <v>0</v>
          </cell>
          <cell r="K1266">
            <v>0</v>
          </cell>
          <cell r="L1266">
            <v>0</v>
          </cell>
          <cell r="Y1266">
            <v>0</v>
          </cell>
          <cell r="Z1266">
            <v>0</v>
          </cell>
        </row>
        <row r="1267">
          <cell r="I1267">
            <v>0</v>
          </cell>
          <cell r="J1267">
            <v>0</v>
          </cell>
          <cell r="K1267">
            <v>0</v>
          </cell>
          <cell r="L1267">
            <v>0</v>
          </cell>
          <cell r="Y1267">
            <v>0</v>
          </cell>
          <cell r="Z1267">
            <v>0</v>
          </cell>
        </row>
        <row r="1268">
          <cell r="I1268">
            <v>0</v>
          </cell>
          <cell r="J1268">
            <v>0</v>
          </cell>
          <cell r="K1268">
            <v>0</v>
          </cell>
          <cell r="L1268">
            <v>0</v>
          </cell>
          <cell r="Y1268">
            <v>0</v>
          </cell>
          <cell r="Z1268">
            <v>0</v>
          </cell>
        </row>
        <row r="1269">
          <cell r="E1269" t="str">
            <v>MANO DE OBRA</v>
          </cell>
          <cell r="I1269">
            <v>30000</v>
          </cell>
          <cell r="J1269">
            <v>0</v>
          </cell>
          <cell r="L1269">
            <v>240000</v>
          </cell>
          <cell r="Z1269" t="e">
            <v>#N/A</v>
          </cell>
        </row>
        <row r="1270">
          <cell r="D1270" t="str">
            <v>MOANCCB</v>
          </cell>
          <cell r="E1270" t="str">
            <v>Camara Caida Bajante Tuberia</v>
          </cell>
          <cell r="F1270" t="str">
            <v>m3</v>
          </cell>
          <cell r="G1270">
            <v>1.2</v>
          </cell>
          <cell r="H1270">
            <v>25000</v>
          </cell>
          <cell r="I1270">
            <v>30000</v>
          </cell>
          <cell r="J1270">
            <v>0</v>
          </cell>
          <cell r="K1270">
            <v>9.6</v>
          </cell>
          <cell r="L1270">
            <v>240000</v>
          </cell>
          <cell r="Y1270" t="e">
            <v>#N/A</v>
          </cell>
          <cell r="Z1270" t="e">
            <v>#N/A</v>
          </cell>
        </row>
        <row r="1272">
          <cell r="E1272" t="str">
            <v>VARIOS</v>
          </cell>
          <cell r="I1272">
            <v>850</v>
          </cell>
          <cell r="L1272">
            <v>6800</v>
          </cell>
          <cell r="Z1272" t="e">
            <v>#N/A</v>
          </cell>
        </row>
        <row r="1273">
          <cell r="D1273" t="str">
            <v>TC07H800</v>
          </cell>
          <cell r="E1273" t="str">
            <v>Herramienta Menor</v>
          </cell>
          <cell r="F1273" t="str">
            <v>Gb</v>
          </cell>
          <cell r="G1273">
            <v>0.5</v>
          </cell>
          <cell r="H1273">
            <v>800</v>
          </cell>
          <cell r="I1273">
            <v>400</v>
          </cell>
          <cell r="J1273">
            <v>0</v>
          </cell>
          <cell r="K1273">
            <v>4</v>
          </cell>
          <cell r="L1273">
            <v>3200</v>
          </cell>
          <cell r="Y1273" t="e">
            <v>#N/A</v>
          </cell>
          <cell r="Z1273" t="e">
            <v>#N/A</v>
          </cell>
        </row>
        <row r="1274">
          <cell r="D1274" t="str">
            <v>AL07VCG</v>
          </cell>
          <cell r="E1274" t="str">
            <v>Vibrador para concretos a Gasolina</v>
          </cell>
          <cell r="F1274" t="str">
            <v>Hr</v>
          </cell>
          <cell r="G1274">
            <v>0.01</v>
          </cell>
          <cell r="H1274">
            <v>45000</v>
          </cell>
          <cell r="I1274">
            <v>450</v>
          </cell>
          <cell r="J1274">
            <v>0</v>
          </cell>
          <cell r="K1274">
            <v>0.08</v>
          </cell>
          <cell r="L1274">
            <v>3600</v>
          </cell>
          <cell r="Y1274" t="e">
            <v>#N/A</v>
          </cell>
          <cell r="Z1274" t="e">
            <v>#N/A</v>
          </cell>
        </row>
        <row r="1275">
          <cell r="E1275" t="str">
            <v>SUBTOTAL</v>
          </cell>
          <cell r="I1275">
            <v>121919</v>
          </cell>
          <cell r="L1275">
            <v>975352</v>
          </cell>
          <cell r="Z1275" t="e">
            <v>#N/A</v>
          </cell>
        </row>
        <row r="1276">
          <cell r="E1276" t="str">
            <v>A.I.U</v>
          </cell>
          <cell r="I1276">
            <v>0</v>
          </cell>
          <cell r="L1276">
            <v>0</v>
          </cell>
          <cell r="Z1276">
            <v>0</v>
          </cell>
        </row>
        <row r="1277">
          <cell r="D1277" t="str">
            <v>AIUAADMON</v>
          </cell>
          <cell r="E1277" t="str">
            <v>Admon</v>
          </cell>
          <cell r="F1277">
            <v>0</v>
          </cell>
          <cell r="I1277">
            <v>0</v>
          </cell>
          <cell r="L1277">
            <v>0</v>
          </cell>
          <cell r="Z1277">
            <v>0</v>
          </cell>
        </row>
        <row r="1278">
          <cell r="D1278" t="str">
            <v>AIUAIMPRE</v>
          </cell>
          <cell r="E1278" t="str">
            <v>Imprevistos</v>
          </cell>
          <cell r="F1278">
            <v>0</v>
          </cell>
          <cell r="I1278">
            <v>0</v>
          </cell>
          <cell r="J1278">
            <v>0</v>
          </cell>
          <cell r="L1278">
            <v>0</v>
          </cell>
          <cell r="Z1278">
            <v>0</v>
          </cell>
        </row>
        <row r="1279">
          <cell r="D1279" t="str">
            <v>AIUAUTILI</v>
          </cell>
          <cell r="E1279" t="str">
            <v>Utilidad</v>
          </cell>
          <cell r="F1279">
            <v>0</v>
          </cell>
          <cell r="I1279">
            <v>0</v>
          </cell>
          <cell r="J1279">
            <v>0</v>
          </cell>
          <cell r="L1279">
            <v>0</v>
          </cell>
          <cell r="Z1279">
            <v>0</v>
          </cell>
        </row>
        <row r="1280">
          <cell r="D1280" t="str">
            <v>AIUAIVAUTI</v>
          </cell>
          <cell r="E1280" t="str">
            <v>IVA utilidad</v>
          </cell>
          <cell r="F1280">
            <v>0</v>
          </cell>
          <cell r="I1280">
            <v>0</v>
          </cell>
          <cell r="J1280">
            <v>0</v>
          </cell>
          <cell r="L1280">
            <v>0</v>
          </cell>
          <cell r="Z1280">
            <v>0</v>
          </cell>
        </row>
        <row r="1282">
          <cell r="E1282" t="str">
            <v>ITEM</v>
          </cell>
        </row>
        <row r="1283">
          <cell r="D1283" t="str">
            <v>ANCCB16</v>
          </cell>
          <cell r="E1283" t="str">
            <v>Camara Caida Bajante 16"</v>
          </cell>
          <cell r="G1283" t="str">
            <v>UN.</v>
          </cell>
          <cell r="H1283" t="str">
            <v>Un</v>
          </cell>
          <cell r="I1283">
            <v>164964</v>
          </cell>
          <cell r="K1283">
            <v>3</v>
          </cell>
          <cell r="L1283">
            <v>494892</v>
          </cell>
          <cell r="N1283">
            <v>129114</v>
          </cell>
          <cell r="O1283">
            <v>35000</v>
          </cell>
          <cell r="P1283">
            <v>850</v>
          </cell>
          <cell r="Q1283">
            <v>0</v>
          </cell>
          <cell r="X1283">
            <v>494892</v>
          </cell>
          <cell r="Y1283" t="str">
            <v>Un</v>
          </cell>
          <cell r="Z1283" t="e">
            <v>#N/A</v>
          </cell>
          <cell r="AA1283" t="e">
            <v>#N/A</v>
          </cell>
          <cell r="AB1283" t="e">
            <v>#N/A</v>
          </cell>
          <cell r="AC1283" t="e">
            <v>#N/A</v>
          </cell>
        </row>
        <row r="1285">
          <cell r="D1285" t="str">
            <v>CODIGO</v>
          </cell>
          <cell r="E1285" t="str">
            <v>DESCRIPCION</v>
          </cell>
          <cell r="F1285" t="str">
            <v>UN</v>
          </cell>
          <cell r="G1285" t="str">
            <v>CANT</v>
          </cell>
          <cell r="H1285" t="str">
            <v>V/UNIT.</v>
          </cell>
          <cell r="I1285" t="str">
            <v>V/TOTAL</v>
          </cell>
          <cell r="K1285" t="str">
            <v>CANT TOTAL</v>
          </cell>
          <cell r="L1285" t="str">
            <v>Vr TOTAL</v>
          </cell>
          <cell r="Y1285" t="str">
            <v>CANT.</v>
          </cell>
          <cell r="Z1285" t="str">
            <v>V/TOTAL</v>
          </cell>
        </row>
        <row r="1286">
          <cell r="E1286" t="str">
            <v>MATERIALES</v>
          </cell>
          <cell r="I1286">
            <v>129114</v>
          </cell>
          <cell r="L1286">
            <v>387342</v>
          </cell>
          <cell r="Z1286" t="e">
            <v>#N/A</v>
          </cell>
        </row>
        <row r="1287">
          <cell r="D1287" t="str">
            <v>MA46CSC116</v>
          </cell>
          <cell r="E1287" t="str">
            <v>Tuberia concreto TCS-CL1 16</v>
          </cell>
          <cell r="F1287" t="str">
            <v>ml</v>
          </cell>
          <cell r="G1287">
            <v>1</v>
          </cell>
          <cell r="H1287">
            <v>47522.3</v>
          </cell>
          <cell r="I1287">
            <v>47522</v>
          </cell>
          <cell r="J1287">
            <v>0</v>
          </cell>
          <cell r="K1287">
            <v>3</v>
          </cell>
          <cell r="L1287">
            <v>142566.90000000002</v>
          </cell>
          <cell r="Y1287" t="e">
            <v>#N/A</v>
          </cell>
          <cell r="Z1287" t="e">
            <v>#N/A</v>
          </cell>
        </row>
        <row r="1288">
          <cell r="D1288" t="str">
            <v>MA04C3</v>
          </cell>
          <cell r="E1288" t="str">
            <v xml:space="preserve">Concreto 3000 psi </v>
          </cell>
          <cell r="F1288" t="str">
            <v>M3</v>
          </cell>
          <cell r="G1288">
            <v>0.4</v>
          </cell>
          <cell r="H1288">
            <v>202575</v>
          </cell>
          <cell r="I1288">
            <v>81030</v>
          </cell>
          <cell r="J1288">
            <v>0</v>
          </cell>
          <cell r="K1288">
            <v>1.2000000000000002</v>
          </cell>
          <cell r="L1288">
            <v>243090.00000000003</v>
          </cell>
          <cell r="Y1288" t="e">
            <v>#N/A</v>
          </cell>
          <cell r="Z1288" t="e">
            <v>#N/A</v>
          </cell>
        </row>
        <row r="1289">
          <cell r="D1289" t="str">
            <v>MA01A3</v>
          </cell>
          <cell r="E1289" t="str">
            <v>Acero A-3</v>
          </cell>
          <cell r="F1289" t="str">
            <v>Kg</v>
          </cell>
          <cell r="G1289">
            <v>0.4</v>
          </cell>
          <cell r="H1289">
            <v>1404</v>
          </cell>
          <cell r="I1289">
            <v>562</v>
          </cell>
          <cell r="J1289">
            <v>0</v>
          </cell>
          <cell r="K1289">
            <v>1.2000000000000002</v>
          </cell>
          <cell r="L1289">
            <v>1684.8000000000002</v>
          </cell>
          <cell r="Y1289" t="e">
            <v>#N/A</v>
          </cell>
          <cell r="Z1289" t="e">
            <v>#N/A</v>
          </cell>
        </row>
        <row r="1290">
          <cell r="I1290">
            <v>0</v>
          </cell>
          <cell r="J1290">
            <v>0</v>
          </cell>
          <cell r="K1290">
            <v>0</v>
          </cell>
          <cell r="L1290">
            <v>0</v>
          </cell>
          <cell r="Y1290">
            <v>0</v>
          </cell>
          <cell r="Z1290">
            <v>0</v>
          </cell>
        </row>
        <row r="1291">
          <cell r="I1291">
            <v>0</v>
          </cell>
          <cell r="J1291">
            <v>0</v>
          </cell>
          <cell r="K1291">
            <v>0</v>
          </cell>
          <cell r="L1291">
            <v>0</v>
          </cell>
          <cell r="Y1291">
            <v>0</v>
          </cell>
          <cell r="Z1291">
            <v>0</v>
          </cell>
        </row>
        <row r="1292">
          <cell r="I1292">
            <v>0</v>
          </cell>
          <cell r="J1292">
            <v>0</v>
          </cell>
          <cell r="K1292">
            <v>0</v>
          </cell>
          <cell r="L1292">
            <v>0</v>
          </cell>
          <cell r="Y1292">
            <v>0</v>
          </cell>
          <cell r="Z1292">
            <v>0</v>
          </cell>
        </row>
        <row r="1293">
          <cell r="E1293" t="str">
            <v>MANO DE OBRA</v>
          </cell>
          <cell r="I1293">
            <v>35000</v>
          </cell>
          <cell r="J1293">
            <v>0</v>
          </cell>
          <cell r="L1293">
            <v>105000</v>
          </cell>
          <cell r="Z1293" t="e">
            <v>#N/A</v>
          </cell>
        </row>
        <row r="1294">
          <cell r="D1294" t="str">
            <v>MOANCCB</v>
          </cell>
          <cell r="E1294" t="str">
            <v>Camara Caida Bajante Tuberia</v>
          </cell>
          <cell r="F1294" t="str">
            <v>m3</v>
          </cell>
          <cell r="G1294">
            <v>1.4</v>
          </cell>
          <cell r="H1294">
            <v>25000</v>
          </cell>
          <cell r="I1294">
            <v>35000</v>
          </cell>
          <cell r="J1294">
            <v>0</v>
          </cell>
          <cell r="K1294">
            <v>4.1999999999999993</v>
          </cell>
          <cell r="L1294">
            <v>104999.99999999999</v>
          </cell>
          <cell r="Y1294" t="e">
            <v>#N/A</v>
          </cell>
          <cell r="Z1294" t="e">
            <v>#N/A</v>
          </cell>
        </row>
        <row r="1296">
          <cell r="E1296" t="str">
            <v>VARIOS</v>
          </cell>
          <cell r="I1296">
            <v>850</v>
          </cell>
          <cell r="L1296">
            <v>2550</v>
          </cell>
          <cell r="Z1296" t="e">
            <v>#N/A</v>
          </cell>
        </row>
        <row r="1297">
          <cell r="D1297" t="str">
            <v>TC07H800</v>
          </cell>
          <cell r="E1297" t="str">
            <v>Herramienta Menor</v>
          </cell>
          <cell r="F1297" t="str">
            <v>Gb</v>
          </cell>
          <cell r="G1297">
            <v>0.5</v>
          </cell>
          <cell r="H1297">
            <v>800</v>
          </cell>
          <cell r="I1297">
            <v>400</v>
          </cell>
          <cell r="J1297">
            <v>0</v>
          </cell>
          <cell r="K1297">
            <v>1.5</v>
          </cell>
          <cell r="L1297">
            <v>1200</v>
          </cell>
          <cell r="Y1297" t="e">
            <v>#N/A</v>
          </cell>
          <cell r="Z1297" t="e">
            <v>#N/A</v>
          </cell>
        </row>
        <row r="1298">
          <cell r="D1298" t="str">
            <v>AL07VCG</v>
          </cell>
          <cell r="E1298" t="str">
            <v>Vibrador para concretos a Gasolina</v>
          </cell>
          <cell r="F1298" t="str">
            <v>Hr</v>
          </cell>
          <cell r="G1298">
            <v>0.01</v>
          </cell>
          <cell r="H1298">
            <v>45000</v>
          </cell>
          <cell r="I1298">
            <v>450</v>
          </cell>
          <cell r="J1298">
            <v>0</v>
          </cell>
          <cell r="K1298">
            <v>0.03</v>
          </cell>
          <cell r="L1298">
            <v>1350</v>
          </cell>
          <cell r="Y1298" t="e">
            <v>#N/A</v>
          </cell>
          <cell r="Z1298" t="e">
            <v>#N/A</v>
          </cell>
        </row>
        <row r="1299">
          <cell r="E1299" t="str">
            <v>SUBTOTAL</v>
          </cell>
          <cell r="I1299">
            <v>164964</v>
          </cell>
          <cell r="L1299">
            <v>494892</v>
          </cell>
          <cell r="Z1299" t="e">
            <v>#N/A</v>
          </cell>
        </row>
        <row r="1300">
          <cell r="E1300" t="str">
            <v>A.I.U</v>
          </cell>
          <cell r="I1300">
            <v>0</v>
          </cell>
          <cell r="L1300">
            <v>0</v>
          </cell>
          <cell r="Z1300">
            <v>0</v>
          </cell>
        </row>
        <row r="1301">
          <cell r="D1301" t="str">
            <v>AIUAADMON</v>
          </cell>
          <cell r="E1301" t="str">
            <v>Admon</v>
          </cell>
          <cell r="F1301">
            <v>0</v>
          </cell>
          <cell r="I1301">
            <v>0</v>
          </cell>
          <cell r="L1301">
            <v>0</v>
          </cell>
          <cell r="Z1301">
            <v>0</v>
          </cell>
        </row>
        <row r="1302">
          <cell r="D1302" t="str">
            <v>AIUAIMPRE</v>
          </cell>
          <cell r="E1302" t="str">
            <v>Imprevistos</v>
          </cell>
          <cell r="F1302">
            <v>0</v>
          </cell>
          <cell r="I1302">
            <v>0</v>
          </cell>
          <cell r="J1302">
            <v>0</v>
          </cell>
          <cell r="L1302">
            <v>0</v>
          </cell>
          <cell r="Z1302">
            <v>0</v>
          </cell>
        </row>
        <row r="1303">
          <cell r="D1303" t="str">
            <v>AIUAUTILI</v>
          </cell>
          <cell r="E1303" t="str">
            <v>Utilidad</v>
          </cell>
          <cell r="F1303">
            <v>0</v>
          </cell>
          <cell r="I1303">
            <v>0</v>
          </cell>
          <cell r="J1303">
            <v>0</v>
          </cell>
          <cell r="L1303">
            <v>0</v>
          </cell>
          <cell r="Z1303">
            <v>0</v>
          </cell>
        </row>
        <row r="1304">
          <cell r="D1304" t="str">
            <v>AIUAIVAUTI</v>
          </cell>
          <cell r="E1304" t="str">
            <v>IVA utilidad</v>
          </cell>
          <cell r="F1304">
            <v>0</v>
          </cell>
          <cell r="I1304">
            <v>0</v>
          </cell>
          <cell r="J1304">
            <v>0</v>
          </cell>
          <cell r="L1304">
            <v>0</v>
          </cell>
          <cell r="Z1304">
            <v>0</v>
          </cell>
        </row>
        <row r="1306">
          <cell r="E1306" t="str">
            <v>ITEM</v>
          </cell>
        </row>
        <row r="1307">
          <cell r="D1307" t="str">
            <v>ANSU110</v>
          </cell>
          <cell r="E1307" t="str">
            <v>Sumidero Tipo SL-100</v>
          </cell>
          <cell r="G1307" t="str">
            <v>UN.</v>
          </cell>
          <cell r="H1307" t="str">
            <v>Un</v>
          </cell>
          <cell r="I1307">
            <v>783662</v>
          </cell>
          <cell r="K1307">
            <v>80</v>
          </cell>
          <cell r="L1307">
            <v>62692960</v>
          </cell>
          <cell r="N1307">
            <v>617862</v>
          </cell>
          <cell r="O1307">
            <v>165000</v>
          </cell>
          <cell r="P1307">
            <v>800</v>
          </cell>
          <cell r="Q1307">
            <v>0</v>
          </cell>
          <cell r="X1307">
            <v>62692960</v>
          </cell>
          <cell r="Y1307" t="str">
            <v>Un</v>
          </cell>
          <cell r="Z1307" t="e">
            <v>#VALUE!</v>
          </cell>
          <cell r="AA1307" t="e">
            <v>#N/A</v>
          </cell>
          <cell r="AB1307" t="e">
            <v>#VALUE!</v>
          </cell>
          <cell r="AC1307" t="e">
            <v>#VALUE!</v>
          </cell>
        </row>
        <row r="1309">
          <cell r="D1309" t="str">
            <v>CODIGO</v>
          </cell>
          <cell r="E1309" t="str">
            <v>DESCRIPCION</v>
          </cell>
          <cell r="F1309" t="str">
            <v>UN</v>
          </cell>
          <cell r="G1309" t="str">
            <v>CANT</v>
          </cell>
          <cell r="H1309" t="str">
            <v>V/UNIT.</v>
          </cell>
          <cell r="I1309" t="str">
            <v>V/TOTAL</v>
          </cell>
          <cell r="K1309" t="str">
            <v>CANT TOTAL</v>
          </cell>
          <cell r="L1309" t="str">
            <v>Vr TOTAL</v>
          </cell>
          <cell r="Y1309" t="str">
            <v>CANT.</v>
          </cell>
          <cell r="Z1309" t="str">
            <v>V/TOTAL</v>
          </cell>
        </row>
        <row r="1310">
          <cell r="E1310" t="str">
            <v>MATERIALES</v>
          </cell>
          <cell r="I1310">
            <v>617862</v>
          </cell>
          <cell r="L1310">
            <v>49428960</v>
          </cell>
          <cell r="Z1310" t="e">
            <v>#N/A</v>
          </cell>
        </row>
        <row r="1311">
          <cell r="D1311" t="str">
            <v>MA04C35</v>
          </cell>
          <cell r="E1311" t="str">
            <v xml:space="preserve">Concreto 3500 psi </v>
          </cell>
          <cell r="F1311" t="str">
            <v>M3</v>
          </cell>
          <cell r="G1311">
            <v>2</v>
          </cell>
          <cell r="H1311">
            <v>215775</v>
          </cell>
          <cell r="I1311">
            <v>431550</v>
          </cell>
          <cell r="J1311">
            <v>0</v>
          </cell>
          <cell r="K1311">
            <v>160</v>
          </cell>
          <cell r="L1311">
            <v>34524000</v>
          </cell>
          <cell r="Y1311" t="e">
            <v>#N/A</v>
          </cell>
          <cell r="Z1311" t="e">
            <v>#N/A</v>
          </cell>
        </row>
        <row r="1312">
          <cell r="D1312" t="str">
            <v>MA05SUMT10</v>
          </cell>
          <cell r="E1312" t="str">
            <v>Marco y Tapa para Sumidero SL-100</v>
          </cell>
          <cell r="F1312" t="str">
            <v>Un</v>
          </cell>
          <cell r="G1312">
            <v>1</v>
          </cell>
          <cell r="H1312">
            <v>110000</v>
          </cell>
          <cell r="I1312">
            <v>110000</v>
          </cell>
          <cell r="J1312">
            <v>0</v>
          </cell>
          <cell r="K1312">
            <v>80</v>
          </cell>
          <cell r="L1312">
            <v>8800000</v>
          </cell>
          <cell r="Y1312" t="e">
            <v>#N/A</v>
          </cell>
          <cell r="Z1312" t="e">
            <v>#N/A</v>
          </cell>
        </row>
        <row r="1313">
          <cell r="D1313" t="str">
            <v>MA25TB20</v>
          </cell>
          <cell r="E1313" t="str">
            <v>Tabla Burra 20 cm</v>
          </cell>
          <cell r="F1313" t="str">
            <v>Un</v>
          </cell>
          <cell r="G1313">
            <v>6</v>
          </cell>
          <cell r="H1313">
            <v>6380</v>
          </cell>
          <cell r="I1313">
            <v>38280</v>
          </cell>
          <cell r="J1313">
            <v>0</v>
          </cell>
          <cell r="K1313">
            <v>480</v>
          </cell>
          <cell r="L1313">
            <v>3062400</v>
          </cell>
          <cell r="Y1313" t="e">
            <v>#VALUE!</v>
          </cell>
          <cell r="Z1313" t="e">
            <v>#VALUE!</v>
          </cell>
        </row>
        <row r="1314">
          <cell r="D1314" t="str">
            <v>MA25DURM</v>
          </cell>
          <cell r="E1314" t="str">
            <v>Durmiente</v>
          </cell>
          <cell r="F1314" t="str">
            <v>Un</v>
          </cell>
          <cell r="G1314">
            <v>4</v>
          </cell>
          <cell r="H1314">
            <v>2000</v>
          </cell>
          <cell r="I1314">
            <v>8000</v>
          </cell>
          <cell r="J1314">
            <v>0</v>
          </cell>
          <cell r="K1314">
            <v>320</v>
          </cell>
          <cell r="L1314">
            <v>640000</v>
          </cell>
          <cell r="Y1314" t="e">
            <v>#VALUE!</v>
          </cell>
          <cell r="Z1314" t="e">
            <v>#VALUE!</v>
          </cell>
        </row>
        <row r="1315">
          <cell r="D1315" t="str">
            <v>MA25VC6</v>
          </cell>
          <cell r="E1315" t="str">
            <v>Vara de Corredor 6 ml</v>
          </cell>
          <cell r="F1315" t="str">
            <v>Un</v>
          </cell>
          <cell r="G1315">
            <v>4</v>
          </cell>
          <cell r="H1315">
            <v>6900</v>
          </cell>
          <cell r="I1315">
            <v>27600</v>
          </cell>
          <cell r="J1315">
            <v>0</v>
          </cell>
          <cell r="K1315">
            <v>320</v>
          </cell>
          <cell r="L1315">
            <v>2208000</v>
          </cell>
          <cell r="Y1315" t="e">
            <v>#VALUE!</v>
          </cell>
          <cell r="Z1315" t="e">
            <v>#VALUE!</v>
          </cell>
        </row>
        <row r="1316">
          <cell r="D1316" t="str">
            <v>MA19PC25</v>
          </cell>
          <cell r="E1316" t="str">
            <v>Puntilla con cabeza 2,5"</v>
          </cell>
          <cell r="F1316" t="str">
            <v>Lb</v>
          </cell>
          <cell r="G1316">
            <v>2</v>
          </cell>
          <cell r="H1316">
            <v>1216</v>
          </cell>
          <cell r="I1316">
            <v>2432</v>
          </cell>
          <cell r="J1316">
            <v>0</v>
          </cell>
          <cell r="K1316">
            <v>160</v>
          </cell>
          <cell r="L1316">
            <v>194560</v>
          </cell>
          <cell r="Y1316" t="e">
            <v>#N/A</v>
          </cell>
          <cell r="Z1316" t="e">
            <v>#N/A</v>
          </cell>
        </row>
        <row r="1317">
          <cell r="E1317" t="str">
            <v>MANO DE OBRA</v>
          </cell>
          <cell r="I1317">
            <v>165000</v>
          </cell>
          <cell r="L1317">
            <v>13200000</v>
          </cell>
          <cell r="Z1317" t="e">
            <v>#VALUE!</v>
          </cell>
        </row>
        <row r="1318">
          <cell r="D1318" t="str">
            <v>MOANSU</v>
          </cell>
          <cell r="E1318" t="str">
            <v>Sumidero concreto</v>
          </cell>
          <cell r="F1318" t="str">
            <v>UN</v>
          </cell>
          <cell r="G1318">
            <v>1</v>
          </cell>
          <cell r="H1318">
            <v>165000</v>
          </cell>
          <cell r="I1318">
            <v>165000</v>
          </cell>
          <cell r="J1318">
            <v>0</v>
          </cell>
          <cell r="K1318">
            <v>80</v>
          </cell>
          <cell r="L1318">
            <v>13200000</v>
          </cell>
          <cell r="Y1318" t="e">
            <v>#VALUE!</v>
          </cell>
          <cell r="Z1318" t="e">
            <v>#VALUE!</v>
          </cell>
        </row>
        <row r="1320">
          <cell r="E1320" t="str">
            <v>VARIOS</v>
          </cell>
          <cell r="I1320">
            <v>800</v>
          </cell>
          <cell r="L1320">
            <v>64000</v>
          </cell>
          <cell r="Z1320" t="e">
            <v>#VALUE!</v>
          </cell>
        </row>
        <row r="1321">
          <cell r="D1321" t="str">
            <v>TC07H800</v>
          </cell>
          <cell r="E1321" t="str">
            <v>Herramienta Menor</v>
          </cell>
          <cell r="F1321" t="str">
            <v>Gb</v>
          </cell>
          <cell r="G1321">
            <v>1</v>
          </cell>
          <cell r="H1321">
            <v>800</v>
          </cell>
          <cell r="I1321">
            <v>800</v>
          </cell>
          <cell r="J1321">
            <v>0</v>
          </cell>
          <cell r="K1321">
            <v>80</v>
          </cell>
          <cell r="L1321">
            <v>64000</v>
          </cell>
          <cell r="Y1321" t="e">
            <v>#VALUE!</v>
          </cell>
          <cell r="Z1321" t="e">
            <v>#VALUE!</v>
          </cell>
        </row>
        <row r="1323">
          <cell r="E1323" t="str">
            <v>SUBTOTAL</v>
          </cell>
          <cell r="I1323">
            <v>783662</v>
          </cell>
          <cell r="L1323">
            <v>62692960</v>
          </cell>
          <cell r="Z1323" t="e">
            <v>#VALUE!</v>
          </cell>
        </row>
        <row r="1324">
          <cell r="E1324" t="str">
            <v>A.I.U</v>
          </cell>
          <cell r="I1324">
            <v>0</v>
          </cell>
          <cell r="L1324">
            <v>0</v>
          </cell>
          <cell r="Z1324">
            <v>0</v>
          </cell>
        </row>
        <row r="1325">
          <cell r="D1325" t="str">
            <v>AIUAADMON</v>
          </cell>
          <cell r="E1325" t="str">
            <v>Admon</v>
          </cell>
          <cell r="F1325">
            <v>0</v>
          </cell>
          <cell r="I1325">
            <v>0</v>
          </cell>
          <cell r="J1325">
            <v>0</v>
          </cell>
          <cell r="L1325">
            <v>0</v>
          </cell>
          <cell r="Z1325">
            <v>0</v>
          </cell>
        </row>
        <row r="1326">
          <cell r="D1326" t="str">
            <v>AIUAIMPRE</v>
          </cell>
          <cell r="E1326" t="str">
            <v>Imprevistos</v>
          </cell>
          <cell r="F1326">
            <v>0</v>
          </cell>
          <cell r="I1326">
            <v>0</v>
          </cell>
          <cell r="J1326">
            <v>0</v>
          </cell>
          <cell r="L1326">
            <v>0</v>
          </cell>
          <cell r="Z1326">
            <v>0</v>
          </cell>
        </row>
        <row r="1327">
          <cell r="D1327" t="str">
            <v>AIUAUTILI</v>
          </cell>
          <cell r="E1327" t="str">
            <v>Utilidad</v>
          </cell>
          <cell r="F1327">
            <v>0</v>
          </cell>
          <cell r="I1327">
            <v>0</v>
          </cell>
          <cell r="J1327">
            <v>0</v>
          </cell>
          <cell r="L1327">
            <v>0</v>
          </cell>
          <cell r="Z1327">
            <v>0</v>
          </cell>
        </row>
        <row r="1328">
          <cell r="D1328" t="str">
            <v>AIUAIVAUTI</v>
          </cell>
          <cell r="E1328" t="str">
            <v>IVA utilidad</v>
          </cell>
          <cell r="F1328">
            <v>0</v>
          </cell>
          <cell r="I1328">
            <v>0</v>
          </cell>
          <cell r="J1328">
            <v>0</v>
          </cell>
          <cell r="L1328">
            <v>0</v>
          </cell>
          <cell r="Z1328">
            <v>0</v>
          </cell>
        </row>
        <row r="1330">
          <cell r="E1330" t="str">
            <v>ITEM</v>
          </cell>
        </row>
        <row r="1331">
          <cell r="D1331" t="str">
            <v>ANSU150</v>
          </cell>
          <cell r="E1331" t="str">
            <v>Sumidero Tipo SL-150</v>
          </cell>
          <cell r="G1331" t="str">
            <v>UN.</v>
          </cell>
          <cell r="H1331" t="str">
            <v>Un</v>
          </cell>
          <cell r="I1331">
            <v>930106</v>
          </cell>
          <cell r="K1331">
            <v>39</v>
          </cell>
          <cell r="L1331">
            <v>36274134</v>
          </cell>
          <cell r="N1331">
            <v>681806</v>
          </cell>
          <cell r="O1331">
            <v>247500</v>
          </cell>
          <cell r="P1331">
            <v>800</v>
          </cell>
          <cell r="Q1331">
            <v>0</v>
          </cell>
          <cell r="X1331">
            <v>36274134</v>
          </cell>
          <cell r="Y1331" t="str">
            <v>Un</v>
          </cell>
          <cell r="Z1331" t="e">
            <v>#N/A</v>
          </cell>
          <cell r="AA1331" t="e">
            <v>#N/A</v>
          </cell>
          <cell r="AB1331" t="e">
            <v>#N/A</v>
          </cell>
          <cell r="AC1331" t="e">
            <v>#N/A</v>
          </cell>
        </row>
        <row r="1333">
          <cell r="D1333" t="str">
            <v>CODIGO</v>
          </cell>
          <cell r="E1333" t="str">
            <v>DESCRIPCION</v>
          </cell>
          <cell r="F1333" t="str">
            <v>UN</v>
          </cell>
          <cell r="G1333" t="str">
            <v>CANT</v>
          </cell>
          <cell r="H1333" t="str">
            <v>V/UNIT.</v>
          </cell>
          <cell r="I1333" t="str">
            <v>V/TOTAL</v>
          </cell>
          <cell r="K1333" t="str">
            <v>CANT TOTAL</v>
          </cell>
          <cell r="L1333" t="str">
            <v>Vr TOTAL</v>
          </cell>
          <cell r="Y1333" t="str">
            <v>CANT.</v>
          </cell>
          <cell r="Z1333" t="str">
            <v>V/TOTAL</v>
          </cell>
        </row>
        <row r="1334">
          <cell r="E1334" t="str">
            <v>MATERIALES</v>
          </cell>
          <cell r="I1334">
            <v>681806</v>
          </cell>
          <cell r="L1334">
            <v>26590434</v>
          </cell>
          <cell r="Z1334" t="e">
            <v>#N/A</v>
          </cell>
        </row>
        <row r="1335">
          <cell r="D1335" t="str">
            <v>MA04C35</v>
          </cell>
          <cell r="E1335" t="str">
            <v xml:space="preserve">Concreto 3500 psi </v>
          </cell>
          <cell r="F1335" t="str">
            <v>M3</v>
          </cell>
          <cell r="G1335">
            <v>2.25</v>
          </cell>
          <cell r="H1335">
            <v>215775</v>
          </cell>
          <cell r="I1335">
            <v>485494</v>
          </cell>
          <cell r="J1335">
            <v>0</v>
          </cell>
          <cell r="K1335">
            <v>87.75</v>
          </cell>
          <cell r="L1335">
            <v>18934256.25</v>
          </cell>
          <cell r="Y1335" t="e">
            <v>#N/A</v>
          </cell>
          <cell r="Z1335" t="e">
            <v>#N/A</v>
          </cell>
        </row>
        <row r="1336">
          <cell r="D1336" t="str">
            <v>MA05SUMT15</v>
          </cell>
          <cell r="E1336" t="str">
            <v>Marco y Tapa para Sumidero SL-150</v>
          </cell>
          <cell r="F1336" t="str">
            <v>Un</v>
          </cell>
          <cell r="G1336">
            <v>1</v>
          </cell>
          <cell r="H1336">
            <v>120000</v>
          </cell>
          <cell r="I1336">
            <v>120000</v>
          </cell>
          <cell r="J1336">
            <v>0</v>
          </cell>
          <cell r="K1336">
            <v>39</v>
          </cell>
          <cell r="L1336">
            <v>4680000</v>
          </cell>
          <cell r="Y1336" t="e">
            <v>#N/A</v>
          </cell>
          <cell r="Z1336" t="e">
            <v>#N/A</v>
          </cell>
        </row>
        <row r="1337">
          <cell r="D1337" t="str">
            <v>MA25TB20</v>
          </cell>
          <cell r="E1337" t="str">
            <v>Tabla Burra 20 cm</v>
          </cell>
          <cell r="F1337" t="str">
            <v>Un</v>
          </cell>
          <cell r="G1337">
            <v>6</v>
          </cell>
          <cell r="H1337">
            <v>6380</v>
          </cell>
          <cell r="I1337">
            <v>38280</v>
          </cell>
          <cell r="J1337">
            <v>0</v>
          </cell>
          <cell r="K1337">
            <v>234</v>
          </cell>
          <cell r="L1337">
            <v>1492920</v>
          </cell>
          <cell r="Y1337" t="e">
            <v>#N/A</v>
          </cell>
          <cell r="Z1337" t="e">
            <v>#N/A</v>
          </cell>
        </row>
        <row r="1338">
          <cell r="D1338" t="str">
            <v>MA25DURM</v>
          </cell>
          <cell r="E1338" t="str">
            <v>Durmiente</v>
          </cell>
          <cell r="F1338" t="str">
            <v>Un</v>
          </cell>
          <cell r="G1338">
            <v>4</v>
          </cell>
          <cell r="H1338">
            <v>2000</v>
          </cell>
          <cell r="I1338">
            <v>8000</v>
          </cell>
          <cell r="J1338">
            <v>0</v>
          </cell>
          <cell r="K1338">
            <v>156</v>
          </cell>
          <cell r="L1338">
            <v>312000</v>
          </cell>
          <cell r="Y1338" t="e">
            <v>#N/A</v>
          </cell>
          <cell r="Z1338" t="e">
            <v>#N/A</v>
          </cell>
        </row>
        <row r="1339">
          <cell r="D1339" t="str">
            <v>MA25VC6</v>
          </cell>
          <cell r="E1339" t="str">
            <v>Vara de Corredor 6 ml</v>
          </cell>
          <cell r="F1339" t="str">
            <v>Un</v>
          </cell>
          <cell r="G1339">
            <v>4</v>
          </cell>
          <cell r="H1339">
            <v>6900</v>
          </cell>
          <cell r="I1339">
            <v>27600</v>
          </cell>
          <cell r="J1339">
            <v>0</v>
          </cell>
          <cell r="K1339">
            <v>156</v>
          </cell>
          <cell r="L1339">
            <v>1076400</v>
          </cell>
          <cell r="Y1339" t="e">
            <v>#N/A</v>
          </cell>
          <cell r="Z1339" t="e">
            <v>#N/A</v>
          </cell>
        </row>
        <row r="1340">
          <cell r="D1340" t="str">
            <v>MA19PC25</v>
          </cell>
          <cell r="E1340" t="str">
            <v>Puntilla con cabeza 2,5"</v>
          </cell>
          <cell r="F1340" t="str">
            <v>Lb</v>
          </cell>
          <cell r="G1340">
            <v>2</v>
          </cell>
          <cell r="H1340">
            <v>1216</v>
          </cell>
          <cell r="I1340">
            <v>2432</v>
          </cell>
          <cell r="J1340">
            <v>0</v>
          </cell>
          <cell r="K1340">
            <v>78</v>
          </cell>
          <cell r="L1340">
            <v>94848</v>
          </cell>
          <cell r="Y1340" t="e">
            <v>#N/A</v>
          </cell>
          <cell r="Z1340" t="e">
            <v>#N/A</v>
          </cell>
        </row>
        <row r="1341">
          <cell r="E1341" t="str">
            <v>MANO DE OBRA</v>
          </cell>
          <cell r="I1341">
            <v>247500</v>
          </cell>
          <cell r="L1341">
            <v>9652500</v>
          </cell>
          <cell r="Z1341" t="e">
            <v>#N/A</v>
          </cell>
        </row>
        <row r="1342">
          <cell r="D1342" t="str">
            <v>MOANSU</v>
          </cell>
          <cell r="E1342" t="str">
            <v>Sumidero concreto</v>
          </cell>
          <cell r="F1342" t="str">
            <v>UN</v>
          </cell>
          <cell r="G1342">
            <v>1.5</v>
          </cell>
          <cell r="H1342">
            <v>165000</v>
          </cell>
          <cell r="I1342">
            <v>247500</v>
          </cell>
          <cell r="J1342">
            <v>0</v>
          </cell>
          <cell r="K1342">
            <v>58.5</v>
          </cell>
          <cell r="L1342">
            <v>9652500</v>
          </cell>
          <cell r="Y1342" t="e">
            <v>#N/A</v>
          </cell>
          <cell r="Z1342" t="e">
            <v>#N/A</v>
          </cell>
        </row>
        <row r="1344">
          <cell r="E1344" t="str">
            <v>VARIOS</v>
          </cell>
          <cell r="I1344">
            <v>800</v>
          </cell>
          <cell r="L1344">
            <v>31200</v>
          </cell>
          <cell r="Z1344" t="e">
            <v>#N/A</v>
          </cell>
        </row>
        <row r="1345">
          <cell r="D1345" t="str">
            <v>TC07H800</v>
          </cell>
          <cell r="E1345" t="str">
            <v>Herramienta Menor</v>
          </cell>
          <cell r="F1345" t="str">
            <v>Gb</v>
          </cell>
          <cell r="G1345">
            <v>1</v>
          </cell>
          <cell r="H1345">
            <v>800</v>
          </cell>
          <cell r="I1345">
            <v>800</v>
          </cell>
          <cell r="J1345">
            <v>0</v>
          </cell>
          <cell r="K1345">
            <v>39</v>
          </cell>
          <cell r="L1345">
            <v>31200</v>
          </cell>
          <cell r="Y1345" t="e">
            <v>#N/A</v>
          </cell>
          <cell r="Z1345" t="e">
            <v>#N/A</v>
          </cell>
        </row>
        <row r="1347">
          <cell r="E1347" t="str">
            <v>SUBTOTAL</v>
          </cell>
          <cell r="I1347">
            <v>930106</v>
          </cell>
          <cell r="L1347">
            <v>36274134</v>
          </cell>
          <cell r="Z1347" t="e">
            <v>#N/A</v>
          </cell>
        </row>
        <row r="1348">
          <cell r="E1348" t="str">
            <v>A.I.U</v>
          </cell>
          <cell r="I1348">
            <v>0</v>
          </cell>
          <cell r="L1348">
            <v>0</v>
          </cell>
          <cell r="Z1348">
            <v>0</v>
          </cell>
        </row>
        <row r="1349">
          <cell r="D1349" t="str">
            <v>AIUAADMON</v>
          </cell>
          <cell r="E1349" t="str">
            <v>Admon</v>
          </cell>
          <cell r="F1349">
            <v>0</v>
          </cell>
          <cell r="I1349">
            <v>0</v>
          </cell>
          <cell r="J1349">
            <v>0</v>
          </cell>
          <cell r="L1349">
            <v>0</v>
          </cell>
          <cell r="Z1349">
            <v>0</v>
          </cell>
        </row>
        <row r="1350">
          <cell r="D1350" t="str">
            <v>AIUAIMPRE</v>
          </cell>
          <cell r="E1350" t="str">
            <v>Imprevistos</v>
          </cell>
          <cell r="F1350">
            <v>0</v>
          </cell>
          <cell r="I1350">
            <v>0</v>
          </cell>
          <cell r="J1350">
            <v>0</v>
          </cell>
          <cell r="L1350">
            <v>0</v>
          </cell>
          <cell r="Z1350">
            <v>0</v>
          </cell>
        </row>
        <row r="1351">
          <cell r="D1351" t="str">
            <v>AIUAUTILI</v>
          </cell>
          <cell r="E1351" t="str">
            <v>Utilidad</v>
          </cell>
          <cell r="F1351">
            <v>0</v>
          </cell>
          <cell r="I1351">
            <v>0</v>
          </cell>
          <cell r="J1351">
            <v>0</v>
          </cell>
          <cell r="L1351">
            <v>0</v>
          </cell>
          <cell r="Z1351">
            <v>0</v>
          </cell>
        </row>
        <row r="1352">
          <cell r="D1352" t="str">
            <v>AIUAIVAUTI</v>
          </cell>
          <cell r="E1352" t="str">
            <v>IVA utilidad</v>
          </cell>
          <cell r="F1352">
            <v>0</v>
          </cell>
          <cell r="I1352">
            <v>0</v>
          </cell>
          <cell r="J1352">
            <v>0</v>
          </cell>
          <cell r="L1352">
            <v>0</v>
          </cell>
          <cell r="Z1352">
            <v>0</v>
          </cell>
        </row>
        <row r="1354">
          <cell r="E1354" t="str">
            <v>ITEM</v>
          </cell>
        </row>
        <row r="1355">
          <cell r="D1355" t="str">
            <v>ANSURE</v>
          </cell>
          <cell r="E1355" t="str">
            <v>Rejilla para sumidero CR- area 0.32x0.7 (dos y tres apoy)</v>
          </cell>
          <cell r="G1355" t="str">
            <v>UN.</v>
          </cell>
          <cell r="H1355" t="str">
            <v>Un</v>
          </cell>
          <cell r="I1355">
            <v>82000</v>
          </cell>
          <cell r="K1355">
            <v>145</v>
          </cell>
          <cell r="L1355">
            <v>11890000</v>
          </cell>
          <cell r="N1355">
            <v>82000</v>
          </cell>
          <cell r="O1355">
            <v>0</v>
          </cell>
          <cell r="P1355">
            <v>0</v>
          </cell>
          <cell r="Q1355">
            <v>0</v>
          </cell>
          <cell r="X1355">
            <v>11890000</v>
          </cell>
          <cell r="Y1355" t="str">
            <v>Un</v>
          </cell>
          <cell r="Z1355" t="e">
            <v>#N/A</v>
          </cell>
          <cell r="AA1355" t="e">
            <v>#N/A</v>
          </cell>
          <cell r="AB1355">
            <v>0</v>
          </cell>
          <cell r="AC1355">
            <v>0</v>
          </cell>
        </row>
        <row r="1357">
          <cell r="D1357" t="str">
            <v>CODIGO</v>
          </cell>
          <cell r="E1357" t="str">
            <v>DESCRIPCION</v>
          </cell>
          <cell r="F1357" t="str">
            <v>UN</v>
          </cell>
          <cell r="G1357" t="str">
            <v>CANT</v>
          </cell>
          <cell r="H1357" t="str">
            <v>V/UNIT.</v>
          </cell>
          <cell r="I1357" t="str">
            <v>V/TOTAL</v>
          </cell>
          <cell r="K1357" t="str">
            <v>CANT TOTAL</v>
          </cell>
          <cell r="L1357" t="str">
            <v>Vr TOTAL</v>
          </cell>
          <cell r="Y1357" t="str">
            <v>CANT.</v>
          </cell>
          <cell r="Z1357" t="str">
            <v>V/TOTAL</v>
          </cell>
        </row>
        <row r="1358">
          <cell r="E1358" t="str">
            <v>MATERIALES</v>
          </cell>
          <cell r="I1358">
            <v>82000</v>
          </cell>
          <cell r="L1358">
            <v>11890000</v>
          </cell>
          <cell r="Z1358" t="e">
            <v>#N/A</v>
          </cell>
        </row>
        <row r="1359">
          <cell r="D1359" t="str">
            <v>MA05SURE</v>
          </cell>
          <cell r="E1359" t="str">
            <v>Rejilla para Sumidero CR Area 0.32x0.70 (dos y tes Apoyos)</v>
          </cell>
          <cell r="F1359" t="str">
            <v>Un</v>
          </cell>
          <cell r="G1359">
            <v>1</v>
          </cell>
          <cell r="H1359">
            <v>82000</v>
          </cell>
          <cell r="I1359">
            <v>82000</v>
          </cell>
          <cell r="J1359">
            <v>0</v>
          </cell>
          <cell r="K1359">
            <v>145</v>
          </cell>
          <cell r="L1359">
            <v>11890000</v>
          </cell>
          <cell r="Y1359" t="e">
            <v>#N/A</v>
          </cell>
          <cell r="Z1359" t="e">
            <v>#N/A</v>
          </cell>
        </row>
        <row r="1360">
          <cell r="I1360">
            <v>0</v>
          </cell>
          <cell r="J1360">
            <v>0</v>
          </cell>
          <cell r="K1360">
            <v>0</v>
          </cell>
          <cell r="L1360">
            <v>0</v>
          </cell>
          <cell r="Y1360">
            <v>0</v>
          </cell>
          <cell r="Z1360">
            <v>0</v>
          </cell>
        </row>
        <row r="1361">
          <cell r="I1361">
            <v>0</v>
          </cell>
          <cell r="J1361">
            <v>0</v>
          </cell>
          <cell r="K1361">
            <v>0</v>
          </cell>
          <cell r="L1361">
            <v>0</v>
          </cell>
          <cell r="Y1361">
            <v>0</v>
          </cell>
          <cell r="Z1361">
            <v>0</v>
          </cell>
        </row>
        <row r="1362">
          <cell r="I1362">
            <v>0</v>
          </cell>
          <cell r="J1362">
            <v>0</v>
          </cell>
          <cell r="K1362">
            <v>0</v>
          </cell>
          <cell r="L1362">
            <v>0</v>
          </cell>
          <cell r="Y1362">
            <v>0</v>
          </cell>
          <cell r="Z1362">
            <v>0</v>
          </cell>
        </row>
        <row r="1363">
          <cell r="E1363" t="str">
            <v>MANO DE OBRA</v>
          </cell>
          <cell r="I1363">
            <v>0</v>
          </cell>
          <cell r="L1363">
            <v>0</v>
          </cell>
          <cell r="Z1363">
            <v>0</v>
          </cell>
        </row>
        <row r="1364">
          <cell r="I1364">
            <v>0</v>
          </cell>
          <cell r="J1364">
            <v>0</v>
          </cell>
          <cell r="K1364">
            <v>0</v>
          </cell>
          <cell r="L1364">
            <v>0</v>
          </cell>
          <cell r="Y1364">
            <v>0</v>
          </cell>
          <cell r="Z1364">
            <v>0</v>
          </cell>
        </row>
        <row r="1366">
          <cell r="E1366" t="str">
            <v>VARIOS</v>
          </cell>
          <cell r="I1366">
            <v>0</v>
          </cell>
          <cell r="L1366">
            <v>0</v>
          </cell>
          <cell r="Z1366">
            <v>0</v>
          </cell>
        </row>
        <row r="1367">
          <cell r="I1367">
            <v>0</v>
          </cell>
          <cell r="J1367">
            <v>0</v>
          </cell>
          <cell r="K1367">
            <v>0</v>
          </cell>
          <cell r="L1367">
            <v>0</v>
          </cell>
          <cell r="Y1367">
            <v>0</v>
          </cell>
          <cell r="Z1367">
            <v>0</v>
          </cell>
        </row>
        <row r="1369">
          <cell r="E1369" t="str">
            <v>SUBTOTAL</v>
          </cell>
          <cell r="I1369">
            <v>82000</v>
          </cell>
          <cell r="L1369">
            <v>11890000</v>
          </cell>
          <cell r="Z1369" t="e">
            <v>#N/A</v>
          </cell>
        </row>
        <row r="1370">
          <cell r="E1370" t="str">
            <v>A.I.U</v>
          </cell>
          <cell r="I1370">
            <v>0</v>
          </cell>
          <cell r="L1370">
            <v>0</v>
          </cell>
          <cell r="Z1370">
            <v>0</v>
          </cell>
        </row>
        <row r="1371">
          <cell r="D1371" t="str">
            <v>AIUAADMON</v>
          </cell>
          <cell r="E1371" t="str">
            <v>Admon</v>
          </cell>
          <cell r="F1371">
            <v>0</v>
          </cell>
          <cell r="I1371">
            <v>0</v>
          </cell>
          <cell r="J1371">
            <v>0</v>
          </cell>
          <cell r="L1371">
            <v>0</v>
          </cell>
          <cell r="Z1371">
            <v>0</v>
          </cell>
        </row>
        <row r="1372">
          <cell r="D1372" t="str">
            <v>AIUAIMPRE</v>
          </cell>
          <cell r="E1372" t="str">
            <v>Imprevistos</v>
          </cell>
          <cell r="F1372">
            <v>0</v>
          </cell>
          <cell r="I1372">
            <v>0</v>
          </cell>
          <cell r="J1372">
            <v>0</v>
          </cell>
          <cell r="L1372">
            <v>0</v>
          </cell>
          <cell r="Z1372">
            <v>0</v>
          </cell>
        </row>
        <row r="1373">
          <cell r="D1373" t="str">
            <v>AIUAUTILI</v>
          </cell>
          <cell r="E1373" t="str">
            <v>Utilidad</v>
          </cell>
          <cell r="F1373">
            <v>0</v>
          </cell>
          <cell r="I1373">
            <v>0</v>
          </cell>
          <cell r="J1373">
            <v>0</v>
          </cell>
          <cell r="L1373">
            <v>0</v>
          </cell>
          <cell r="Z1373">
            <v>0</v>
          </cell>
        </row>
        <row r="1374">
          <cell r="D1374" t="str">
            <v>AIUAIVAUTI</v>
          </cell>
          <cell r="E1374" t="str">
            <v>IVA utilidad</v>
          </cell>
          <cell r="F1374">
            <v>0</v>
          </cell>
          <cell r="I1374">
            <v>0</v>
          </cell>
          <cell r="J1374">
            <v>0</v>
          </cell>
          <cell r="L1374">
            <v>0</v>
          </cell>
          <cell r="Z1374">
            <v>0</v>
          </cell>
        </row>
        <row r="1376">
          <cell r="E1376" t="str">
            <v>ITEM</v>
          </cell>
        </row>
        <row r="1377">
          <cell r="D1377" t="str">
            <v>RACVLA</v>
          </cell>
          <cell r="E1377" t="str">
            <v>Cruce Vias Ladrillo (Carc. de Protec. Tuberia 12¨)</v>
          </cell>
          <cell r="G1377" t="str">
            <v>UN.</v>
          </cell>
          <cell r="H1377" t="str">
            <v>Ml</v>
          </cell>
          <cell r="I1377">
            <v>81696</v>
          </cell>
          <cell r="K1377">
            <v>384</v>
          </cell>
          <cell r="L1377">
            <v>31371264</v>
          </cell>
          <cell r="N1377">
            <v>51696</v>
          </cell>
          <cell r="O1377">
            <v>29500</v>
          </cell>
          <cell r="P1377">
            <v>500</v>
          </cell>
          <cell r="Q1377">
            <v>0</v>
          </cell>
          <cell r="X1377">
            <v>31371264</v>
          </cell>
          <cell r="Y1377" t="str">
            <v>Ml</v>
          </cell>
          <cell r="Z1377" t="e">
            <v>#VALUE!</v>
          </cell>
          <cell r="AA1377" t="e">
            <v>#VALUE!</v>
          </cell>
          <cell r="AB1377" t="e">
            <v>#VALUE!</v>
          </cell>
          <cell r="AC1377" t="e">
            <v>#VALUE!</v>
          </cell>
        </row>
        <row r="1379">
          <cell r="D1379" t="str">
            <v>CODIGO</v>
          </cell>
          <cell r="E1379" t="str">
            <v>DESCRIPCION</v>
          </cell>
          <cell r="F1379" t="str">
            <v>UN</v>
          </cell>
          <cell r="G1379" t="str">
            <v>CANT</v>
          </cell>
          <cell r="H1379" t="str">
            <v>V/UNIT.</v>
          </cell>
          <cell r="I1379" t="str">
            <v>V/TOTAL</v>
          </cell>
          <cell r="K1379" t="str">
            <v>CANT TOTAL</v>
          </cell>
          <cell r="L1379" t="str">
            <v>Vr TOTAL</v>
          </cell>
          <cell r="Y1379" t="str">
            <v>CANT.</v>
          </cell>
          <cell r="Z1379" t="str">
            <v>V/TOTAL</v>
          </cell>
        </row>
        <row r="1380">
          <cell r="E1380" t="str">
            <v>MATERIALES</v>
          </cell>
          <cell r="I1380">
            <v>51696</v>
          </cell>
          <cell r="L1380">
            <v>19851264</v>
          </cell>
          <cell r="Z1380" t="e">
            <v>#VALUE!</v>
          </cell>
        </row>
        <row r="1381">
          <cell r="D1381" t="str">
            <v>MA06TR</v>
          </cell>
          <cell r="E1381" t="str">
            <v>Ladrillo Tolete Recocido</v>
          </cell>
          <cell r="F1381" t="str">
            <v>Un</v>
          </cell>
          <cell r="G1381">
            <v>90</v>
          </cell>
          <cell r="H1381">
            <v>220</v>
          </cell>
          <cell r="I1381">
            <v>19800</v>
          </cell>
          <cell r="J1381">
            <v>0</v>
          </cell>
          <cell r="K1381">
            <v>34560</v>
          </cell>
          <cell r="L1381">
            <v>7603200</v>
          </cell>
          <cell r="Y1381" t="e">
            <v>#VALUE!</v>
          </cell>
          <cell r="Z1381" t="e">
            <v>#VALUE!</v>
          </cell>
        </row>
        <row r="1382">
          <cell r="D1382" t="str">
            <v>MA02AS</v>
          </cell>
          <cell r="E1382" t="str">
            <v>Arena Semilavada</v>
          </cell>
          <cell r="F1382" t="str">
            <v>M3</v>
          </cell>
          <cell r="G1382">
            <v>0.65</v>
          </cell>
          <cell r="H1382">
            <v>19500</v>
          </cell>
          <cell r="I1382">
            <v>12675</v>
          </cell>
          <cell r="J1382">
            <v>0</v>
          </cell>
          <cell r="K1382">
            <v>249.60000000000002</v>
          </cell>
          <cell r="L1382">
            <v>4867200</v>
          </cell>
          <cell r="Y1382" t="e">
            <v>#VALUE!</v>
          </cell>
          <cell r="Z1382" t="e">
            <v>#VALUE!</v>
          </cell>
        </row>
        <row r="1383">
          <cell r="D1383" t="str">
            <v>MA03CG</v>
          </cell>
          <cell r="E1383" t="str">
            <v>Cemento Gris</v>
          </cell>
          <cell r="F1383" t="str">
            <v>Kg</v>
          </cell>
          <cell r="G1383">
            <v>12</v>
          </cell>
          <cell r="H1383">
            <v>190</v>
          </cell>
          <cell r="I1383">
            <v>2280</v>
          </cell>
          <cell r="J1383">
            <v>0</v>
          </cell>
          <cell r="K1383">
            <v>4608</v>
          </cell>
          <cell r="L1383">
            <v>875520</v>
          </cell>
          <cell r="Y1383" t="e">
            <v>#VALUE!</v>
          </cell>
          <cell r="Z1383" t="e">
            <v>#VALUE!</v>
          </cell>
        </row>
        <row r="1384">
          <cell r="D1384" t="str">
            <v>MA04C3</v>
          </cell>
          <cell r="E1384" t="str">
            <v xml:space="preserve">Concreto 3000 psi </v>
          </cell>
          <cell r="F1384" t="str">
            <v>M3</v>
          </cell>
          <cell r="G1384">
            <v>0.08</v>
          </cell>
          <cell r="H1384">
            <v>202575</v>
          </cell>
          <cell r="I1384">
            <v>16206</v>
          </cell>
          <cell r="J1384">
            <v>0</v>
          </cell>
          <cell r="K1384">
            <v>30.72</v>
          </cell>
          <cell r="L1384">
            <v>6223104</v>
          </cell>
          <cell r="Y1384" t="e">
            <v>#VALUE!</v>
          </cell>
          <cell r="Z1384" t="e">
            <v>#VALUE!</v>
          </cell>
        </row>
        <row r="1385">
          <cell r="D1385" t="str">
            <v>HS17POL</v>
          </cell>
          <cell r="E1385" t="str">
            <v>Polietileno</v>
          </cell>
          <cell r="F1385" t="str">
            <v>Kg</v>
          </cell>
          <cell r="G1385">
            <v>0.3</v>
          </cell>
          <cell r="H1385">
            <v>2450</v>
          </cell>
          <cell r="I1385">
            <v>735</v>
          </cell>
          <cell r="J1385">
            <v>0</v>
          </cell>
          <cell r="K1385">
            <v>115.19999999999999</v>
          </cell>
          <cell r="L1385">
            <v>282240</v>
          </cell>
          <cell r="Y1385" t="e">
            <v>#VALUE!</v>
          </cell>
          <cell r="Z1385" t="e">
            <v>#VALUE!</v>
          </cell>
        </row>
        <row r="1387">
          <cell r="E1387" t="str">
            <v>MANO DE OBRA</v>
          </cell>
          <cell r="I1387">
            <v>29500</v>
          </cell>
          <cell r="L1387">
            <v>11328000</v>
          </cell>
          <cell r="Z1387" t="e">
            <v>#VALUE!</v>
          </cell>
        </row>
        <row r="1388">
          <cell r="D1388" t="str">
            <v>MORACVLA</v>
          </cell>
          <cell r="E1388" t="str">
            <v>Cruce Vias en Ladrillo</v>
          </cell>
          <cell r="F1388" t="str">
            <v>ml</v>
          </cell>
          <cell r="G1388">
            <v>1</v>
          </cell>
          <cell r="H1388">
            <v>29500</v>
          </cell>
          <cell r="I1388">
            <v>29500</v>
          </cell>
          <cell r="J1388">
            <v>0</v>
          </cell>
          <cell r="K1388">
            <v>384</v>
          </cell>
          <cell r="L1388">
            <v>11328000</v>
          </cell>
          <cell r="Y1388" t="e">
            <v>#VALUE!</v>
          </cell>
          <cell r="Z1388" t="e">
            <v>#VALUE!</v>
          </cell>
        </row>
        <row r="1390">
          <cell r="E1390" t="str">
            <v>VARIOS</v>
          </cell>
          <cell r="I1390">
            <v>500</v>
          </cell>
          <cell r="L1390">
            <v>192000</v>
          </cell>
          <cell r="Z1390" t="e">
            <v>#VALUE!</v>
          </cell>
        </row>
        <row r="1391">
          <cell r="D1391" t="str">
            <v>TC07H350</v>
          </cell>
          <cell r="E1391" t="str">
            <v>Herramienta</v>
          </cell>
          <cell r="F1391" t="str">
            <v>Gb</v>
          </cell>
          <cell r="G1391">
            <v>1</v>
          </cell>
          <cell r="H1391">
            <v>500</v>
          </cell>
          <cell r="I1391">
            <v>500</v>
          </cell>
          <cell r="J1391">
            <v>0</v>
          </cell>
          <cell r="K1391">
            <v>384</v>
          </cell>
          <cell r="L1391">
            <v>192000</v>
          </cell>
          <cell r="Y1391" t="e">
            <v>#VALUE!</v>
          </cell>
          <cell r="Z1391" t="e">
            <v>#VALUE!</v>
          </cell>
        </row>
        <row r="1393">
          <cell r="E1393" t="str">
            <v>SUBTOTAL</v>
          </cell>
          <cell r="I1393">
            <v>81696</v>
          </cell>
          <cell r="L1393">
            <v>31371264</v>
          </cell>
          <cell r="Z1393" t="e">
            <v>#VALUE!</v>
          </cell>
        </row>
        <row r="1394">
          <cell r="E1394" t="str">
            <v>A.I.U</v>
          </cell>
          <cell r="I1394">
            <v>0</v>
          </cell>
          <cell r="L1394">
            <v>0</v>
          </cell>
          <cell r="Z1394">
            <v>0</v>
          </cell>
        </row>
        <row r="1395">
          <cell r="D1395" t="str">
            <v>AIUAADMON</v>
          </cell>
          <cell r="E1395" t="str">
            <v>Admon</v>
          </cell>
          <cell r="F1395">
            <v>0</v>
          </cell>
          <cell r="I1395">
            <v>0</v>
          </cell>
          <cell r="J1395">
            <v>0</v>
          </cell>
          <cell r="L1395">
            <v>0</v>
          </cell>
          <cell r="Z1395">
            <v>0</v>
          </cell>
        </row>
        <row r="1396">
          <cell r="D1396" t="str">
            <v>AIUAIMPRE</v>
          </cell>
          <cell r="E1396" t="str">
            <v>Imprevistos</v>
          </cell>
          <cell r="F1396">
            <v>0</v>
          </cell>
          <cell r="I1396">
            <v>0</v>
          </cell>
          <cell r="J1396">
            <v>0</v>
          </cell>
          <cell r="L1396">
            <v>0</v>
          </cell>
          <cell r="Z1396">
            <v>0</v>
          </cell>
        </row>
        <row r="1397">
          <cell r="D1397" t="str">
            <v>AIUAUTILI</v>
          </cell>
          <cell r="E1397" t="str">
            <v>Utilidad</v>
          </cell>
          <cell r="F1397">
            <v>0</v>
          </cell>
          <cell r="I1397">
            <v>0</v>
          </cell>
          <cell r="J1397">
            <v>0</v>
          </cell>
          <cell r="L1397">
            <v>0</v>
          </cell>
          <cell r="Z1397">
            <v>0</v>
          </cell>
        </row>
        <row r="1398">
          <cell r="D1398" t="str">
            <v>AIUAIVAUTI</v>
          </cell>
          <cell r="E1398" t="str">
            <v>IVA utilidad</v>
          </cell>
          <cell r="F1398">
            <v>0</v>
          </cell>
          <cell r="I1398">
            <v>0</v>
          </cell>
          <cell r="J1398">
            <v>0</v>
          </cell>
          <cell r="L1398">
            <v>0</v>
          </cell>
          <cell r="Z1398">
            <v>0</v>
          </cell>
        </row>
        <row r="1400">
          <cell r="E1400" t="str">
            <v>ITEM</v>
          </cell>
        </row>
        <row r="1401">
          <cell r="D1401" t="str">
            <v>RACP16</v>
          </cell>
          <cell r="E1401" t="str">
            <v>Cruce Vias Ladrillo (Carc. de Protec. Tuberia 16¨)</v>
          </cell>
          <cell r="G1401" t="str">
            <v>UN.</v>
          </cell>
          <cell r="H1401" t="str">
            <v>Ml</v>
          </cell>
          <cell r="I1401">
            <v>91045.2</v>
          </cell>
          <cell r="K1401">
            <v>96</v>
          </cell>
          <cell r="L1401">
            <v>8740339.1999999993</v>
          </cell>
          <cell r="N1401">
            <v>61045.2</v>
          </cell>
          <cell r="O1401">
            <v>29500</v>
          </cell>
          <cell r="P1401">
            <v>500</v>
          </cell>
          <cell r="Q1401">
            <v>0</v>
          </cell>
          <cell r="X1401">
            <v>8740339.1999999993</v>
          </cell>
          <cell r="Y1401" t="str">
            <v>Ml</v>
          </cell>
          <cell r="Z1401" t="e">
            <v>#N/A</v>
          </cell>
          <cell r="AA1401" t="e">
            <v>#N/A</v>
          </cell>
          <cell r="AB1401" t="e">
            <v>#N/A</v>
          </cell>
          <cell r="AC1401" t="e">
            <v>#N/A</v>
          </cell>
        </row>
        <row r="1403">
          <cell r="D1403" t="str">
            <v>CODIGO</v>
          </cell>
          <cell r="E1403" t="str">
            <v>DESCRIPCION</v>
          </cell>
          <cell r="F1403" t="str">
            <v>UN</v>
          </cell>
          <cell r="G1403" t="str">
            <v>CANT</v>
          </cell>
          <cell r="H1403" t="str">
            <v>V/UNIT.</v>
          </cell>
          <cell r="I1403" t="str">
            <v>V/TOTAL</v>
          </cell>
          <cell r="K1403" t="str">
            <v>CANT TOTAL</v>
          </cell>
          <cell r="L1403" t="str">
            <v>Vr TOTAL</v>
          </cell>
          <cell r="Y1403" t="str">
            <v>CANT.</v>
          </cell>
          <cell r="Z1403" t="str">
            <v>V/TOTAL</v>
          </cell>
        </row>
        <row r="1404">
          <cell r="E1404" t="str">
            <v>MATERIALES</v>
          </cell>
          <cell r="I1404">
            <v>61045.2</v>
          </cell>
          <cell r="L1404">
            <v>5860339.1999999993</v>
          </cell>
          <cell r="Z1404" t="e">
            <v>#N/A</v>
          </cell>
        </row>
        <row r="1405">
          <cell r="D1405" t="str">
            <v>MA06TR</v>
          </cell>
          <cell r="E1405" t="str">
            <v>Ladrillo Tolete Recocido</v>
          </cell>
          <cell r="F1405" t="str">
            <v>Un</v>
          </cell>
          <cell r="G1405">
            <v>103.49999999999999</v>
          </cell>
          <cell r="H1405">
            <v>220</v>
          </cell>
          <cell r="I1405">
            <v>22769.999999999996</v>
          </cell>
          <cell r="J1405">
            <v>0</v>
          </cell>
          <cell r="K1405">
            <v>9935.9999999999982</v>
          </cell>
          <cell r="L1405">
            <v>2185919.9999999995</v>
          </cell>
          <cell r="Y1405" t="e">
            <v>#N/A</v>
          </cell>
          <cell r="Z1405" t="e">
            <v>#N/A</v>
          </cell>
        </row>
        <row r="1406">
          <cell r="D1406" t="str">
            <v>MA02AS</v>
          </cell>
          <cell r="E1406" t="str">
            <v>Arena Semilavada</v>
          </cell>
          <cell r="F1406" t="str">
            <v>M3</v>
          </cell>
          <cell r="G1406">
            <v>0.78</v>
          </cell>
          <cell r="H1406">
            <v>19500</v>
          </cell>
          <cell r="I1406">
            <v>15210</v>
          </cell>
          <cell r="J1406">
            <v>0</v>
          </cell>
          <cell r="K1406">
            <v>74.88</v>
          </cell>
          <cell r="L1406">
            <v>1460160</v>
          </cell>
          <cell r="Y1406" t="e">
            <v>#N/A</v>
          </cell>
          <cell r="Z1406" t="e">
            <v>#N/A</v>
          </cell>
        </row>
        <row r="1407">
          <cell r="D1407" t="str">
            <v>MA03CG</v>
          </cell>
          <cell r="E1407" t="str">
            <v>Cemento Gris</v>
          </cell>
          <cell r="F1407" t="str">
            <v>Kg</v>
          </cell>
          <cell r="G1407">
            <v>14.399999999999999</v>
          </cell>
          <cell r="H1407">
            <v>190</v>
          </cell>
          <cell r="I1407">
            <v>2735.9999999999995</v>
          </cell>
          <cell r="J1407">
            <v>0</v>
          </cell>
          <cell r="K1407">
            <v>1382.3999999999999</v>
          </cell>
          <cell r="L1407">
            <v>262656</v>
          </cell>
          <cell r="Y1407" t="e">
            <v>#N/A</v>
          </cell>
          <cell r="Z1407" t="e">
            <v>#N/A</v>
          </cell>
        </row>
        <row r="1408">
          <cell r="D1408" t="str">
            <v>MA04C3</v>
          </cell>
          <cell r="E1408" t="str">
            <v xml:space="preserve">Concreto 3000 psi </v>
          </cell>
          <cell r="F1408" t="str">
            <v>M3</v>
          </cell>
          <cell r="G1408">
            <v>9.6000000000000002E-2</v>
          </cell>
          <cell r="H1408">
            <v>202575</v>
          </cell>
          <cell r="I1408">
            <v>19447.2</v>
          </cell>
          <cell r="J1408">
            <v>0</v>
          </cell>
          <cell r="K1408">
            <v>9.2160000000000011</v>
          </cell>
          <cell r="L1408">
            <v>1866931.2000000002</v>
          </cell>
          <cell r="Y1408" t="e">
            <v>#N/A</v>
          </cell>
          <cell r="Z1408" t="e">
            <v>#N/A</v>
          </cell>
        </row>
        <row r="1409">
          <cell r="D1409" t="str">
            <v>HS17POL</v>
          </cell>
          <cell r="E1409" t="str">
            <v>Polietileno</v>
          </cell>
          <cell r="F1409" t="str">
            <v>Kg</v>
          </cell>
          <cell r="G1409">
            <v>0.36</v>
          </cell>
          <cell r="H1409">
            <v>2450</v>
          </cell>
          <cell r="I1409">
            <v>882</v>
          </cell>
          <cell r="J1409">
            <v>0</v>
          </cell>
          <cell r="K1409">
            <v>34.56</v>
          </cell>
          <cell r="L1409">
            <v>84672</v>
          </cell>
          <cell r="Y1409" t="e">
            <v>#N/A</v>
          </cell>
          <cell r="Z1409" t="e">
            <v>#N/A</v>
          </cell>
        </row>
        <row r="1411">
          <cell r="E1411" t="str">
            <v>MANO DE OBRA</v>
          </cell>
          <cell r="I1411">
            <v>29500</v>
          </cell>
          <cell r="L1411">
            <v>2832000</v>
          </cell>
          <cell r="Z1411" t="e">
            <v>#N/A</v>
          </cell>
        </row>
        <row r="1412">
          <cell r="D1412" t="str">
            <v>MORACVLA</v>
          </cell>
          <cell r="E1412" t="str">
            <v>Cruce Vias en Ladrillo</v>
          </cell>
          <cell r="F1412" t="str">
            <v>ml</v>
          </cell>
          <cell r="G1412">
            <v>1</v>
          </cell>
          <cell r="H1412">
            <v>29500</v>
          </cell>
          <cell r="I1412">
            <v>29500</v>
          </cell>
          <cell r="J1412">
            <v>0</v>
          </cell>
          <cell r="K1412">
            <v>96</v>
          </cell>
          <cell r="L1412">
            <v>2832000</v>
          </cell>
          <cell r="Y1412" t="e">
            <v>#N/A</v>
          </cell>
          <cell r="Z1412" t="e">
            <v>#N/A</v>
          </cell>
        </row>
        <row r="1414">
          <cell r="E1414" t="str">
            <v>VARIOS</v>
          </cell>
          <cell r="I1414">
            <v>500</v>
          </cell>
          <cell r="L1414">
            <v>48000</v>
          </cell>
          <cell r="Z1414" t="e">
            <v>#N/A</v>
          </cell>
        </row>
        <row r="1415">
          <cell r="D1415" t="str">
            <v>TC07H350</v>
          </cell>
          <cell r="E1415" t="str">
            <v>Herramienta</v>
          </cell>
          <cell r="F1415" t="str">
            <v>Gb</v>
          </cell>
          <cell r="G1415">
            <v>1</v>
          </cell>
          <cell r="H1415">
            <v>500</v>
          </cell>
          <cell r="I1415">
            <v>500</v>
          </cell>
          <cell r="J1415">
            <v>0</v>
          </cell>
          <cell r="K1415">
            <v>96</v>
          </cell>
          <cell r="L1415">
            <v>48000</v>
          </cell>
          <cell r="Y1415" t="e">
            <v>#N/A</v>
          </cell>
          <cell r="Z1415" t="e">
            <v>#N/A</v>
          </cell>
        </row>
        <row r="1417">
          <cell r="E1417" t="str">
            <v>SUBTOTAL</v>
          </cell>
          <cell r="I1417">
            <v>91045.2</v>
          </cell>
          <cell r="L1417">
            <v>8740339.1999999993</v>
          </cell>
          <cell r="Z1417" t="e">
            <v>#N/A</v>
          </cell>
        </row>
        <row r="1418">
          <cell r="E1418" t="str">
            <v>A.I.U</v>
          </cell>
          <cell r="I1418">
            <v>0</v>
          </cell>
          <cell r="L1418">
            <v>0</v>
          </cell>
          <cell r="Z1418">
            <v>0</v>
          </cell>
        </row>
        <row r="1419">
          <cell r="D1419" t="str">
            <v>AIUAADMON</v>
          </cell>
          <cell r="E1419" t="str">
            <v>Admon</v>
          </cell>
          <cell r="F1419">
            <v>0</v>
          </cell>
          <cell r="I1419">
            <v>0</v>
          </cell>
          <cell r="J1419">
            <v>0</v>
          </cell>
          <cell r="L1419">
            <v>0</v>
          </cell>
          <cell r="Z1419">
            <v>0</v>
          </cell>
        </row>
        <row r="1420">
          <cell r="D1420" t="str">
            <v>AIUAIMPRE</v>
          </cell>
          <cell r="E1420" t="str">
            <v>Imprevistos</v>
          </cell>
          <cell r="F1420">
            <v>0</v>
          </cell>
          <cell r="I1420">
            <v>0</v>
          </cell>
          <cell r="J1420">
            <v>0</v>
          </cell>
          <cell r="L1420">
            <v>0</v>
          </cell>
          <cell r="Z1420">
            <v>0</v>
          </cell>
        </row>
        <row r="1421">
          <cell r="D1421" t="str">
            <v>AIUAUTILI</v>
          </cell>
          <cell r="E1421" t="str">
            <v>Utilidad</v>
          </cell>
          <cell r="F1421">
            <v>0</v>
          </cell>
          <cell r="I1421">
            <v>0</v>
          </cell>
          <cell r="J1421">
            <v>0</v>
          </cell>
          <cell r="L1421">
            <v>0</v>
          </cell>
          <cell r="Z1421">
            <v>0</v>
          </cell>
        </row>
        <row r="1422">
          <cell r="D1422" t="str">
            <v>AIUAIVAUTI</v>
          </cell>
          <cell r="E1422" t="str">
            <v>IVA utilidad</v>
          </cell>
          <cell r="F1422">
            <v>0</v>
          </cell>
          <cell r="I1422">
            <v>0</v>
          </cell>
          <cell r="J1422">
            <v>0</v>
          </cell>
          <cell r="L1422">
            <v>0</v>
          </cell>
          <cell r="Z1422">
            <v>0</v>
          </cell>
        </row>
        <row r="1424">
          <cell r="E1424" t="str">
            <v>ITEM</v>
          </cell>
        </row>
        <row r="1425">
          <cell r="D1425" t="str">
            <v>VIRC</v>
          </cell>
          <cell r="E1425" t="str">
            <v>Recebo Común Compacto</v>
          </cell>
          <cell r="G1425" t="str">
            <v>UN.</v>
          </cell>
          <cell r="H1425" t="str">
            <v>M3</v>
          </cell>
          <cell r="I1425">
            <v>31150</v>
          </cell>
          <cell r="K1425">
            <v>0</v>
          </cell>
          <cell r="L1425">
            <v>0</v>
          </cell>
          <cell r="N1425">
            <v>25910</v>
          </cell>
          <cell r="O1425">
            <v>200</v>
          </cell>
          <cell r="P1425">
            <v>5040</v>
          </cell>
          <cell r="Q1425">
            <v>0</v>
          </cell>
          <cell r="X1425">
            <v>0</v>
          </cell>
          <cell r="Y1425" t="str">
            <v>M3</v>
          </cell>
          <cell r="Z1425" t="e">
            <v>#VALUE!</v>
          </cell>
          <cell r="AA1425" t="e">
            <v>#VALUE!</v>
          </cell>
          <cell r="AB1425" t="e">
            <v>#VALUE!</v>
          </cell>
          <cell r="AC1425" t="e">
            <v>#VALUE!</v>
          </cell>
        </row>
        <row r="1427">
          <cell r="D1427" t="str">
            <v>CODIGO</v>
          </cell>
          <cell r="E1427" t="str">
            <v>DESCRIPCION</v>
          </cell>
          <cell r="F1427" t="str">
            <v>UN</v>
          </cell>
          <cell r="G1427" t="str">
            <v>CANT</v>
          </cell>
          <cell r="H1427" t="str">
            <v>V/UNIT.</v>
          </cell>
          <cell r="I1427" t="str">
            <v>V/TOTAL</v>
          </cell>
          <cell r="K1427" t="str">
            <v>CANT TOTAL</v>
          </cell>
          <cell r="L1427" t="str">
            <v>Vr TOTAL</v>
          </cell>
          <cell r="Y1427" t="str">
            <v>CANT.</v>
          </cell>
          <cell r="Z1427" t="str">
            <v>V/TOTAL</v>
          </cell>
        </row>
        <row r="1428">
          <cell r="E1428" t="str">
            <v>MATERIALES</v>
          </cell>
          <cell r="I1428">
            <v>25910</v>
          </cell>
          <cell r="L1428">
            <v>0</v>
          </cell>
          <cell r="Z1428" t="e">
            <v>#VALUE!</v>
          </cell>
        </row>
        <row r="1429">
          <cell r="D1429" t="str">
            <v>MA02RMC</v>
          </cell>
          <cell r="E1429" t="str">
            <v>Recebo en Cantera</v>
          </cell>
          <cell r="F1429" t="str">
            <v>M3</v>
          </cell>
          <cell r="G1429">
            <v>1.3</v>
          </cell>
          <cell r="H1429">
            <v>6000</v>
          </cell>
          <cell r="I1429">
            <v>7800</v>
          </cell>
          <cell r="J1429">
            <v>0</v>
          </cell>
          <cell r="K1429">
            <v>0</v>
          </cell>
          <cell r="L1429">
            <v>0</v>
          </cell>
          <cell r="Y1429" t="e">
            <v>#VALUE!</v>
          </cell>
          <cell r="Z1429" t="e">
            <v>#VALUE!</v>
          </cell>
        </row>
        <row r="1430">
          <cell r="D1430" t="str">
            <v>TC09TR</v>
          </cell>
          <cell r="E1430" t="str">
            <v>Transporte Recebo</v>
          </cell>
          <cell r="F1430" t="str">
            <v>Vj</v>
          </cell>
          <cell r="G1430">
            <v>0.21</v>
          </cell>
          <cell r="H1430">
            <v>81000</v>
          </cell>
          <cell r="I1430">
            <v>17010</v>
          </cell>
          <cell r="J1430">
            <v>0</v>
          </cell>
          <cell r="K1430">
            <v>0</v>
          </cell>
          <cell r="L1430">
            <v>0</v>
          </cell>
          <cell r="Y1430" t="e">
            <v>#VALUE!</v>
          </cell>
          <cell r="Z1430" t="e">
            <v>#VALUE!</v>
          </cell>
        </row>
        <row r="1431">
          <cell r="D1431" t="str">
            <v>TC16AGUA</v>
          </cell>
          <cell r="E1431" t="str">
            <v>Agua</v>
          </cell>
          <cell r="F1431" t="str">
            <v>M3</v>
          </cell>
          <cell r="G1431">
            <v>0.11</v>
          </cell>
          <cell r="H1431">
            <v>10000</v>
          </cell>
          <cell r="I1431">
            <v>1100</v>
          </cell>
          <cell r="J1431">
            <v>0</v>
          </cell>
          <cell r="K1431">
            <v>0</v>
          </cell>
          <cell r="L1431">
            <v>0</v>
          </cell>
          <cell r="Y1431" t="e">
            <v>#VALUE!</v>
          </cell>
          <cell r="Z1431" t="e">
            <v>#VALUE!</v>
          </cell>
        </row>
        <row r="1433">
          <cell r="E1433" t="str">
            <v>MANO DE OBRA</v>
          </cell>
          <cell r="I1433">
            <v>200</v>
          </cell>
          <cell r="L1433">
            <v>0</v>
          </cell>
          <cell r="Z1433" t="e">
            <v>#VALUE!</v>
          </cell>
        </row>
        <row r="1434">
          <cell r="D1434" t="str">
            <v>MOVIARC</v>
          </cell>
          <cell r="E1434" t="str">
            <v>Ayudante Recebo Compacto</v>
          </cell>
          <cell r="F1434" t="str">
            <v>M3</v>
          </cell>
          <cell r="G1434">
            <v>1</v>
          </cell>
          <cell r="H1434">
            <v>200</v>
          </cell>
          <cell r="I1434">
            <v>200</v>
          </cell>
          <cell r="J1434">
            <v>0</v>
          </cell>
          <cell r="K1434">
            <v>0</v>
          </cell>
          <cell r="L1434">
            <v>0</v>
          </cell>
          <cell r="Y1434" t="e">
            <v>#VALUE!</v>
          </cell>
          <cell r="Z1434" t="e">
            <v>#VALUE!</v>
          </cell>
        </row>
        <row r="1436">
          <cell r="E1436" t="str">
            <v>VARIOS</v>
          </cell>
          <cell r="I1436">
            <v>5040</v>
          </cell>
          <cell r="L1436">
            <v>0</v>
          </cell>
          <cell r="Z1436" t="e">
            <v>#VALUE!</v>
          </cell>
        </row>
        <row r="1437">
          <cell r="D1437" t="str">
            <v>AL04MOTO</v>
          </cell>
          <cell r="E1437" t="str">
            <v>Motoniveladora</v>
          </cell>
          <cell r="F1437" t="str">
            <v>Hr</v>
          </cell>
          <cell r="G1437">
            <v>0.08</v>
          </cell>
          <cell r="H1437">
            <v>38000</v>
          </cell>
          <cell r="I1437">
            <v>3040</v>
          </cell>
          <cell r="J1437">
            <v>0</v>
          </cell>
          <cell r="K1437">
            <v>0</v>
          </cell>
          <cell r="L1437">
            <v>0</v>
          </cell>
          <cell r="Y1437" t="e">
            <v>#VALUE!</v>
          </cell>
          <cell r="Z1437" t="e">
            <v>#VALUE!</v>
          </cell>
        </row>
        <row r="1438">
          <cell r="D1438" t="str">
            <v>AL04CILI</v>
          </cell>
          <cell r="E1438" t="str">
            <v>Cilindro</v>
          </cell>
          <cell r="F1438" t="str">
            <v>Hr</v>
          </cell>
          <cell r="G1438">
            <v>0.06</v>
          </cell>
          <cell r="H1438">
            <v>25000</v>
          </cell>
          <cell r="I1438">
            <v>1500</v>
          </cell>
          <cell r="J1438">
            <v>0</v>
          </cell>
          <cell r="K1438">
            <v>0</v>
          </cell>
          <cell r="L1438">
            <v>0</v>
          </cell>
          <cell r="Y1438" t="e">
            <v>#VALUE!</v>
          </cell>
          <cell r="Z1438" t="e">
            <v>#VALUE!</v>
          </cell>
        </row>
        <row r="1439">
          <cell r="D1439" t="str">
            <v>AL04DENS</v>
          </cell>
          <cell r="E1439" t="str">
            <v>Densidades</v>
          </cell>
          <cell r="F1439" t="str">
            <v>Un</v>
          </cell>
          <cell r="G1439">
            <v>0.02</v>
          </cell>
          <cell r="H1439">
            <v>25000</v>
          </cell>
          <cell r="I1439">
            <v>500</v>
          </cell>
          <cell r="J1439">
            <v>0</v>
          </cell>
          <cell r="K1439">
            <v>0</v>
          </cell>
          <cell r="L1439">
            <v>0</v>
          </cell>
          <cell r="Y1439" t="e">
            <v>#VALUE!</v>
          </cell>
          <cell r="Z1439" t="e">
            <v>#VALUE!</v>
          </cell>
        </row>
        <row r="1440">
          <cell r="E1440" t="str">
            <v>SUBTOTAL</v>
          </cell>
          <cell r="I1440">
            <v>31150</v>
          </cell>
          <cell r="L1440">
            <v>0</v>
          </cell>
          <cell r="Z1440" t="e">
            <v>#VALUE!</v>
          </cell>
        </row>
        <row r="1441">
          <cell r="E1441" t="str">
            <v>A.I.U</v>
          </cell>
          <cell r="I1441">
            <v>0</v>
          </cell>
          <cell r="L1441">
            <v>0</v>
          </cell>
          <cell r="Z1441">
            <v>0</v>
          </cell>
        </row>
        <row r="1442">
          <cell r="D1442" t="str">
            <v>AIUAADMON</v>
          </cell>
          <cell r="E1442" t="str">
            <v>Admon</v>
          </cell>
          <cell r="F1442">
            <v>0</v>
          </cell>
          <cell r="I1442">
            <v>0</v>
          </cell>
          <cell r="J1442">
            <v>0</v>
          </cell>
          <cell r="L1442">
            <v>0</v>
          </cell>
          <cell r="Z1442">
            <v>0</v>
          </cell>
        </row>
        <row r="1443">
          <cell r="D1443" t="str">
            <v>AIUAIMPRE</v>
          </cell>
          <cell r="E1443" t="str">
            <v>Imprevistos</v>
          </cell>
          <cell r="F1443">
            <v>0</v>
          </cell>
          <cell r="I1443">
            <v>0</v>
          </cell>
          <cell r="J1443">
            <v>0</v>
          </cell>
          <cell r="L1443">
            <v>0</v>
          </cell>
          <cell r="Z1443">
            <v>0</v>
          </cell>
        </row>
        <row r="1444">
          <cell r="D1444" t="str">
            <v>AIUAUTILI</v>
          </cell>
          <cell r="E1444" t="str">
            <v>Utilidad</v>
          </cell>
          <cell r="F1444">
            <v>0</v>
          </cell>
          <cell r="I1444">
            <v>0</v>
          </cell>
          <cell r="J1444">
            <v>0</v>
          </cell>
          <cell r="L1444">
            <v>0</v>
          </cell>
          <cell r="Z1444">
            <v>0</v>
          </cell>
        </row>
        <row r="1445">
          <cell r="D1445" t="str">
            <v>AIUAIVAUTI</v>
          </cell>
          <cell r="E1445" t="str">
            <v>IVA utilidad</v>
          </cell>
          <cell r="F1445">
            <v>0</v>
          </cell>
          <cell r="I1445">
            <v>0</v>
          </cell>
          <cell r="J1445">
            <v>0</v>
          </cell>
          <cell r="L1445">
            <v>0</v>
          </cell>
          <cell r="Z1445">
            <v>0</v>
          </cell>
        </row>
        <row r="1447">
          <cell r="E1447" t="str">
            <v>ITEM</v>
          </cell>
        </row>
        <row r="1448">
          <cell r="D1448" t="str">
            <v>VIDPAS</v>
          </cell>
          <cell r="E1448" t="str">
            <v>Demolición pavimento Asfaltico</v>
          </cell>
          <cell r="G1448" t="str">
            <v>UN.</v>
          </cell>
          <cell r="H1448" t="str">
            <v>M3</v>
          </cell>
          <cell r="I1448">
            <v>28250</v>
          </cell>
          <cell r="K1448">
            <v>202</v>
          </cell>
          <cell r="L1448">
            <v>5706500</v>
          </cell>
          <cell r="N1448">
            <v>0</v>
          </cell>
          <cell r="O1448">
            <v>16000</v>
          </cell>
          <cell r="P1448">
            <v>12250</v>
          </cell>
          <cell r="Q1448">
            <v>0</v>
          </cell>
          <cell r="X1448">
            <v>5706500</v>
          </cell>
          <cell r="Y1448" t="str">
            <v>M3</v>
          </cell>
          <cell r="Z1448" t="e">
            <v>#N/A</v>
          </cell>
          <cell r="AA1448">
            <v>0</v>
          </cell>
          <cell r="AB1448" t="e">
            <v>#N/A</v>
          </cell>
          <cell r="AC1448" t="e">
            <v>#N/A</v>
          </cell>
        </row>
        <row r="1450">
          <cell r="D1450" t="str">
            <v>CODIGO</v>
          </cell>
          <cell r="E1450" t="str">
            <v>DESCRIPCION</v>
          </cell>
          <cell r="F1450" t="str">
            <v>UN</v>
          </cell>
          <cell r="G1450" t="str">
            <v>CANT</v>
          </cell>
          <cell r="H1450" t="str">
            <v>V/UNIT.</v>
          </cell>
          <cell r="I1450" t="str">
            <v>V/TOTAL</v>
          </cell>
          <cell r="K1450" t="str">
            <v>CANT TOTAL</v>
          </cell>
          <cell r="L1450" t="str">
            <v>Vr TOTAL</v>
          </cell>
          <cell r="Y1450" t="str">
            <v>CANT.</v>
          </cell>
          <cell r="Z1450" t="str">
            <v>V/TOTAL</v>
          </cell>
        </row>
        <row r="1451">
          <cell r="E1451" t="str">
            <v>MATERIALES</v>
          </cell>
          <cell r="I1451">
            <v>0</v>
          </cell>
          <cell r="L1451">
            <v>0</v>
          </cell>
          <cell r="Z1451">
            <v>0</v>
          </cell>
        </row>
        <row r="1452">
          <cell r="I1452">
            <v>0</v>
          </cell>
          <cell r="J1452">
            <v>0</v>
          </cell>
          <cell r="K1452">
            <v>0</v>
          </cell>
          <cell r="L1452">
            <v>0</v>
          </cell>
          <cell r="Y1452">
            <v>0</v>
          </cell>
          <cell r="Z1452">
            <v>0</v>
          </cell>
        </row>
        <row r="1453">
          <cell r="I1453">
            <v>0</v>
          </cell>
          <cell r="J1453">
            <v>0</v>
          </cell>
          <cell r="K1453">
            <v>0</v>
          </cell>
          <cell r="L1453">
            <v>0</v>
          </cell>
          <cell r="Y1453">
            <v>0</v>
          </cell>
          <cell r="Z1453">
            <v>0</v>
          </cell>
        </row>
        <row r="1454">
          <cell r="I1454">
            <v>0</v>
          </cell>
          <cell r="J1454">
            <v>0</v>
          </cell>
          <cell r="K1454">
            <v>0</v>
          </cell>
          <cell r="L1454">
            <v>0</v>
          </cell>
          <cell r="Y1454">
            <v>0</v>
          </cell>
          <cell r="Z1454">
            <v>0</v>
          </cell>
        </row>
        <row r="1456">
          <cell r="E1456" t="str">
            <v>MANO DE OBRA</v>
          </cell>
          <cell r="I1456">
            <v>16000</v>
          </cell>
          <cell r="L1456">
            <v>3232000</v>
          </cell>
          <cell r="Z1456" t="e">
            <v>#N/A</v>
          </cell>
        </row>
        <row r="1457">
          <cell r="D1457" t="str">
            <v>MOVIDPAS</v>
          </cell>
          <cell r="E1457" t="str">
            <v>Demolición Pavimento Asfaltico</v>
          </cell>
          <cell r="F1457" t="str">
            <v>M3</v>
          </cell>
          <cell r="G1457">
            <v>1</v>
          </cell>
          <cell r="H1457">
            <v>16000</v>
          </cell>
          <cell r="I1457">
            <v>16000</v>
          </cell>
          <cell r="J1457">
            <v>0</v>
          </cell>
          <cell r="K1457">
            <v>202</v>
          </cell>
          <cell r="L1457">
            <v>3232000</v>
          </cell>
          <cell r="Y1457" t="e">
            <v>#N/A</v>
          </cell>
          <cell r="Z1457" t="e">
            <v>#N/A</v>
          </cell>
        </row>
        <row r="1459">
          <cell r="E1459" t="str">
            <v>VARIOS</v>
          </cell>
          <cell r="I1459">
            <v>12250</v>
          </cell>
          <cell r="L1459">
            <v>2474500</v>
          </cell>
          <cell r="Z1459" t="e">
            <v>#N/A</v>
          </cell>
        </row>
        <row r="1460">
          <cell r="D1460" t="str">
            <v>AL04COMP</v>
          </cell>
          <cell r="E1460" t="str">
            <v>Compresor</v>
          </cell>
          <cell r="F1460" t="str">
            <v>Hr</v>
          </cell>
          <cell r="G1460">
            <v>0.28999999999999998</v>
          </cell>
          <cell r="H1460">
            <v>40000</v>
          </cell>
          <cell r="I1460">
            <v>11600</v>
          </cell>
          <cell r="J1460">
            <v>0</v>
          </cell>
          <cell r="K1460">
            <v>58.58</v>
          </cell>
          <cell r="L1460">
            <v>2343200</v>
          </cell>
          <cell r="Y1460" t="e">
            <v>#N/A</v>
          </cell>
          <cell r="Z1460" t="e">
            <v>#N/A</v>
          </cell>
        </row>
        <row r="1461">
          <cell r="D1461" t="str">
            <v>TC07H650</v>
          </cell>
          <cell r="E1461" t="str">
            <v>Herramienta</v>
          </cell>
          <cell r="F1461" t="str">
            <v>Gb</v>
          </cell>
          <cell r="G1461">
            <v>1</v>
          </cell>
          <cell r="H1461">
            <v>650</v>
          </cell>
          <cell r="I1461">
            <v>650</v>
          </cell>
          <cell r="J1461">
            <v>0</v>
          </cell>
          <cell r="K1461">
            <v>202</v>
          </cell>
          <cell r="L1461">
            <v>131300</v>
          </cell>
          <cell r="Y1461" t="e">
            <v>#N/A</v>
          </cell>
          <cell r="Z1461" t="e">
            <v>#N/A</v>
          </cell>
        </row>
        <row r="1462">
          <cell r="I1462">
            <v>0</v>
          </cell>
          <cell r="J1462">
            <v>0</v>
          </cell>
          <cell r="K1462">
            <v>0</v>
          </cell>
          <cell r="L1462">
            <v>0</v>
          </cell>
          <cell r="Y1462">
            <v>0</v>
          </cell>
          <cell r="Z1462">
            <v>0</v>
          </cell>
        </row>
        <row r="1463">
          <cell r="E1463" t="str">
            <v>SUBTOTAL</v>
          </cell>
          <cell r="I1463">
            <v>28250</v>
          </cell>
          <cell r="L1463">
            <v>5706500</v>
          </cell>
          <cell r="Z1463" t="e">
            <v>#N/A</v>
          </cell>
        </row>
        <row r="1464">
          <cell r="E1464" t="str">
            <v>A.I.U</v>
          </cell>
          <cell r="I1464">
            <v>0</v>
          </cell>
          <cell r="L1464">
            <v>0</v>
          </cell>
          <cell r="Z1464">
            <v>0</v>
          </cell>
        </row>
        <row r="1465">
          <cell r="D1465" t="str">
            <v>AIUAADMON</v>
          </cell>
          <cell r="E1465" t="str">
            <v>Admon</v>
          </cell>
          <cell r="F1465">
            <v>0</v>
          </cell>
          <cell r="I1465">
            <v>0</v>
          </cell>
          <cell r="J1465">
            <v>0</v>
          </cell>
          <cell r="L1465">
            <v>0</v>
          </cell>
          <cell r="Z1465">
            <v>0</v>
          </cell>
        </row>
        <row r="1466">
          <cell r="D1466" t="str">
            <v>AIUAIMPRE</v>
          </cell>
          <cell r="E1466" t="str">
            <v>Imprevistos</v>
          </cell>
          <cell r="F1466">
            <v>0</v>
          </cell>
          <cell r="I1466">
            <v>0</v>
          </cell>
          <cell r="J1466">
            <v>0</v>
          </cell>
          <cell r="L1466">
            <v>0</v>
          </cell>
          <cell r="Z1466">
            <v>0</v>
          </cell>
        </row>
        <row r="1467">
          <cell r="D1467" t="str">
            <v>AIUAUTILI</v>
          </cell>
          <cell r="E1467" t="str">
            <v>Utilidad</v>
          </cell>
          <cell r="F1467">
            <v>0</v>
          </cell>
          <cell r="I1467">
            <v>0</v>
          </cell>
          <cell r="J1467">
            <v>0</v>
          </cell>
          <cell r="L1467">
            <v>0</v>
          </cell>
          <cell r="Z1467">
            <v>0</v>
          </cell>
        </row>
        <row r="1468">
          <cell r="D1468" t="str">
            <v>AIUAIVAUTI</v>
          </cell>
          <cell r="E1468" t="str">
            <v>IVA utilidad</v>
          </cell>
          <cell r="F1468">
            <v>0</v>
          </cell>
          <cell r="I1468">
            <v>0</v>
          </cell>
          <cell r="J1468">
            <v>0</v>
          </cell>
          <cell r="L1468">
            <v>0</v>
          </cell>
          <cell r="Z1468">
            <v>0</v>
          </cell>
        </row>
        <row r="1470">
          <cell r="E1470" t="str">
            <v>ITEM</v>
          </cell>
        </row>
        <row r="1471">
          <cell r="D1471" t="str">
            <v>VIDPCO</v>
          </cell>
          <cell r="E1471" t="str">
            <v>Demolición pavimento Concreto</v>
          </cell>
          <cell r="G1471" t="str">
            <v>UN.</v>
          </cell>
          <cell r="H1471" t="str">
            <v>M3</v>
          </cell>
          <cell r="I1471">
            <v>28750</v>
          </cell>
          <cell r="K1471">
            <v>302</v>
          </cell>
          <cell r="L1471">
            <v>8682500</v>
          </cell>
          <cell r="N1471">
            <v>0</v>
          </cell>
          <cell r="O1471">
            <v>16500</v>
          </cell>
          <cell r="P1471">
            <v>12250</v>
          </cell>
          <cell r="Q1471">
            <v>0</v>
          </cell>
          <cell r="X1471">
            <v>8682500</v>
          </cell>
          <cell r="Y1471" t="str">
            <v>M3</v>
          </cell>
          <cell r="Z1471" t="e">
            <v>#N/A</v>
          </cell>
          <cell r="AA1471">
            <v>0</v>
          </cell>
          <cell r="AB1471" t="e">
            <v>#N/A</v>
          </cell>
          <cell r="AC1471" t="e">
            <v>#N/A</v>
          </cell>
        </row>
        <row r="1473">
          <cell r="D1473" t="str">
            <v>CODIGO</v>
          </cell>
          <cell r="E1473" t="str">
            <v>DESCRIPCION</v>
          </cell>
          <cell r="F1473" t="str">
            <v>UN</v>
          </cell>
          <cell r="G1473" t="str">
            <v>CANT</v>
          </cell>
          <cell r="H1473" t="str">
            <v>V/UNIT.</v>
          </cell>
          <cell r="I1473" t="str">
            <v>V/TOTAL</v>
          </cell>
          <cell r="K1473" t="str">
            <v>CANT TOTAL</v>
          </cell>
          <cell r="L1473" t="str">
            <v>Vr TOTAL</v>
          </cell>
          <cell r="Y1473" t="str">
            <v>CANT.</v>
          </cell>
          <cell r="Z1473" t="str">
            <v>V/TOTAL</v>
          </cell>
        </row>
        <row r="1474">
          <cell r="E1474" t="str">
            <v>MATERIALES</v>
          </cell>
          <cell r="I1474">
            <v>0</v>
          </cell>
          <cell r="L1474">
            <v>0</v>
          </cell>
          <cell r="Z1474">
            <v>0</v>
          </cell>
        </row>
        <row r="1475">
          <cell r="I1475">
            <v>0</v>
          </cell>
          <cell r="J1475">
            <v>0</v>
          </cell>
          <cell r="K1475">
            <v>0</v>
          </cell>
          <cell r="L1475">
            <v>0</v>
          </cell>
          <cell r="Y1475">
            <v>0</v>
          </cell>
          <cell r="Z1475">
            <v>0</v>
          </cell>
        </row>
        <row r="1476">
          <cell r="I1476">
            <v>0</v>
          </cell>
          <cell r="J1476">
            <v>0</v>
          </cell>
          <cell r="K1476">
            <v>0</v>
          </cell>
          <cell r="L1476">
            <v>0</v>
          </cell>
          <cell r="Y1476">
            <v>0</v>
          </cell>
          <cell r="Z1476">
            <v>0</v>
          </cell>
        </row>
        <row r="1477">
          <cell r="I1477">
            <v>0</v>
          </cell>
          <cell r="J1477">
            <v>0</v>
          </cell>
          <cell r="K1477">
            <v>0</v>
          </cell>
          <cell r="L1477">
            <v>0</v>
          </cell>
          <cell r="Y1477">
            <v>0</v>
          </cell>
          <cell r="Z1477">
            <v>0</v>
          </cell>
        </row>
        <row r="1479">
          <cell r="E1479" t="str">
            <v>MANO DE OBRA</v>
          </cell>
          <cell r="I1479">
            <v>16500</v>
          </cell>
          <cell r="L1479">
            <v>4983000</v>
          </cell>
          <cell r="Z1479" t="e">
            <v>#N/A</v>
          </cell>
        </row>
        <row r="1480">
          <cell r="D1480" t="str">
            <v>MOVIDPCO</v>
          </cell>
          <cell r="E1480" t="str">
            <v xml:space="preserve">Demolición Pavimento Concreto </v>
          </cell>
          <cell r="F1480" t="str">
            <v>M3</v>
          </cell>
          <cell r="G1480">
            <v>1</v>
          </cell>
          <cell r="H1480">
            <v>16500</v>
          </cell>
          <cell r="I1480">
            <v>16500</v>
          </cell>
          <cell r="J1480">
            <v>0</v>
          </cell>
          <cell r="K1480">
            <v>302</v>
          </cell>
          <cell r="L1480">
            <v>4983000</v>
          </cell>
          <cell r="Y1480" t="e">
            <v>#N/A</v>
          </cell>
          <cell r="Z1480" t="e">
            <v>#N/A</v>
          </cell>
        </row>
        <row r="1482">
          <cell r="E1482" t="str">
            <v>VARIOS</v>
          </cell>
          <cell r="I1482">
            <v>12250</v>
          </cell>
          <cell r="L1482">
            <v>3699500</v>
          </cell>
          <cell r="Z1482" t="e">
            <v>#N/A</v>
          </cell>
        </row>
        <row r="1483">
          <cell r="D1483" t="str">
            <v>AL04COMP</v>
          </cell>
          <cell r="E1483" t="str">
            <v>Compresor</v>
          </cell>
          <cell r="F1483" t="str">
            <v>Hr</v>
          </cell>
          <cell r="G1483">
            <v>0.28999999999999998</v>
          </cell>
          <cell r="H1483">
            <v>40000</v>
          </cell>
          <cell r="I1483">
            <v>11600</v>
          </cell>
          <cell r="J1483">
            <v>0</v>
          </cell>
          <cell r="K1483">
            <v>87.58</v>
          </cell>
          <cell r="L1483">
            <v>3503200</v>
          </cell>
          <cell r="Y1483" t="e">
            <v>#N/A</v>
          </cell>
          <cell r="Z1483" t="e">
            <v>#N/A</v>
          </cell>
        </row>
        <row r="1484">
          <cell r="D1484" t="str">
            <v>TC07H650</v>
          </cell>
          <cell r="E1484" t="str">
            <v>Herramienta</v>
          </cell>
          <cell r="F1484" t="str">
            <v>Gb</v>
          </cell>
          <cell r="G1484">
            <v>1</v>
          </cell>
          <cell r="H1484">
            <v>650</v>
          </cell>
          <cell r="I1484">
            <v>650</v>
          </cell>
          <cell r="J1484">
            <v>0</v>
          </cell>
          <cell r="K1484">
            <v>302</v>
          </cell>
          <cell r="L1484">
            <v>196300</v>
          </cell>
          <cell r="Y1484" t="e">
            <v>#N/A</v>
          </cell>
          <cell r="Z1484" t="e">
            <v>#N/A</v>
          </cell>
        </row>
        <row r="1485">
          <cell r="I1485">
            <v>0</v>
          </cell>
          <cell r="J1485">
            <v>0</v>
          </cell>
          <cell r="K1485">
            <v>0</v>
          </cell>
          <cell r="L1485">
            <v>0</v>
          </cell>
          <cell r="Y1485">
            <v>0</v>
          </cell>
          <cell r="Z1485">
            <v>0</v>
          </cell>
        </row>
        <row r="1486">
          <cell r="E1486" t="str">
            <v>SUBTOTAL</v>
          </cell>
          <cell r="I1486">
            <v>28750</v>
          </cell>
          <cell r="L1486">
            <v>8682500</v>
          </cell>
          <cell r="Z1486" t="e">
            <v>#N/A</v>
          </cell>
        </row>
        <row r="1487">
          <cell r="E1487" t="str">
            <v>A.I.U</v>
          </cell>
          <cell r="I1487">
            <v>0</v>
          </cell>
          <cell r="L1487">
            <v>0</v>
          </cell>
          <cell r="Z1487">
            <v>0</v>
          </cell>
        </row>
        <row r="1488">
          <cell r="D1488" t="str">
            <v>AIUAADMON</v>
          </cell>
          <cell r="E1488" t="str">
            <v>Admon</v>
          </cell>
          <cell r="F1488">
            <v>0</v>
          </cell>
          <cell r="I1488">
            <v>0</v>
          </cell>
          <cell r="J1488">
            <v>0</v>
          </cell>
          <cell r="L1488">
            <v>0</v>
          </cell>
          <cell r="Z1488">
            <v>0</v>
          </cell>
        </row>
        <row r="1489">
          <cell r="D1489" t="str">
            <v>AIUAIMPRE</v>
          </cell>
          <cell r="E1489" t="str">
            <v>Imprevistos</v>
          </cell>
          <cell r="F1489">
            <v>0</v>
          </cell>
          <cell r="I1489">
            <v>0</v>
          </cell>
          <cell r="J1489">
            <v>0</v>
          </cell>
          <cell r="L1489">
            <v>0</v>
          </cell>
          <cell r="Z1489">
            <v>0</v>
          </cell>
        </row>
        <row r="1490">
          <cell r="D1490" t="str">
            <v>AIUAUTILI</v>
          </cell>
          <cell r="E1490" t="str">
            <v>Utilidad</v>
          </cell>
          <cell r="F1490">
            <v>0</v>
          </cell>
          <cell r="I1490">
            <v>0</v>
          </cell>
          <cell r="J1490">
            <v>0</v>
          </cell>
          <cell r="L1490">
            <v>0</v>
          </cell>
          <cell r="Z1490">
            <v>0</v>
          </cell>
        </row>
        <row r="1491">
          <cell r="D1491" t="str">
            <v>AIUAIVAUTI</v>
          </cell>
          <cell r="E1491" t="str">
            <v>IVA utilidad</v>
          </cell>
          <cell r="F1491">
            <v>0</v>
          </cell>
          <cell r="I1491">
            <v>0</v>
          </cell>
          <cell r="J1491">
            <v>0</v>
          </cell>
          <cell r="L1491">
            <v>0</v>
          </cell>
          <cell r="Z1491">
            <v>0</v>
          </cell>
        </row>
        <row r="1493">
          <cell r="E1493" t="str">
            <v>ITEM</v>
          </cell>
        </row>
        <row r="1494">
          <cell r="D1494" t="str">
            <v>VIDSAR</v>
          </cell>
          <cell r="E1494" t="str">
            <v>Demolición Sardineles</v>
          </cell>
          <cell r="G1494" t="str">
            <v>UN.</v>
          </cell>
          <cell r="H1494" t="str">
            <v>Ml</v>
          </cell>
          <cell r="I1494">
            <v>2930</v>
          </cell>
          <cell r="K1494">
            <v>419</v>
          </cell>
          <cell r="L1494">
            <v>1227670</v>
          </cell>
          <cell r="N1494">
            <v>0</v>
          </cell>
          <cell r="O1494">
            <v>1800</v>
          </cell>
          <cell r="P1494">
            <v>1130</v>
          </cell>
          <cell r="Q1494">
            <v>0</v>
          </cell>
          <cell r="X1494">
            <v>1227670</v>
          </cell>
          <cell r="Y1494" t="str">
            <v>Ml</v>
          </cell>
          <cell r="Z1494" t="e">
            <v>#N/A</v>
          </cell>
          <cell r="AA1494">
            <v>0</v>
          </cell>
          <cell r="AB1494" t="e">
            <v>#N/A</v>
          </cell>
          <cell r="AC1494" t="e">
            <v>#N/A</v>
          </cell>
        </row>
        <row r="1496">
          <cell r="D1496" t="str">
            <v>CODIGO</v>
          </cell>
          <cell r="E1496" t="str">
            <v>DESCRIPCION</v>
          </cell>
          <cell r="F1496" t="str">
            <v>UN</v>
          </cell>
          <cell r="G1496" t="str">
            <v>CANT</v>
          </cell>
          <cell r="H1496" t="str">
            <v>V/UNIT.</v>
          </cell>
          <cell r="I1496" t="str">
            <v>V/TOTAL</v>
          </cell>
          <cell r="K1496" t="str">
            <v>CANT TOTAL</v>
          </cell>
          <cell r="L1496" t="str">
            <v>Vr TOTAL</v>
          </cell>
          <cell r="Y1496" t="str">
            <v>CANT.</v>
          </cell>
          <cell r="Z1496" t="str">
            <v>V/TOTAL</v>
          </cell>
        </row>
        <row r="1497">
          <cell r="E1497" t="str">
            <v>MATERIALES</v>
          </cell>
          <cell r="I1497">
            <v>0</v>
          </cell>
          <cell r="L1497">
            <v>0</v>
          </cell>
          <cell r="Z1497">
            <v>0</v>
          </cell>
        </row>
        <row r="1498">
          <cell r="I1498">
            <v>0</v>
          </cell>
          <cell r="J1498">
            <v>0</v>
          </cell>
          <cell r="K1498">
            <v>0</v>
          </cell>
          <cell r="L1498">
            <v>0</v>
          </cell>
          <cell r="Y1498">
            <v>0</v>
          </cell>
          <cell r="Z1498">
            <v>0</v>
          </cell>
        </row>
        <row r="1499">
          <cell r="I1499">
            <v>0</v>
          </cell>
          <cell r="J1499">
            <v>0</v>
          </cell>
          <cell r="K1499">
            <v>0</v>
          </cell>
          <cell r="L1499">
            <v>0</v>
          </cell>
          <cell r="Y1499">
            <v>0</v>
          </cell>
          <cell r="Z1499">
            <v>0</v>
          </cell>
        </row>
        <row r="1500">
          <cell r="I1500">
            <v>0</v>
          </cell>
          <cell r="J1500">
            <v>0</v>
          </cell>
          <cell r="K1500">
            <v>0</v>
          </cell>
          <cell r="L1500">
            <v>0</v>
          </cell>
          <cell r="Y1500">
            <v>0</v>
          </cell>
          <cell r="Z1500">
            <v>0</v>
          </cell>
        </row>
        <row r="1502">
          <cell r="E1502" t="str">
            <v>MANO DE OBRA</v>
          </cell>
          <cell r="I1502">
            <v>1800</v>
          </cell>
          <cell r="L1502">
            <v>754200</v>
          </cell>
          <cell r="Z1502" t="e">
            <v>#N/A</v>
          </cell>
        </row>
        <row r="1503">
          <cell r="D1503" t="str">
            <v>MOVIDSAR</v>
          </cell>
          <cell r="E1503" t="str">
            <v xml:space="preserve">Demolición Sardineles Concreto </v>
          </cell>
          <cell r="F1503" t="str">
            <v>Ml</v>
          </cell>
          <cell r="G1503">
            <v>1</v>
          </cell>
          <cell r="H1503">
            <v>1800</v>
          </cell>
          <cell r="I1503">
            <v>1800</v>
          </cell>
          <cell r="J1503">
            <v>0</v>
          </cell>
          <cell r="K1503">
            <v>419</v>
          </cell>
          <cell r="L1503">
            <v>754200</v>
          </cell>
          <cell r="Y1503" t="e">
            <v>#N/A</v>
          </cell>
          <cell r="Z1503" t="e">
            <v>#N/A</v>
          </cell>
        </row>
        <row r="1505">
          <cell r="E1505" t="str">
            <v>VARIOS</v>
          </cell>
          <cell r="I1505">
            <v>1130</v>
          </cell>
          <cell r="L1505">
            <v>473470</v>
          </cell>
          <cell r="Z1505" t="e">
            <v>#N/A</v>
          </cell>
        </row>
        <row r="1506">
          <cell r="D1506" t="str">
            <v>AL04COMP</v>
          </cell>
          <cell r="E1506" t="str">
            <v>Compresor</v>
          </cell>
          <cell r="F1506" t="str">
            <v>Hr</v>
          </cell>
          <cell r="G1506">
            <v>1.2E-2</v>
          </cell>
          <cell r="H1506">
            <v>40000</v>
          </cell>
          <cell r="I1506">
            <v>480</v>
          </cell>
          <cell r="J1506">
            <v>0</v>
          </cell>
          <cell r="K1506">
            <v>5.0280000000000005</v>
          </cell>
          <cell r="L1506">
            <v>201120.00000000003</v>
          </cell>
          <cell r="Y1506" t="e">
            <v>#N/A</v>
          </cell>
          <cell r="Z1506" t="e">
            <v>#N/A</v>
          </cell>
        </row>
        <row r="1507">
          <cell r="D1507" t="str">
            <v>TC07H650</v>
          </cell>
          <cell r="E1507" t="str">
            <v>Herramienta</v>
          </cell>
          <cell r="F1507" t="str">
            <v>Gb</v>
          </cell>
          <cell r="G1507">
            <v>1</v>
          </cell>
          <cell r="H1507">
            <v>650</v>
          </cell>
          <cell r="I1507">
            <v>650</v>
          </cell>
          <cell r="J1507">
            <v>0</v>
          </cell>
          <cell r="K1507">
            <v>419</v>
          </cell>
          <cell r="L1507">
            <v>272350</v>
          </cell>
          <cell r="Y1507" t="e">
            <v>#N/A</v>
          </cell>
          <cell r="Z1507" t="e">
            <v>#N/A</v>
          </cell>
        </row>
        <row r="1508">
          <cell r="I1508">
            <v>0</v>
          </cell>
          <cell r="J1508">
            <v>0</v>
          </cell>
          <cell r="K1508">
            <v>0</v>
          </cell>
          <cell r="L1508">
            <v>0</v>
          </cell>
          <cell r="Y1508">
            <v>0</v>
          </cell>
          <cell r="Z1508">
            <v>0</v>
          </cell>
        </row>
        <row r="1509">
          <cell r="E1509" t="str">
            <v>SUBTOTAL</v>
          </cell>
          <cell r="I1509">
            <v>2930</v>
          </cell>
          <cell r="L1509">
            <v>1227670</v>
          </cell>
          <cell r="Z1509" t="e">
            <v>#N/A</v>
          </cell>
        </row>
        <row r="1510">
          <cell r="E1510" t="str">
            <v>A.I.U</v>
          </cell>
          <cell r="I1510">
            <v>0</v>
          </cell>
          <cell r="L1510">
            <v>0</v>
          </cell>
          <cell r="Z1510">
            <v>0</v>
          </cell>
        </row>
        <row r="1511">
          <cell r="D1511" t="str">
            <v>AIUAADMON</v>
          </cell>
          <cell r="E1511" t="str">
            <v>Admon</v>
          </cell>
          <cell r="F1511">
            <v>0</v>
          </cell>
          <cell r="I1511">
            <v>0</v>
          </cell>
          <cell r="J1511">
            <v>0</v>
          </cell>
          <cell r="L1511">
            <v>0</v>
          </cell>
          <cell r="Z1511">
            <v>0</v>
          </cell>
        </row>
        <row r="1512">
          <cell r="D1512" t="str">
            <v>AIUAIMPRE</v>
          </cell>
          <cell r="E1512" t="str">
            <v>Imprevistos</v>
          </cell>
          <cell r="F1512">
            <v>0</v>
          </cell>
          <cell r="I1512">
            <v>0</v>
          </cell>
          <cell r="J1512">
            <v>0</v>
          </cell>
          <cell r="L1512">
            <v>0</v>
          </cell>
          <cell r="Z1512">
            <v>0</v>
          </cell>
        </row>
        <row r="1513">
          <cell r="D1513" t="str">
            <v>AIUAUTILI</v>
          </cell>
          <cell r="E1513" t="str">
            <v>Utilidad</v>
          </cell>
          <cell r="F1513">
            <v>0</v>
          </cell>
          <cell r="I1513">
            <v>0</v>
          </cell>
          <cell r="J1513">
            <v>0</v>
          </cell>
          <cell r="L1513">
            <v>0</v>
          </cell>
          <cell r="Z1513">
            <v>0</v>
          </cell>
        </row>
        <row r="1514">
          <cell r="D1514" t="str">
            <v>AIUAIVAUTI</v>
          </cell>
          <cell r="E1514" t="str">
            <v>IVA utilidad</v>
          </cell>
          <cell r="F1514">
            <v>0</v>
          </cell>
          <cell r="I1514">
            <v>0</v>
          </cell>
          <cell r="J1514">
            <v>0</v>
          </cell>
          <cell r="L1514">
            <v>0</v>
          </cell>
          <cell r="Z1514">
            <v>0</v>
          </cell>
        </row>
        <row r="1516">
          <cell r="E1516" t="str">
            <v>ITEM</v>
          </cell>
        </row>
        <row r="1517">
          <cell r="D1517" t="str">
            <v>VIDRAA</v>
          </cell>
          <cell r="E1517" t="str">
            <v>Demolición y Retiro Andenes en Adoquin</v>
          </cell>
          <cell r="G1517" t="str">
            <v>UN.</v>
          </cell>
          <cell r="H1517" t="str">
            <v>M2</v>
          </cell>
          <cell r="I1517">
            <v>18250</v>
          </cell>
          <cell r="K1517">
            <v>273</v>
          </cell>
          <cell r="L1517">
            <v>4982250</v>
          </cell>
          <cell r="N1517">
            <v>0</v>
          </cell>
          <cell r="O1517">
            <v>3800</v>
          </cell>
          <cell r="P1517">
            <v>14450</v>
          </cell>
          <cell r="Q1517">
            <v>0</v>
          </cell>
          <cell r="X1517">
            <v>4982250</v>
          </cell>
          <cell r="Y1517" t="str">
            <v>M2</v>
          </cell>
          <cell r="Z1517" t="e">
            <v>#N/A</v>
          </cell>
          <cell r="AA1517">
            <v>0</v>
          </cell>
          <cell r="AB1517" t="e">
            <v>#N/A</v>
          </cell>
          <cell r="AC1517" t="e">
            <v>#N/A</v>
          </cell>
        </row>
        <row r="1519">
          <cell r="D1519" t="str">
            <v>CODIGO</v>
          </cell>
          <cell r="E1519" t="str">
            <v>DESCRIPCION</v>
          </cell>
          <cell r="F1519" t="str">
            <v>UN</v>
          </cell>
          <cell r="G1519" t="str">
            <v>CANT</v>
          </cell>
          <cell r="H1519" t="str">
            <v>V/UNIT.</v>
          </cell>
          <cell r="I1519" t="str">
            <v>V/TOTAL</v>
          </cell>
          <cell r="K1519" t="str">
            <v>CANT TOTAL</v>
          </cell>
          <cell r="L1519" t="str">
            <v>Vr TOTAL</v>
          </cell>
          <cell r="Y1519" t="str">
            <v>CANT.</v>
          </cell>
          <cell r="Z1519" t="str">
            <v>V/TOTAL</v>
          </cell>
        </row>
        <row r="1520">
          <cell r="E1520" t="str">
            <v>MATERIALES</v>
          </cell>
          <cell r="I1520">
            <v>0</v>
          </cell>
          <cell r="L1520">
            <v>0</v>
          </cell>
          <cell r="Z1520">
            <v>0</v>
          </cell>
        </row>
        <row r="1521">
          <cell r="I1521">
            <v>0</v>
          </cell>
          <cell r="J1521">
            <v>0</v>
          </cell>
          <cell r="K1521">
            <v>0</v>
          </cell>
          <cell r="L1521">
            <v>0</v>
          </cell>
          <cell r="Y1521">
            <v>0</v>
          </cell>
          <cell r="Z1521">
            <v>0</v>
          </cell>
        </row>
        <row r="1522">
          <cell r="I1522">
            <v>0</v>
          </cell>
          <cell r="J1522">
            <v>0</v>
          </cell>
          <cell r="K1522">
            <v>0</v>
          </cell>
          <cell r="L1522">
            <v>0</v>
          </cell>
          <cell r="Y1522">
            <v>0</v>
          </cell>
          <cell r="Z1522">
            <v>0</v>
          </cell>
        </row>
        <row r="1523">
          <cell r="I1523">
            <v>0</v>
          </cell>
          <cell r="J1523">
            <v>0</v>
          </cell>
          <cell r="K1523">
            <v>0</v>
          </cell>
          <cell r="L1523">
            <v>0</v>
          </cell>
          <cell r="Y1523">
            <v>0</v>
          </cell>
          <cell r="Z1523">
            <v>0</v>
          </cell>
        </row>
        <row r="1525">
          <cell r="E1525" t="str">
            <v>MANO DE OBRA</v>
          </cell>
          <cell r="I1525">
            <v>3800</v>
          </cell>
          <cell r="L1525">
            <v>1037400</v>
          </cell>
          <cell r="Z1525" t="e">
            <v>#N/A</v>
          </cell>
        </row>
        <row r="1526">
          <cell r="D1526" t="str">
            <v>MOVIDRAA</v>
          </cell>
          <cell r="E1526" t="str">
            <v>Demolición Andenes Adoquin</v>
          </cell>
          <cell r="F1526" t="str">
            <v>M2</v>
          </cell>
          <cell r="G1526">
            <v>1</v>
          </cell>
          <cell r="H1526">
            <v>3800</v>
          </cell>
          <cell r="I1526">
            <v>3800</v>
          </cell>
          <cell r="J1526">
            <v>0</v>
          </cell>
          <cell r="K1526">
            <v>273</v>
          </cell>
          <cell r="L1526">
            <v>1037400</v>
          </cell>
          <cell r="Y1526" t="e">
            <v>#N/A</v>
          </cell>
          <cell r="Z1526" t="e">
            <v>#N/A</v>
          </cell>
        </row>
        <row r="1528">
          <cell r="E1528" t="str">
            <v>VARIOS</v>
          </cell>
          <cell r="I1528">
            <v>14450</v>
          </cell>
          <cell r="L1528">
            <v>3944850</v>
          </cell>
          <cell r="Z1528" t="e">
            <v>#N/A</v>
          </cell>
        </row>
        <row r="1529">
          <cell r="D1529" t="str">
            <v>TC60V</v>
          </cell>
          <cell r="E1529" t="str">
            <v>Volqueta</v>
          </cell>
          <cell r="F1529" t="str">
            <v>Vj</v>
          </cell>
          <cell r="G1529">
            <v>0.23</v>
          </cell>
          <cell r="H1529">
            <v>60000</v>
          </cell>
          <cell r="I1529">
            <v>13800</v>
          </cell>
          <cell r="J1529">
            <v>0</v>
          </cell>
          <cell r="K1529">
            <v>62.790000000000006</v>
          </cell>
          <cell r="L1529">
            <v>3767400.0000000005</v>
          </cell>
          <cell r="Y1529" t="e">
            <v>#N/A</v>
          </cell>
          <cell r="Z1529" t="e">
            <v>#N/A</v>
          </cell>
        </row>
        <row r="1530">
          <cell r="D1530" t="str">
            <v>TC07H650</v>
          </cell>
          <cell r="E1530" t="str">
            <v>Herramienta</v>
          </cell>
          <cell r="F1530" t="str">
            <v>Gb</v>
          </cell>
          <cell r="G1530">
            <v>1</v>
          </cell>
          <cell r="H1530">
            <v>650</v>
          </cell>
          <cell r="I1530">
            <v>650</v>
          </cell>
          <cell r="J1530">
            <v>0</v>
          </cell>
          <cell r="K1530">
            <v>273</v>
          </cell>
          <cell r="L1530">
            <v>177450</v>
          </cell>
          <cell r="Y1530" t="e">
            <v>#N/A</v>
          </cell>
          <cell r="Z1530" t="e">
            <v>#N/A</v>
          </cell>
        </row>
        <row r="1531">
          <cell r="I1531">
            <v>0</v>
          </cell>
          <cell r="J1531">
            <v>0</v>
          </cell>
          <cell r="K1531">
            <v>0</v>
          </cell>
          <cell r="L1531">
            <v>0</v>
          </cell>
          <cell r="Y1531">
            <v>0</v>
          </cell>
          <cell r="Z1531">
            <v>0</v>
          </cell>
        </row>
        <row r="1532">
          <cell r="E1532" t="str">
            <v>SUBTOTAL</v>
          </cell>
          <cell r="I1532">
            <v>18250</v>
          </cell>
          <cell r="L1532">
            <v>4982250</v>
          </cell>
          <cell r="Z1532" t="e">
            <v>#N/A</v>
          </cell>
        </row>
        <row r="1533">
          <cell r="E1533" t="str">
            <v>A.I.U</v>
          </cell>
          <cell r="I1533">
            <v>0</v>
          </cell>
          <cell r="L1533">
            <v>0</v>
          </cell>
          <cell r="Z1533">
            <v>0</v>
          </cell>
        </row>
        <row r="1534">
          <cell r="D1534" t="str">
            <v>AIUAADMON</v>
          </cell>
          <cell r="E1534" t="str">
            <v>Admon</v>
          </cell>
          <cell r="F1534">
            <v>0</v>
          </cell>
          <cell r="I1534">
            <v>0</v>
          </cell>
          <cell r="J1534">
            <v>0</v>
          </cell>
          <cell r="L1534">
            <v>0</v>
          </cell>
          <cell r="Z1534">
            <v>0</v>
          </cell>
        </row>
        <row r="1535">
          <cell r="D1535" t="str">
            <v>AIUAIMPRE</v>
          </cell>
          <cell r="E1535" t="str">
            <v>Imprevistos</v>
          </cell>
          <cell r="F1535">
            <v>0</v>
          </cell>
          <cell r="I1535">
            <v>0</v>
          </cell>
          <cell r="J1535">
            <v>0</v>
          </cell>
          <cell r="L1535">
            <v>0</v>
          </cell>
          <cell r="Z1535">
            <v>0</v>
          </cell>
        </row>
        <row r="1536">
          <cell r="D1536" t="str">
            <v>AIUAUTILI</v>
          </cell>
          <cell r="E1536" t="str">
            <v>Utilidad</v>
          </cell>
          <cell r="F1536">
            <v>0</v>
          </cell>
          <cell r="I1536">
            <v>0</v>
          </cell>
          <cell r="J1536">
            <v>0</v>
          </cell>
          <cell r="L1536">
            <v>0</v>
          </cell>
          <cell r="Z1536">
            <v>0</v>
          </cell>
        </row>
        <row r="1537">
          <cell r="D1537" t="str">
            <v>AIUAIVAUTI</v>
          </cell>
          <cell r="E1537" t="str">
            <v>IVA utilidad</v>
          </cell>
          <cell r="F1537">
            <v>0</v>
          </cell>
          <cell r="I1537">
            <v>0</v>
          </cell>
          <cell r="J1537">
            <v>0</v>
          </cell>
          <cell r="L1537">
            <v>0</v>
          </cell>
          <cell r="Z1537">
            <v>0</v>
          </cell>
        </row>
        <row r="1539">
          <cell r="E1539" t="str">
            <v>ITEM</v>
          </cell>
        </row>
        <row r="1540">
          <cell r="D1540" t="str">
            <v>VIPR43</v>
          </cell>
          <cell r="E1540" t="str">
            <v>pavimento Rgido MR-43</v>
          </cell>
          <cell r="G1540" t="str">
            <v>UN.</v>
          </cell>
          <cell r="H1540" t="str">
            <v>M3</v>
          </cell>
          <cell r="I1540">
            <v>246195.75</v>
          </cell>
          <cell r="K1540">
            <v>302</v>
          </cell>
          <cell r="L1540">
            <v>74351116.5</v>
          </cell>
          <cell r="N1540">
            <v>236415.75</v>
          </cell>
          <cell r="O1540">
            <v>4200</v>
          </cell>
          <cell r="P1540">
            <v>5580</v>
          </cell>
          <cell r="Q1540">
            <v>0</v>
          </cell>
          <cell r="X1540">
            <v>74351116.5</v>
          </cell>
          <cell r="Y1540" t="str">
            <v>M3</v>
          </cell>
          <cell r="Z1540" t="e">
            <v>#N/A</v>
          </cell>
          <cell r="AA1540" t="e">
            <v>#N/A</v>
          </cell>
          <cell r="AB1540" t="e">
            <v>#N/A</v>
          </cell>
          <cell r="AC1540" t="e">
            <v>#N/A</v>
          </cell>
        </row>
        <row r="1542">
          <cell r="D1542" t="str">
            <v>CODIGO</v>
          </cell>
          <cell r="E1542" t="str">
            <v>DESCRIPCION</v>
          </cell>
          <cell r="F1542" t="str">
            <v>UN</v>
          </cell>
          <cell r="G1542" t="str">
            <v>CANT</v>
          </cell>
          <cell r="H1542" t="str">
            <v>V/UNIT.</v>
          </cell>
          <cell r="I1542" t="str">
            <v>V/TOTAL</v>
          </cell>
          <cell r="K1542" t="str">
            <v>CANT TOTAL</v>
          </cell>
          <cell r="L1542" t="str">
            <v>Vr TOTAL</v>
          </cell>
          <cell r="Y1542" t="str">
            <v>CANT.</v>
          </cell>
          <cell r="Z1542" t="str">
            <v>V/TOTAL</v>
          </cell>
        </row>
        <row r="1543">
          <cell r="E1543" t="str">
            <v>MATERIALES</v>
          </cell>
          <cell r="I1543">
            <v>236415.75</v>
          </cell>
          <cell r="L1543">
            <v>71397556.5</v>
          </cell>
          <cell r="Z1543" t="e">
            <v>#N/A</v>
          </cell>
        </row>
        <row r="1544">
          <cell r="D1544" t="str">
            <v>MA04CRMR43</v>
          </cell>
          <cell r="E1544" t="str">
            <v>Concreto Rigido MR-43</v>
          </cell>
          <cell r="F1544" t="str">
            <v>M3</v>
          </cell>
          <cell r="G1544">
            <v>1.01</v>
          </cell>
          <cell r="H1544">
            <v>234075</v>
          </cell>
          <cell r="I1544">
            <v>236415.75</v>
          </cell>
          <cell r="J1544">
            <v>0</v>
          </cell>
          <cell r="K1544">
            <v>305.02</v>
          </cell>
          <cell r="L1544">
            <v>71397556.5</v>
          </cell>
          <cell r="Y1544" t="e">
            <v>#N/A</v>
          </cell>
          <cell r="Z1544" t="e">
            <v>#N/A</v>
          </cell>
        </row>
        <row r="1545">
          <cell r="I1545">
            <v>0</v>
          </cell>
          <cell r="J1545">
            <v>0</v>
          </cell>
          <cell r="K1545">
            <v>0</v>
          </cell>
          <cell r="L1545">
            <v>0</v>
          </cell>
          <cell r="Y1545">
            <v>0</v>
          </cell>
          <cell r="Z1545">
            <v>0</v>
          </cell>
        </row>
        <row r="1546">
          <cell r="I1546">
            <v>0</v>
          </cell>
          <cell r="J1546">
            <v>0</v>
          </cell>
          <cell r="K1546">
            <v>0</v>
          </cell>
          <cell r="L1546">
            <v>0</v>
          </cell>
          <cell r="Y1546">
            <v>0</v>
          </cell>
          <cell r="Z1546">
            <v>0</v>
          </cell>
        </row>
        <row r="1548">
          <cell r="E1548" t="str">
            <v>MANO DE OBRA</v>
          </cell>
          <cell r="I1548">
            <v>4200</v>
          </cell>
          <cell r="L1548">
            <v>1268400</v>
          </cell>
          <cell r="Z1548" t="e">
            <v>#N/A</v>
          </cell>
        </row>
        <row r="1549">
          <cell r="D1549" t="str">
            <v>MOVIPR</v>
          </cell>
          <cell r="E1549" t="str">
            <v>Pavimento Rigido</v>
          </cell>
          <cell r="F1549" t="str">
            <v>M2</v>
          </cell>
          <cell r="G1549">
            <v>1</v>
          </cell>
          <cell r="H1549">
            <v>4200</v>
          </cell>
          <cell r="I1549">
            <v>4200</v>
          </cell>
          <cell r="J1549">
            <v>0</v>
          </cell>
          <cell r="K1549">
            <v>302</v>
          </cell>
          <cell r="L1549">
            <v>1268400</v>
          </cell>
          <cell r="Y1549" t="e">
            <v>#N/A</v>
          </cell>
          <cell r="Z1549" t="e">
            <v>#N/A</v>
          </cell>
        </row>
        <row r="1551">
          <cell r="E1551" t="str">
            <v>VARIOS</v>
          </cell>
          <cell r="I1551">
            <v>5580</v>
          </cell>
          <cell r="L1551">
            <v>1685160</v>
          </cell>
          <cell r="Z1551" t="e">
            <v>#N/A</v>
          </cell>
        </row>
        <row r="1552">
          <cell r="D1552" t="str">
            <v>TC07H600</v>
          </cell>
          <cell r="E1552" t="str">
            <v>Herramienta y Varios</v>
          </cell>
          <cell r="F1552" t="str">
            <v>Gb</v>
          </cell>
          <cell r="G1552">
            <v>1</v>
          </cell>
          <cell r="H1552">
            <v>600</v>
          </cell>
          <cell r="I1552">
            <v>600</v>
          </cell>
          <cell r="J1552">
            <v>0</v>
          </cell>
          <cell r="K1552">
            <v>302</v>
          </cell>
          <cell r="L1552">
            <v>181200</v>
          </cell>
          <cell r="Y1552" t="e">
            <v>#N/A</v>
          </cell>
          <cell r="Z1552" t="e">
            <v>#N/A</v>
          </cell>
        </row>
        <row r="1553">
          <cell r="D1553" t="str">
            <v>AL04AFOR</v>
          </cell>
          <cell r="E1553" t="str">
            <v>Alquiler Formaleta</v>
          </cell>
          <cell r="F1553" t="str">
            <v>Ml</v>
          </cell>
          <cell r="G1553">
            <v>1</v>
          </cell>
          <cell r="H1553">
            <v>480</v>
          </cell>
          <cell r="I1553">
            <v>480</v>
          </cell>
          <cell r="J1553">
            <v>0</v>
          </cell>
          <cell r="K1553">
            <v>302</v>
          </cell>
          <cell r="L1553">
            <v>144960</v>
          </cell>
          <cell r="Y1553" t="e">
            <v>#N/A</v>
          </cell>
          <cell r="Z1553" t="e">
            <v>#N/A</v>
          </cell>
        </row>
        <row r="1554">
          <cell r="D1554" t="str">
            <v>AL07RVI</v>
          </cell>
          <cell r="E1554" t="str">
            <v>Regla Vibratoria</v>
          </cell>
          <cell r="F1554" t="str">
            <v>Hr</v>
          </cell>
          <cell r="G1554">
            <v>0.1</v>
          </cell>
          <cell r="H1554">
            <v>45000</v>
          </cell>
          <cell r="I1554">
            <v>4500</v>
          </cell>
          <cell r="J1554">
            <v>0</v>
          </cell>
          <cell r="K1554">
            <v>30.200000000000003</v>
          </cell>
          <cell r="L1554">
            <v>1359000.0000000002</v>
          </cell>
          <cell r="Y1554" t="e">
            <v>#N/A</v>
          </cell>
          <cell r="Z1554" t="e">
            <v>#N/A</v>
          </cell>
        </row>
        <row r="1555">
          <cell r="E1555" t="str">
            <v>SUBTOTAL</v>
          </cell>
          <cell r="I1555">
            <v>246195.75</v>
          </cell>
          <cell r="L1555">
            <v>74351116.5</v>
          </cell>
          <cell r="Z1555" t="e">
            <v>#N/A</v>
          </cell>
        </row>
        <row r="1556">
          <cell r="E1556" t="str">
            <v>A.I.U</v>
          </cell>
          <cell r="I1556">
            <v>0</v>
          </cell>
          <cell r="L1556">
            <v>0</v>
          </cell>
          <cell r="Z1556">
            <v>0</v>
          </cell>
        </row>
        <row r="1557">
          <cell r="D1557" t="str">
            <v>AIUAADMON</v>
          </cell>
          <cell r="E1557" t="str">
            <v>Admon</v>
          </cell>
          <cell r="F1557">
            <v>0</v>
          </cell>
          <cell r="I1557">
            <v>0</v>
          </cell>
          <cell r="J1557">
            <v>0</v>
          </cell>
          <cell r="L1557">
            <v>0</v>
          </cell>
          <cell r="Z1557">
            <v>0</v>
          </cell>
        </row>
        <row r="1558">
          <cell r="D1558" t="str">
            <v>AIUAIMPRE</v>
          </cell>
          <cell r="E1558" t="str">
            <v>Imprevistos</v>
          </cell>
          <cell r="F1558">
            <v>0</v>
          </cell>
          <cell r="I1558">
            <v>0</v>
          </cell>
          <cell r="J1558">
            <v>0</v>
          </cell>
          <cell r="L1558">
            <v>0</v>
          </cell>
          <cell r="Z1558">
            <v>0</v>
          </cell>
        </row>
        <row r="1559">
          <cell r="D1559" t="str">
            <v>AIUAUTILI</v>
          </cell>
          <cell r="E1559" t="str">
            <v>Utilidad</v>
          </cell>
          <cell r="F1559">
            <v>0</v>
          </cell>
          <cell r="I1559">
            <v>0</v>
          </cell>
          <cell r="J1559">
            <v>0</v>
          </cell>
          <cell r="L1559">
            <v>0</v>
          </cell>
          <cell r="Z1559">
            <v>0</v>
          </cell>
        </row>
        <row r="1560">
          <cell r="D1560" t="str">
            <v>AIUAIVAUTI</v>
          </cell>
          <cell r="E1560" t="str">
            <v>IVA utilidad</v>
          </cell>
          <cell r="F1560">
            <v>0</v>
          </cell>
          <cell r="I1560">
            <v>0</v>
          </cell>
          <cell r="J1560">
            <v>0</v>
          </cell>
          <cell r="L1560">
            <v>0</v>
          </cell>
          <cell r="Z1560">
            <v>0</v>
          </cell>
        </row>
        <row r="1562">
          <cell r="E1562" t="str">
            <v>ITEM</v>
          </cell>
        </row>
        <row r="1563">
          <cell r="D1563" t="str">
            <v>VIBG400</v>
          </cell>
          <cell r="E1563" t="str">
            <v>Sub Base Granular B-400</v>
          </cell>
          <cell r="G1563" t="str">
            <v>UN.</v>
          </cell>
          <cell r="H1563" t="str">
            <v>M3</v>
          </cell>
          <cell r="I1563">
            <v>37700</v>
          </cell>
          <cell r="K1563">
            <v>326</v>
          </cell>
          <cell r="L1563">
            <v>12290200</v>
          </cell>
          <cell r="N1563">
            <v>32460</v>
          </cell>
          <cell r="O1563">
            <v>200</v>
          </cell>
          <cell r="P1563">
            <v>5040</v>
          </cell>
          <cell r="Q1563">
            <v>0</v>
          </cell>
          <cell r="X1563">
            <v>12290200</v>
          </cell>
          <cell r="Y1563" t="str">
            <v>M3</v>
          </cell>
          <cell r="Z1563" t="e">
            <v>#VALUE!</v>
          </cell>
          <cell r="AA1563" t="e">
            <v>#VALUE!</v>
          </cell>
          <cell r="AB1563" t="e">
            <v>#VALUE!</v>
          </cell>
          <cell r="AC1563" t="e">
            <v>#VALUE!</v>
          </cell>
        </row>
        <row r="1565">
          <cell r="D1565" t="str">
            <v>CODIGO</v>
          </cell>
          <cell r="E1565" t="str">
            <v>DESCRIPCION</v>
          </cell>
          <cell r="F1565" t="str">
            <v>UN</v>
          </cell>
          <cell r="G1565" t="str">
            <v>CANT</v>
          </cell>
          <cell r="H1565" t="str">
            <v>V/UNIT.</v>
          </cell>
          <cell r="I1565" t="str">
            <v>V/TOTAL</v>
          </cell>
          <cell r="K1565" t="str">
            <v>CANT TOTAL</v>
          </cell>
          <cell r="L1565" t="str">
            <v>Vr TOTAL</v>
          </cell>
          <cell r="Y1565" t="str">
            <v>CANT.</v>
          </cell>
          <cell r="Z1565" t="str">
            <v>V/TOTAL</v>
          </cell>
        </row>
        <row r="1566">
          <cell r="E1566" t="str">
            <v>MATERIALES</v>
          </cell>
          <cell r="I1566">
            <v>32460</v>
          </cell>
          <cell r="L1566">
            <v>10581960</v>
          </cell>
          <cell r="Z1566" t="e">
            <v>#VALUE!</v>
          </cell>
        </row>
        <row r="1567">
          <cell r="D1567" t="str">
            <v>MA02BG400</v>
          </cell>
          <cell r="E1567" t="str">
            <v>SubBase Granular B-400</v>
          </cell>
          <cell r="F1567" t="str">
            <v>M3</v>
          </cell>
          <cell r="G1567">
            <v>1.28</v>
          </cell>
          <cell r="H1567">
            <v>11000</v>
          </cell>
          <cell r="I1567">
            <v>14080</v>
          </cell>
          <cell r="J1567">
            <v>0</v>
          </cell>
          <cell r="K1567">
            <v>417.28000000000003</v>
          </cell>
          <cell r="L1567">
            <v>4590080</v>
          </cell>
          <cell r="Y1567" t="e">
            <v>#VALUE!</v>
          </cell>
          <cell r="Z1567" t="e">
            <v>#VALUE!</v>
          </cell>
        </row>
        <row r="1568">
          <cell r="D1568" t="str">
            <v>TC09TR</v>
          </cell>
          <cell r="E1568" t="str">
            <v>Transporte Recebo</v>
          </cell>
          <cell r="F1568" t="str">
            <v>Vj</v>
          </cell>
          <cell r="G1568">
            <v>0.21333333333333335</v>
          </cell>
          <cell r="H1568">
            <v>81000</v>
          </cell>
          <cell r="I1568">
            <v>17280</v>
          </cell>
          <cell r="J1568">
            <v>0</v>
          </cell>
          <cell r="K1568">
            <v>69.546666666666667</v>
          </cell>
          <cell r="L1568">
            <v>5633280</v>
          </cell>
          <cell r="Y1568" t="e">
            <v>#VALUE!</v>
          </cell>
          <cell r="Z1568" t="e">
            <v>#VALUE!</v>
          </cell>
        </row>
        <row r="1569">
          <cell r="D1569" t="str">
            <v>TC16AGUA</v>
          </cell>
          <cell r="E1569" t="str">
            <v>Agua</v>
          </cell>
          <cell r="F1569" t="str">
            <v>M3</v>
          </cell>
          <cell r="G1569">
            <v>0.11</v>
          </cell>
          <cell r="H1569">
            <v>10000</v>
          </cell>
          <cell r="I1569">
            <v>1100</v>
          </cell>
          <cell r="J1569">
            <v>0</v>
          </cell>
          <cell r="K1569">
            <v>35.86</v>
          </cell>
          <cell r="L1569">
            <v>358600</v>
          </cell>
          <cell r="Y1569" t="e">
            <v>#VALUE!</v>
          </cell>
          <cell r="Z1569" t="e">
            <v>#VALUE!</v>
          </cell>
        </row>
        <row r="1571">
          <cell r="E1571" t="str">
            <v>MANO DE OBRA</v>
          </cell>
          <cell r="I1571">
            <v>200</v>
          </cell>
          <cell r="L1571">
            <v>65200</v>
          </cell>
          <cell r="Z1571" t="e">
            <v>#VALUE!</v>
          </cell>
        </row>
        <row r="1572">
          <cell r="D1572" t="str">
            <v>MOVIARC</v>
          </cell>
          <cell r="E1572" t="str">
            <v>Ayudante Recebo Compacto</v>
          </cell>
          <cell r="F1572" t="str">
            <v>M3</v>
          </cell>
          <cell r="G1572">
            <v>1</v>
          </cell>
          <cell r="H1572">
            <v>200</v>
          </cell>
          <cell r="I1572">
            <v>200</v>
          </cell>
          <cell r="J1572">
            <v>0</v>
          </cell>
          <cell r="K1572">
            <v>326</v>
          </cell>
          <cell r="L1572">
            <v>65200</v>
          </cell>
          <cell r="Y1572" t="e">
            <v>#VALUE!</v>
          </cell>
          <cell r="Z1572" t="e">
            <v>#VALUE!</v>
          </cell>
        </row>
        <row r="1574">
          <cell r="E1574" t="str">
            <v>VARIOS</v>
          </cell>
          <cell r="I1574">
            <v>5040</v>
          </cell>
          <cell r="L1574">
            <v>1643040</v>
          </cell>
          <cell r="Z1574" t="e">
            <v>#VALUE!</v>
          </cell>
        </row>
        <row r="1575">
          <cell r="D1575" t="str">
            <v>AL04MOTO</v>
          </cell>
          <cell r="E1575" t="str">
            <v>Motoniveladora</v>
          </cell>
          <cell r="F1575" t="str">
            <v>Hr</v>
          </cell>
          <cell r="G1575">
            <v>0.08</v>
          </cell>
          <cell r="H1575">
            <v>38000</v>
          </cell>
          <cell r="I1575">
            <v>3040</v>
          </cell>
          <cell r="J1575">
            <v>0</v>
          </cell>
          <cell r="K1575">
            <v>26.080000000000002</v>
          </cell>
          <cell r="L1575">
            <v>991040.00000000012</v>
          </cell>
          <cell r="Y1575" t="e">
            <v>#VALUE!</v>
          </cell>
          <cell r="Z1575" t="e">
            <v>#VALUE!</v>
          </cell>
        </row>
        <row r="1576">
          <cell r="D1576" t="str">
            <v>AL04CILI</v>
          </cell>
          <cell r="E1576" t="str">
            <v>Cilindro</v>
          </cell>
          <cell r="F1576" t="str">
            <v>Hr</v>
          </cell>
          <cell r="G1576">
            <v>0.06</v>
          </cell>
          <cell r="H1576">
            <v>25000</v>
          </cell>
          <cell r="I1576">
            <v>1500</v>
          </cell>
          <cell r="J1576">
            <v>0</v>
          </cell>
          <cell r="K1576">
            <v>19.559999999999999</v>
          </cell>
          <cell r="L1576">
            <v>488999.99999999994</v>
          </cell>
          <cell r="Y1576" t="e">
            <v>#VALUE!</v>
          </cell>
          <cell r="Z1576" t="e">
            <v>#VALUE!</v>
          </cell>
        </row>
        <row r="1577">
          <cell r="D1577" t="str">
            <v>AL04DENS</v>
          </cell>
          <cell r="E1577" t="str">
            <v>Densidades</v>
          </cell>
          <cell r="F1577" t="str">
            <v>Un</v>
          </cell>
          <cell r="G1577">
            <v>0.02</v>
          </cell>
          <cell r="H1577">
            <v>25000</v>
          </cell>
          <cell r="I1577">
            <v>500</v>
          </cell>
          <cell r="J1577">
            <v>0</v>
          </cell>
          <cell r="K1577">
            <v>6.5200000000000005</v>
          </cell>
          <cell r="L1577">
            <v>163000</v>
          </cell>
          <cell r="Y1577" t="e">
            <v>#VALUE!</v>
          </cell>
          <cell r="Z1577" t="e">
            <v>#VALUE!</v>
          </cell>
        </row>
        <row r="1578">
          <cell r="E1578" t="str">
            <v>SUBTOTAL</v>
          </cell>
          <cell r="I1578">
            <v>37700</v>
          </cell>
          <cell r="L1578">
            <v>12290200</v>
          </cell>
          <cell r="Z1578" t="e">
            <v>#VALUE!</v>
          </cell>
        </row>
        <row r="1579">
          <cell r="E1579" t="str">
            <v>A.I.U</v>
          </cell>
          <cell r="I1579">
            <v>0</v>
          </cell>
          <cell r="L1579">
            <v>0</v>
          </cell>
          <cell r="Z1579">
            <v>0</v>
          </cell>
        </row>
        <row r="1580">
          <cell r="D1580" t="str">
            <v>AIUAADMON</v>
          </cell>
          <cell r="E1580" t="str">
            <v>Admon</v>
          </cell>
          <cell r="F1580">
            <v>0</v>
          </cell>
          <cell r="I1580">
            <v>0</v>
          </cell>
          <cell r="J1580">
            <v>0</v>
          </cell>
          <cell r="L1580">
            <v>0</v>
          </cell>
          <cell r="Z1580">
            <v>0</v>
          </cell>
        </row>
        <row r="1581">
          <cell r="D1581" t="str">
            <v>AIUAIMPRE</v>
          </cell>
          <cell r="E1581" t="str">
            <v>Imprevistos</v>
          </cell>
          <cell r="F1581">
            <v>0</v>
          </cell>
          <cell r="I1581">
            <v>0</v>
          </cell>
          <cell r="J1581">
            <v>0</v>
          </cell>
          <cell r="L1581">
            <v>0</v>
          </cell>
          <cell r="Z1581">
            <v>0</v>
          </cell>
        </row>
        <row r="1582">
          <cell r="D1582" t="str">
            <v>AIUAUTILI</v>
          </cell>
          <cell r="E1582" t="str">
            <v>Utilidad</v>
          </cell>
          <cell r="F1582">
            <v>0</v>
          </cell>
          <cell r="I1582">
            <v>0</v>
          </cell>
          <cell r="J1582">
            <v>0</v>
          </cell>
          <cell r="L1582">
            <v>0</v>
          </cell>
          <cell r="Z1582">
            <v>0</v>
          </cell>
        </row>
        <row r="1583">
          <cell r="D1583" t="str">
            <v>AIUAIVAUTI</v>
          </cell>
          <cell r="E1583" t="str">
            <v>IVA utilidad</v>
          </cell>
          <cell r="F1583">
            <v>0</v>
          </cell>
          <cell r="I1583">
            <v>0</v>
          </cell>
          <cell r="J1583">
            <v>0</v>
          </cell>
          <cell r="L1583">
            <v>0</v>
          </cell>
          <cell r="Z1583">
            <v>0</v>
          </cell>
        </row>
        <row r="1585">
          <cell r="E1585" t="str">
            <v>ITEM</v>
          </cell>
        </row>
        <row r="1586">
          <cell r="D1586" t="str">
            <v>VIBG600</v>
          </cell>
          <cell r="E1586" t="str">
            <v>Base Granular B-600</v>
          </cell>
          <cell r="G1586" t="str">
            <v>UN.</v>
          </cell>
          <cell r="H1586" t="str">
            <v>M3</v>
          </cell>
          <cell r="I1586">
            <v>45287.199999999997</v>
          </cell>
          <cell r="K1586">
            <v>562</v>
          </cell>
          <cell r="L1586">
            <v>25451406.399999999</v>
          </cell>
          <cell r="N1586">
            <v>39167.199999999997</v>
          </cell>
          <cell r="O1586">
            <v>200</v>
          </cell>
          <cell r="P1586">
            <v>5920</v>
          </cell>
          <cell r="Q1586">
            <v>0</v>
          </cell>
          <cell r="X1586">
            <v>25451406.399999999</v>
          </cell>
          <cell r="Z1586" t="e">
            <v>#VALUE!</v>
          </cell>
          <cell r="AA1586" t="e">
            <v>#VALUE!</v>
          </cell>
          <cell r="AB1586" t="e">
            <v>#VALUE!</v>
          </cell>
          <cell r="AC1586" t="e">
            <v>#VALUE!</v>
          </cell>
        </row>
        <row r="1588">
          <cell r="D1588" t="str">
            <v>CODIGO</v>
          </cell>
          <cell r="E1588" t="str">
            <v>DESCRIPCION</v>
          </cell>
          <cell r="F1588" t="str">
            <v>UN</v>
          </cell>
          <cell r="G1588" t="str">
            <v>CANT</v>
          </cell>
          <cell r="H1588" t="str">
            <v>V/UNIT.</v>
          </cell>
          <cell r="I1588" t="str">
            <v>V/TOTAL</v>
          </cell>
          <cell r="K1588" t="str">
            <v>CANT TOTAL</v>
          </cell>
          <cell r="L1588" t="str">
            <v>Vr TOTAL</v>
          </cell>
          <cell r="Y1588" t="str">
            <v>CANT.</v>
          </cell>
          <cell r="Z1588" t="str">
            <v>V/TOTAL</v>
          </cell>
        </row>
        <row r="1589">
          <cell r="E1589" t="str">
            <v>MATERIALES</v>
          </cell>
          <cell r="I1589">
            <v>39167.199999999997</v>
          </cell>
          <cell r="L1589">
            <v>22011966.399999999</v>
          </cell>
          <cell r="Z1589" t="e">
            <v>#VALUE!</v>
          </cell>
        </row>
        <row r="1590">
          <cell r="D1590" t="str">
            <v>MA02BG600</v>
          </cell>
          <cell r="E1590" t="str">
            <v>Base Granular B-600</v>
          </cell>
          <cell r="F1590" t="str">
            <v>M3</v>
          </cell>
          <cell r="G1590">
            <v>1.28</v>
          </cell>
          <cell r="H1590">
            <v>16240</v>
          </cell>
          <cell r="I1590">
            <v>20787.2</v>
          </cell>
          <cell r="J1590">
            <v>0</v>
          </cell>
          <cell r="K1590">
            <v>719.36</v>
          </cell>
          <cell r="L1590">
            <v>11682406.4</v>
          </cell>
          <cell r="Y1590" t="e">
            <v>#VALUE!</v>
          </cell>
          <cell r="Z1590" t="e">
            <v>#VALUE!</v>
          </cell>
        </row>
        <row r="1591">
          <cell r="D1591" t="str">
            <v>TC09TR</v>
          </cell>
          <cell r="E1591" t="str">
            <v>Transporte Recebo</v>
          </cell>
          <cell r="F1591" t="str">
            <v>Vj</v>
          </cell>
          <cell r="G1591">
            <v>0.21333333333333335</v>
          </cell>
          <cell r="H1591">
            <v>81000</v>
          </cell>
          <cell r="I1591">
            <v>17280</v>
          </cell>
          <cell r="J1591">
            <v>0</v>
          </cell>
          <cell r="K1591">
            <v>119.89333333333335</v>
          </cell>
          <cell r="L1591">
            <v>9711360.0000000019</v>
          </cell>
          <cell r="Y1591" t="e">
            <v>#VALUE!</v>
          </cell>
          <cell r="Z1591" t="e">
            <v>#VALUE!</v>
          </cell>
        </row>
        <row r="1592">
          <cell r="D1592" t="str">
            <v>TC16AGUA</v>
          </cell>
          <cell r="E1592" t="str">
            <v>Agua</v>
          </cell>
          <cell r="F1592" t="str">
            <v>M3</v>
          </cell>
          <cell r="G1592">
            <v>0.11</v>
          </cell>
          <cell r="H1592">
            <v>10000</v>
          </cell>
          <cell r="I1592">
            <v>1100</v>
          </cell>
          <cell r="J1592">
            <v>0</v>
          </cell>
          <cell r="K1592">
            <v>61.82</v>
          </cell>
          <cell r="L1592">
            <v>618200</v>
          </cell>
          <cell r="Y1592" t="e">
            <v>#VALUE!</v>
          </cell>
          <cell r="Z1592" t="e">
            <v>#VALUE!</v>
          </cell>
        </row>
        <row r="1594">
          <cell r="E1594" t="str">
            <v>MANO DE OBRA</v>
          </cell>
          <cell r="I1594">
            <v>200</v>
          </cell>
          <cell r="L1594">
            <v>112400</v>
          </cell>
          <cell r="Z1594" t="e">
            <v>#VALUE!</v>
          </cell>
        </row>
        <row r="1595">
          <cell r="D1595" t="str">
            <v>MOVIARC</v>
          </cell>
          <cell r="E1595" t="str">
            <v>Ayudante Recebo Compacto</v>
          </cell>
          <cell r="F1595" t="str">
            <v>M3</v>
          </cell>
          <cell r="G1595">
            <v>1</v>
          </cell>
          <cell r="H1595">
            <v>200</v>
          </cell>
          <cell r="I1595">
            <v>200</v>
          </cell>
          <cell r="J1595">
            <v>0</v>
          </cell>
          <cell r="K1595">
            <v>562</v>
          </cell>
          <cell r="L1595">
            <v>112400</v>
          </cell>
          <cell r="Y1595" t="e">
            <v>#VALUE!</v>
          </cell>
          <cell r="Z1595" t="e">
            <v>#VALUE!</v>
          </cell>
        </row>
        <row r="1597">
          <cell r="E1597" t="str">
            <v>VARIOS</v>
          </cell>
          <cell r="I1597">
            <v>5920</v>
          </cell>
          <cell r="L1597">
            <v>3327040</v>
          </cell>
          <cell r="Z1597" t="e">
            <v>#VALUE!</v>
          </cell>
        </row>
        <row r="1598">
          <cell r="D1598" t="str">
            <v>AL04MOTO</v>
          </cell>
          <cell r="E1598" t="str">
            <v>Motoniveladora</v>
          </cell>
          <cell r="F1598" t="str">
            <v>Hr</v>
          </cell>
          <cell r="G1598">
            <v>0.09</v>
          </cell>
          <cell r="H1598">
            <v>38000</v>
          </cell>
          <cell r="I1598">
            <v>3420</v>
          </cell>
          <cell r="J1598">
            <v>0</v>
          </cell>
          <cell r="K1598">
            <v>50.58</v>
          </cell>
          <cell r="L1598">
            <v>1922040</v>
          </cell>
          <cell r="Y1598" t="e">
            <v>#VALUE!</v>
          </cell>
          <cell r="Z1598" t="e">
            <v>#VALUE!</v>
          </cell>
        </row>
        <row r="1599">
          <cell r="D1599" t="str">
            <v>AL04CILI</v>
          </cell>
          <cell r="E1599" t="str">
            <v>Cilindro</v>
          </cell>
          <cell r="F1599" t="str">
            <v>Hr</v>
          </cell>
          <cell r="G1599">
            <v>7.0000000000000007E-2</v>
          </cell>
          <cell r="H1599">
            <v>25000</v>
          </cell>
          <cell r="I1599">
            <v>1750</v>
          </cell>
          <cell r="J1599">
            <v>0</v>
          </cell>
          <cell r="K1599">
            <v>39.340000000000003</v>
          </cell>
          <cell r="L1599">
            <v>983500.00000000012</v>
          </cell>
          <cell r="Y1599" t="e">
            <v>#VALUE!</v>
          </cell>
          <cell r="Z1599" t="e">
            <v>#VALUE!</v>
          </cell>
        </row>
        <row r="1600">
          <cell r="D1600" t="str">
            <v>AL04DENS</v>
          </cell>
          <cell r="E1600" t="str">
            <v>Densidades</v>
          </cell>
          <cell r="F1600" t="str">
            <v>Un</v>
          </cell>
          <cell r="G1600">
            <v>0.03</v>
          </cell>
          <cell r="H1600">
            <v>25000</v>
          </cell>
          <cell r="I1600">
            <v>750</v>
          </cell>
          <cell r="J1600">
            <v>0</v>
          </cell>
          <cell r="K1600">
            <v>16.86</v>
          </cell>
          <cell r="L1600">
            <v>421500</v>
          </cell>
          <cell r="Y1600" t="e">
            <v>#VALUE!</v>
          </cell>
          <cell r="Z1600" t="e">
            <v>#VALUE!</v>
          </cell>
        </row>
        <row r="1601">
          <cell r="E1601" t="str">
            <v>SUBTOTAL</v>
          </cell>
          <cell r="I1601">
            <v>45287.199999999997</v>
          </cell>
          <cell r="L1601">
            <v>25451406.399999999</v>
          </cell>
          <cell r="Z1601" t="e">
            <v>#VALUE!</v>
          </cell>
        </row>
        <row r="1602">
          <cell r="E1602" t="str">
            <v>A.I.U</v>
          </cell>
          <cell r="I1602">
            <v>0</v>
          </cell>
          <cell r="L1602">
            <v>0</v>
          </cell>
          <cell r="Z1602">
            <v>0</v>
          </cell>
        </row>
        <row r="1603">
          <cell r="D1603" t="str">
            <v>AIUAADMON</v>
          </cell>
          <cell r="E1603" t="str">
            <v>Admon</v>
          </cell>
          <cell r="F1603">
            <v>0</v>
          </cell>
          <cell r="I1603">
            <v>0</v>
          </cell>
          <cell r="J1603">
            <v>0</v>
          </cell>
          <cell r="L1603">
            <v>0</v>
          </cell>
          <cell r="Z1603">
            <v>0</v>
          </cell>
        </row>
        <row r="1604">
          <cell r="D1604" t="str">
            <v>AIUAIMPRE</v>
          </cell>
          <cell r="E1604" t="str">
            <v>Imprevistos</v>
          </cell>
          <cell r="F1604">
            <v>0</v>
          </cell>
          <cell r="I1604">
            <v>0</v>
          </cell>
          <cell r="J1604">
            <v>0</v>
          </cell>
          <cell r="L1604">
            <v>0</v>
          </cell>
          <cell r="Z1604">
            <v>0</v>
          </cell>
        </row>
        <row r="1605">
          <cell r="D1605" t="str">
            <v>AIUAUTILI</v>
          </cell>
          <cell r="E1605" t="str">
            <v>Utilidad</v>
          </cell>
          <cell r="F1605">
            <v>0</v>
          </cell>
          <cell r="I1605">
            <v>0</v>
          </cell>
          <cell r="J1605">
            <v>0</v>
          </cell>
          <cell r="L1605">
            <v>0</v>
          </cell>
          <cell r="Z1605">
            <v>0</v>
          </cell>
        </row>
        <row r="1606">
          <cell r="D1606" t="str">
            <v>AIUAIVAUTI</v>
          </cell>
          <cell r="E1606" t="str">
            <v>IVA utilidad</v>
          </cell>
          <cell r="F1606">
            <v>0</v>
          </cell>
          <cell r="I1606">
            <v>0</v>
          </cell>
          <cell r="J1606">
            <v>0</v>
          </cell>
          <cell r="L1606">
            <v>0</v>
          </cell>
          <cell r="Z1606">
            <v>0</v>
          </cell>
        </row>
        <row r="1608">
          <cell r="E1608" t="str">
            <v>ITEM</v>
          </cell>
        </row>
        <row r="1609">
          <cell r="D1609" t="str">
            <v>VIAA</v>
          </cell>
          <cell r="E1609" t="str">
            <v>Construccion Andenes en Adoquin</v>
          </cell>
          <cell r="G1609" t="str">
            <v>UN.</v>
          </cell>
          <cell r="H1609" t="str">
            <v>M2</v>
          </cell>
          <cell r="I1609">
            <v>26014.5</v>
          </cell>
          <cell r="K1609">
            <v>273</v>
          </cell>
          <cell r="L1609">
            <v>7101958.5</v>
          </cell>
          <cell r="N1609">
            <v>19164.5</v>
          </cell>
          <cell r="O1609">
            <v>5200</v>
          </cell>
          <cell r="P1609">
            <v>1650</v>
          </cell>
          <cell r="Q1609">
            <v>0</v>
          </cell>
          <cell r="X1609">
            <v>7101958.5</v>
          </cell>
          <cell r="Z1609" t="e">
            <v>#N/A</v>
          </cell>
          <cell r="AA1609" t="e">
            <v>#N/A</v>
          </cell>
          <cell r="AB1609" t="e">
            <v>#N/A</v>
          </cell>
          <cell r="AC1609" t="e">
            <v>#N/A</v>
          </cell>
        </row>
        <row r="1611">
          <cell r="D1611" t="str">
            <v>CODIGO</v>
          </cell>
          <cell r="E1611" t="str">
            <v>DESCRIPCION</v>
          </cell>
          <cell r="F1611" t="str">
            <v>UN</v>
          </cell>
          <cell r="G1611" t="str">
            <v>CANT</v>
          </cell>
          <cell r="H1611" t="str">
            <v>V/UNIT.</v>
          </cell>
          <cell r="I1611" t="str">
            <v>V/TOTAL</v>
          </cell>
          <cell r="K1611" t="str">
            <v>CANT TOTAL</v>
          </cell>
          <cell r="L1611" t="str">
            <v>Vr TOTAL</v>
          </cell>
          <cell r="Y1611" t="str">
            <v>CANT.</v>
          </cell>
          <cell r="Z1611" t="str">
            <v>V/TOTAL</v>
          </cell>
        </row>
        <row r="1612">
          <cell r="E1612" t="str">
            <v>MATERIALES</v>
          </cell>
          <cell r="I1612">
            <v>19164.5</v>
          </cell>
          <cell r="L1612">
            <v>5231908.5</v>
          </cell>
          <cell r="Z1612" t="e">
            <v>#N/A</v>
          </cell>
        </row>
        <row r="1613">
          <cell r="D1613" t="str">
            <v>MA06TAM</v>
          </cell>
          <cell r="E1613" t="str">
            <v>Ladrillo Tolete Adoquin</v>
          </cell>
          <cell r="F1613" t="str">
            <v>m2</v>
          </cell>
          <cell r="G1613">
            <v>1</v>
          </cell>
          <cell r="H1613">
            <v>16480</v>
          </cell>
          <cell r="I1613">
            <v>16480</v>
          </cell>
          <cell r="J1613">
            <v>0</v>
          </cell>
          <cell r="K1613">
            <v>273</v>
          </cell>
          <cell r="L1613">
            <v>4499040</v>
          </cell>
          <cell r="Y1613" t="e">
            <v>#N/A</v>
          </cell>
          <cell r="Z1613" t="e">
            <v>#N/A</v>
          </cell>
        </row>
        <row r="1614">
          <cell r="D1614" t="str">
            <v>MA02AL</v>
          </cell>
          <cell r="E1614" t="str">
            <v xml:space="preserve">Arena Lavada </v>
          </cell>
          <cell r="F1614" t="str">
            <v>M3</v>
          </cell>
          <cell r="G1614">
            <v>0.05</v>
          </cell>
          <cell r="H1614">
            <v>25000</v>
          </cell>
          <cell r="I1614">
            <v>1250</v>
          </cell>
          <cell r="J1614">
            <v>0</v>
          </cell>
          <cell r="K1614">
            <v>13.65</v>
          </cell>
          <cell r="L1614">
            <v>341250</v>
          </cell>
          <cell r="Y1614" t="e">
            <v>#N/A</v>
          </cell>
          <cell r="Z1614" t="e">
            <v>#N/A</v>
          </cell>
        </row>
        <row r="1615">
          <cell r="D1615" t="str">
            <v>MA03CG</v>
          </cell>
          <cell r="E1615" t="str">
            <v>Cemento Gris</v>
          </cell>
          <cell r="F1615" t="str">
            <v>Kg</v>
          </cell>
          <cell r="G1615">
            <v>7.55</v>
          </cell>
          <cell r="H1615">
            <v>190</v>
          </cell>
          <cell r="I1615">
            <v>1434.5</v>
          </cell>
          <cell r="J1615">
            <v>0</v>
          </cell>
          <cell r="K1615">
            <v>2061.15</v>
          </cell>
          <cell r="L1615">
            <v>391618.5</v>
          </cell>
          <cell r="Y1615" t="e">
            <v>#N/A</v>
          </cell>
          <cell r="Z1615" t="e">
            <v>#N/A</v>
          </cell>
        </row>
        <row r="1617">
          <cell r="E1617" t="str">
            <v>MANO DE OBRA</v>
          </cell>
          <cell r="I1617">
            <v>5200</v>
          </cell>
          <cell r="L1617">
            <v>1419600</v>
          </cell>
          <cell r="Z1617" t="e">
            <v>#N/A</v>
          </cell>
        </row>
        <row r="1618">
          <cell r="D1618" t="str">
            <v>MOVIAA</v>
          </cell>
          <cell r="E1618" t="str">
            <v>Andenes Adoquin</v>
          </cell>
          <cell r="F1618" t="str">
            <v>m2</v>
          </cell>
          <cell r="G1618">
            <v>1</v>
          </cell>
          <cell r="H1618">
            <v>5200</v>
          </cell>
          <cell r="I1618">
            <v>5200</v>
          </cell>
          <cell r="J1618">
            <v>0</v>
          </cell>
          <cell r="K1618">
            <v>273</v>
          </cell>
          <cell r="L1618">
            <v>1419600</v>
          </cell>
          <cell r="Y1618" t="e">
            <v>#N/A</v>
          </cell>
          <cell r="Z1618" t="e">
            <v>#N/A</v>
          </cell>
        </row>
        <row r="1620">
          <cell r="E1620" t="str">
            <v>VARIOS</v>
          </cell>
          <cell r="I1620">
            <v>1650</v>
          </cell>
          <cell r="L1620">
            <v>450450</v>
          </cell>
          <cell r="Z1620" t="e">
            <v>#N/A</v>
          </cell>
        </row>
        <row r="1621">
          <cell r="D1621" t="str">
            <v>AL04PV</v>
          </cell>
          <cell r="E1621" t="str">
            <v>Plancha Vibradora</v>
          </cell>
          <cell r="F1621" t="str">
            <v>Dia</v>
          </cell>
          <cell r="G1621">
            <v>0.08</v>
          </cell>
          <cell r="H1621">
            <v>12500</v>
          </cell>
          <cell r="I1621">
            <v>1000</v>
          </cell>
          <cell r="J1621">
            <v>0</v>
          </cell>
          <cell r="K1621">
            <v>21.84</v>
          </cell>
          <cell r="L1621">
            <v>273000</v>
          </cell>
          <cell r="Y1621" t="e">
            <v>#N/A</v>
          </cell>
          <cell r="Z1621" t="e">
            <v>#N/A</v>
          </cell>
        </row>
        <row r="1622">
          <cell r="D1622" t="str">
            <v>TC07H650</v>
          </cell>
          <cell r="E1622" t="str">
            <v>Herramienta</v>
          </cell>
          <cell r="F1622" t="str">
            <v>Gb</v>
          </cell>
          <cell r="G1622">
            <v>1</v>
          </cell>
          <cell r="H1622">
            <v>650</v>
          </cell>
          <cell r="I1622">
            <v>650</v>
          </cell>
          <cell r="J1622">
            <v>0</v>
          </cell>
          <cell r="K1622">
            <v>273</v>
          </cell>
          <cell r="L1622">
            <v>177450</v>
          </cell>
          <cell r="Y1622" t="e">
            <v>#N/A</v>
          </cell>
          <cell r="Z1622" t="e">
            <v>#N/A</v>
          </cell>
        </row>
        <row r="1624">
          <cell r="E1624" t="str">
            <v>SUBTOTAL</v>
          </cell>
          <cell r="I1624">
            <v>26014.5</v>
          </cell>
          <cell r="L1624">
            <v>7101958.5</v>
          </cell>
          <cell r="Z1624" t="e">
            <v>#N/A</v>
          </cell>
        </row>
        <row r="1625">
          <cell r="E1625" t="str">
            <v>A.I.U</v>
          </cell>
          <cell r="I1625">
            <v>0</v>
          </cell>
          <cell r="L1625">
            <v>0</v>
          </cell>
          <cell r="Z1625">
            <v>0</v>
          </cell>
        </row>
        <row r="1626">
          <cell r="D1626" t="str">
            <v>AIUAADMON</v>
          </cell>
          <cell r="E1626" t="str">
            <v>Admon</v>
          </cell>
          <cell r="F1626">
            <v>0</v>
          </cell>
          <cell r="I1626">
            <v>0</v>
          </cell>
          <cell r="J1626">
            <v>0</v>
          </cell>
          <cell r="L1626">
            <v>0</v>
          </cell>
          <cell r="Z1626">
            <v>0</v>
          </cell>
        </row>
        <row r="1627">
          <cell r="D1627" t="str">
            <v>AIUAIMPRE</v>
          </cell>
          <cell r="E1627" t="str">
            <v>Imprevistos</v>
          </cell>
          <cell r="F1627">
            <v>0</v>
          </cell>
          <cell r="I1627">
            <v>0</v>
          </cell>
          <cell r="J1627">
            <v>0</v>
          </cell>
          <cell r="L1627">
            <v>0</v>
          </cell>
          <cell r="Z1627">
            <v>0</v>
          </cell>
        </row>
        <row r="1628">
          <cell r="D1628" t="str">
            <v>AIUAUTILI</v>
          </cell>
          <cell r="E1628" t="str">
            <v>Utilidad</v>
          </cell>
          <cell r="F1628">
            <v>0</v>
          </cell>
          <cell r="I1628">
            <v>0</v>
          </cell>
          <cell r="J1628">
            <v>0</v>
          </cell>
          <cell r="L1628">
            <v>0</v>
          </cell>
          <cell r="Z1628">
            <v>0</v>
          </cell>
        </row>
        <row r="1629">
          <cell r="D1629" t="str">
            <v>AIUAIVAUTI</v>
          </cell>
          <cell r="E1629" t="str">
            <v>IVA utilidad</v>
          </cell>
          <cell r="F1629">
            <v>0</v>
          </cell>
          <cell r="I1629">
            <v>0</v>
          </cell>
          <cell r="J1629">
            <v>0</v>
          </cell>
          <cell r="L1629">
            <v>0</v>
          </cell>
          <cell r="Z1629">
            <v>0</v>
          </cell>
        </row>
        <row r="1631">
          <cell r="E1631" t="str">
            <v>ITEM</v>
          </cell>
        </row>
        <row r="1632">
          <cell r="D1632" t="str">
            <v>VIAND</v>
          </cell>
          <cell r="E1632" t="str">
            <v>Andenes</v>
          </cell>
          <cell r="G1632" t="str">
            <v>UN.</v>
          </cell>
          <cell r="H1632" t="str">
            <v>M2</v>
          </cell>
          <cell r="I1632">
            <v>30342.9</v>
          </cell>
          <cell r="K1632">
            <v>0</v>
          </cell>
          <cell r="L1632">
            <v>0</v>
          </cell>
          <cell r="N1632">
            <v>24447.9</v>
          </cell>
          <cell r="O1632">
            <v>3545</v>
          </cell>
          <cell r="P1632">
            <v>2350</v>
          </cell>
          <cell r="Q1632">
            <v>0</v>
          </cell>
          <cell r="X1632">
            <v>0</v>
          </cell>
          <cell r="Z1632" t="e">
            <v>#VALUE!</v>
          </cell>
          <cell r="AA1632" t="e">
            <v>#VALUE!</v>
          </cell>
          <cell r="AB1632" t="e">
            <v>#VALUE!</v>
          </cell>
          <cell r="AC1632" t="e">
            <v>#VALUE!</v>
          </cell>
        </row>
        <row r="1634">
          <cell r="D1634" t="str">
            <v>CODIGO</v>
          </cell>
          <cell r="E1634" t="str">
            <v>DESCRIPCION</v>
          </cell>
          <cell r="F1634" t="str">
            <v>UN</v>
          </cell>
          <cell r="G1634" t="str">
            <v>CANT</v>
          </cell>
          <cell r="H1634" t="str">
            <v>V/UNIT.</v>
          </cell>
          <cell r="I1634" t="str">
            <v>V/TOTAL</v>
          </cell>
          <cell r="K1634" t="str">
            <v>CANT TOTAL</v>
          </cell>
          <cell r="L1634" t="str">
            <v>Vr TOTAL</v>
          </cell>
          <cell r="Y1634" t="str">
            <v>CANT.</v>
          </cell>
          <cell r="Z1634" t="str">
            <v>V/TOTAL</v>
          </cell>
        </row>
        <row r="1635">
          <cell r="E1635" t="str">
            <v>MATERIALES</v>
          </cell>
          <cell r="I1635">
            <v>24447.9</v>
          </cell>
          <cell r="L1635">
            <v>0</v>
          </cell>
          <cell r="Z1635" t="e">
            <v>#VALUE!</v>
          </cell>
        </row>
        <row r="1636">
          <cell r="D1636" t="str">
            <v>MA04C3</v>
          </cell>
          <cell r="E1636" t="str">
            <v xml:space="preserve">Concreto 3000 psi </v>
          </cell>
          <cell r="F1636" t="str">
            <v>M3</v>
          </cell>
          <cell r="G1636">
            <v>0.1</v>
          </cell>
          <cell r="H1636">
            <v>202575</v>
          </cell>
          <cell r="I1636">
            <v>20257.5</v>
          </cell>
          <cell r="J1636">
            <v>0</v>
          </cell>
          <cell r="K1636">
            <v>0</v>
          </cell>
          <cell r="L1636">
            <v>0</v>
          </cell>
          <cell r="Y1636" t="e">
            <v>#VALUE!</v>
          </cell>
          <cell r="Z1636" t="e">
            <v>#VALUE!</v>
          </cell>
        </row>
        <row r="1637">
          <cell r="D1637" t="str">
            <v>MA02RMC</v>
          </cell>
          <cell r="E1637" t="str">
            <v>Recebo en Cantera</v>
          </cell>
          <cell r="F1637" t="str">
            <v>M3</v>
          </cell>
          <cell r="G1637">
            <v>0.18</v>
          </cell>
          <cell r="H1637">
            <v>6000</v>
          </cell>
          <cell r="I1637">
            <v>1080</v>
          </cell>
          <cell r="J1637">
            <v>0</v>
          </cell>
          <cell r="K1637">
            <v>0</v>
          </cell>
          <cell r="L1637">
            <v>0</v>
          </cell>
          <cell r="Y1637" t="e">
            <v>#VALUE!</v>
          </cell>
          <cell r="Z1637" t="e">
            <v>#VALUE!</v>
          </cell>
        </row>
        <row r="1638">
          <cell r="D1638" t="str">
            <v>TC09TR</v>
          </cell>
          <cell r="E1638" t="str">
            <v>Transporte Recebo</v>
          </cell>
          <cell r="F1638" t="str">
            <v>Vj</v>
          </cell>
          <cell r="G1638">
            <v>3.8399999999999997E-2</v>
          </cell>
          <cell r="H1638">
            <v>81000</v>
          </cell>
          <cell r="I1638">
            <v>3110.3999999999996</v>
          </cell>
          <cell r="J1638">
            <v>0</v>
          </cell>
          <cell r="K1638">
            <v>0</v>
          </cell>
          <cell r="L1638">
            <v>0</v>
          </cell>
          <cell r="Y1638" t="e">
            <v>#VALUE!</v>
          </cell>
          <cell r="Z1638" t="e">
            <v>#VALUE!</v>
          </cell>
        </row>
        <row r="1640">
          <cell r="E1640" t="str">
            <v>MANO DE OBRA</v>
          </cell>
          <cell r="I1640">
            <v>3545</v>
          </cell>
          <cell r="L1640">
            <v>0</v>
          </cell>
          <cell r="Z1640" t="e">
            <v>#VALUE!</v>
          </cell>
        </row>
        <row r="1641">
          <cell r="D1641" t="str">
            <v>MOVIA</v>
          </cell>
          <cell r="E1641" t="str">
            <v>Andenes</v>
          </cell>
          <cell r="F1641" t="str">
            <v>m3</v>
          </cell>
          <cell r="G1641">
            <v>0.1</v>
          </cell>
          <cell r="H1641">
            <v>35450</v>
          </cell>
          <cell r="I1641">
            <v>3545</v>
          </cell>
          <cell r="J1641">
            <v>0</v>
          </cell>
          <cell r="K1641">
            <v>0</v>
          </cell>
          <cell r="L1641">
            <v>0</v>
          </cell>
          <cell r="Y1641" t="e">
            <v>#VALUE!</v>
          </cell>
          <cell r="Z1641" t="e">
            <v>#VALUE!</v>
          </cell>
        </row>
        <row r="1643">
          <cell r="E1643" t="str">
            <v>VARIOS</v>
          </cell>
          <cell r="I1643">
            <v>2350</v>
          </cell>
          <cell r="L1643">
            <v>0</v>
          </cell>
          <cell r="Z1643" t="e">
            <v>#VALUE!</v>
          </cell>
        </row>
        <row r="1644">
          <cell r="D1644" t="str">
            <v>TC07H125</v>
          </cell>
          <cell r="E1644" t="str">
            <v>Herramienta</v>
          </cell>
          <cell r="F1644" t="str">
            <v>Gb</v>
          </cell>
          <cell r="G1644">
            <v>1</v>
          </cell>
          <cell r="H1644">
            <v>400</v>
          </cell>
          <cell r="I1644">
            <v>400</v>
          </cell>
          <cell r="J1644">
            <v>0</v>
          </cell>
          <cell r="K1644">
            <v>0</v>
          </cell>
          <cell r="L1644">
            <v>0</v>
          </cell>
          <cell r="Y1644" t="e">
            <v>#VALUE!</v>
          </cell>
          <cell r="Z1644" t="e">
            <v>#VALUE!</v>
          </cell>
        </row>
        <row r="1645">
          <cell r="D1645" t="str">
            <v>AL04BENIT</v>
          </cell>
          <cell r="E1645" t="str">
            <v>Benitin</v>
          </cell>
          <cell r="F1645" t="str">
            <v>Dia</v>
          </cell>
          <cell r="G1645">
            <v>1.2999999999999999E-2</v>
          </cell>
          <cell r="H1645">
            <v>150000</v>
          </cell>
          <cell r="I1645">
            <v>1950</v>
          </cell>
          <cell r="J1645">
            <v>0</v>
          </cell>
          <cell r="K1645">
            <v>0</v>
          </cell>
          <cell r="L1645">
            <v>0</v>
          </cell>
          <cell r="Y1645" t="e">
            <v>#VALUE!</v>
          </cell>
          <cell r="Z1645" t="e">
            <v>#VALUE!</v>
          </cell>
        </row>
        <row r="1647">
          <cell r="E1647" t="str">
            <v>SUBTOTAL</v>
          </cell>
          <cell r="I1647">
            <v>30342.9</v>
          </cell>
          <cell r="L1647">
            <v>0</v>
          </cell>
          <cell r="Z1647" t="e">
            <v>#VALUE!</v>
          </cell>
        </row>
        <row r="1648">
          <cell r="E1648" t="str">
            <v>A.I.U</v>
          </cell>
          <cell r="I1648">
            <v>0</v>
          </cell>
          <cell r="L1648">
            <v>0</v>
          </cell>
          <cell r="Z1648">
            <v>0</v>
          </cell>
        </row>
        <row r="1649">
          <cell r="D1649" t="str">
            <v>AIUAADMON</v>
          </cell>
          <cell r="E1649" t="str">
            <v>Admon</v>
          </cell>
          <cell r="F1649">
            <v>0</v>
          </cell>
          <cell r="I1649">
            <v>0</v>
          </cell>
          <cell r="J1649">
            <v>0</v>
          </cell>
          <cell r="L1649">
            <v>0</v>
          </cell>
          <cell r="Z1649">
            <v>0</v>
          </cell>
        </row>
        <row r="1650">
          <cell r="D1650" t="str">
            <v>AIUAIMPRE</v>
          </cell>
          <cell r="E1650" t="str">
            <v>Imprevistos</v>
          </cell>
          <cell r="F1650">
            <v>0</v>
          </cell>
          <cell r="I1650">
            <v>0</v>
          </cell>
          <cell r="J1650">
            <v>0</v>
          </cell>
          <cell r="L1650">
            <v>0</v>
          </cell>
          <cell r="Z1650">
            <v>0</v>
          </cell>
        </row>
        <row r="1651">
          <cell r="D1651" t="str">
            <v>AIUAUTILI</v>
          </cell>
          <cell r="E1651" t="str">
            <v>Utilidad</v>
          </cell>
          <cell r="F1651">
            <v>0</v>
          </cell>
          <cell r="I1651">
            <v>0</v>
          </cell>
          <cell r="J1651">
            <v>0</v>
          </cell>
          <cell r="L1651">
            <v>0</v>
          </cell>
          <cell r="Z1651">
            <v>0</v>
          </cell>
        </row>
        <row r="1652">
          <cell r="D1652" t="str">
            <v>AIUAIVAUTI</v>
          </cell>
          <cell r="E1652" t="str">
            <v>IVA utilidad</v>
          </cell>
          <cell r="F1652">
            <v>0</v>
          </cell>
          <cell r="I1652">
            <v>0</v>
          </cell>
          <cell r="J1652">
            <v>0</v>
          </cell>
          <cell r="L1652">
            <v>0</v>
          </cell>
          <cell r="Z1652">
            <v>0</v>
          </cell>
        </row>
        <row r="1654">
          <cell r="E1654" t="str">
            <v>ITEM</v>
          </cell>
        </row>
        <row r="1655">
          <cell r="D1655" t="str">
            <v>VIANDS</v>
          </cell>
          <cell r="E1655" t="str">
            <v>Separador</v>
          </cell>
          <cell r="G1655" t="str">
            <v>UN.</v>
          </cell>
          <cell r="H1655" t="str">
            <v>M2</v>
          </cell>
          <cell r="I1655">
            <v>30342.9</v>
          </cell>
          <cell r="K1655">
            <v>0</v>
          </cell>
          <cell r="L1655">
            <v>0</v>
          </cell>
          <cell r="N1655">
            <v>24447.9</v>
          </cell>
          <cell r="O1655">
            <v>3545</v>
          </cell>
          <cell r="P1655">
            <v>2350</v>
          </cell>
          <cell r="Q1655">
            <v>0</v>
          </cell>
          <cell r="X1655">
            <v>0</v>
          </cell>
          <cell r="Z1655" t="e">
            <v>#VALUE!</v>
          </cell>
          <cell r="AA1655" t="e">
            <v>#VALUE!</v>
          </cell>
          <cell r="AB1655" t="e">
            <v>#VALUE!</v>
          </cell>
          <cell r="AC1655" t="e">
            <v>#VALUE!</v>
          </cell>
        </row>
        <row r="1657">
          <cell r="D1657" t="str">
            <v>CODIGO</v>
          </cell>
          <cell r="E1657" t="str">
            <v>DESCRIPCION</v>
          </cell>
          <cell r="F1657" t="str">
            <v>UN</v>
          </cell>
          <cell r="G1657" t="str">
            <v>CANT</v>
          </cell>
          <cell r="H1657" t="str">
            <v>V/UNIT.</v>
          </cell>
          <cell r="I1657" t="str">
            <v>V/TOTAL</v>
          </cell>
          <cell r="K1657" t="str">
            <v>CANT TOTAL</v>
          </cell>
          <cell r="L1657" t="str">
            <v>Vr TOTAL</v>
          </cell>
          <cell r="Y1657" t="str">
            <v>CANT.</v>
          </cell>
          <cell r="Z1657" t="str">
            <v>V/TOTAL</v>
          </cell>
        </row>
        <row r="1658">
          <cell r="E1658" t="str">
            <v>MATERIALES</v>
          </cell>
          <cell r="I1658">
            <v>24447.9</v>
          </cell>
          <cell r="L1658">
            <v>0</v>
          </cell>
          <cell r="Z1658" t="e">
            <v>#VALUE!</v>
          </cell>
        </row>
        <row r="1659">
          <cell r="D1659" t="str">
            <v>MA04C3</v>
          </cell>
          <cell r="E1659" t="str">
            <v xml:space="preserve">Concreto 3000 psi </v>
          </cell>
          <cell r="F1659" t="str">
            <v>M3</v>
          </cell>
          <cell r="G1659">
            <v>0.1</v>
          </cell>
          <cell r="H1659">
            <v>202575</v>
          </cell>
          <cell r="I1659">
            <v>20257.5</v>
          </cell>
          <cell r="J1659">
            <v>0</v>
          </cell>
          <cell r="K1659">
            <v>0</v>
          </cell>
          <cell r="L1659">
            <v>0</v>
          </cell>
          <cell r="Y1659" t="e">
            <v>#VALUE!</v>
          </cell>
          <cell r="Z1659" t="e">
            <v>#VALUE!</v>
          </cell>
        </row>
        <row r="1660">
          <cell r="D1660" t="str">
            <v>MA02RMC</v>
          </cell>
          <cell r="E1660" t="str">
            <v>Recebo en Cantera</v>
          </cell>
          <cell r="F1660" t="str">
            <v>M3</v>
          </cell>
          <cell r="G1660">
            <v>0.18</v>
          </cell>
          <cell r="H1660">
            <v>6000</v>
          </cell>
          <cell r="I1660">
            <v>1080</v>
          </cell>
          <cell r="J1660">
            <v>0</v>
          </cell>
          <cell r="K1660">
            <v>0</v>
          </cell>
          <cell r="L1660">
            <v>0</v>
          </cell>
          <cell r="Y1660" t="e">
            <v>#VALUE!</v>
          </cell>
          <cell r="Z1660" t="e">
            <v>#VALUE!</v>
          </cell>
        </row>
        <row r="1661">
          <cell r="D1661" t="str">
            <v>TC09TR</v>
          </cell>
          <cell r="E1661" t="str">
            <v>Transporte Recebo</v>
          </cell>
          <cell r="F1661" t="str">
            <v>Vj</v>
          </cell>
          <cell r="G1661">
            <v>3.8399999999999997E-2</v>
          </cell>
          <cell r="H1661">
            <v>81000</v>
          </cell>
          <cell r="I1661">
            <v>3110.3999999999996</v>
          </cell>
          <cell r="J1661">
            <v>0</v>
          </cell>
          <cell r="K1661">
            <v>0</v>
          </cell>
          <cell r="L1661">
            <v>0</v>
          </cell>
          <cell r="Y1661" t="e">
            <v>#VALUE!</v>
          </cell>
          <cell r="Z1661" t="e">
            <v>#VALUE!</v>
          </cell>
        </row>
        <row r="1663">
          <cell r="E1663" t="str">
            <v>MANO DE OBRA</v>
          </cell>
          <cell r="I1663">
            <v>3545</v>
          </cell>
          <cell r="L1663">
            <v>0</v>
          </cell>
          <cell r="Z1663" t="e">
            <v>#VALUE!</v>
          </cell>
        </row>
        <row r="1664">
          <cell r="D1664" t="str">
            <v>MOVIA</v>
          </cell>
          <cell r="E1664" t="str">
            <v>Andenes</v>
          </cell>
          <cell r="F1664" t="str">
            <v>m3</v>
          </cell>
          <cell r="G1664">
            <v>0.1</v>
          </cell>
          <cell r="H1664">
            <v>35450</v>
          </cell>
          <cell r="I1664">
            <v>3545</v>
          </cell>
          <cell r="J1664">
            <v>0</v>
          </cell>
          <cell r="K1664">
            <v>0</v>
          </cell>
          <cell r="L1664">
            <v>0</v>
          </cell>
          <cell r="Y1664" t="e">
            <v>#VALUE!</v>
          </cell>
          <cell r="Z1664" t="e">
            <v>#VALUE!</v>
          </cell>
        </row>
        <row r="1666">
          <cell r="E1666" t="str">
            <v>VARIOS</v>
          </cell>
          <cell r="I1666">
            <v>2350</v>
          </cell>
          <cell r="L1666">
            <v>0</v>
          </cell>
          <cell r="Z1666" t="e">
            <v>#VALUE!</v>
          </cell>
        </row>
        <row r="1667">
          <cell r="D1667" t="str">
            <v>TC07H125</v>
          </cell>
          <cell r="E1667" t="str">
            <v>Herramienta</v>
          </cell>
          <cell r="F1667" t="str">
            <v>Gb</v>
          </cell>
          <cell r="G1667">
            <v>1</v>
          </cell>
          <cell r="H1667">
            <v>400</v>
          </cell>
          <cell r="I1667">
            <v>400</v>
          </cell>
          <cell r="J1667">
            <v>0</v>
          </cell>
          <cell r="K1667">
            <v>0</v>
          </cell>
          <cell r="L1667">
            <v>0</v>
          </cell>
          <cell r="Y1667" t="e">
            <v>#VALUE!</v>
          </cell>
          <cell r="Z1667" t="e">
            <v>#VALUE!</v>
          </cell>
        </row>
        <row r="1668">
          <cell r="D1668" t="str">
            <v>AL04BENIT</v>
          </cell>
          <cell r="E1668" t="str">
            <v>Benitin</v>
          </cell>
          <cell r="F1668" t="str">
            <v>Dia</v>
          </cell>
          <cell r="G1668">
            <v>1.2999999999999999E-2</v>
          </cell>
          <cell r="H1668">
            <v>150000</v>
          </cell>
          <cell r="I1668">
            <v>1950</v>
          </cell>
          <cell r="J1668">
            <v>0</v>
          </cell>
          <cell r="K1668">
            <v>0</v>
          </cell>
          <cell r="L1668">
            <v>0</v>
          </cell>
          <cell r="Y1668" t="e">
            <v>#VALUE!</v>
          </cell>
          <cell r="Z1668" t="e">
            <v>#VALUE!</v>
          </cell>
        </row>
        <row r="1670">
          <cell r="E1670" t="str">
            <v>SUBTOTAL</v>
          </cell>
          <cell r="I1670">
            <v>30342.9</v>
          </cell>
          <cell r="L1670">
            <v>0</v>
          </cell>
          <cell r="Z1670" t="e">
            <v>#VALUE!</v>
          </cell>
        </row>
        <row r="1671">
          <cell r="E1671" t="str">
            <v>A.I.U</v>
          </cell>
          <cell r="I1671">
            <v>0</v>
          </cell>
          <cell r="L1671">
            <v>0</v>
          </cell>
          <cell r="Z1671">
            <v>0</v>
          </cell>
        </row>
        <row r="1672">
          <cell r="D1672" t="str">
            <v>AIUAADMON</v>
          </cell>
          <cell r="E1672" t="str">
            <v>Admon</v>
          </cell>
          <cell r="F1672">
            <v>0</v>
          </cell>
          <cell r="I1672">
            <v>0</v>
          </cell>
          <cell r="J1672">
            <v>0</v>
          </cell>
          <cell r="L1672">
            <v>0</v>
          </cell>
          <cell r="Z1672">
            <v>0</v>
          </cell>
        </row>
        <row r="1673">
          <cell r="D1673" t="str">
            <v>AIUAIMPRE</v>
          </cell>
          <cell r="E1673" t="str">
            <v>Imprevistos</v>
          </cell>
          <cell r="F1673">
            <v>0</v>
          </cell>
          <cell r="I1673">
            <v>0</v>
          </cell>
          <cell r="J1673">
            <v>0</v>
          </cell>
          <cell r="L1673">
            <v>0</v>
          </cell>
          <cell r="Z1673">
            <v>0</v>
          </cell>
        </row>
        <row r="1674">
          <cell r="D1674" t="str">
            <v>AIUAUTILI</v>
          </cell>
          <cell r="E1674" t="str">
            <v>Utilidad</v>
          </cell>
          <cell r="F1674">
            <v>0</v>
          </cell>
          <cell r="I1674">
            <v>0</v>
          </cell>
          <cell r="J1674">
            <v>0</v>
          </cell>
          <cell r="L1674">
            <v>0</v>
          </cell>
          <cell r="Z1674">
            <v>0</v>
          </cell>
        </row>
        <row r="1675">
          <cell r="D1675" t="str">
            <v>AIUAIVAUTI</v>
          </cell>
          <cell r="E1675" t="str">
            <v>IVA utilidad</v>
          </cell>
          <cell r="F1675">
            <v>0</v>
          </cell>
          <cell r="I1675">
            <v>0</v>
          </cell>
          <cell r="J1675">
            <v>0</v>
          </cell>
          <cell r="L1675">
            <v>0</v>
          </cell>
          <cell r="Z1675">
            <v>0</v>
          </cell>
        </row>
        <row r="1677">
          <cell r="E1677" t="str">
            <v>ITEM</v>
          </cell>
        </row>
        <row r="1678">
          <cell r="D1678" t="str">
            <v>VISARP</v>
          </cell>
          <cell r="E1678" t="str">
            <v>Sardinel Concreto H=0,50</v>
          </cell>
          <cell r="G1678" t="str">
            <v>UN.</v>
          </cell>
          <cell r="H1678" t="str">
            <v>Ml</v>
          </cell>
          <cell r="I1678">
            <v>21744</v>
          </cell>
          <cell r="K1678">
            <v>156</v>
          </cell>
          <cell r="L1678">
            <v>3392064</v>
          </cell>
          <cell r="N1678">
            <v>18166</v>
          </cell>
          <cell r="O1678">
            <v>2650</v>
          </cell>
          <cell r="P1678">
            <v>928</v>
          </cell>
          <cell r="Q1678">
            <v>0</v>
          </cell>
          <cell r="X1678">
            <v>3392064</v>
          </cell>
          <cell r="Z1678" t="e">
            <v>#N/A</v>
          </cell>
          <cell r="AA1678" t="e">
            <v>#N/A</v>
          </cell>
          <cell r="AB1678" t="e">
            <v>#N/A</v>
          </cell>
          <cell r="AC1678" t="e">
            <v>#N/A</v>
          </cell>
        </row>
        <row r="1680">
          <cell r="D1680" t="str">
            <v>CODIGO</v>
          </cell>
          <cell r="E1680" t="str">
            <v>DESCRIPCION</v>
          </cell>
          <cell r="F1680" t="str">
            <v>UN</v>
          </cell>
          <cell r="G1680" t="str">
            <v>CANT</v>
          </cell>
          <cell r="H1680" t="str">
            <v>V/UNIT.</v>
          </cell>
          <cell r="I1680" t="str">
            <v>V/TOTAL</v>
          </cell>
          <cell r="K1680" t="str">
            <v>CANT TOTAL</v>
          </cell>
          <cell r="L1680" t="str">
            <v>Vr TOTAL</v>
          </cell>
          <cell r="Y1680" t="str">
            <v>CANT.</v>
          </cell>
          <cell r="Z1680" t="str">
            <v>V/TOTAL</v>
          </cell>
        </row>
        <row r="1681">
          <cell r="E1681" t="str">
            <v>MATERIALES</v>
          </cell>
          <cell r="I1681">
            <v>18166</v>
          </cell>
          <cell r="L1681">
            <v>2833896</v>
          </cell>
          <cell r="Z1681" t="e">
            <v>#N/A</v>
          </cell>
        </row>
        <row r="1682">
          <cell r="D1682" t="str">
            <v>MA04C3</v>
          </cell>
          <cell r="E1682" t="str">
            <v xml:space="preserve">Concreto 3000 psi </v>
          </cell>
          <cell r="F1682" t="str">
            <v>M3</v>
          </cell>
          <cell r="G1682">
            <v>8.7999999999999995E-2</v>
          </cell>
          <cell r="H1682">
            <v>202575</v>
          </cell>
          <cell r="I1682">
            <v>17827</v>
          </cell>
          <cell r="J1682">
            <v>0</v>
          </cell>
          <cell r="K1682">
            <v>13.728</v>
          </cell>
          <cell r="L1682">
            <v>2780949.6</v>
          </cell>
          <cell r="Y1682" t="e">
            <v>#N/A</v>
          </cell>
          <cell r="Z1682" t="e">
            <v>#N/A</v>
          </cell>
        </row>
        <row r="1683">
          <cell r="D1683" t="str">
            <v>MA02RMC</v>
          </cell>
          <cell r="E1683" t="str">
            <v>Recebo en Cantera</v>
          </cell>
          <cell r="F1683" t="str">
            <v>M3</v>
          </cell>
          <cell r="G1683">
            <v>1.6E-2</v>
          </cell>
          <cell r="H1683">
            <v>6000</v>
          </cell>
          <cell r="I1683">
            <v>96</v>
          </cell>
          <cell r="J1683">
            <v>0</v>
          </cell>
          <cell r="K1683">
            <v>2.496</v>
          </cell>
          <cell r="L1683">
            <v>14976</v>
          </cell>
          <cell r="Y1683" t="e">
            <v>#N/A</v>
          </cell>
          <cell r="Z1683" t="e">
            <v>#N/A</v>
          </cell>
        </row>
        <row r="1684">
          <cell r="D1684" t="str">
            <v>TC09TR</v>
          </cell>
          <cell r="E1684" t="str">
            <v>Transporte Recebo</v>
          </cell>
          <cell r="F1684" t="str">
            <v>Vj</v>
          </cell>
          <cell r="G1684">
            <v>3.0000000000000001E-3</v>
          </cell>
          <cell r="H1684">
            <v>81000</v>
          </cell>
          <cell r="I1684">
            <v>243</v>
          </cell>
          <cell r="J1684">
            <v>0</v>
          </cell>
          <cell r="K1684">
            <v>0.46800000000000003</v>
          </cell>
          <cell r="L1684">
            <v>37908</v>
          </cell>
          <cell r="Y1684" t="e">
            <v>#N/A</v>
          </cell>
          <cell r="Z1684" t="e">
            <v>#N/A</v>
          </cell>
        </row>
        <row r="1686">
          <cell r="E1686" t="str">
            <v>MANO DE OBRA</v>
          </cell>
          <cell r="I1686">
            <v>2650</v>
          </cell>
          <cell r="L1686">
            <v>413400</v>
          </cell>
          <cell r="Z1686" t="e">
            <v>#N/A</v>
          </cell>
        </row>
        <row r="1687">
          <cell r="D1687" t="str">
            <v>MOVIS</v>
          </cell>
          <cell r="E1687" t="str">
            <v>Sardineles</v>
          </cell>
          <cell r="F1687" t="str">
            <v>ml</v>
          </cell>
          <cell r="G1687">
            <v>1</v>
          </cell>
          <cell r="H1687">
            <v>2650</v>
          </cell>
          <cell r="I1687">
            <v>2650</v>
          </cell>
          <cell r="J1687">
            <v>0</v>
          </cell>
          <cell r="K1687">
            <v>156</v>
          </cell>
          <cell r="L1687">
            <v>413400</v>
          </cell>
          <cell r="Y1687" t="e">
            <v>#N/A</v>
          </cell>
          <cell r="Z1687" t="e">
            <v>#N/A</v>
          </cell>
        </row>
        <row r="1689">
          <cell r="E1689" t="str">
            <v>VARIOS</v>
          </cell>
          <cell r="I1689">
            <v>928</v>
          </cell>
          <cell r="L1689">
            <v>144768</v>
          </cell>
          <cell r="Z1689" t="e">
            <v>#N/A</v>
          </cell>
        </row>
        <row r="1690">
          <cell r="D1690" t="str">
            <v>TC07H125</v>
          </cell>
          <cell r="E1690" t="str">
            <v>Herramienta</v>
          </cell>
          <cell r="F1690" t="str">
            <v>Gb</v>
          </cell>
          <cell r="G1690">
            <v>1</v>
          </cell>
          <cell r="H1690">
            <v>400</v>
          </cell>
          <cell r="I1690">
            <v>400</v>
          </cell>
          <cell r="J1690">
            <v>0</v>
          </cell>
          <cell r="K1690">
            <v>156</v>
          </cell>
          <cell r="L1690">
            <v>62400</v>
          </cell>
          <cell r="Y1690" t="e">
            <v>#N/A</v>
          </cell>
          <cell r="Z1690" t="e">
            <v>#N/A</v>
          </cell>
        </row>
        <row r="1691">
          <cell r="D1691" t="str">
            <v>AL04AFOR</v>
          </cell>
          <cell r="E1691" t="str">
            <v>Alquiler Formaleta</v>
          </cell>
          <cell r="F1691" t="str">
            <v>Ml</v>
          </cell>
          <cell r="G1691">
            <v>1.1000000000000001</v>
          </cell>
          <cell r="H1691">
            <v>480</v>
          </cell>
          <cell r="I1691">
            <v>528</v>
          </cell>
          <cell r="J1691">
            <v>0</v>
          </cell>
          <cell r="K1691">
            <v>171.60000000000002</v>
          </cell>
          <cell r="L1691">
            <v>82368.000000000015</v>
          </cell>
          <cell r="Y1691" t="e">
            <v>#N/A</v>
          </cell>
          <cell r="Z1691" t="e">
            <v>#N/A</v>
          </cell>
        </row>
        <row r="1693">
          <cell r="E1693" t="str">
            <v>SUBTOTAL</v>
          </cell>
          <cell r="I1693">
            <v>21744</v>
          </cell>
          <cell r="L1693">
            <v>3392064</v>
          </cell>
          <cell r="Z1693" t="e">
            <v>#N/A</v>
          </cell>
        </row>
        <row r="1694">
          <cell r="E1694" t="str">
            <v>A.I.U</v>
          </cell>
          <cell r="I1694">
            <v>0</v>
          </cell>
          <cell r="L1694">
            <v>0</v>
          </cell>
          <cell r="Z1694">
            <v>0</v>
          </cell>
        </row>
        <row r="1695">
          <cell r="D1695" t="str">
            <v>AIUAADMON</v>
          </cell>
          <cell r="E1695" t="str">
            <v>Admon</v>
          </cell>
          <cell r="F1695">
            <v>0</v>
          </cell>
          <cell r="I1695">
            <v>0</v>
          </cell>
          <cell r="J1695">
            <v>0</v>
          </cell>
          <cell r="L1695">
            <v>0</v>
          </cell>
          <cell r="Z1695">
            <v>0</v>
          </cell>
        </row>
        <row r="1696">
          <cell r="D1696" t="str">
            <v>AIUAIMPRE</v>
          </cell>
          <cell r="E1696" t="str">
            <v>Imprevistos</v>
          </cell>
          <cell r="F1696">
            <v>0</v>
          </cell>
          <cell r="I1696">
            <v>0</v>
          </cell>
          <cell r="J1696">
            <v>0</v>
          </cell>
          <cell r="L1696">
            <v>0</v>
          </cell>
          <cell r="Z1696">
            <v>0</v>
          </cell>
        </row>
        <row r="1697">
          <cell r="D1697" t="str">
            <v>AIUAUTILI</v>
          </cell>
          <cell r="E1697" t="str">
            <v>Utilidad</v>
          </cell>
          <cell r="F1697">
            <v>0</v>
          </cell>
          <cell r="I1697">
            <v>0</v>
          </cell>
          <cell r="J1697">
            <v>0</v>
          </cell>
          <cell r="L1697">
            <v>0</v>
          </cell>
          <cell r="Z1697">
            <v>0</v>
          </cell>
        </row>
        <row r="1698">
          <cell r="D1698" t="str">
            <v>AIUAIVAUTI</v>
          </cell>
          <cell r="E1698" t="str">
            <v>IVA utilidad</v>
          </cell>
          <cell r="F1698">
            <v>0</v>
          </cell>
          <cell r="I1698">
            <v>0</v>
          </cell>
          <cell r="J1698">
            <v>0</v>
          </cell>
          <cell r="L1698">
            <v>0</v>
          </cell>
          <cell r="Z1698">
            <v>0</v>
          </cell>
        </row>
        <row r="1700">
          <cell r="E1700" t="str">
            <v>ITEM</v>
          </cell>
        </row>
        <row r="1701">
          <cell r="D1701" t="str">
            <v>VISAR</v>
          </cell>
          <cell r="E1701" t="str">
            <v>Sardinel</v>
          </cell>
          <cell r="G1701" t="str">
            <v>UN.</v>
          </cell>
          <cell r="H1701" t="str">
            <v>Ml</v>
          </cell>
          <cell r="I1701">
            <v>29585.8</v>
          </cell>
          <cell r="K1701">
            <v>0</v>
          </cell>
          <cell r="L1701">
            <v>0</v>
          </cell>
          <cell r="N1701">
            <v>26007.8</v>
          </cell>
          <cell r="O1701">
            <v>2650</v>
          </cell>
          <cell r="P1701">
            <v>928</v>
          </cell>
          <cell r="Q1701">
            <v>0</v>
          </cell>
          <cell r="X1701">
            <v>0</v>
          </cell>
          <cell r="Z1701" t="e">
            <v>#VALUE!</v>
          </cell>
          <cell r="AA1701" t="e">
            <v>#VALUE!</v>
          </cell>
          <cell r="AB1701" t="e">
            <v>#VALUE!</v>
          </cell>
          <cell r="AC1701" t="e">
            <v>#VALUE!</v>
          </cell>
        </row>
        <row r="1703">
          <cell r="D1703" t="str">
            <v>CODIGO</v>
          </cell>
          <cell r="E1703" t="str">
            <v>DESCRIPCION</v>
          </cell>
          <cell r="F1703" t="str">
            <v>UN</v>
          </cell>
          <cell r="G1703" t="str">
            <v>CANT</v>
          </cell>
          <cell r="H1703" t="str">
            <v>V/UNIT.</v>
          </cell>
          <cell r="I1703" t="str">
            <v>V/TOTAL</v>
          </cell>
          <cell r="K1703" t="str">
            <v>CANT TOTAL</v>
          </cell>
          <cell r="L1703" t="str">
            <v>Vr TOTAL</v>
          </cell>
          <cell r="Y1703" t="str">
            <v>CANT.</v>
          </cell>
          <cell r="Z1703" t="str">
            <v>V/TOTAL</v>
          </cell>
        </row>
        <row r="1704">
          <cell r="E1704" t="str">
            <v>MATERIALES</v>
          </cell>
          <cell r="I1704">
            <v>26007.8</v>
          </cell>
          <cell r="L1704">
            <v>0</v>
          </cell>
          <cell r="Z1704" t="e">
            <v>#VALUE!</v>
          </cell>
        </row>
        <row r="1705">
          <cell r="D1705" t="str">
            <v>MA04C3</v>
          </cell>
          <cell r="E1705" t="str">
            <v xml:space="preserve">Concreto 3000 psi </v>
          </cell>
          <cell r="F1705" t="str">
            <v>M3</v>
          </cell>
          <cell r="G1705">
            <v>0.11</v>
          </cell>
          <cell r="H1705">
            <v>202575</v>
          </cell>
          <cell r="I1705">
            <v>22283</v>
          </cell>
          <cell r="J1705">
            <v>0</v>
          </cell>
          <cell r="K1705">
            <v>0</v>
          </cell>
          <cell r="L1705">
            <v>0</v>
          </cell>
          <cell r="Y1705" t="e">
            <v>#VALUE!</v>
          </cell>
          <cell r="Z1705" t="e">
            <v>#VALUE!</v>
          </cell>
        </row>
        <row r="1706">
          <cell r="D1706" t="str">
            <v>MA02RMC</v>
          </cell>
          <cell r="E1706" t="str">
            <v>Recebo en Cantera</v>
          </cell>
          <cell r="F1706" t="str">
            <v>M3</v>
          </cell>
          <cell r="G1706">
            <v>0.16</v>
          </cell>
          <cell r="H1706">
            <v>6000</v>
          </cell>
          <cell r="I1706">
            <v>960</v>
          </cell>
          <cell r="J1706">
            <v>0</v>
          </cell>
          <cell r="K1706">
            <v>0</v>
          </cell>
          <cell r="L1706">
            <v>0</v>
          </cell>
          <cell r="Y1706" t="e">
            <v>#VALUE!</v>
          </cell>
          <cell r="Z1706" t="e">
            <v>#VALUE!</v>
          </cell>
        </row>
        <row r="1707">
          <cell r="D1707" t="str">
            <v>TC09TR</v>
          </cell>
          <cell r="E1707" t="str">
            <v>Transporte Recebo</v>
          </cell>
          <cell r="F1707" t="str">
            <v>Vj</v>
          </cell>
          <cell r="G1707">
            <v>3.4133333333333335E-2</v>
          </cell>
          <cell r="H1707">
            <v>81000</v>
          </cell>
          <cell r="I1707">
            <v>2764.8</v>
          </cell>
          <cell r="J1707">
            <v>0</v>
          </cell>
          <cell r="K1707">
            <v>0</v>
          </cell>
          <cell r="L1707">
            <v>0</v>
          </cell>
          <cell r="Y1707" t="e">
            <v>#VALUE!</v>
          </cell>
          <cell r="Z1707" t="e">
            <v>#VALUE!</v>
          </cell>
        </row>
        <row r="1709">
          <cell r="E1709" t="str">
            <v>MANO DE OBRA</v>
          </cell>
          <cell r="I1709">
            <v>2650</v>
          </cell>
          <cell r="L1709">
            <v>0</v>
          </cell>
          <cell r="Z1709" t="e">
            <v>#VALUE!</v>
          </cell>
        </row>
        <row r="1710">
          <cell r="D1710" t="str">
            <v>MOVIS</v>
          </cell>
          <cell r="E1710" t="str">
            <v>Sardineles</v>
          </cell>
          <cell r="F1710" t="str">
            <v>ml</v>
          </cell>
          <cell r="G1710">
            <v>1</v>
          </cell>
          <cell r="H1710">
            <v>2650</v>
          </cell>
          <cell r="I1710">
            <v>2650</v>
          </cell>
          <cell r="J1710">
            <v>0</v>
          </cell>
          <cell r="K1710">
            <v>0</v>
          </cell>
          <cell r="L1710">
            <v>0</v>
          </cell>
          <cell r="Y1710" t="e">
            <v>#VALUE!</v>
          </cell>
          <cell r="Z1710" t="e">
            <v>#VALUE!</v>
          </cell>
        </row>
        <row r="1712">
          <cell r="E1712" t="str">
            <v>VARIOS</v>
          </cell>
          <cell r="I1712">
            <v>928</v>
          </cell>
          <cell r="L1712">
            <v>0</v>
          </cell>
          <cell r="Z1712" t="e">
            <v>#VALUE!</v>
          </cell>
        </row>
        <row r="1713">
          <cell r="D1713" t="str">
            <v>TC07H125</v>
          </cell>
          <cell r="E1713" t="str">
            <v>Herramienta</v>
          </cell>
          <cell r="F1713" t="str">
            <v>Gb</v>
          </cell>
          <cell r="G1713">
            <v>1</v>
          </cell>
          <cell r="H1713">
            <v>400</v>
          </cell>
          <cell r="I1713">
            <v>400</v>
          </cell>
          <cell r="J1713">
            <v>0</v>
          </cell>
          <cell r="K1713">
            <v>0</v>
          </cell>
          <cell r="L1713">
            <v>0</v>
          </cell>
          <cell r="Y1713" t="e">
            <v>#VALUE!</v>
          </cell>
          <cell r="Z1713" t="e">
            <v>#VALUE!</v>
          </cell>
        </row>
        <row r="1714">
          <cell r="D1714" t="str">
            <v>AL04AFOR</v>
          </cell>
          <cell r="E1714" t="str">
            <v>Alquiler Formaleta</v>
          </cell>
          <cell r="F1714" t="str">
            <v>Ml</v>
          </cell>
          <cell r="G1714">
            <v>1.1000000000000001</v>
          </cell>
          <cell r="H1714">
            <v>480</v>
          </cell>
          <cell r="I1714">
            <v>528</v>
          </cell>
          <cell r="J1714">
            <v>0</v>
          </cell>
          <cell r="K1714">
            <v>0</v>
          </cell>
          <cell r="L1714">
            <v>0</v>
          </cell>
          <cell r="Y1714" t="e">
            <v>#VALUE!</v>
          </cell>
          <cell r="Z1714" t="e">
            <v>#VALUE!</v>
          </cell>
        </row>
        <row r="1716">
          <cell r="E1716" t="str">
            <v>SUBTOTAL</v>
          </cell>
          <cell r="I1716">
            <v>29585.8</v>
          </cell>
          <cell r="L1716">
            <v>0</v>
          </cell>
          <cell r="Z1716" t="e">
            <v>#VALUE!</v>
          </cell>
        </row>
        <row r="1717">
          <cell r="E1717" t="str">
            <v>A.I.U</v>
          </cell>
          <cell r="I1717">
            <v>0</v>
          </cell>
          <cell r="L1717">
            <v>0</v>
          </cell>
          <cell r="Z1717">
            <v>0</v>
          </cell>
        </row>
        <row r="1718">
          <cell r="D1718" t="str">
            <v>AIUAADMON</v>
          </cell>
          <cell r="E1718" t="str">
            <v>Admon</v>
          </cell>
          <cell r="F1718">
            <v>0</v>
          </cell>
          <cell r="I1718">
            <v>0</v>
          </cell>
          <cell r="J1718">
            <v>0</v>
          </cell>
          <cell r="L1718">
            <v>0</v>
          </cell>
          <cell r="Z1718">
            <v>0</v>
          </cell>
        </row>
        <row r="1719">
          <cell r="D1719" t="str">
            <v>AIUAIMPRE</v>
          </cell>
          <cell r="E1719" t="str">
            <v>Imprevistos</v>
          </cell>
          <cell r="F1719">
            <v>0</v>
          </cell>
          <cell r="I1719">
            <v>0</v>
          </cell>
          <cell r="J1719">
            <v>0</v>
          </cell>
          <cell r="L1719">
            <v>0</v>
          </cell>
          <cell r="Z1719">
            <v>0</v>
          </cell>
        </row>
        <row r="1720">
          <cell r="D1720" t="str">
            <v>AIUAUTILI</v>
          </cell>
          <cell r="E1720" t="str">
            <v>Utilidad</v>
          </cell>
          <cell r="F1720">
            <v>0</v>
          </cell>
          <cell r="I1720">
            <v>0</v>
          </cell>
          <cell r="J1720">
            <v>0</v>
          </cell>
          <cell r="L1720">
            <v>0</v>
          </cell>
          <cell r="Z1720">
            <v>0</v>
          </cell>
        </row>
        <row r="1721">
          <cell r="D1721" t="str">
            <v>AIUAIVAUTI</v>
          </cell>
          <cell r="E1721" t="str">
            <v>IVA utilidad</v>
          </cell>
          <cell r="F1721">
            <v>0</v>
          </cell>
          <cell r="I1721">
            <v>0</v>
          </cell>
          <cell r="J1721">
            <v>0</v>
          </cell>
          <cell r="L1721">
            <v>0</v>
          </cell>
          <cell r="Z1721">
            <v>0</v>
          </cell>
        </row>
        <row r="1723">
          <cell r="E1723" t="str">
            <v>ITEM</v>
          </cell>
        </row>
        <row r="1724">
          <cell r="D1724" t="str">
            <v>VIGEOT</v>
          </cell>
          <cell r="E1724" t="str">
            <v>Geotextil Tejido 1400</v>
          </cell>
          <cell r="G1724" t="str">
            <v>UN.</v>
          </cell>
          <cell r="H1724" t="str">
            <v>M3</v>
          </cell>
          <cell r="I1724">
            <v>2967.5</v>
          </cell>
          <cell r="K1724">
            <v>0</v>
          </cell>
          <cell r="L1724">
            <v>0</v>
          </cell>
          <cell r="N1724">
            <v>2587.5</v>
          </cell>
          <cell r="O1724">
            <v>380</v>
          </cell>
          <cell r="P1724">
            <v>0</v>
          </cell>
          <cell r="Q1724">
            <v>0</v>
          </cell>
          <cell r="X1724">
            <v>0</v>
          </cell>
          <cell r="Z1724" t="e">
            <v>#VALUE!</v>
          </cell>
          <cell r="AA1724" t="e">
            <v>#VALUE!</v>
          </cell>
          <cell r="AB1724" t="e">
            <v>#VALUE!</v>
          </cell>
          <cell r="AC1724">
            <v>0</v>
          </cell>
        </row>
        <row r="1726">
          <cell r="D1726" t="str">
            <v>CODIGO</v>
          </cell>
          <cell r="E1726" t="str">
            <v>DESCRIPCION</v>
          </cell>
          <cell r="F1726" t="str">
            <v>UN</v>
          </cell>
          <cell r="G1726" t="str">
            <v>CANT</v>
          </cell>
          <cell r="H1726" t="str">
            <v>V/UNIT.</v>
          </cell>
          <cell r="I1726" t="str">
            <v>V/TOTAL</v>
          </cell>
          <cell r="K1726" t="str">
            <v>CANT TOTAL</v>
          </cell>
          <cell r="L1726" t="str">
            <v>Vr TOTAL</v>
          </cell>
          <cell r="Y1726" t="str">
            <v>CANT.</v>
          </cell>
          <cell r="Z1726" t="str">
            <v>V/TOTAL</v>
          </cell>
        </row>
        <row r="1727">
          <cell r="E1727" t="str">
            <v>MATERIALES</v>
          </cell>
          <cell r="I1727">
            <v>2587.5</v>
          </cell>
          <cell r="L1727">
            <v>0</v>
          </cell>
          <cell r="Z1727" t="e">
            <v>#VALUE!</v>
          </cell>
        </row>
        <row r="1728">
          <cell r="D1728" t="str">
            <v>MA26GEOT</v>
          </cell>
          <cell r="E1728" t="str">
            <v>Geotextil 1400</v>
          </cell>
          <cell r="F1728" t="str">
            <v>m2</v>
          </cell>
          <cell r="G1728">
            <v>1.1499999999999999</v>
          </cell>
          <cell r="H1728">
            <v>2250</v>
          </cell>
          <cell r="I1728">
            <v>2587.5</v>
          </cell>
          <cell r="J1728">
            <v>0</v>
          </cell>
          <cell r="K1728">
            <v>0</v>
          </cell>
          <cell r="L1728">
            <v>0</v>
          </cell>
          <cell r="Y1728" t="e">
            <v>#VALUE!</v>
          </cell>
          <cell r="Z1728" t="e">
            <v>#VALUE!</v>
          </cell>
        </row>
        <row r="1730">
          <cell r="E1730" t="str">
            <v>MANO DE OBRA</v>
          </cell>
          <cell r="I1730">
            <v>380</v>
          </cell>
          <cell r="L1730">
            <v>0</v>
          </cell>
          <cell r="Z1730" t="e">
            <v>#VALUE!</v>
          </cell>
        </row>
        <row r="1731">
          <cell r="D1731" t="str">
            <v>MOVIIGEOT</v>
          </cell>
          <cell r="E1731" t="str">
            <v>Instalacion Geotextil</v>
          </cell>
          <cell r="F1731" t="str">
            <v>m2</v>
          </cell>
          <cell r="G1731">
            <v>1</v>
          </cell>
          <cell r="H1731">
            <v>380</v>
          </cell>
          <cell r="I1731">
            <v>380</v>
          </cell>
          <cell r="J1731">
            <v>0</v>
          </cell>
          <cell r="K1731">
            <v>0</v>
          </cell>
          <cell r="L1731">
            <v>0</v>
          </cell>
          <cell r="Y1731" t="e">
            <v>#VALUE!</v>
          </cell>
          <cell r="Z1731" t="e">
            <v>#VALUE!</v>
          </cell>
        </row>
        <row r="1732">
          <cell r="I1732">
            <v>0</v>
          </cell>
          <cell r="J1732">
            <v>0</v>
          </cell>
          <cell r="K1732">
            <v>0</v>
          </cell>
          <cell r="L1732">
            <v>0</v>
          </cell>
        </row>
        <row r="1733">
          <cell r="E1733" t="str">
            <v>VARIOS</v>
          </cell>
          <cell r="I1733">
            <v>0</v>
          </cell>
          <cell r="L1733">
            <v>0</v>
          </cell>
          <cell r="Z1733">
            <v>0</v>
          </cell>
        </row>
        <row r="1734">
          <cell r="I1734">
            <v>0</v>
          </cell>
          <cell r="J1734">
            <v>0</v>
          </cell>
          <cell r="K1734">
            <v>0</v>
          </cell>
          <cell r="L1734">
            <v>0</v>
          </cell>
        </row>
        <row r="1735">
          <cell r="I1735">
            <v>0</v>
          </cell>
        </row>
        <row r="1736">
          <cell r="E1736" t="str">
            <v>SUBTOTAL</v>
          </cell>
          <cell r="I1736">
            <v>2967.5</v>
          </cell>
          <cell r="L1736">
            <v>0</v>
          </cell>
          <cell r="Z1736" t="e">
            <v>#VALUE!</v>
          </cell>
        </row>
        <row r="1737">
          <cell r="E1737" t="str">
            <v>A.I.U</v>
          </cell>
          <cell r="I1737">
            <v>0</v>
          </cell>
          <cell r="L1737">
            <v>0</v>
          </cell>
          <cell r="Z1737">
            <v>0</v>
          </cell>
        </row>
        <row r="1738">
          <cell r="D1738" t="str">
            <v>AIUAADMON</v>
          </cell>
          <cell r="E1738" t="str">
            <v>Admon</v>
          </cell>
          <cell r="F1738">
            <v>0</v>
          </cell>
          <cell r="I1738">
            <v>0</v>
          </cell>
          <cell r="J1738">
            <v>0</v>
          </cell>
          <cell r="L1738">
            <v>0</v>
          </cell>
          <cell r="Z1738">
            <v>0</v>
          </cell>
        </row>
        <row r="1739">
          <cell r="D1739" t="str">
            <v>AIUAIMPRE</v>
          </cell>
          <cell r="E1739" t="str">
            <v>Imprevistos</v>
          </cell>
          <cell r="F1739">
            <v>0</v>
          </cell>
          <cell r="I1739">
            <v>0</v>
          </cell>
          <cell r="J1739">
            <v>0</v>
          </cell>
          <cell r="L1739">
            <v>0</v>
          </cell>
          <cell r="Z1739">
            <v>0</v>
          </cell>
        </row>
        <row r="1740">
          <cell r="D1740" t="str">
            <v>AIUAUTILI</v>
          </cell>
          <cell r="E1740" t="str">
            <v>Utilidad</v>
          </cell>
          <cell r="F1740">
            <v>0</v>
          </cell>
          <cell r="I1740">
            <v>0</v>
          </cell>
          <cell r="J1740">
            <v>0</v>
          </cell>
          <cell r="L1740">
            <v>0</v>
          </cell>
          <cell r="Z1740">
            <v>0</v>
          </cell>
        </row>
        <row r="1741">
          <cell r="D1741" t="str">
            <v>AIUAIVAUTI</v>
          </cell>
          <cell r="E1741" t="str">
            <v>IVA utilidad</v>
          </cell>
          <cell r="F1741">
            <v>0</v>
          </cell>
          <cell r="I1741">
            <v>0</v>
          </cell>
          <cell r="J1741">
            <v>0</v>
          </cell>
          <cell r="L1741">
            <v>0</v>
          </cell>
          <cell r="Z1741">
            <v>0</v>
          </cell>
        </row>
        <row r="1743">
          <cell r="E1743" t="str">
            <v>ITEM</v>
          </cell>
        </row>
        <row r="1744">
          <cell r="D1744" t="str">
            <v>VI1MDC</v>
          </cell>
          <cell r="E1744" t="str">
            <v xml:space="preserve">Pavimento Flexible MDC-1 </v>
          </cell>
          <cell r="G1744" t="str">
            <v>UN.</v>
          </cell>
          <cell r="H1744" t="str">
            <v>M3</v>
          </cell>
          <cell r="I1744">
            <v>235600</v>
          </cell>
          <cell r="K1744">
            <v>127</v>
          </cell>
          <cell r="L1744">
            <v>29921200</v>
          </cell>
          <cell r="N1744">
            <v>600</v>
          </cell>
          <cell r="O1744">
            <v>0</v>
          </cell>
          <cell r="P1744">
            <v>235000</v>
          </cell>
          <cell r="Q1744">
            <v>0</v>
          </cell>
          <cell r="X1744">
            <v>29921200</v>
          </cell>
          <cell r="Z1744" t="e">
            <v>#N/A</v>
          </cell>
          <cell r="AA1744" t="e">
            <v>#N/A</v>
          </cell>
          <cell r="AB1744">
            <v>0</v>
          </cell>
          <cell r="AC1744" t="e">
            <v>#N/A</v>
          </cell>
        </row>
        <row r="1746">
          <cell r="D1746" t="str">
            <v>CODIGO</v>
          </cell>
          <cell r="E1746" t="str">
            <v>DESCRIPCION</v>
          </cell>
          <cell r="F1746" t="str">
            <v>UN</v>
          </cell>
          <cell r="G1746" t="str">
            <v>CANT</v>
          </cell>
          <cell r="H1746" t="str">
            <v>V/UNIT.</v>
          </cell>
          <cell r="I1746" t="str">
            <v>V/TOTAL</v>
          </cell>
          <cell r="K1746" t="str">
            <v>CANT TOTAL</v>
          </cell>
          <cell r="L1746" t="str">
            <v>Vr TOTAL</v>
          </cell>
          <cell r="Y1746" t="str">
            <v>CANT.</v>
          </cell>
          <cell r="Z1746" t="str">
            <v>V/TOTAL</v>
          </cell>
        </row>
        <row r="1747">
          <cell r="E1747" t="str">
            <v>MATERIALES</v>
          </cell>
          <cell r="I1747">
            <v>600</v>
          </cell>
          <cell r="L1747">
            <v>76200</v>
          </cell>
          <cell r="Z1747" t="e">
            <v>#N/A</v>
          </cell>
        </row>
        <row r="1748">
          <cell r="D1748" t="str">
            <v>TC16IMPR</v>
          </cell>
          <cell r="E1748" t="str">
            <v>Imprimación</v>
          </cell>
          <cell r="F1748" t="str">
            <v>m2</v>
          </cell>
          <cell r="G1748">
            <v>1</v>
          </cell>
          <cell r="H1748">
            <v>600</v>
          </cell>
          <cell r="I1748">
            <v>600</v>
          </cell>
          <cell r="J1748">
            <v>0</v>
          </cell>
          <cell r="K1748">
            <v>127</v>
          </cell>
          <cell r="L1748">
            <v>76200</v>
          </cell>
          <cell r="Y1748" t="e">
            <v>#N/A</v>
          </cell>
          <cell r="Z1748" t="e">
            <v>#N/A</v>
          </cell>
        </row>
        <row r="1749">
          <cell r="I1749">
            <v>0</v>
          </cell>
          <cell r="J1749">
            <v>0</v>
          </cell>
          <cell r="K1749">
            <v>0</v>
          </cell>
          <cell r="L1749">
            <v>0</v>
          </cell>
          <cell r="Y1749">
            <v>0</v>
          </cell>
          <cell r="Z1749">
            <v>0</v>
          </cell>
        </row>
        <row r="1750">
          <cell r="I1750">
            <v>0</v>
          </cell>
          <cell r="J1750">
            <v>0</v>
          </cell>
          <cell r="K1750">
            <v>0</v>
          </cell>
          <cell r="L1750">
            <v>0</v>
          </cell>
          <cell r="Y1750">
            <v>0</v>
          </cell>
          <cell r="Z1750">
            <v>0</v>
          </cell>
        </row>
        <row r="1751">
          <cell r="I1751">
            <v>0</v>
          </cell>
          <cell r="J1751">
            <v>0</v>
          </cell>
          <cell r="K1751">
            <v>0</v>
          </cell>
          <cell r="L1751">
            <v>0</v>
          </cell>
          <cell r="Y1751">
            <v>0</v>
          </cell>
          <cell r="Z1751">
            <v>0</v>
          </cell>
        </row>
        <row r="1752">
          <cell r="I1752">
            <v>0</v>
          </cell>
          <cell r="J1752">
            <v>0</v>
          </cell>
          <cell r="K1752">
            <v>0</v>
          </cell>
          <cell r="L1752">
            <v>0</v>
          </cell>
          <cell r="Y1752">
            <v>0</v>
          </cell>
          <cell r="Z1752">
            <v>0</v>
          </cell>
        </row>
        <row r="1754">
          <cell r="E1754" t="str">
            <v>MANO DE OBRA</v>
          </cell>
          <cell r="I1754">
            <v>0</v>
          </cell>
          <cell r="L1754">
            <v>0</v>
          </cell>
          <cell r="Z1754">
            <v>0</v>
          </cell>
        </row>
        <row r="1755">
          <cell r="I1755">
            <v>0</v>
          </cell>
          <cell r="J1755">
            <v>0</v>
          </cell>
          <cell r="K1755">
            <v>0</v>
          </cell>
          <cell r="L1755">
            <v>0</v>
          </cell>
          <cell r="Y1755">
            <v>0</v>
          </cell>
          <cell r="Z1755">
            <v>0</v>
          </cell>
        </row>
        <row r="1757">
          <cell r="E1757" t="str">
            <v>VARIOS</v>
          </cell>
          <cell r="I1757">
            <v>235000</v>
          </cell>
          <cell r="L1757">
            <v>29845000</v>
          </cell>
          <cell r="Z1757" t="e">
            <v>#N/A</v>
          </cell>
        </row>
        <row r="1758">
          <cell r="D1758" t="str">
            <v>TC161MDC</v>
          </cell>
          <cell r="E1758" t="str">
            <v>Base Asfaltica MDC-1</v>
          </cell>
          <cell r="F1758" t="str">
            <v>M3</v>
          </cell>
          <cell r="G1758">
            <v>1</v>
          </cell>
          <cell r="H1758">
            <v>235000</v>
          </cell>
          <cell r="I1758">
            <v>235000</v>
          </cell>
          <cell r="J1758">
            <v>0</v>
          </cell>
          <cell r="K1758">
            <v>127</v>
          </cell>
          <cell r="L1758">
            <v>29845000</v>
          </cell>
          <cell r="Y1758" t="e">
            <v>#N/A</v>
          </cell>
          <cell r="Z1758" t="e">
            <v>#N/A</v>
          </cell>
        </row>
        <row r="1761">
          <cell r="E1761" t="str">
            <v>SUBTOTAL</v>
          </cell>
          <cell r="I1761">
            <v>235600</v>
          </cell>
          <cell r="L1761">
            <v>29921200</v>
          </cell>
          <cell r="Z1761" t="e">
            <v>#N/A</v>
          </cell>
        </row>
        <row r="1762">
          <cell r="E1762" t="str">
            <v>A.I.U</v>
          </cell>
          <cell r="I1762">
            <v>0</v>
          </cell>
          <cell r="L1762">
            <v>0</v>
          </cell>
          <cell r="Z1762">
            <v>0</v>
          </cell>
        </row>
        <row r="1763">
          <cell r="D1763" t="str">
            <v>AIUAADMON</v>
          </cell>
          <cell r="E1763" t="str">
            <v>Admon</v>
          </cell>
          <cell r="F1763">
            <v>0</v>
          </cell>
          <cell r="I1763">
            <v>0</v>
          </cell>
          <cell r="J1763">
            <v>0</v>
          </cell>
          <cell r="L1763">
            <v>0</v>
          </cell>
          <cell r="Z1763">
            <v>0</v>
          </cell>
        </row>
        <row r="1764">
          <cell r="D1764" t="str">
            <v>AIUAIMPRE</v>
          </cell>
          <cell r="E1764" t="str">
            <v>Imprevistos</v>
          </cell>
          <cell r="F1764">
            <v>0</v>
          </cell>
          <cell r="I1764">
            <v>0</v>
          </cell>
          <cell r="J1764">
            <v>0</v>
          </cell>
          <cell r="L1764">
            <v>0</v>
          </cell>
          <cell r="Z1764">
            <v>0</v>
          </cell>
        </row>
        <row r="1765">
          <cell r="D1765" t="str">
            <v>AIUAUTILI</v>
          </cell>
          <cell r="E1765" t="str">
            <v>Utilidad</v>
          </cell>
          <cell r="F1765">
            <v>0</v>
          </cell>
          <cell r="I1765">
            <v>0</v>
          </cell>
          <cell r="J1765">
            <v>0</v>
          </cell>
          <cell r="L1765">
            <v>0</v>
          </cell>
          <cell r="Z1765">
            <v>0</v>
          </cell>
        </row>
        <row r="1766">
          <cell r="D1766" t="str">
            <v>AIUAIVAUTI</v>
          </cell>
          <cell r="E1766" t="str">
            <v>IVA utilidad</v>
          </cell>
          <cell r="F1766">
            <v>0</v>
          </cell>
          <cell r="I1766">
            <v>0</v>
          </cell>
          <cell r="J1766">
            <v>0</v>
          </cell>
          <cell r="L1766">
            <v>0</v>
          </cell>
          <cell r="Z1766">
            <v>0</v>
          </cell>
        </row>
        <row r="1768">
          <cell r="E1768" t="str">
            <v>ITEM</v>
          </cell>
        </row>
        <row r="1769">
          <cell r="D1769" t="str">
            <v>VI3MDC</v>
          </cell>
          <cell r="E1769" t="str">
            <v>Pavimento Flexibles MDC-3</v>
          </cell>
          <cell r="G1769" t="str">
            <v>UN.</v>
          </cell>
          <cell r="H1769" t="str">
            <v>M3</v>
          </cell>
          <cell r="I1769">
            <v>258600</v>
          </cell>
          <cell r="K1769">
            <v>75</v>
          </cell>
          <cell r="L1769">
            <v>19395000</v>
          </cell>
          <cell r="N1769">
            <v>600</v>
          </cell>
          <cell r="O1769">
            <v>0</v>
          </cell>
          <cell r="P1769">
            <v>258000</v>
          </cell>
          <cell r="Q1769">
            <v>0</v>
          </cell>
          <cell r="X1769">
            <v>19395000</v>
          </cell>
          <cell r="Z1769" t="e">
            <v>#N/A</v>
          </cell>
          <cell r="AA1769" t="e">
            <v>#N/A</v>
          </cell>
          <cell r="AB1769">
            <v>0</v>
          </cell>
          <cell r="AC1769" t="e">
            <v>#N/A</v>
          </cell>
        </row>
        <row r="1771">
          <cell r="D1771" t="str">
            <v>CODIGO</v>
          </cell>
          <cell r="E1771" t="str">
            <v>DESCRIPCION</v>
          </cell>
          <cell r="F1771" t="str">
            <v>UN</v>
          </cell>
          <cell r="G1771" t="str">
            <v>CANT</v>
          </cell>
          <cell r="H1771" t="str">
            <v>V/UNIT.</v>
          </cell>
          <cell r="I1771" t="str">
            <v>V/TOTAL</v>
          </cell>
          <cell r="K1771" t="str">
            <v>CANT TOTAL</v>
          </cell>
          <cell r="L1771" t="str">
            <v>Vr TOTAL</v>
          </cell>
          <cell r="Y1771" t="str">
            <v>CANT.</v>
          </cell>
          <cell r="Z1771" t="str">
            <v>V/TOTAL</v>
          </cell>
        </row>
        <row r="1772">
          <cell r="E1772" t="str">
            <v>MATERIALES</v>
          </cell>
          <cell r="I1772">
            <v>600</v>
          </cell>
          <cell r="L1772">
            <v>45000</v>
          </cell>
          <cell r="Z1772" t="e">
            <v>#N/A</v>
          </cell>
        </row>
        <row r="1773">
          <cell r="D1773" t="str">
            <v>TC16IMPR</v>
          </cell>
          <cell r="E1773" t="str">
            <v>Imprimación</v>
          </cell>
          <cell r="F1773" t="str">
            <v>m2</v>
          </cell>
          <cell r="G1773">
            <v>1</v>
          </cell>
          <cell r="H1773">
            <v>600</v>
          </cell>
          <cell r="I1773">
            <v>600</v>
          </cell>
          <cell r="J1773">
            <v>0</v>
          </cell>
          <cell r="K1773">
            <v>75</v>
          </cell>
          <cell r="L1773">
            <v>45000</v>
          </cell>
          <cell r="Y1773" t="e">
            <v>#N/A</v>
          </cell>
          <cell r="Z1773" t="e">
            <v>#N/A</v>
          </cell>
        </row>
        <row r="1774">
          <cell r="I1774">
            <v>0</v>
          </cell>
          <cell r="J1774">
            <v>0</v>
          </cell>
          <cell r="K1774">
            <v>0</v>
          </cell>
          <cell r="L1774">
            <v>0</v>
          </cell>
          <cell r="Y1774">
            <v>0</v>
          </cell>
          <cell r="Z1774">
            <v>0</v>
          </cell>
        </row>
        <row r="1775">
          <cell r="I1775">
            <v>0</v>
          </cell>
          <cell r="J1775">
            <v>0</v>
          </cell>
          <cell r="K1775">
            <v>0</v>
          </cell>
          <cell r="L1775">
            <v>0</v>
          </cell>
          <cell r="Y1775">
            <v>0</v>
          </cell>
          <cell r="Z1775">
            <v>0</v>
          </cell>
        </row>
        <row r="1776">
          <cell r="I1776">
            <v>0</v>
          </cell>
          <cell r="J1776">
            <v>0</v>
          </cell>
          <cell r="K1776">
            <v>0</v>
          </cell>
          <cell r="L1776">
            <v>0</v>
          </cell>
          <cell r="Y1776">
            <v>0</v>
          </cell>
          <cell r="Z1776">
            <v>0</v>
          </cell>
        </row>
        <row r="1777">
          <cell r="I1777">
            <v>0</v>
          </cell>
          <cell r="J1777">
            <v>0</v>
          </cell>
          <cell r="K1777">
            <v>0</v>
          </cell>
          <cell r="L1777">
            <v>0</v>
          </cell>
          <cell r="Y1777">
            <v>0</v>
          </cell>
          <cell r="Z1777">
            <v>0</v>
          </cell>
        </row>
        <row r="1779">
          <cell r="E1779" t="str">
            <v>MANO DE OBRA</v>
          </cell>
          <cell r="I1779">
            <v>0</v>
          </cell>
          <cell r="L1779">
            <v>0</v>
          </cell>
          <cell r="Z1779">
            <v>0</v>
          </cell>
        </row>
        <row r="1780">
          <cell r="I1780">
            <v>0</v>
          </cell>
          <cell r="J1780">
            <v>0</v>
          </cell>
          <cell r="K1780">
            <v>0</v>
          </cell>
          <cell r="L1780">
            <v>0</v>
          </cell>
          <cell r="Y1780">
            <v>0</v>
          </cell>
          <cell r="Z1780">
            <v>0</v>
          </cell>
        </row>
        <row r="1782">
          <cell r="E1782" t="str">
            <v>VARIOS</v>
          </cell>
          <cell r="I1782">
            <v>258000</v>
          </cell>
          <cell r="L1782">
            <v>19350000</v>
          </cell>
          <cell r="Z1782" t="e">
            <v>#N/A</v>
          </cell>
        </row>
        <row r="1783">
          <cell r="D1783" t="str">
            <v>TC163MDC</v>
          </cell>
          <cell r="E1783" t="str">
            <v>Rodadura Asfaltica MDC-3</v>
          </cell>
          <cell r="F1783" t="str">
            <v>M3</v>
          </cell>
          <cell r="G1783">
            <v>1</v>
          </cell>
          <cell r="H1783">
            <v>258000</v>
          </cell>
          <cell r="I1783">
            <v>258000</v>
          </cell>
          <cell r="J1783">
            <v>0</v>
          </cell>
          <cell r="K1783">
            <v>75</v>
          </cell>
          <cell r="L1783">
            <v>19350000</v>
          </cell>
          <cell r="Y1783" t="e">
            <v>#N/A</v>
          </cell>
          <cell r="Z1783" t="e">
            <v>#N/A</v>
          </cell>
        </row>
        <row r="1786">
          <cell r="E1786" t="str">
            <v>SUBTOTAL</v>
          </cell>
          <cell r="I1786">
            <v>258600</v>
          </cell>
          <cell r="L1786">
            <v>19395000</v>
          </cell>
          <cell r="Z1786" t="e">
            <v>#N/A</v>
          </cell>
        </row>
        <row r="1787">
          <cell r="E1787" t="str">
            <v>A.I.U</v>
          </cell>
          <cell r="I1787">
            <v>0</v>
          </cell>
          <cell r="L1787">
            <v>0</v>
          </cell>
          <cell r="Z1787">
            <v>0</v>
          </cell>
        </row>
        <row r="1788">
          <cell r="D1788" t="str">
            <v>AIUAADMON</v>
          </cell>
          <cell r="E1788" t="str">
            <v>Admon</v>
          </cell>
          <cell r="F1788">
            <v>0</v>
          </cell>
          <cell r="I1788">
            <v>0</v>
          </cell>
          <cell r="J1788">
            <v>0</v>
          </cell>
          <cell r="L1788">
            <v>0</v>
          </cell>
          <cell r="Z1788">
            <v>0</v>
          </cell>
        </row>
        <row r="1789">
          <cell r="D1789" t="str">
            <v>AIUAIMPRE</v>
          </cell>
          <cell r="E1789" t="str">
            <v>Imprevistos</v>
          </cell>
          <cell r="F1789">
            <v>0</v>
          </cell>
          <cell r="I1789">
            <v>0</v>
          </cell>
          <cell r="J1789">
            <v>0</v>
          </cell>
          <cell r="L1789">
            <v>0</v>
          </cell>
          <cell r="Z1789">
            <v>0</v>
          </cell>
        </row>
        <row r="1790">
          <cell r="D1790" t="str">
            <v>AIUAUTILI</v>
          </cell>
          <cell r="E1790" t="str">
            <v>Utilidad</v>
          </cell>
          <cell r="F1790">
            <v>0</v>
          </cell>
          <cell r="I1790">
            <v>0</v>
          </cell>
          <cell r="J1790">
            <v>0</v>
          </cell>
          <cell r="L1790">
            <v>0</v>
          </cell>
          <cell r="Z1790">
            <v>0</v>
          </cell>
        </row>
        <row r="1791">
          <cell r="D1791" t="str">
            <v>AIUAIVAUTI</v>
          </cell>
          <cell r="E1791" t="str">
            <v>IVA utilidad</v>
          </cell>
          <cell r="F1791">
            <v>0</v>
          </cell>
          <cell r="I1791">
            <v>0</v>
          </cell>
          <cell r="J1791">
            <v>0</v>
          </cell>
          <cell r="L1791">
            <v>0</v>
          </cell>
          <cell r="Z1791">
            <v>0</v>
          </cell>
        </row>
        <row r="1793">
          <cell r="E1793" t="str">
            <v>ITEM</v>
          </cell>
        </row>
        <row r="1794">
          <cell r="D1794" t="str">
            <v>HIH2</v>
          </cell>
          <cell r="E1794" t="str">
            <v>Hierro Figurado Nª 2</v>
          </cell>
          <cell r="G1794" t="str">
            <v>UN.</v>
          </cell>
          <cell r="H1794" t="str">
            <v>Kg</v>
          </cell>
          <cell r="I1794">
            <v>2198.5</v>
          </cell>
          <cell r="K1794">
            <v>0</v>
          </cell>
          <cell r="L1794">
            <v>0</v>
          </cell>
          <cell r="N1794">
            <v>2198.5</v>
          </cell>
          <cell r="O1794">
            <v>0</v>
          </cell>
          <cell r="P1794">
            <v>0</v>
          </cell>
          <cell r="Q1794">
            <v>0</v>
          </cell>
          <cell r="X1794">
            <v>0</v>
          </cell>
          <cell r="Z1794" t="e">
            <v>#VALUE!</v>
          </cell>
          <cell r="AA1794" t="e">
            <v>#VALUE!</v>
          </cell>
          <cell r="AB1794">
            <v>0</v>
          </cell>
          <cell r="AC1794">
            <v>0</v>
          </cell>
        </row>
        <row r="1796">
          <cell r="D1796" t="str">
            <v>CODIGO</v>
          </cell>
          <cell r="E1796" t="str">
            <v>DESCRIPCION</v>
          </cell>
          <cell r="F1796" t="str">
            <v>UN</v>
          </cell>
          <cell r="G1796" t="str">
            <v>CANT</v>
          </cell>
          <cell r="H1796" t="str">
            <v>V/UNIT.</v>
          </cell>
          <cell r="I1796" t="str">
            <v>V/TOTAL</v>
          </cell>
          <cell r="K1796" t="str">
            <v>CANT TOTAL</v>
          </cell>
          <cell r="L1796" t="str">
            <v>Vr TOTAL</v>
          </cell>
          <cell r="Y1796" t="str">
            <v>CANT.</v>
          </cell>
          <cell r="Z1796" t="str">
            <v>V/TOTAL</v>
          </cell>
        </row>
        <row r="1797">
          <cell r="E1797" t="str">
            <v>MATERIALES</v>
          </cell>
          <cell r="I1797">
            <v>2198.5</v>
          </cell>
          <cell r="L1797">
            <v>0</v>
          </cell>
          <cell r="Z1797" t="e">
            <v>#VALUE!</v>
          </cell>
        </row>
        <row r="1798">
          <cell r="D1798" t="str">
            <v>MA01H2</v>
          </cell>
          <cell r="E1798" t="str">
            <v>Acero PDR60 N. 2</v>
          </cell>
          <cell r="F1798" t="str">
            <v>Kg</v>
          </cell>
          <cell r="G1798">
            <v>1</v>
          </cell>
          <cell r="H1798">
            <v>2150</v>
          </cell>
          <cell r="I1798">
            <v>2150</v>
          </cell>
          <cell r="J1798">
            <v>0</v>
          </cell>
          <cell r="K1798">
            <v>0</v>
          </cell>
          <cell r="L1798">
            <v>0</v>
          </cell>
          <cell r="Y1798" t="e">
            <v>#VALUE!</v>
          </cell>
          <cell r="Z1798" t="e">
            <v>#VALUE!</v>
          </cell>
        </row>
        <row r="1799">
          <cell r="D1799" t="str">
            <v>MA01AN18</v>
          </cell>
          <cell r="E1799" t="str">
            <v>Alambre Negro</v>
          </cell>
          <cell r="F1799" t="str">
            <v>Kg</v>
          </cell>
          <cell r="G1799">
            <v>2.5000000000000001E-2</v>
          </cell>
          <cell r="H1799">
            <v>1940</v>
          </cell>
          <cell r="I1799">
            <v>48.5</v>
          </cell>
          <cell r="J1799">
            <v>0</v>
          </cell>
          <cell r="K1799">
            <v>0</v>
          </cell>
          <cell r="L1799">
            <v>0</v>
          </cell>
          <cell r="Y1799" t="e">
            <v>#VALUE!</v>
          </cell>
          <cell r="Z1799" t="e">
            <v>#VALUE!</v>
          </cell>
        </row>
        <row r="1801">
          <cell r="E1801" t="str">
            <v>MANO DE OBRA</v>
          </cell>
          <cell r="I1801">
            <v>0</v>
          </cell>
          <cell r="L1801">
            <v>0</v>
          </cell>
          <cell r="Z1801">
            <v>0</v>
          </cell>
        </row>
        <row r="1803">
          <cell r="E1803" t="str">
            <v>VARIOS</v>
          </cell>
          <cell r="I1803">
            <v>0</v>
          </cell>
          <cell r="L1803">
            <v>0</v>
          </cell>
          <cell r="Z1803">
            <v>0</v>
          </cell>
        </row>
        <row r="1805">
          <cell r="E1805" t="str">
            <v>SUBTOTAL</v>
          </cell>
          <cell r="I1805">
            <v>2198.5</v>
          </cell>
          <cell r="L1805">
            <v>0</v>
          </cell>
          <cell r="Z1805" t="e">
            <v>#VALUE!</v>
          </cell>
        </row>
        <row r="1806">
          <cell r="E1806" t="str">
            <v>A.I.U</v>
          </cell>
          <cell r="I1806">
            <v>0</v>
          </cell>
          <cell r="L1806">
            <v>0</v>
          </cell>
          <cell r="Z1806">
            <v>0</v>
          </cell>
        </row>
        <row r="1807">
          <cell r="D1807" t="str">
            <v>AIUAADMON</v>
          </cell>
          <cell r="E1807" t="str">
            <v>Admon</v>
          </cell>
          <cell r="F1807">
            <v>0</v>
          </cell>
          <cell r="I1807">
            <v>0</v>
          </cell>
          <cell r="J1807">
            <v>0</v>
          </cell>
          <cell r="L1807">
            <v>0</v>
          </cell>
          <cell r="Z1807">
            <v>0</v>
          </cell>
        </row>
        <row r="1808">
          <cell r="D1808" t="str">
            <v>AIUAIMPRE</v>
          </cell>
          <cell r="E1808" t="str">
            <v>Imprevistos</v>
          </cell>
          <cell r="F1808">
            <v>0</v>
          </cell>
          <cell r="I1808">
            <v>0</v>
          </cell>
          <cell r="J1808">
            <v>0</v>
          </cell>
          <cell r="L1808">
            <v>0</v>
          </cell>
          <cell r="Z1808">
            <v>0</v>
          </cell>
        </row>
        <row r="1809">
          <cell r="D1809" t="str">
            <v>AIUAUTILI</v>
          </cell>
          <cell r="E1809" t="str">
            <v>Utilidad</v>
          </cell>
          <cell r="F1809">
            <v>0</v>
          </cell>
          <cell r="I1809">
            <v>0</v>
          </cell>
          <cell r="J1809">
            <v>0</v>
          </cell>
          <cell r="L1809">
            <v>0</v>
          </cell>
          <cell r="Z1809">
            <v>0</v>
          </cell>
        </row>
        <row r="1810">
          <cell r="D1810" t="str">
            <v>AIUAIVAUTI</v>
          </cell>
          <cell r="E1810" t="str">
            <v>IVA utilidad</v>
          </cell>
          <cell r="F1810">
            <v>0</v>
          </cell>
          <cell r="I1810">
            <v>0</v>
          </cell>
          <cell r="J1810">
            <v>0</v>
          </cell>
          <cell r="L1810">
            <v>0</v>
          </cell>
          <cell r="Z1810">
            <v>0</v>
          </cell>
        </row>
        <row r="1812">
          <cell r="E1812" t="str">
            <v>ITEM</v>
          </cell>
        </row>
        <row r="1813">
          <cell r="D1813" t="str">
            <v>HIH3</v>
          </cell>
          <cell r="E1813" t="str">
            <v>Hierro Figurado Nª 3</v>
          </cell>
          <cell r="G1813" t="str">
            <v>UN.</v>
          </cell>
          <cell r="H1813" t="str">
            <v>Kg</v>
          </cell>
          <cell r="I1813">
            <v>2198.5</v>
          </cell>
          <cell r="K1813">
            <v>0</v>
          </cell>
          <cell r="L1813">
            <v>0</v>
          </cell>
          <cell r="N1813">
            <v>2198.5</v>
          </cell>
          <cell r="O1813">
            <v>0</v>
          </cell>
          <cell r="P1813">
            <v>0</v>
          </cell>
          <cell r="Q1813">
            <v>0</v>
          </cell>
          <cell r="X1813">
            <v>0</v>
          </cell>
          <cell r="Z1813" t="e">
            <v>#VALUE!</v>
          </cell>
          <cell r="AA1813" t="e">
            <v>#VALUE!</v>
          </cell>
          <cell r="AB1813">
            <v>0</v>
          </cell>
          <cell r="AC1813">
            <v>0</v>
          </cell>
        </row>
        <row r="1815">
          <cell r="D1815" t="str">
            <v>CODIGO</v>
          </cell>
          <cell r="E1815" t="str">
            <v>DESCRIPCION</v>
          </cell>
          <cell r="F1815" t="str">
            <v>UN</v>
          </cell>
          <cell r="G1815" t="str">
            <v>CANT</v>
          </cell>
          <cell r="H1815" t="str">
            <v>V/UNIT.</v>
          </cell>
          <cell r="I1815" t="str">
            <v>V/TOTAL</v>
          </cell>
          <cell r="K1815" t="str">
            <v>CANT TOTAL</v>
          </cell>
          <cell r="L1815" t="str">
            <v>Vr TOTAL</v>
          </cell>
          <cell r="Y1815" t="str">
            <v>CANT.</v>
          </cell>
          <cell r="Z1815" t="str">
            <v>V/TOTAL</v>
          </cell>
        </row>
        <row r="1816">
          <cell r="E1816" t="str">
            <v>MATERIALES</v>
          </cell>
          <cell r="I1816">
            <v>2198.5</v>
          </cell>
          <cell r="L1816">
            <v>0</v>
          </cell>
          <cell r="Z1816" t="e">
            <v>#VALUE!</v>
          </cell>
        </row>
        <row r="1817">
          <cell r="D1817" t="str">
            <v>MA01H3</v>
          </cell>
          <cell r="E1817" t="str">
            <v>Acero PDR60 N. 3</v>
          </cell>
          <cell r="F1817" t="str">
            <v>Kg</v>
          </cell>
          <cell r="G1817">
            <v>1</v>
          </cell>
          <cell r="H1817">
            <v>2150</v>
          </cell>
          <cell r="I1817">
            <v>2150</v>
          </cell>
          <cell r="J1817">
            <v>0</v>
          </cell>
          <cell r="K1817">
            <v>0</v>
          </cell>
          <cell r="L1817">
            <v>0</v>
          </cell>
          <cell r="Y1817" t="e">
            <v>#VALUE!</v>
          </cell>
          <cell r="Z1817" t="e">
            <v>#VALUE!</v>
          </cell>
        </row>
        <row r="1818">
          <cell r="D1818" t="str">
            <v>MA01AN18</v>
          </cell>
          <cell r="E1818" t="str">
            <v>Alambre Negro</v>
          </cell>
          <cell r="F1818" t="str">
            <v>Kg</v>
          </cell>
          <cell r="G1818">
            <v>2.5000000000000001E-2</v>
          </cell>
          <cell r="H1818">
            <v>1940</v>
          </cell>
          <cell r="I1818">
            <v>48.5</v>
          </cell>
          <cell r="J1818">
            <v>0</v>
          </cell>
          <cell r="K1818">
            <v>0</v>
          </cell>
          <cell r="L1818">
            <v>0</v>
          </cell>
          <cell r="Y1818" t="e">
            <v>#VALUE!</v>
          </cell>
          <cell r="Z1818" t="e">
            <v>#VALUE!</v>
          </cell>
        </row>
        <row r="1820">
          <cell r="E1820" t="str">
            <v>MANO DE OBRA</v>
          </cell>
          <cell r="I1820">
            <v>0</v>
          </cell>
          <cell r="L1820">
            <v>0</v>
          </cell>
          <cell r="Z1820">
            <v>0</v>
          </cell>
        </row>
        <row r="1822">
          <cell r="E1822" t="str">
            <v>VARIOS</v>
          </cell>
          <cell r="I1822">
            <v>0</v>
          </cell>
          <cell r="L1822">
            <v>0</v>
          </cell>
          <cell r="Z1822">
            <v>0</v>
          </cell>
        </row>
        <row r="1824">
          <cell r="E1824" t="str">
            <v>SUBTOTAL</v>
          </cell>
          <cell r="I1824">
            <v>2198.5</v>
          </cell>
          <cell r="L1824">
            <v>0</v>
          </cell>
          <cell r="Z1824" t="e">
            <v>#VALUE!</v>
          </cell>
        </row>
        <row r="1825">
          <cell r="E1825" t="str">
            <v>A.I.U</v>
          </cell>
          <cell r="I1825">
            <v>0</v>
          </cell>
          <cell r="L1825">
            <v>0</v>
          </cell>
          <cell r="Z1825">
            <v>0</v>
          </cell>
        </row>
        <row r="1826">
          <cell r="D1826" t="str">
            <v>AIUAADMON</v>
          </cell>
          <cell r="E1826" t="str">
            <v>Admon</v>
          </cell>
          <cell r="F1826">
            <v>0</v>
          </cell>
          <cell r="I1826">
            <v>0</v>
          </cell>
          <cell r="J1826">
            <v>0</v>
          </cell>
          <cell r="L1826">
            <v>0</v>
          </cell>
          <cell r="Z1826">
            <v>0</v>
          </cell>
        </row>
        <row r="1827">
          <cell r="D1827" t="str">
            <v>AIUAIMPRE</v>
          </cell>
          <cell r="E1827" t="str">
            <v>Imprevistos</v>
          </cell>
          <cell r="F1827">
            <v>0</v>
          </cell>
          <cell r="I1827">
            <v>0</v>
          </cell>
          <cell r="J1827">
            <v>0</v>
          </cell>
          <cell r="L1827">
            <v>0</v>
          </cell>
          <cell r="Z1827">
            <v>0</v>
          </cell>
        </row>
        <row r="1828">
          <cell r="D1828" t="str">
            <v>AIUAUTILI</v>
          </cell>
          <cell r="E1828" t="str">
            <v>Utilidad</v>
          </cell>
          <cell r="F1828">
            <v>0</v>
          </cell>
          <cell r="I1828">
            <v>0</v>
          </cell>
          <cell r="J1828">
            <v>0</v>
          </cell>
          <cell r="L1828">
            <v>0</v>
          </cell>
          <cell r="Z1828">
            <v>0</v>
          </cell>
        </row>
        <row r="1829">
          <cell r="D1829" t="str">
            <v>AIUAIVAUTI</v>
          </cell>
          <cell r="E1829" t="str">
            <v>IVA utilidad</v>
          </cell>
          <cell r="F1829">
            <v>0</v>
          </cell>
          <cell r="I1829">
            <v>0</v>
          </cell>
          <cell r="J1829">
            <v>0</v>
          </cell>
          <cell r="L1829">
            <v>0</v>
          </cell>
          <cell r="Z1829">
            <v>0</v>
          </cell>
        </row>
        <row r="1831">
          <cell r="E1831" t="str">
            <v>ITEM</v>
          </cell>
        </row>
        <row r="1832">
          <cell r="D1832" t="str">
            <v>HIH4</v>
          </cell>
          <cell r="E1832" t="str">
            <v>Hierro Figurado Nª 4</v>
          </cell>
          <cell r="G1832" t="str">
            <v>UN.</v>
          </cell>
          <cell r="H1832" t="str">
            <v>Kg</v>
          </cell>
          <cell r="I1832">
            <v>2198.5</v>
          </cell>
          <cell r="K1832">
            <v>68964</v>
          </cell>
          <cell r="L1832">
            <v>151617354</v>
          </cell>
          <cell r="N1832">
            <v>2198.5</v>
          </cell>
          <cell r="O1832">
            <v>0</v>
          </cell>
          <cell r="P1832">
            <v>0</v>
          </cell>
          <cell r="Q1832">
            <v>0</v>
          </cell>
          <cell r="X1832">
            <v>151617354</v>
          </cell>
          <cell r="Z1832" t="e">
            <v>#VALUE!</v>
          </cell>
          <cell r="AA1832" t="e">
            <v>#VALUE!</v>
          </cell>
          <cell r="AB1832">
            <v>0</v>
          </cell>
          <cell r="AC1832">
            <v>0</v>
          </cell>
        </row>
        <row r="1834">
          <cell r="D1834" t="str">
            <v>CODIGO</v>
          </cell>
          <cell r="E1834" t="str">
            <v>DESCRIPCION</v>
          </cell>
          <cell r="F1834" t="str">
            <v>UN</v>
          </cell>
          <cell r="G1834" t="str">
            <v>CANT</v>
          </cell>
          <cell r="H1834" t="str">
            <v>V/UNIT.</v>
          </cell>
          <cell r="I1834" t="str">
            <v>V/TOTAL</v>
          </cell>
          <cell r="K1834" t="str">
            <v>CANT TOTAL</v>
          </cell>
          <cell r="L1834" t="str">
            <v>Vr TOTAL</v>
          </cell>
          <cell r="Y1834" t="str">
            <v>CANT.</v>
          </cell>
          <cell r="Z1834" t="str">
            <v>V/TOTAL</v>
          </cell>
        </row>
        <row r="1835">
          <cell r="E1835" t="str">
            <v>MATERIALES</v>
          </cell>
          <cell r="I1835">
            <v>2198.5</v>
          </cell>
          <cell r="L1835">
            <v>151617354</v>
          </cell>
          <cell r="Z1835" t="e">
            <v>#VALUE!</v>
          </cell>
        </row>
        <row r="1836">
          <cell r="D1836" t="str">
            <v>MA01H4</v>
          </cell>
          <cell r="E1836" t="str">
            <v>Acero PDR60 N. 4</v>
          </cell>
          <cell r="F1836" t="str">
            <v>Kg</v>
          </cell>
          <cell r="G1836">
            <v>1</v>
          </cell>
          <cell r="H1836">
            <v>2150</v>
          </cell>
          <cell r="I1836">
            <v>2150</v>
          </cell>
          <cell r="J1836">
            <v>0</v>
          </cell>
          <cell r="K1836">
            <v>68964</v>
          </cell>
          <cell r="L1836">
            <v>148272600</v>
          </cell>
          <cell r="Y1836" t="e">
            <v>#VALUE!</v>
          </cell>
          <cell r="Z1836" t="e">
            <v>#VALUE!</v>
          </cell>
        </row>
        <row r="1837">
          <cell r="D1837" t="str">
            <v>MA01AN18</v>
          </cell>
          <cell r="E1837" t="str">
            <v>Alambre Negro</v>
          </cell>
          <cell r="F1837" t="str">
            <v>Kg</v>
          </cell>
          <cell r="G1837">
            <v>2.5000000000000001E-2</v>
          </cell>
          <cell r="H1837">
            <v>1940</v>
          </cell>
          <cell r="I1837">
            <v>48.5</v>
          </cell>
          <cell r="J1837">
            <v>0</v>
          </cell>
          <cell r="K1837">
            <v>1724.1000000000001</v>
          </cell>
          <cell r="L1837">
            <v>3344754.0000000005</v>
          </cell>
          <cell r="Y1837" t="e">
            <v>#VALUE!</v>
          </cell>
          <cell r="Z1837" t="e">
            <v>#VALUE!</v>
          </cell>
        </row>
        <row r="1839">
          <cell r="E1839" t="str">
            <v>MANO DE OBRA</v>
          </cell>
          <cell r="I1839">
            <v>0</v>
          </cell>
          <cell r="L1839">
            <v>0</v>
          </cell>
          <cell r="Z1839">
            <v>0</v>
          </cell>
        </row>
        <row r="1841">
          <cell r="E1841" t="str">
            <v>VARIOS</v>
          </cell>
          <cell r="I1841">
            <v>0</v>
          </cell>
          <cell r="L1841">
            <v>0</v>
          </cell>
          <cell r="Z1841">
            <v>0</v>
          </cell>
        </row>
        <row r="1843">
          <cell r="E1843" t="str">
            <v>SUBTOTAL</v>
          </cell>
          <cell r="I1843">
            <v>2198.5</v>
          </cell>
          <cell r="L1843">
            <v>151617354</v>
          </cell>
          <cell r="Z1843" t="e">
            <v>#VALUE!</v>
          </cell>
        </row>
        <row r="1844">
          <cell r="E1844" t="str">
            <v>A.I.U</v>
          </cell>
          <cell r="I1844">
            <v>0</v>
          </cell>
          <cell r="L1844">
            <v>0</v>
          </cell>
          <cell r="Z1844">
            <v>0</v>
          </cell>
        </row>
        <row r="1845">
          <cell r="D1845" t="str">
            <v>AIUAADMON</v>
          </cell>
          <cell r="E1845" t="str">
            <v>Admon</v>
          </cell>
          <cell r="F1845">
            <v>0</v>
          </cell>
          <cell r="I1845">
            <v>0</v>
          </cell>
          <cell r="J1845">
            <v>0</v>
          </cell>
          <cell r="L1845">
            <v>0</v>
          </cell>
          <cell r="Z1845">
            <v>0</v>
          </cell>
        </row>
        <row r="1846">
          <cell r="D1846" t="str">
            <v>AIUAIMPRE</v>
          </cell>
          <cell r="E1846" t="str">
            <v>Imprevistos</v>
          </cell>
          <cell r="F1846">
            <v>0</v>
          </cell>
          <cell r="I1846">
            <v>0</v>
          </cell>
          <cell r="J1846">
            <v>0</v>
          </cell>
          <cell r="L1846">
            <v>0</v>
          </cell>
          <cell r="Z1846">
            <v>0</v>
          </cell>
        </row>
        <row r="1847">
          <cell r="D1847" t="str">
            <v>AIUAUTILI</v>
          </cell>
          <cell r="E1847" t="str">
            <v>Utilidad</v>
          </cell>
          <cell r="F1847">
            <v>0</v>
          </cell>
          <cell r="I1847">
            <v>0</v>
          </cell>
          <cell r="J1847">
            <v>0</v>
          </cell>
          <cell r="L1847">
            <v>0</v>
          </cell>
          <cell r="Z1847">
            <v>0</v>
          </cell>
        </row>
        <row r="1848">
          <cell r="D1848" t="str">
            <v>AIUAIVAUTI</v>
          </cell>
          <cell r="E1848" t="str">
            <v>IVA utilidad</v>
          </cell>
          <cell r="F1848">
            <v>0</v>
          </cell>
          <cell r="I1848">
            <v>0</v>
          </cell>
          <cell r="J1848">
            <v>0</v>
          </cell>
          <cell r="L1848">
            <v>0</v>
          </cell>
          <cell r="Z1848">
            <v>0</v>
          </cell>
        </row>
        <row r="1850">
          <cell r="E1850" t="str">
            <v>ITEM</v>
          </cell>
        </row>
        <row r="1851">
          <cell r="D1851" t="str">
            <v>HIH5</v>
          </cell>
          <cell r="E1851" t="str">
            <v>Hierro Figurado Nª 5</v>
          </cell>
          <cell r="G1851" t="str">
            <v>UN.</v>
          </cell>
          <cell r="H1851" t="str">
            <v>Kg</v>
          </cell>
          <cell r="I1851">
            <v>2198.5</v>
          </cell>
          <cell r="K1851">
            <v>0</v>
          </cell>
          <cell r="L1851">
            <v>0</v>
          </cell>
          <cell r="N1851">
            <v>2198.5</v>
          </cell>
          <cell r="O1851">
            <v>0</v>
          </cell>
          <cell r="P1851">
            <v>0</v>
          </cell>
          <cell r="Q1851">
            <v>0</v>
          </cell>
          <cell r="X1851">
            <v>0</v>
          </cell>
          <cell r="Z1851" t="e">
            <v>#VALUE!</v>
          </cell>
          <cell r="AA1851" t="e">
            <v>#VALUE!</v>
          </cell>
          <cell r="AB1851">
            <v>0</v>
          </cell>
          <cell r="AC1851">
            <v>0</v>
          </cell>
        </row>
        <row r="1853">
          <cell r="D1853" t="str">
            <v>CODIGO</v>
          </cell>
          <cell r="E1853" t="str">
            <v>DESCRIPCION</v>
          </cell>
          <cell r="F1853" t="str">
            <v>UN</v>
          </cell>
          <cell r="G1853" t="str">
            <v>CANT</v>
          </cell>
          <cell r="H1853" t="str">
            <v>V/UNIT.</v>
          </cell>
          <cell r="I1853" t="str">
            <v>V/TOTAL</v>
          </cell>
          <cell r="K1853" t="str">
            <v>CANT TOTAL</v>
          </cell>
          <cell r="L1853" t="str">
            <v>Vr TOTAL</v>
          </cell>
          <cell r="Y1853" t="str">
            <v>CANT.</v>
          </cell>
          <cell r="Z1853" t="str">
            <v>V/TOTAL</v>
          </cell>
        </row>
        <row r="1854">
          <cell r="E1854" t="str">
            <v>MATERIALES</v>
          </cell>
          <cell r="I1854">
            <v>2198.5</v>
          </cell>
          <cell r="L1854">
            <v>0</v>
          </cell>
          <cell r="Z1854" t="e">
            <v>#VALUE!</v>
          </cell>
        </row>
        <row r="1855">
          <cell r="D1855" t="str">
            <v>MA01H5</v>
          </cell>
          <cell r="E1855" t="str">
            <v>Acero PDR60 N. 5</v>
          </cell>
          <cell r="F1855" t="str">
            <v>Kg</v>
          </cell>
          <cell r="G1855">
            <v>1</v>
          </cell>
          <cell r="H1855">
            <v>2150</v>
          </cell>
          <cell r="I1855">
            <v>2150</v>
          </cell>
          <cell r="J1855">
            <v>0</v>
          </cell>
          <cell r="K1855">
            <v>0</v>
          </cell>
          <cell r="L1855">
            <v>0</v>
          </cell>
          <cell r="Y1855" t="e">
            <v>#VALUE!</v>
          </cell>
          <cell r="Z1855" t="e">
            <v>#VALUE!</v>
          </cell>
        </row>
        <row r="1856">
          <cell r="D1856" t="str">
            <v>MA01AN18</v>
          </cell>
          <cell r="E1856" t="str">
            <v>Alambre Negro</v>
          </cell>
          <cell r="F1856" t="str">
            <v>Kg</v>
          </cell>
          <cell r="G1856">
            <v>2.5000000000000001E-2</v>
          </cell>
          <cell r="H1856">
            <v>1940</v>
          </cell>
          <cell r="I1856">
            <v>48.5</v>
          </cell>
          <cell r="J1856">
            <v>0</v>
          </cell>
          <cell r="K1856">
            <v>0</v>
          </cell>
          <cell r="L1856">
            <v>0</v>
          </cell>
          <cell r="Y1856" t="e">
            <v>#VALUE!</v>
          </cell>
          <cell r="Z1856" t="e">
            <v>#VALUE!</v>
          </cell>
        </row>
        <row r="1858">
          <cell r="E1858" t="str">
            <v>MANO DE OBRA</v>
          </cell>
          <cell r="I1858">
            <v>0</v>
          </cell>
          <cell r="L1858">
            <v>0</v>
          </cell>
          <cell r="Z1858">
            <v>0</v>
          </cell>
        </row>
        <row r="1860">
          <cell r="E1860" t="str">
            <v>VARIOS</v>
          </cell>
          <cell r="I1860">
            <v>0</v>
          </cell>
          <cell r="L1860">
            <v>0</v>
          </cell>
          <cell r="Z1860">
            <v>0</v>
          </cell>
        </row>
        <row r="1862">
          <cell r="E1862" t="str">
            <v>SUBTOTAL</v>
          </cell>
          <cell r="I1862">
            <v>2198.5</v>
          </cell>
          <cell r="L1862">
            <v>0</v>
          </cell>
          <cell r="Z1862" t="e">
            <v>#VALUE!</v>
          </cell>
        </row>
        <row r="1863">
          <cell r="E1863" t="str">
            <v>A.I.U</v>
          </cell>
          <cell r="I1863">
            <v>0</v>
          </cell>
          <cell r="L1863">
            <v>0</v>
          </cell>
          <cell r="Z1863">
            <v>0</v>
          </cell>
        </row>
        <row r="1864">
          <cell r="D1864" t="str">
            <v>AIUAADMON</v>
          </cell>
          <cell r="E1864" t="str">
            <v>Admon</v>
          </cell>
          <cell r="F1864">
            <v>0</v>
          </cell>
          <cell r="I1864">
            <v>0</v>
          </cell>
          <cell r="J1864">
            <v>0</v>
          </cell>
          <cell r="L1864">
            <v>0</v>
          </cell>
          <cell r="Z1864">
            <v>0</v>
          </cell>
        </row>
        <row r="1865">
          <cell r="D1865" t="str">
            <v>AIUAIMPRE</v>
          </cell>
          <cell r="E1865" t="str">
            <v>Imprevistos</v>
          </cell>
          <cell r="F1865">
            <v>0</v>
          </cell>
          <cell r="I1865">
            <v>0</v>
          </cell>
          <cell r="J1865">
            <v>0</v>
          </cell>
          <cell r="L1865">
            <v>0</v>
          </cell>
          <cell r="Z1865">
            <v>0</v>
          </cell>
        </row>
        <row r="1866">
          <cell r="D1866" t="str">
            <v>AIUAUTILI</v>
          </cell>
          <cell r="E1866" t="str">
            <v>Utilidad</v>
          </cell>
          <cell r="F1866">
            <v>0</v>
          </cell>
          <cell r="I1866">
            <v>0</v>
          </cell>
          <cell r="J1866">
            <v>0</v>
          </cell>
          <cell r="L1866">
            <v>0</v>
          </cell>
          <cell r="Z1866">
            <v>0</v>
          </cell>
        </row>
        <row r="1867">
          <cell r="D1867" t="str">
            <v>AIUAIVAUTI</v>
          </cell>
          <cell r="E1867" t="str">
            <v>IVA utilidad</v>
          </cell>
          <cell r="F1867">
            <v>0</v>
          </cell>
          <cell r="I1867">
            <v>0</v>
          </cell>
          <cell r="J1867">
            <v>0</v>
          </cell>
          <cell r="L1867">
            <v>0</v>
          </cell>
          <cell r="Z1867">
            <v>0</v>
          </cell>
        </row>
        <row r="1869">
          <cell r="E1869" t="str">
            <v>ITEM</v>
          </cell>
        </row>
        <row r="1870">
          <cell r="D1870" t="str">
            <v>HIH6</v>
          </cell>
          <cell r="E1870" t="str">
            <v>Hierro Figurado Nª 6</v>
          </cell>
          <cell r="G1870" t="str">
            <v>UN.</v>
          </cell>
          <cell r="H1870" t="str">
            <v>Kg</v>
          </cell>
          <cell r="I1870">
            <v>2198.5</v>
          </cell>
          <cell r="K1870">
            <v>0</v>
          </cell>
          <cell r="L1870">
            <v>0</v>
          </cell>
          <cell r="N1870">
            <v>2198.5</v>
          </cell>
          <cell r="O1870">
            <v>0</v>
          </cell>
          <cell r="P1870">
            <v>0</v>
          </cell>
          <cell r="Q1870">
            <v>0</v>
          </cell>
          <cell r="X1870">
            <v>0</v>
          </cell>
          <cell r="Z1870" t="e">
            <v>#VALUE!</v>
          </cell>
          <cell r="AA1870" t="e">
            <v>#VALUE!</v>
          </cell>
          <cell r="AB1870">
            <v>0</v>
          </cell>
          <cell r="AC1870">
            <v>0</v>
          </cell>
        </row>
        <row r="1872">
          <cell r="D1872" t="str">
            <v>CODIGO</v>
          </cell>
          <cell r="E1872" t="str">
            <v>DESCRIPCION</v>
          </cell>
          <cell r="F1872" t="str">
            <v>UN</v>
          </cell>
          <cell r="G1872" t="str">
            <v>CANT</v>
          </cell>
          <cell r="H1872" t="str">
            <v>V/UNIT.</v>
          </cell>
          <cell r="I1872" t="str">
            <v>V/TOTAL</v>
          </cell>
          <cell r="K1872" t="str">
            <v>CANT TOTAL</v>
          </cell>
          <cell r="L1872" t="str">
            <v>Vr TOTAL</v>
          </cell>
          <cell r="Y1872" t="str">
            <v>CANT.</v>
          </cell>
          <cell r="Z1872" t="str">
            <v>V/TOTAL</v>
          </cell>
        </row>
        <row r="1873">
          <cell r="E1873" t="str">
            <v>MATERIALES</v>
          </cell>
          <cell r="I1873">
            <v>2198.5</v>
          </cell>
          <cell r="L1873">
            <v>0</v>
          </cell>
          <cell r="Z1873" t="e">
            <v>#VALUE!</v>
          </cell>
        </row>
        <row r="1874">
          <cell r="D1874" t="str">
            <v>MA01H6</v>
          </cell>
          <cell r="E1874" t="str">
            <v>Acero PDR60 N. 6</v>
          </cell>
          <cell r="F1874" t="str">
            <v>Kg</v>
          </cell>
          <cell r="G1874">
            <v>1</v>
          </cell>
          <cell r="H1874">
            <v>2150</v>
          </cell>
          <cell r="I1874">
            <v>2150</v>
          </cell>
          <cell r="J1874">
            <v>0</v>
          </cell>
          <cell r="K1874">
            <v>0</v>
          </cell>
          <cell r="L1874">
            <v>0</v>
          </cell>
          <cell r="Y1874" t="e">
            <v>#VALUE!</v>
          </cell>
          <cell r="Z1874" t="e">
            <v>#VALUE!</v>
          </cell>
        </row>
        <row r="1875">
          <cell r="D1875" t="str">
            <v>MA01AN18</v>
          </cell>
          <cell r="E1875" t="str">
            <v>Alambre Negro</v>
          </cell>
          <cell r="F1875" t="str">
            <v>Kg</v>
          </cell>
          <cell r="G1875">
            <v>2.5000000000000001E-2</v>
          </cell>
          <cell r="H1875">
            <v>1940</v>
          </cell>
          <cell r="I1875">
            <v>48.5</v>
          </cell>
          <cell r="J1875">
            <v>0</v>
          </cell>
          <cell r="K1875">
            <v>0</v>
          </cell>
          <cell r="L1875">
            <v>0</v>
          </cell>
          <cell r="Y1875" t="e">
            <v>#VALUE!</v>
          </cell>
          <cell r="Z1875" t="e">
            <v>#VALUE!</v>
          </cell>
        </row>
        <row r="1877">
          <cell r="E1877" t="str">
            <v>MANO DE OBRA</v>
          </cell>
          <cell r="I1877">
            <v>0</v>
          </cell>
          <cell r="L1877">
            <v>0</v>
          </cell>
          <cell r="Z1877">
            <v>0</v>
          </cell>
        </row>
        <row r="1879">
          <cell r="E1879" t="str">
            <v>VARIOS</v>
          </cell>
          <cell r="I1879">
            <v>0</v>
          </cell>
          <cell r="L1879">
            <v>0</v>
          </cell>
          <cell r="Z1879">
            <v>0</v>
          </cell>
        </row>
        <row r="1881">
          <cell r="E1881" t="str">
            <v>SUBTOTAL</v>
          </cell>
          <cell r="I1881">
            <v>2198.5</v>
          </cell>
          <cell r="L1881">
            <v>0</v>
          </cell>
          <cell r="Z1881" t="e">
            <v>#VALUE!</v>
          </cell>
        </row>
        <row r="1882">
          <cell r="E1882" t="str">
            <v>A.I.U</v>
          </cell>
          <cell r="I1882">
            <v>0</v>
          </cell>
          <cell r="L1882">
            <v>0</v>
          </cell>
          <cell r="Z1882">
            <v>0</v>
          </cell>
        </row>
        <row r="1883">
          <cell r="D1883" t="str">
            <v>AIUAADMON</v>
          </cell>
          <cell r="E1883" t="str">
            <v>Admon</v>
          </cell>
          <cell r="F1883">
            <v>0</v>
          </cell>
          <cell r="I1883">
            <v>0</v>
          </cell>
          <cell r="J1883">
            <v>0</v>
          </cell>
          <cell r="L1883">
            <v>0</v>
          </cell>
          <cell r="Z1883">
            <v>0</v>
          </cell>
        </row>
        <row r="1884">
          <cell r="D1884" t="str">
            <v>AIUAIMPRE</v>
          </cell>
          <cell r="E1884" t="str">
            <v>Imprevistos</v>
          </cell>
          <cell r="F1884">
            <v>0</v>
          </cell>
          <cell r="I1884">
            <v>0</v>
          </cell>
          <cell r="J1884">
            <v>0</v>
          </cell>
          <cell r="L1884">
            <v>0</v>
          </cell>
          <cell r="Z1884">
            <v>0</v>
          </cell>
        </row>
        <row r="1885">
          <cell r="D1885" t="str">
            <v>AIUAUTILI</v>
          </cell>
          <cell r="E1885" t="str">
            <v>Utilidad</v>
          </cell>
          <cell r="F1885">
            <v>0</v>
          </cell>
          <cell r="I1885">
            <v>0</v>
          </cell>
          <cell r="J1885">
            <v>0</v>
          </cell>
          <cell r="L1885">
            <v>0</v>
          </cell>
          <cell r="Z1885">
            <v>0</v>
          </cell>
        </row>
        <row r="1886">
          <cell r="D1886" t="str">
            <v>AIUAIVAUTI</v>
          </cell>
          <cell r="E1886" t="str">
            <v>IVA utilidad</v>
          </cell>
          <cell r="F1886">
            <v>0</v>
          </cell>
          <cell r="I1886">
            <v>0</v>
          </cell>
          <cell r="J1886">
            <v>0</v>
          </cell>
          <cell r="L1886">
            <v>0</v>
          </cell>
          <cell r="Z1886">
            <v>0</v>
          </cell>
        </row>
        <row r="1888">
          <cell r="E1888" t="str">
            <v>ITEM</v>
          </cell>
        </row>
        <row r="1889">
          <cell r="D1889" t="str">
            <v>HIH7</v>
          </cell>
          <cell r="E1889" t="str">
            <v>Hierro Figurado Nª 7</v>
          </cell>
          <cell r="G1889" t="str">
            <v>UN.</v>
          </cell>
          <cell r="H1889" t="str">
            <v>Kg</v>
          </cell>
          <cell r="I1889">
            <v>2198.5</v>
          </cell>
          <cell r="K1889">
            <v>0</v>
          </cell>
          <cell r="L1889">
            <v>0</v>
          </cell>
          <cell r="N1889">
            <v>2198.5</v>
          </cell>
          <cell r="O1889">
            <v>0</v>
          </cell>
          <cell r="P1889">
            <v>0</v>
          </cell>
          <cell r="Q1889">
            <v>0</v>
          </cell>
          <cell r="X1889">
            <v>0</v>
          </cell>
          <cell r="Z1889" t="e">
            <v>#VALUE!</v>
          </cell>
          <cell r="AA1889" t="e">
            <v>#VALUE!</v>
          </cell>
          <cell r="AB1889">
            <v>0</v>
          </cell>
          <cell r="AC1889">
            <v>0</v>
          </cell>
        </row>
        <row r="1891">
          <cell r="D1891" t="str">
            <v>CODIGO</v>
          </cell>
          <cell r="E1891" t="str">
            <v>DESCRIPCION</v>
          </cell>
          <cell r="F1891" t="str">
            <v>UN</v>
          </cell>
          <cell r="G1891" t="str">
            <v>CANT</v>
          </cell>
          <cell r="H1891" t="str">
            <v>V/UNIT.</v>
          </cell>
          <cell r="I1891" t="str">
            <v>V/TOTAL</v>
          </cell>
          <cell r="K1891" t="str">
            <v>CANT TOTAL</v>
          </cell>
          <cell r="L1891" t="str">
            <v>Vr TOTAL</v>
          </cell>
          <cell r="Y1891" t="str">
            <v>CANT.</v>
          </cell>
          <cell r="Z1891" t="str">
            <v>V/TOTAL</v>
          </cell>
        </row>
        <row r="1892">
          <cell r="E1892" t="str">
            <v>MATERIALES</v>
          </cell>
          <cell r="I1892">
            <v>2198.5</v>
          </cell>
          <cell r="L1892">
            <v>0</v>
          </cell>
          <cell r="Z1892" t="e">
            <v>#VALUE!</v>
          </cell>
        </row>
        <row r="1893">
          <cell r="D1893" t="str">
            <v>MA01H7</v>
          </cell>
          <cell r="E1893" t="str">
            <v>Acero PDR60 N. 7</v>
          </cell>
          <cell r="F1893" t="str">
            <v>Kg</v>
          </cell>
          <cell r="G1893">
            <v>1</v>
          </cell>
          <cell r="H1893">
            <v>2150</v>
          </cell>
          <cell r="I1893">
            <v>2150</v>
          </cell>
          <cell r="J1893">
            <v>0</v>
          </cell>
          <cell r="K1893">
            <v>0</v>
          </cell>
          <cell r="L1893">
            <v>0</v>
          </cell>
          <cell r="Y1893" t="e">
            <v>#VALUE!</v>
          </cell>
          <cell r="Z1893" t="e">
            <v>#VALUE!</v>
          </cell>
        </row>
        <row r="1894">
          <cell r="D1894" t="str">
            <v>MA01AN18</v>
          </cell>
          <cell r="E1894" t="str">
            <v>Alambre Negro</v>
          </cell>
          <cell r="F1894" t="str">
            <v>Kg</v>
          </cell>
          <cell r="G1894">
            <v>2.5000000000000001E-2</v>
          </cell>
          <cell r="H1894">
            <v>1940</v>
          </cell>
          <cell r="I1894">
            <v>48.5</v>
          </cell>
          <cell r="J1894">
            <v>0</v>
          </cell>
          <cell r="K1894">
            <v>0</v>
          </cell>
          <cell r="L1894">
            <v>0</v>
          </cell>
          <cell r="Y1894" t="e">
            <v>#VALUE!</v>
          </cell>
          <cell r="Z1894" t="e">
            <v>#VALUE!</v>
          </cell>
        </row>
        <row r="1896">
          <cell r="E1896" t="str">
            <v>MANO DE OBRA</v>
          </cell>
          <cell r="I1896">
            <v>0</v>
          </cell>
          <cell r="L1896">
            <v>0</v>
          </cell>
          <cell r="Z1896">
            <v>0</v>
          </cell>
        </row>
        <row r="1898">
          <cell r="E1898" t="str">
            <v>VARIOS</v>
          </cell>
          <cell r="I1898">
            <v>0</v>
          </cell>
          <cell r="L1898">
            <v>0</v>
          </cell>
          <cell r="Z1898">
            <v>0</v>
          </cell>
        </row>
        <row r="1900">
          <cell r="E1900" t="str">
            <v>SUBTOTAL</v>
          </cell>
          <cell r="I1900">
            <v>2198.5</v>
          </cell>
          <cell r="L1900">
            <v>0</v>
          </cell>
          <cell r="Z1900" t="e">
            <v>#VALUE!</v>
          </cell>
        </row>
        <row r="1901">
          <cell r="E1901" t="str">
            <v>A.I.U</v>
          </cell>
          <cell r="I1901">
            <v>0</v>
          </cell>
          <cell r="L1901">
            <v>0</v>
          </cell>
          <cell r="Z1901">
            <v>0</v>
          </cell>
        </row>
        <row r="1902">
          <cell r="D1902" t="str">
            <v>AIUAADMON</v>
          </cell>
          <cell r="E1902" t="str">
            <v>Admon</v>
          </cell>
          <cell r="F1902">
            <v>0</v>
          </cell>
          <cell r="I1902">
            <v>0</v>
          </cell>
          <cell r="J1902">
            <v>0</v>
          </cell>
          <cell r="L1902">
            <v>0</v>
          </cell>
          <cell r="Z1902">
            <v>0</v>
          </cell>
        </row>
        <row r="1903">
          <cell r="D1903" t="str">
            <v>AIUAIMPRE</v>
          </cell>
          <cell r="E1903" t="str">
            <v>Imprevistos</v>
          </cell>
          <cell r="F1903">
            <v>0</v>
          </cell>
          <cell r="I1903">
            <v>0</v>
          </cell>
          <cell r="J1903">
            <v>0</v>
          </cell>
          <cell r="L1903">
            <v>0</v>
          </cell>
          <cell r="Z1903">
            <v>0</v>
          </cell>
        </row>
        <row r="1904">
          <cell r="D1904" t="str">
            <v>AIUAUTILI</v>
          </cell>
          <cell r="E1904" t="str">
            <v>Utilidad</v>
          </cell>
          <cell r="F1904">
            <v>0</v>
          </cell>
          <cell r="I1904">
            <v>0</v>
          </cell>
          <cell r="J1904">
            <v>0</v>
          </cell>
          <cell r="L1904">
            <v>0</v>
          </cell>
          <cell r="Z1904">
            <v>0</v>
          </cell>
        </row>
        <row r="1905">
          <cell r="D1905" t="str">
            <v>AIUAIVAUTI</v>
          </cell>
          <cell r="E1905" t="str">
            <v>IVA utilidad</v>
          </cell>
          <cell r="F1905">
            <v>0</v>
          </cell>
          <cell r="I1905">
            <v>0</v>
          </cell>
          <cell r="J1905">
            <v>0</v>
          </cell>
          <cell r="L1905">
            <v>0</v>
          </cell>
          <cell r="Z1905">
            <v>0</v>
          </cell>
        </row>
        <row r="1907">
          <cell r="E1907" t="str">
            <v>ITEM</v>
          </cell>
        </row>
        <row r="1908">
          <cell r="D1908" t="str">
            <v>HIH8</v>
          </cell>
          <cell r="E1908" t="str">
            <v>Hierro Figurado Nª 8</v>
          </cell>
          <cell r="G1908" t="str">
            <v>UN.</v>
          </cell>
          <cell r="H1908" t="str">
            <v>Kg</v>
          </cell>
          <cell r="I1908">
            <v>2198.5</v>
          </cell>
          <cell r="K1908">
            <v>0</v>
          </cell>
          <cell r="L1908">
            <v>0</v>
          </cell>
          <cell r="N1908">
            <v>2198.5</v>
          </cell>
          <cell r="O1908">
            <v>0</v>
          </cell>
          <cell r="P1908">
            <v>0</v>
          </cell>
          <cell r="Q1908">
            <v>0</v>
          </cell>
          <cell r="X1908">
            <v>0</v>
          </cell>
          <cell r="Z1908" t="e">
            <v>#VALUE!</v>
          </cell>
          <cell r="AA1908" t="e">
            <v>#VALUE!</v>
          </cell>
          <cell r="AB1908">
            <v>0</v>
          </cell>
          <cell r="AC1908">
            <v>0</v>
          </cell>
        </row>
        <row r="1910">
          <cell r="D1910" t="str">
            <v>CODIGO</v>
          </cell>
          <cell r="E1910" t="str">
            <v>DESCRIPCION</v>
          </cell>
          <cell r="F1910" t="str">
            <v>UN</v>
          </cell>
          <cell r="G1910" t="str">
            <v>CANT</v>
          </cell>
          <cell r="H1910" t="str">
            <v>V/UNIT.</v>
          </cell>
          <cell r="I1910" t="str">
            <v>V/TOTAL</v>
          </cell>
          <cell r="K1910" t="str">
            <v>CANT TOTAL</v>
          </cell>
          <cell r="L1910" t="str">
            <v>Vr TOTAL</v>
          </cell>
          <cell r="Y1910" t="str">
            <v>CANT.</v>
          </cell>
          <cell r="Z1910" t="str">
            <v>V/TOTAL</v>
          </cell>
        </row>
        <row r="1911">
          <cell r="E1911" t="str">
            <v>MATERIALES</v>
          </cell>
          <cell r="I1911">
            <v>2198.5</v>
          </cell>
          <cell r="L1911">
            <v>0</v>
          </cell>
          <cell r="Z1911" t="e">
            <v>#VALUE!</v>
          </cell>
        </row>
        <row r="1912">
          <cell r="D1912" t="str">
            <v>MA01H8</v>
          </cell>
          <cell r="E1912" t="str">
            <v>Acero PDR60 N. 8</v>
          </cell>
          <cell r="F1912" t="str">
            <v>Kg</v>
          </cell>
          <cell r="G1912">
            <v>1</v>
          </cell>
          <cell r="H1912">
            <v>2150</v>
          </cell>
          <cell r="I1912">
            <v>2150</v>
          </cell>
          <cell r="J1912">
            <v>0</v>
          </cell>
          <cell r="K1912">
            <v>0</v>
          </cell>
          <cell r="L1912">
            <v>0</v>
          </cell>
          <cell r="Y1912" t="e">
            <v>#VALUE!</v>
          </cell>
          <cell r="Z1912" t="e">
            <v>#VALUE!</v>
          </cell>
        </row>
        <row r="1913">
          <cell r="D1913" t="str">
            <v>MA01AN18</v>
          </cell>
          <cell r="E1913" t="str">
            <v>Alambre Negro</v>
          </cell>
          <cell r="F1913" t="str">
            <v>Kg</v>
          </cell>
          <cell r="G1913">
            <v>2.5000000000000001E-2</v>
          </cell>
          <cell r="H1913">
            <v>1940</v>
          </cell>
          <cell r="I1913">
            <v>48.5</v>
          </cell>
          <cell r="J1913">
            <v>0</v>
          </cell>
          <cell r="K1913">
            <v>0</v>
          </cell>
          <cell r="L1913">
            <v>0</v>
          </cell>
          <cell r="Y1913" t="e">
            <v>#VALUE!</v>
          </cell>
          <cell r="Z1913" t="e">
            <v>#VALUE!</v>
          </cell>
        </row>
        <row r="1915">
          <cell r="E1915" t="str">
            <v>MANO DE OBRA</v>
          </cell>
          <cell r="I1915">
            <v>0</v>
          </cell>
          <cell r="L1915">
            <v>0</v>
          </cell>
          <cell r="Z1915">
            <v>0</v>
          </cell>
        </row>
        <row r="1917">
          <cell r="E1917" t="str">
            <v>VARIOS</v>
          </cell>
          <cell r="I1917">
            <v>0</v>
          </cell>
          <cell r="L1917">
            <v>0</v>
          </cell>
          <cell r="Z1917">
            <v>0</v>
          </cell>
        </row>
        <row r="1919">
          <cell r="E1919" t="str">
            <v>SUBTOTAL</v>
          </cell>
          <cell r="I1919">
            <v>2198.5</v>
          </cell>
          <cell r="L1919">
            <v>0</v>
          </cell>
          <cell r="Z1919" t="e">
            <v>#VALUE!</v>
          </cell>
        </row>
        <row r="1920">
          <cell r="E1920" t="str">
            <v>A.I.U</v>
          </cell>
          <cell r="I1920">
            <v>0</v>
          </cell>
          <cell r="L1920">
            <v>0</v>
          </cell>
          <cell r="Z1920">
            <v>0</v>
          </cell>
        </row>
        <row r="1921">
          <cell r="D1921" t="str">
            <v>AIUAADMON</v>
          </cell>
          <cell r="E1921" t="str">
            <v>Admon</v>
          </cell>
          <cell r="F1921">
            <v>0</v>
          </cell>
          <cell r="I1921">
            <v>0</v>
          </cell>
          <cell r="J1921">
            <v>0</v>
          </cell>
          <cell r="L1921">
            <v>0</v>
          </cell>
          <cell r="Z1921">
            <v>0</v>
          </cell>
        </row>
        <row r="1922">
          <cell r="D1922" t="str">
            <v>AIUAIMPRE</v>
          </cell>
          <cell r="E1922" t="str">
            <v>Imprevistos</v>
          </cell>
          <cell r="F1922">
            <v>0</v>
          </cell>
          <cell r="I1922">
            <v>0</v>
          </cell>
          <cell r="J1922">
            <v>0</v>
          </cell>
          <cell r="L1922">
            <v>0</v>
          </cell>
          <cell r="Z1922">
            <v>0</v>
          </cell>
        </row>
        <row r="1923">
          <cell r="D1923" t="str">
            <v>AIUAUTILI</v>
          </cell>
          <cell r="E1923" t="str">
            <v>Utilidad</v>
          </cell>
          <cell r="F1923">
            <v>0</v>
          </cell>
          <cell r="I1923">
            <v>0</v>
          </cell>
          <cell r="J1923">
            <v>0</v>
          </cell>
          <cell r="L1923">
            <v>0</v>
          </cell>
          <cell r="Z1923">
            <v>0</v>
          </cell>
        </row>
        <row r="1924">
          <cell r="D1924" t="str">
            <v>AIUAIVAUTI</v>
          </cell>
          <cell r="E1924" t="str">
            <v>IVA utilidad</v>
          </cell>
          <cell r="F1924">
            <v>0</v>
          </cell>
          <cell r="I1924">
            <v>0</v>
          </cell>
          <cell r="J1924">
            <v>0</v>
          </cell>
          <cell r="L1924">
            <v>0</v>
          </cell>
          <cell r="Z1924">
            <v>0</v>
          </cell>
        </row>
        <row r="1926">
          <cell r="E1926" t="str">
            <v>ITEM</v>
          </cell>
        </row>
        <row r="1927">
          <cell r="D1927" t="str">
            <v>HIA2</v>
          </cell>
          <cell r="E1927" t="str">
            <v>Acero A-37 Nª 2 Chipa</v>
          </cell>
          <cell r="G1927" t="str">
            <v>UN.</v>
          </cell>
          <cell r="H1927" t="str">
            <v>Kg</v>
          </cell>
          <cell r="I1927">
            <v>1404</v>
          </cell>
          <cell r="K1927">
            <v>0</v>
          </cell>
          <cell r="L1927">
            <v>0</v>
          </cell>
          <cell r="N1927">
            <v>1404</v>
          </cell>
          <cell r="O1927">
            <v>0</v>
          </cell>
          <cell r="P1927">
            <v>0</v>
          </cell>
          <cell r="Q1927">
            <v>0</v>
          </cell>
          <cell r="X1927">
            <v>0</v>
          </cell>
          <cell r="Z1927" t="e">
            <v>#VALUE!</v>
          </cell>
          <cell r="AA1927" t="e">
            <v>#VALUE!</v>
          </cell>
          <cell r="AB1927">
            <v>0</v>
          </cell>
          <cell r="AC1927">
            <v>0</v>
          </cell>
        </row>
        <row r="1928">
          <cell r="I1928">
            <v>28080</v>
          </cell>
        </row>
        <row r="1929">
          <cell r="D1929" t="str">
            <v>CODIGO</v>
          </cell>
          <cell r="E1929" t="str">
            <v>DESCRIPCION</v>
          </cell>
          <cell r="F1929" t="str">
            <v>UN</v>
          </cell>
          <cell r="G1929" t="str">
            <v>CANT</v>
          </cell>
          <cell r="H1929" t="str">
            <v>V/UNIT.</v>
          </cell>
          <cell r="I1929" t="str">
            <v>V/TOTAL</v>
          </cell>
          <cell r="K1929" t="str">
            <v>CANT TOTAL</v>
          </cell>
          <cell r="L1929" t="str">
            <v>Vr TOTAL</v>
          </cell>
          <cell r="Y1929" t="str">
            <v>CANT.</v>
          </cell>
          <cell r="Z1929" t="str">
            <v>V/TOTAL</v>
          </cell>
        </row>
        <row r="1930">
          <cell r="E1930" t="str">
            <v>MATERIALES</v>
          </cell>
          <cell r="I1930">
            <v>1404</v>
          </cell>
          <cell r="L1930">
            <v>0</v>
          </cell>
          <cell r="Z1930" t="e">
            <v>#VALUE!</v>
          </cell>
        </row>
        <row r="1931">
          <cell r="D1931" t="str">
            <v>MA01A2</v>
          </cell>
          <cell r="E1931" t="str">
            <v>Acero A-2</v>
          </cell>
          <cell r="F1931" t="str">
            <v>Kg</v>
          </cell>
          <cell r="G1931">
            <v>1</v>
          </cell>
          <cell r="H1931">
            <v>1404</v>
          </cell>
          <cell r="I1931">
            <v>1404</v>
          </cell>
          <cell r="J1931">
            <v>0</v>
          </cell>
          <cell r="K1931">
            <v>0</v>
          </cell>
          <cell r="L1931">
            <v>0</v>
          </cell>
          <cell r="Y1931" t="e">
            <v>#VALUE!</v>
          </cell>
          <cell r="Z1931" t="e">
            <v>#VALUE!</v>
          </cell>
        </row>
        <row r="1934">
          <cell r="E1934" t="str">
            <v>MANO DE OBRA</v>
          </cell>
          <cell r="I1934">
            <v>0</v>
          </cell>
          <cell r="L1934">
            <v>0</v>
          </cell>
          <cell r="Z1934">
            <v>0</v>
          </cell>
        </row>
        <row r="1936">
          <cell r="E1936" t="str">
            <v>VARIOS</v>
          </cell>
          <cell r="I1936">
            <v>0</v>
          </cell>
          <cell r="L1936">
            <v>0</v>
          </cell>
          <cell r="Z1936">
            <v>0</v>
          </cell>
        </row>
        <row r="1938">
          <cell r="E1938" t="str">
            <v>SUBTOTAL</v>
          </cell>
          <cell r="I1938">
            <v>1404</v>
          </cell>
          <cell r="L1938">
            <v>0</v>
          </cell>
          <cell r="Z1938" t="e">
            <v>#VALUE!</v>
          </cell>
        </row>
        <row r="1939">
          <cell r="E1939" t="str">
            <v>A.I.U</v>
          </cell>
          <cell r="I1939">
            <v>0</v>
          </cell>
          <cell r="L1939">
            <v>0</v>
          </cell>
          <cell r="Z1939">
            <v>0</v>
          </cell>
        </row>
        <row r="1940">
          <cell r="D1940" t="str">
            <v>AIUAADMON</v>
          </cell>
          <cell r="E1940" t="str">
            <v>Admon</v>
          </cell>
          <cell r="F1940">
            <v>0</v>
          </cell>
          <cell r="I1940">
            <v>0</v>
          </cell>
          <cell r="J1940">
            <v>0</v>
          </cell>
          <cell r="L1940">
            <v>0</v>
          </cell>
          <cell r="Z1940">
            <v>0</v>
          </cell>
        </row>
        <row r="1941">
          <cell r="D1941" t="str">
            <v>AIUAIMPRE</v>
          </cell>
          <cell r="E1941" t="str">
            <v>Imprevistos</v>
          </cell>
          <cell r="F1941">
            <v>0</v>
          </cell>
          <cell r="I1941">
            <v>0</v>
          </cell>
          <cell r="J1941">
            <v>0</v>
          </cell>
          <cell r="L1941">
            <v>0</v>
          </cell>
          <cell r="Z1941">
            <v>0</v>
          </cell>
        </row>
        <row r="1942">
          <cell r="D1942" t="str">
            <v>AIUAUTILI</v>
          </cell>
          <cell r="E1942" t="str">
            <v>Utilidad</v>
          </cell>
          <cell r="F1942">
            <v>0</v>
          </cell>
          <cell r="I1942">
            <v>0</v>
          </cell>
          <cell r="J1942">
            <v>0</v>
          </cell>
          <cell r="L1942">
            <v>0</v>
          </cell>
          <cell r="Z1942">
            <v>0</v>
          </cell>
        </row>
        <row r="1943">
          <cell r="D1943" t="str">
            <v>AIUAIVAUTI</v>
          </cell>
          <cell r="E1943" t="str">
            <v>IVA utilidad</v>
          </cell>
          <cell r="F1943">
            <v>0</v>
          </cell>
          <cell r="I1943">
            <v>0</v>
          </cell>
          <cell r="J1943">
            <v>0</v>
          </cell>
          <cell r="L1943">
            <v>0</v>
          </cell>
          <cell r="Z1943">
            <v>0</v>
          </cell>
        </row>
        <row r="1945">
          <cell r="E1945" t="str">
            <v>ITEM</v>
          </cell>
        </row>
        <row r="1946">
          <cell r="D1946" t="str">
            <v>HIA3</v>
          </cell>
          <cell r="E1946" t="str">
            <v>Acero A-37 Nª 3 Chipa</v>
          </cell>
          <cell r="G1946" t="str">
            <v>UN.</v>
          </cell>
          <cell r="H1946" t="str">
            <v>Kg</v>
          </cell>
          <cell r="I1946">
            <v>1404</v>
          </cell>
          <cell r="K1946">
            <v>0</v>
          </cell>
          <cell r="L1946">
            <v>0</v>
          </cell>
          <cell r="N1946">
            <v>1404</v>
          </cell>
          <cell r="O1946">
            <v>0</v>
          </cell>
          <cell r="P1946">
            <v>0</v>
          </cell>
          <cell r="Q1946">
            <v>0</v>
          </cell>
          <cell r="X1946">
            <v>0</v>
          </cell>
          <cell r="Y1946" t="str">
            <v>Kg</v>
          </cell>
          <cell r="Z1946" t="e">
            <v>#VALUE!</v>
          </cell>
          <cell r="AA1946" t="e">
            <v>#VALUE!</v>
          </cell>
          <cell r="AB1946">
            <v>0</v>
          </cell>
          <cell r="AC1946">
            <v>0</v>
          </cell>
        </row>
        <row r="1948">
          <cell r="D1948" t="str">
            <v>CODIGO</v>
          </cell>
          <cell r="E1948" t="str">
            <v>DESCRIPCION</v>
          </cell>
          <cell r="F1948" t="str">
            <v>UN</v>
          </cell>
          <cell r="G1948" t="str">
            <v>CANT</v>
          </cell>
          <cell r="H1948" t="str">
            <v>V/UNIT.</v>
          </cell>
          <cell r="I1948" t="str">
            <v>V/TOTAL</v>
          </cell>
          <cell r="K1948" t="str">
            <v>CANT TOTAL</v>
          </cell>
          <cell r="L1948" t="str">
            <v>Vr TOTAL</v>
          </cell>
          <cell r="Y1948" t="str">
            <v>CANT.</v>
          </cell>
          <cell r="Z1948" t="str">
            <v>V/TOTAL</v>
          </cell>
        </row>
        <row r="1949">
          <cell r="E1949" t="str">
            <v>MATERIALES</v>
          </cell>
          <cell r="I1949">
            <v>1404</v>
          </cell>
          <cell r="L1949">
            <v>0</v>
          </cell>
          <cell r="Z1949" t="e">
            <v>#VALUE!</v>
          </cell>
        </row>
        <row r="1950">
          <cell r="D1950" t="str">
            <v>MA01A3</v>
          </cell>
          <cell r="E1950" t="str">
            <v>Acero A-3</v>
          </cell>
          <cell r="F1950" t="str">
            <v>Kg</v>
          </cell>
          <cell r="G1950">
            <v>1</v>
          </cell>
          <cell r="H1950">
            <v>1404</v>
          </cell>
          <cell r="I1950">
            <v>1404</v>
          </cell>
          <cell r="J1950">
            <v>0</v>
          </cell>
          <cell r="K1950">
            <v>0</v>
          </cell>
          <cell r="L1950">
            <v>0</v>
          </cell>
          <cell r="Y1950" t="e">
            <v>#VALUE!</v>
          </cell>
          <cell r="Z1950" t="e">
            <v>#VALUE!</v>
          </cell>
        </row>
        <row r="1953">
          <cell r="E1953" t="str">
            <v>MANO DE OBRA</v>
          </cell>
          <cell r="I1953">
            <v>0</v>
          </cell>
          <cell r="L1953">
            <v>0</v>
          </cell>
          <cell r="Z1953">
            <v>0</v>
          </cell>
        </row>
        <row r="1955">
          <cell r="E1955" t="str">
            <v>VARIOS</v>
          </cell>
          <cell r="I1955">
            <v>0</v>
          </cell>
          <cell r="L1955">
            <v>0</v>
          </cell>
          <cell r="Z1955">
            <v>0</v>
          </cell>
        </row>
        <row r="1957">
          <cell r="E1957" t="str">
            <v>SUBTOTAL</v>
          </cell>
          <cell r="I1957">
            <v>1404</v>
          </cell>
          <cell r="L1957">
            <v>0</v>
          </cell>
          <cell r="Z1957" t="e">
            <v>#VALUE!</v>
          </cell>
        </row>
        <row r="1958">
          <cell r="E1958" t="str">
            <v>A.I.U</v>
          </cell>
          <cell r="I1958">
            <v>0</v>
          </cell>
          <cell r="L1958">
            <v>0</v>
          </cell>
          <cell r="Z1958">
            <v>0</v>
          </cell>
        </row>
        <row r="1959">
          <cell r="D1959" t="str">
            <v>AIUAADMON</v>
          </cell>
          <cell r="E1959" t="str">
            <v>Admon</v>
          </cell>
          <cell r="F1959">
            <v>0</v>
          </cell>
          <cell r="I1959">
            <v>0</v>
          </cell>
          <cell r="J1959">
            <v>0</v>
          </cell>
          <cell r="L1959">
            <v>0</v>
          </cell>
          <cell r="Z1959">
            <v>0</v>
          </cell>
        </row>
        <row r="1960">
          <cell r="D1960" t="str">
            <v>AIUAIMPRE</v>
          </cell>
          <cell r="E1960" t="str">
            <v>Imprevistos</v>
          </cell>
          <cell r="F1960">
            <v>0</v>
          </cell>
          <cell r="I1960">
            <v>0</v>
          </cell>
          <cell r="J1960">
            <v>0</v>
          </cell>
          <cell r="L1960">
            <v>0</v>
          </cell>
          <cell r="Z1960">
            <v>0</v>
          </cell>
        </row>
        <row r="1961">
          <cell r="D1961" t="str">
            <v>AIUAUTILI</v>
          </cell>
          <cell r="E1961" t="str">
            <v>Utilidad</v>
          </cell>
          <cell r="F1961">
            <v>0</v>
          </cell>
          <cell r="I1961">
            <v>0</v>
          </cell>
          <cell r="J1961">
            <v>0</v>
          </cell>
          <cell r="L1961">
            <v>0</v>
          </cell>
          <cell r="Z1961">
            <v>0</v>
          </cell>
        </row>
        <row r="1962">
          <cell r="D1962" t="str">
            <v>AIUAIVAUTI</v>
          </cell>
          <cell r="E1962" t="str">
            <v>IVA utilidad</v>
          </cell>
          <cell r="F1962">
            <v>0</v>
          </cell>
          <cell r="I1962">
            <v>0</v>
          </cell>
          <cell r="J1962">
            <v>0</v>
          </cell>
          <cell r="L1962">
            <v>0</v>
          </cell>
          <cell r="Z1962">
            <v>0</v>
          </cell>
        </row>
        <row r="1964">
          <cell r="E1964" t="str">
            <v>ITEM</v>
          </cell>
        </row>
        <row r="1965">
          <cell r="D1965" t="str">
            <v>COIMPA14</v>
          </cell>
          <cell r="E1965" t="str">
            <v xml:space="preserve">Instalacion Comcreto Baja Resistencia 7-17,5 Mpa </v>
          </cell>
          <cell r="G1965" t="str">
            <v>UN.</v>
          </cell>
          <cell r="H1965" t="str">
            <v>M3</v>
          </cell>
          <cell r="I1965">
            <v>261150</v>
          </cell>
          <cell r="K1965">
            <v>2</v>
          </cell>
          <cell r="L1965">
            <v>522300</v>
          </cell>
          <cell r="N1965">
            <v>0</v>
          </cell>
          <cell r="O1965">
            <v>250000</v>
          </cell>
          <cell r="P1965">
            <v>11150</v>
          </cell>
          <cell r="Q1965">
            <v>0</v>
          </cell>
          <cell r="X1965">
            <v>522300</v>
          </cell>
          <cell r="Y1965" t="str">
            <v>M3</v>
          </cell>
          <cell r="Z1965" t="e">
            <v>#N/A</v>
          </cell>
          <cell r="AA1965">
            <v>0</v>
          </cell>
          <cell r="AB1965" t="e">
            <v>#N/A</v>
          </cell>
          <cell r="AC1965" t="e">
            <v>#N/A</v>
          </cell>
        </row>
        <row r="1967">
          <cell r="D1967" t="str">
            <v>CODIGO</v>
          </cell>
          <cell r="E1967" t="str">
            <v>DESCRIPCION</v>
          </cell>
          <cell r="F1967" t="str">
            <v>UN</v>
          </cell>
          <cell r="G1967" t="str">
            <v>CANT</v>
          </cell>
          <cell r="H1967" t="str">
            <v>V/UNIT.</v>
          </cell>
          <cell r="I1967" t="str">
            <v>V/TOTAL</v>
          </cell>
          <cell r="K1967" t="str">
            <v>CANT TOTAL</v>
          </cell>
          <cell r="L1967" t="str">
            <v>Vr TOTAL</v>
          </cell>
          <cell r="Y1967" t="str">
            <v>CANT.</v>
          </cell>
          <cell r="Z1967" t="str">
            <v>V/TOTAL</v>
          </cell>
        </row>
        <row r="1968">
          <cell r="E1968" t="str">
            <v>MATERIALES</v>
          </cell>
          <cell r="I1968">
            <v>0</v>
          </cell>
          <cell r="L1968">
            <v>0</v>
          </cell>
          <cell r="Z1968">
            <v>0</v>
          </cell>
        </row>
        <row r="1969">
          <cell r="I1969">
            <v>0</v>
          </cell>
          <cell r="J1969">
            <v>0</v>
          </cell>
          <cell r="K1969">
            <v>0</v>
          </cell>
          <cell r="L1969">
            <v>0</v>
          </cell>
          <cell r="Y1969">
            <v>0</v>
          </cell>
          <cell r="Z1969">
            <v>0</v>
          </cell>
        </row>
        <row r="1972">
          <cell r="E1972" t="str">
            <v>MANO DE OBRA</v>
          </cell>
          <cell r="I1972">
            <v>250000</v>
          </cell>
          <cell r="L1972">
            <v>500000</v>
          </cell>
          <cell r="Z1972" t="e">
            <v>#N/A</v>
          </cell>
        </row>
        <row r="1973">
          <cell r="D1973" t="str">
            <v>MOCOIMPA14</v>
          </cell>
          <cell r="E1973" t="str">
            <v>Instalacion Concretos Baja Resistencia</v>
          </cell>
          <cell r="F1973" t="str">
            <v>M3</v>
          </cell>
          <cell r="G1973">
            <v>1</v>
          </cell>
          <cell r="H1973">
            <v>250000</v>
          </cell>
          <cell r="I1973">
            <v>250000</v>
          </cell>
          <cell r="J1973">
            <v>0</v>
          </cell>
          <cell r="K1973">
            <v>2</v>
          </cell>
          <cell r="L1973">
            <v>500000</v>
          </cell>
          <cell r="Y1973" t="e">
            <v>#N/A</v>
          </cell>
          <cell r="Z1973" t="e">
            <v>#N/A</v>
          </cell>
        </row>
        <row r="1974">
          <cell r="E1974" t="str">
            <v>VARIOS</v>
          </cell>
          <cell r="I1974">
            <v>11150</v>
          </cell>
          <cell r="L1974">
            <v>22300</v>
          </cell>
          <cell r="Z1974" t="e">
            <v>#N/A</v>
          </cell>
        </row>
        <row r="1975">
          <cell r="D1975" t="str">
            <v>TC07H500</v>
          </cell>
          <cell r="E1975" t="str">
            <v>Herramienta y Varios</v>
          </cell>
          <cell r="F1975" t="str">
            <v>Gb</v>
          </cell>
          <cell r="G1975">
            <v>1</v>
          </cell>
          <cell r="H1975">
            <v>500</v>
          </cell>
          <cell r="I1975">
            <v>500</v>
          </cell>
          <cell r="J1975">
            <v>0</v>
          </cell>
          <cell r="K1975">
            <v>2</v>
          </cell>
          <cell r="L1975">
            <v>1000</v>
          </cell>
          <cell r="Y1975" t="e">
            <v>#N/A</v>
          </cell>
          <cell r="Z1975" t="e">
            <v>#N/A</v>
          </cell>
        </row>
        <row r="1976">
          <cell r="D1976" t="str">
            <v>AL07FTE</v>
          </cell>
          <cell r="E1976" t="str">
            <v>Formaleta Tipica Estructural</v>
          </cell>
          <cell r="F1976" t="str">
            <v>m2</v>
          </cell>
          <cell r="G1976">
            <v>1</v>
          </cell>
          <cell r="H1976">
            <v>4800</v>
          </cell>
          <cell r="I1976">
            <v>4800</v>
          </cell>
          <cell r="J1976">
            <v>0</v>
          </cell>
          <cell r="K1976">
            <v>2</v>
          </cell>
          <cell r="L1976">
            <v>9600</v>
          </cell>
          <cell r="Y1976" t="e">
            <v>#N/A</v>
          </cell>
          <cell r="Z1976" t="e">
            <v>#N/A</v>
          </cell>
        </row>
        <row r="1977">
          <cell r="D1977" t="str">
            <v>AL07VCG</v>
          </cell>
          <cell r="E1977" t="str">
            <v>Vibrador para concretos a Gasolina</v>
          </cell>
          <cell r="F1977" t="str">
            <v>Hr</v>
          </cell>
          <cell r="G1977">
            <v>0.13</v>
          </cell>
          <cell r="H1977">
            <v>45000</v>
          </cell>
          <cell r="I1977">
            <v>5850</v>
          </cell>
          <cell r="J1977">
            <v>0</v>
          </cell>
          <cell r="K1977">
            <v>0.26</v>
          </cell>
          <cell r="L1977">
            <v>11700</v>
          </cell>
          <cell r="Y1977" t="e">
            <v>#N/A</v>
          </cell>
          <cell r="Z1977" t="e">
            <v>#N/A</v>
          </cell>
        </row>
        <row r="1978">
          <cell r="E1978" t="str">
            <v>SUBTOTAL</v>
          </cell>
          <cell r="I1978">
            <v>261150</v>
          </cell>
          <cell r="L1978">
            <v>522300</v>
          </cell>
          <cell r="Z1978" t="e">
            <v>#N/A</v>
          </cell>
        </row>
        <row r="1979">
          <cell r="E1979" t="str">
            <v>A.I.U</v>
          </cell>
          <cell r="I1979">
            <v>0</v>
          </cell>
          <cell r="L1979">
            <v>0</v>
          </cell>
          <cell r="Z1979">
            <v>0</v>
          </cell>
        </row>
        <row r="1980">
          <cell r="D1980" t="str">
            <v>AIUAADMON</v>
          </cell>
          <cell r="E1980" t="str">
            <v>Admon</v>
          </cell>
          <cell r="F1980">
            <v>0</v>
          </cell>
          <cell r="I1980">
            <v>0</v>
          </cell>
          <cell r="J1980">
            <v>0</v>
          </cell>
          <cell r="L1980">
            <v>0</v>
          </cell>
          <cell r="Z1980">
            <v>0</v>
          </cell>
        </row>
        <row r="1981">
          <cell r="D1981" t="str">
            <v>AIUAIMPRE</v>
          </cell>
          <cell r="E1981" t="str">
            <v>Imprevistos</v>
          </cell>
          <cell r="F1981">
            <v>0</v>
          </cell>
          <cell r="I1981">
            <v>0</v>
          </cell>
          <cell r="J1981">
            <v>0</v>
          </cell>
          <cell r="L1981">
            <v>0</v>
          </cell>
          <cell r="Z1981">
            <v>0</v>
          </cell>
        </row>
        <row r="1982">
          <cell r="D1982" t="str">
            <v>AIUAUTILI</v>
          </cell>
          <cell r="E1982" t="str">
            <v>Utilidad</v>
          </cell>
          <cell r="F1982">
            <v>0</v>
          </cell>
          <cell r="I1982">
            <v>0</v>
          </cell>
          <cell r="J1982">
            <v>0</v>
          </cell>
          <cell r="L1982">
            <v>0</v>
          </cell>
          <cell r="Z1982">
            <v>0</v>
          </cell>
        </row>
        <row r="1983">
          <cell r="D1983" t="str">
            <v>AIUAIVAUTI</v>
          </cell>
          <cell r="E1983" t="str">
            <v>IVA utilidad</v>
          </cell>
          <cell r="F1983">
            <v>0</v>
          </cell>
          <cell r="I1983">
            <v>0</v>
          </cell>
          <cell r="J1983">
            <v>0</v>
          </cell>
          <cell r="L1983">
            <v>0</v>
          </cell>
          <cell r="Z1983">
            <v>0</v>
          </cell>
        </row>
        <row r="1985">
          <cell r="E1985" t="str">
            <v>ITEM</v>
          </cell>
        </row>
        <row r="1986">
          <cell r="D1986" t="str">
            <v>COMPA14</v>
          </cell>
          <cell r="E1986" t="str">
            <v>Comcreto resistencia 14.0 Mpa (140 Kg/cm2)</v>
          </cell>
          <cell r="G1986" t="str">
            <v>UN.</v>
          </cell>
          <cell r="H1986" t="str">
            <v>M3</v>
          </cell>
          <cell r="I1986">
            <v>187125</v>
          </cell>
          <cell r="K1986">
            <v>20</v>
          </cell>
          <cell r="L1986">
            <v>3742500</v>
          </cell>
          <cell r="N1986">
            <v>183525</v>
          </cell>
          <cell r="O1986">
            <v>0</v>
          </cell>
          <cell r="P1986">
            <v>3600</v>
          </cell>
          <cell r="Q1986">
            <v>0</v>
          </cell>
          <cell r="X1986">
            <v>3742500</v>
          </cell>
          <cell r="Y1986" t="str">
            <v>M3</v>
          </cell>
          <cell r="Z1986" t="e">
            <v>#N/A</v>
          </cell>
          <cell r="AA1986" t="e">
            <v>#N/A</v>
          </cell>
          <cell r="AB1986">
            <v>0</v>
          </cell>
          <cell r="AC1986" t="e">
            <v>#N/A</v>
          </cell>
        </row>
        <row r="1988">
          <cell r="D1988" t="str">
            <v>CODIGO</v>
          </cell>
          <cell r="E1988" t="str">
            <v>DESCRIPCION</v>
          </cell>
          <cell r="F1988" t="str">
            <v>UN</v>
          </cell>
          <cell r="G1988" t="str">
            <v>CANT</v>
          </cell>
          <cell r="H1988" t="str">
            <v>V/UNIT.</v>
          </cell>
          <cell r="I1988" t="str">
            <v>V/TOTAL</v>
          </cell>
          <cell r="K1988" t="str">
            <v>CANT TOTAL</v>
          </cell>
          <cell r="L1988" t="str">
            <v>Vr TOTAL</v>
          </cell>
          <cell r="Y1988" t="str">
            <v>CANT.</v>
          </cell>
          <cell r="Z1988" t="str">
            <v>V/TOTAL</v>
          </cell>
        </row>
        <row r="1989">
          <cell r="E1989" t="str">
            <v>MATERIALES</v>
          </cell>
          <cell r="I1989">
            <v>183525</v>
          </cell>
          <cell r="L1989">
            <v>3670500</v>
          </cell>
          <cell r="Z1989" t="e">
            <v>#N/A</v>
          </cell>
        </row>
        <row r="1990">
          <cell r="D1990" t="str">
            <v>MA04C2</v>
          </cell>
          <cell r="E1990" t="str">
            <v>Concreto 2000 psi</v>
          </cell>
          <cell r="F1990" t="str">
            <v>M3</v>
          </cell>
          <cell r="G1990">
            <v>1</v>
          </cell>
          <cell r="H1990">
            <v>183525</v>
          </cell>
          <cell r="I1990">
            <v>183525</v>
          </cell>
          <cell r="J1990">
            <v>0</v>
          </cell>
          <cell r="K1990">
            <v>20</v>
          </cell>
          <cell r="L1990">
            <v>3670500</v>
          </cell>
          <cell r="Y1990" t="e">
            <v>#N/A</v>
          </cell>
          <cell r="Z1990" t="e">
            <v>#N/A</v>
          </cell>
        </row>
        <row r="1993">
          <cell r="E1993" t="str">
            <v>MANO DE OBRA</v>
          </cell>
          <cell r="I1993">
            <v>0</v>
          </cell>
          <cell r="L1993">
            <v>0</v>
          </cell>
          <cell r="Z1993">
            <v>0</v>
          </cell>
        </row>
        <row r="1995">
          <cell r="E1995" t="str">
            <v>VARIOS</v>
          </cell>
          <cell r="I1995">
            <v>3600</v>
          </cell>
          <cell r="L1995">
            <v>72000</v>
          </cell>
          <cell r="Z1995" t="e">
            <v>#N/A</v>
          </cell>
        </row>
        <row r="1996">
          <cell r="D1996" t="str">
            <v>AL07VCG</v>
          </cell>
          <cell r="E1996" t="str">
            <v>Vibrador para concretos a Gasolina</v>
          </cell>
          <cell r="F1996" t="str">
            <v>Hr</v>
          </cell>
          <cell r="G1996">
            <v>0.08</v>
          </cell>
          <cell r="H1996">
            <v>45000</v>
          </cell>
          <cell r="I1996">
            <v>3600</v>
          </cell>
          <cell r="J1996">
            <v>0</v>
          </cell>
          <cell r="K1996">
            <v>1.6</v>
          </cell>
          <cell r="L1996">
            <v>72000</v>
          </cell>
          <cell r="Y1996" t="e">
            <v>#N/A</v>
          </cell>
          <cell r="Z1996" t="e">
            <v>#N/A</v>
          </cell>
        </row>
        <row r="1997">
          <cell r="E1997" t="str">
            <v>SUBTOTAL</v>
          </cell>
          <cell r="I1997">
            <v>187125</v>
          </cell>
          <cell r="L1997">
            <v>3742500</v>
          </cell>
          <cell r="Z1997" t="e">
            <v>#N/A</v>
          </cell>
        </row>
        <row r="1998">
          <cell r="E1998" t="str">
            <v>A.I.U</v>
          </cell>
          <cell r="I1998">
            <v>0</v>
          </cell>
          <cell r="L1998">
            <v>0</v>
          </cell>
          <cell r="Z1998">
            <v>0</v>
          </cell>
        </row>
        <row r="1999">
          <cell r="D1999" t="str">
            <v>AIUAADMON</v>
          </cell>
          <cell r="E1999" t="str">
            <v>Admon</v>
          </cell>
          <cell r="F1999">
            <v>0</v>
          </cell>
          <cell r="I1999">
            <v>0</v>
          </cell>
          <cell r="J1999">
            <v>0</v>
          </cell>
          <cell r="L1999">
            <v>0</v>
          </cell>
          <cell r="Z1999">
            <v>0</v>
          </cell>
        </row>
        <row r="2000">
          <cell r="D2000" t="str">
            <v>AIUAIMPRE</v>
          </cell>
          <cell r="E2000" t="str">
            <v>Imprevistos</v>
          </cell>
          <cell r="F2000">
            <v>0</v>
          </cell>
          <cell r="I2000">
            <v>0</v>
          </cell>
          <cell r="J2000">
            <v>0</v>
          </cell>
          <cell r="L2000">
            <v>0</v>
          </cell>
          <cell r="Z2000">
            <v>0</v>
          </cell>
        </row>
        <row r="2001">
          <cell r="D2001" t="str">
            <v>AIUAUTILI</v>
          </cell>
          <cell r="E2001" t="str">
            <v>Utilidad</v>
          </cell>
          <cell r="F2001">
            <v>0</v>
          </cell>
          <cell r="I2001">
            <v>0</v>
          </cell>
          <cell r="J2001">
            <v>0</v>
          </cell>
          <cell r="L2001">
            <v>0</v>
          </cell>
          <cell r="Z2001">
            <v>0</v>
          </cell>
        </row>
        <row r="2002">
          <cell r="D2002" t="str">
            <v>AIUAIVAUTI</v>
          </cell>
          <cell r="E2002" t="str">
            <v>IVA utilidad</v>
          </cell>
          <cell r="F2002">
            <v>0</v>
          </cell>
          <cell r="I2002">
            <v>0</v>
          </cell>
          <cell r="J2002">
            <v>0</v>
          </cell>
          <cell r="L2002">
            <v>0</v>
          </cell>
          <cell r="Z2002">
            <v>0</v>
          </cell>
        </row>
        <row r="2004">
          <cell r="E2004" t="str">
            <v>ITEM</v>
          </cell>
        </row>
        <row r="2005">
          <cell r="D2005" t="str">
            <v>COMPA17</v>
          </cell>
          <cell r="E2005" t="str">
            <v>Comcreto resistencia 17.5 Mpa (175 Kg/cm2)</v>
          </cell>
          <cell r="G2005" t="str">
            <v>UN.</v>
          </cell>
          <cell r="H2005" t="str">
            <v>M3</v>
          </cell>
          <cell r="I2005">
            <v>198060</v>
          </cell>
          <cell r="K2005">
            <v>0</v>
          </cell>
          <cell r="L2005">
            <v>0</v>
          </cell>
          <cell r="N2005">
            <v>194325</v>
          </cell>
          <cell r="O2005">
            <v>0</v>
          </cell>
          <cell r="P2005">
            <v>3735</v>
          </cell>
          <cell r="Q2005">
            <v>0</v>
          </cell>
          <cell r="X2005">
            <v>0</v>
          </cell>
          <cell r="Y2005" t="str">
            <v>M3</v>
          </cell>
          <cell r="Z2005" t="e">
            <v>#N/A</v>
          </cell>
          <cell r="AA2005" t="e">
            <v>#N/A</v>
          </cell>
          <cell r="AB2005">
            <v>0</v>
          </cell>
          <cell r="AC2005" t="e">
            <v>#N/A</v>
          </cell>
        </row>
        <row r="2007">
          <cell r="D2007" t="str">
            <v>CODIGO</v>
          </cell>
          <cell r="E2007" t="str">
            <v>DESCRIPCION</v>
          </cell>
          <cell r="F2007" t="str">
            <v>UN</v>
          </cell>
          <cell r="G2007" t="str">
            <v>CANT</v>
          </cell>
          <cell r="H2007" t="str">
            <v>V/UNIT.</v>
          </cell>
          <cell r="I2007" t="str">
            <v>V/TOTAL</v>
          </cell>
          <cell r="K2007" t="str">
            <v>CANT TOTAL</v>
          </cell>
          <cell r="L2007" t="str">
            <v>Vr TOTAL</v>
          </cell>
          <cell r="Y2007" t="str">
            <v>CANT.</v>
          </cell>
          <cell r="Z2007" t="str">
            <v>V/TOTAL</v>
          </cell>
        </row>
        <row r="2008">
          <cell r="E2008" t="str">
            <v>MATERIALES</v>
          </cell>
          <cell r="I2008">
            <v>194325</v>
          </cell>
          <cell r="L2008">
            <v>0</v>
          </cell>
          <cell r="Z2008" t="e">
            <v>#N/A</v>
          </cell>
        </row>
        <row r="2009">
          <cell r="D2009" t="str">
            <v>MA04C25</v>
          </cell>
          <cell r="E2009" t="str">
            <v>Concreto 2500 psi</v>
          </cell>
          <cell r="F2009" t="str">
            <v>M3</v>
          </cell>
          <cell r="G2009">
            <v>1</v>
          </cell>
          <cell r="H2009">
            <v>194325</v>
          </cell>
          <cell r="I2009">
            <v>194325</v>
          </cell>
          <cell r="J2009">
            <v>0</v>
          </cell>
          <cell r="K2009">
            <v>0</v>
          </cell>
          <cell r="L2009">
            <v>0</v>
          </cell>
          <cell r="Y2009" t="e">
            <v>#N/A</v>
          </cell>
          <cell r="Z2009" t="e">
            <v>#N/A</v>
          </cell>
        </row>
        <row r="2012">
          <cell r="E2012" t="str">
            <v>MANO DE OBRA</v>
          </cell>
          <cell r="I2012">
            <v>0</v>
          </cell>
          <cell r="L2012">
            <v>0</v>
          </cell>
          <cell r="Z2012">
            <v>0</v>
          </cell>
        </row>
        <row r="2014">
          <cell r="E2014" t="str">
            <v>VARIOS</v>
          </cell>
          <cell r="I2014">
            <v>3735</v>
          </cell>
          <cell r="L2014">
            <v>0</v>
          </cell>
          <cell r="Z2014" t="e">
            <v>#N/A</v>
          </cell>
        </row>
        <row r="2015">
          <cell r="D2015" t="str">
            <v>AL07VCG</v>
          </cell>
          <cell r="E2015" t="str">
            <v>Vibrador para concretos a Gasolina</v>
          </cell>
          <cell r="F2015" t="str">
            <v>Hr</v>
          </cell>
          <cell r="G2015">
            <v>8.3000000000000004E-2</v>
          </cell>
          <cell r="H2015">
            <v>45000</v>
          </cell>
          <cell r="I2015">
            <v>3735</v>
          </cell>
          <cell r="J2015">
            <v>0</v>
          </cell>
          <cell r="K2015">
            <v>0</v>
          </cell>
          <cell r="L2015">
            <v>0</v>
          </cell>
          <cell r="Y2015" t="e">
            <v>#N/A</v>
          </cell>
          <cell r="Z2015" t="e">
            <v>#N/A</v>
          </cell>
        </row>
        <row r="2016">
          <cell r="E2016" t="str">
            <v>SUBTOTAL</v>
          </cell>
          <cell r="I2016">
            <v>198060</v>
          </cell>
          <cell r="L2016">
            <v>0</v>
          </cell>
          <cell r="Z2016" t="e">
            <v>#N/A</v>
          </cell>
        </row>
        <row r="2017">
          <cell r="E2017" t="str">
            <v>A.I.U</v>
          </cell>
          <cell r="I2017">
            <v>0</v>
          </cell>
          <cell r="L2017">
            <v>0</v>
          </cell>
          <cell r="Z2017">
            <v>0</v>
          </cell>
        </row>
        <row r="2018">
          <cell r="D2018" t="str">
            <v>AIUAADMON</v>
          </cell>
          <cell r="E2018" t="str">
            <v>Admon</v>
          </cell>
          <cell r="F2018">
            <v>0</v>
          </cell>
          <cell r="I2018">
            <v>0</v>
          </cell>
          <cell r="J2018">
            <v>0</v>
          </cell>
          <cell r="L2018">
            <v>0</v>
          </cell>
          <cell r="Z2018">
            <v>0</v>
          </cell>
        </row>
        <row r="2019">
          <cell r="D2019" t="str">
            <v>AIUAIMPRE</v>
          </cell>
          <cell r="E2019" t="str">
            <v>Imprevistos</v>
          </cell>
          <cell r="F2019">
            <v>0</v>
          </cell>
          <cell r="I2019">
            <v>0</v>
          </cell>
          <cell r="J2019">
            <v>0</v>
          </cell>
          <cell r="L2019">
            <v>0</v>
          </cell>
          <cell r="Z2019">
            <v>0</v>
          </cell>
        </row>
        <row r="2020">
          <cell r="D2020" t="str">
            <v>AIUAUTILI</v>
          </cell>
          <cell r="E2020" t="str">
            <v>Utilidad</v>
          </cell>
          <cell r="F2020">
            <v>0</v>
          </cell>
          <cell r="I2020">
            <v>0</v>
          </cell>
          <cell r="J2020">
            <v>0</v>
          </cell>
          <cell r="L2020">
            <v>0</v>
          </cell>
          <cell r="Z2020">
            <v>0</v>
          </cell>
        </row>
        <row r="2021">
          <cell r="D2021" t="str">
            <v>AIUAIVAUTI</v>
          </cell>
          <cell r="E2021" t="str">
            <v>IVA utilidad</v>
          </cell>
          <cell r="F2021">
            <v>0</v>
          </cell>
          <cell r="I2021">
            <v>0</v>
          </cell>
          <cell r="J2021">
            <v>0</v>
          </cell>
          <cell r="L2021">
            <v>0</v>
          </cell>
          <cell r="Z2021">
            <v>0</v>
          </cell>
        </row>
        <row r="2023">
          <cell r="E2023" t="str">
            <v>ITEM</v>
          </cell>
        </row>
        <row r="2024">
          <cell r="D2024" t="str">
            <v>COMPA24</v>
          </cell>
          <cell r="E2024" t="str">
            <v>Comcreto resistencia 24.5 Mpa (245 Kg/cm2)</v>
          </cell>
          <cell r="G2024" t="str">
            <v>UN.</v>
          </cell>
          <cell r="H2024" t="str">
            <v>M3</v>
          </cell>
          <cell r="I2024">
            <v>219525</v>
          </cell>
          <cell r="K2024">
            <v>664</v>
          </cell>
          <cell r="L2024">
            <v>145764600</v>
          </cell>
          <cell r="N2024">
            <v>215775</v>
          </cell>
          <cell r="O2024">
            <v>0</v>
          </cell>
          <cell r="P2024">
            <v>3750</v>
          </cell>
          <cell r="Q2024">
            <v>0</v>
          </cell>
          <cell r="X2024">
            <v>145764600</v>
          </cell>
          <cell r="Y2024" t="str">
            <v>M3</v>
          </cell>
          <cell r="Z2024" t="e">
            <v>#N/A</v>
          </cell>
          <cell r="AA2024" t="e">
            <v>#N/A</v>
          </cell>
          <cell r="AB2024">
            <v>0</v>
          </cell>
          <cell r="AC2024" t="e">
            <v>#N/A</v>
          </cell>
        </row>
        <row r="2026">
          <cell r="D2026" t="str">
            <v>CODIGO</v>
          </cell>
          <cell r="E2026" t="str">
            <v>DESCRIPCION</v>
          </cell>
          <cell r="F2026" t="str">
            <v>UN</v>
          </cell>
          <cell r="G2026" t="str">
            <v>CANT</v>
          </cell>
          <cell r="H2026" t="str">
            <v>V/UNIT.</v>
          </cell>
          <cell r="I2026" t="str">
            <v>V/TOTAL</v>
          </cell>
          <cell r="K2026" t="str">
            <v>CANT TOTAL</v>
          </cell>
          <cell r="L2026" t="str">
            <v>Vr TOTAL</v>
          </cell>
          <cell r="Y2026" t="str">
            <v>CANT.</v>
          </cell>
          <cell r="Z2026" t="str">
            <v>V/TOTAL</v>
          </cell>
        </row>
        <row r="2027">
          <cell r="E2027" t="str">
            <v>MATERIALES</v>
          </cell>
          <cell r="I2027">
            <v>215775</v>
          </cell>
          <cell r="L2027">
            <v>143274600</v>
          </cell>
          <cell r="Z2027" t="e">
            <v>#N/A</v>
          </cell>
        </row>
        <row r="2028">
          <cell r="D2028" t="str">
            <v>MA04C35</v>
          </cell>
          <cell r="E2028" t="str">
            <v xml:space="preserve">Concreto 3500 psi </v>
          </cell>
          <cell r="F2028" t="str">
            <v>M3</v>
          </cell>
          <cell r="G2028">
            <v>1</v>
          </cell>
          <cell r="H2028">
            <v>215775</v>
          </cell>
          <cell r="I2028">
            <v>215775</v>
          </cell>
          <cell r="J2028">
            <v>0</v>
          </cell>
          <cell r="K2028">
            <v>664</v>
          </cell>
          <cell r="L2028">
            <v>143274600</v>
          </cell>
          <cell r="Y2028" t="e">
            <v>#N/A</v>
          </cell>
          <cell r="Z2028" t="e">
            <v>#N/A</v>
          </cell>
        </row>
        <row r="2031">
          <cell r="E2031" t="str">
            <v>MANO DE OBRA</v>
          </cell>
          <cell r="I2031">
            <v>0</v>
          </cell>
          <cell r="L2031">
            <v>0</v>
          </cell>
          <cell r="Z2031">
            <v>0</v>
          </cell>
        </row>
        <row r="2033">
          <cell r="E2033" t="str">
            <v>VARIOS</v>
          </cell>
          <cell r="I2033">
            <v>3750</v>
          </cell>
          <cell r="L2033">
            <v>2490000</v>
          </cell>
          <cell r="Z2033" t="e">
            <v>#N/A</v>
          </cell>
        </row>
        <row r="2034">
          <cell r="D2034" t="str">
            <v>AL07VCG</v>
          </cell>
          <cell r="E2034" t="str">
            <v>Vibrador para concretos a Gasolina</v>
          </cell>
          <cell r="F2034" t="str">
            <v>Hr</v>
          </cell>
          <cell r="G2034">
            <v>8.3333333333333329E-2</v>
          </cell>
          <cell r="H2034">
            <v>45000</v>
          </cell>
          <cell r="I2034">
            <v>3750</v>
          </cell>
          <cell r="J2034">
            <v>0</v>
          </cell>
          <cell r="K2034">
            <v>55.333333333333329</v>
          </cell>
          <cell r="L2034">
            <v>2490000</v>
          </cell>
          <cell r="Y2034" t="e">
            <v>#N/A</v>
          </cell>
          <cell r="Z2034" t="e">
            <v>#N/A</v>
          </cell>
        </row>
        <row r="2035">
          <cell r="E2035" t="str">
            <v>SUBTOTAL</v>
          </cell>
          <cell r="I2035">
            <v>219525</v>
          </cell>
          <cell r="L2035">
            <v>145764600</v>
          </cell>
          <cell r="Z2035" t="e">
            <v>#N/A</v>
          </cell>
        </row>
        <row r="2036">
          <cell r="E2036" t="str">
            <v>A.I.U</v>
          </cell>
          <cell r="I2036">
            <v>0</v>
          </cell>
          <cell r="L2036">
            <v>0</v>
          </cell>
          <cell r="Z2036">
            <v>0</v>
          </cell>
        </row>
        <row r="2037">
          <cell r="D2037" t="str">
            <v>AIUAADMON</v>
          </cell>
          <cell r="E2037" t="str">
            <v>Admon</v>
          </cell>
          <cell r="F2037">
            <v>0</v>
          </cell>
          <cell r="I2037">
            <v>0</v>
          </cell>
          <cell r="J2037">
            <v>0</v>
          </cell>
          <cell r="L2037">
            <v>0</v>
          </cell>
          <cell r="Z2037">
            <v>0</v>
          </cell>
        </row>
        <row r="2038">
          <cell r="D2038" t="str">
            <v>AIUAIMPRE</v>
          </cell>
          <cell r="E2038" t="str">
            <v>Imprevistos</v>
          </cell>
          <cell r="F2038">
            <v>0</v>
          </cell>
          <cell r="I2038">
            <v>0</v>
          </cell>
          <cell r="J2038">
            <v>0</v>
          </cell>
          <cell r="L2038">
            <v>0</v>
          </cell>
          <cell r="Z2038">
            <v>0</v>
          </cell>
        </row>
        <row r="2039">
          <cell r="D2039" t="str">
            <v>AIUAUTILI</v>
          </cell>
          <cell r="E2039" t="str">
            <v>Utilidad</v>
          </cell>
          <cell r="F2039">
            <v>0</v>
          </cell>
          <cell r="I2039">
            <v>0</v>
          </cell>
          <cell r="J2039">
            <v>0</v>
          </cell>
          <cell r="L2039">
            <v>0</v>
          </cell>
          <cell r="Z2039">
            <v>0</v>
          </cell>
        </row>
        <row r="2040">
          <cell r="D2040" t="str">
            <v>AIUAIVAUTI</v>
          </cell>
          <cell r="E2040" t="str">
            <v>IVA utilidad</v>
          </cell>
          <cell r="F2040">
            <v>0</v>
          </cell>
          <cell r="I2040">
            <v>0</v>
          </cell>
          <cell r="J2040">
            <v>0</v>
          </cell>
          <cell r="L2040">
            <v>0</v>
          </cell>
          <cell r="Z2040">
            <v>0</v>
          </cell>
        </row>
        <row r="2042">
          <cell r="E2042" t="str">
            <v>ITEM</v>
          </cell>
        </row>
        <row r="2043">
          <cell r="D2043" t="str">
            <v>COMPA28</v>
          </cell>
          <cell r="E2043" t="str">
            <v>Comcreto resistencia 26.0 Mpa (280 Kg/cm2)</v>
          </cell>
          <cell r="G2043" t="str">
            <v>UN.</v>
          </cell>
          <cell r="H2043" t="str">
            <v>M3</v>
          </cell>
          <cell r="I2043">
            <v>228525</v>
          </cell>
          <cell r="K2043">
            <v>15</v>
          </cell>
          <cell r="L2043">
            <v>3427875</v>
          </cell>
          <cell r="N2043">
            <v>224775</v>
          </cell>
          <cell r="O2043">
            <v>0</v>
          </cell>
          <cell r="P2043">
            <v>3750</v>
          </cell>
          <cell r="Q2043">
            <v>0</v>
          </cell>
          <cell r="X2043">
            <v>3427875</v>
          </cell>
          <cell r="Y2043" t="str">
            <v>M3</v>
          </cell>
          <cell r="Z2043" t="e">
            <v>#N/A</v>
          </cell>
          <cell r="AA2043" t="e">
            <v>#N/A</v>
          </cell>
          <cell r="AB2043">
            <v>0</v>
          </cell>
          <cell r="AC2043" t="e">
            <v>#N/A</v>
          </cell>
        </row>
        <row r="2045">
          <cell r="D2045" t="str">
            <v>CODIGO</v>
          </cell>
          <cell r="E2045" t="str">
            <v>DESCRIPCION</v>
          </cell>
          <cell r="F2045" t="str">
            <v>UN</v>
          </cell>
          <cell r="G2045" t="str">
            <v>CANT</v>
          </cell>
          <cell r="H2045" t="str">
            <v>V/UNIT.</v>
          </cell>
          <cell r="I2045" t="str">
            <v>V/TOTAL</v>
          </cell>
          <cell r="K2045" t="str">
            <v>CANT TOTAL</v>
          </cell>
          <cell r="L2045" t="str">
            <v>Vr TOTAL</v>
          </cell>
          <cell r="Y2045" t="str">
            <v>CANT.</v>
          </cell>
          <cell r="Z2045" t="str">
            <v>V/TOTAL</v>
          </cell>
        </row>
        <row r="2046">
          <cell r="E2046" t="str">
            <v>MATERIALES</v>
          </cell>
          <cell r="I2046">
            <v>224775</v>
          </cell>
          <cell r="L2046">
            <v>3371625</v>
          </cell>
          <cell r="Z2046" t="e">
            <v>#N/A</v>
          </cell>
        </row>
        <row r="2047">
          <cell r="D2047" t="str">
            <v>MA04C4</v>
          </cell>
          <cell r="E2047" t="str">
            <v>Concreto 4000 psi</v>
          </cell>
          <cell r="F2047" t="str">
            <v>M3</v>
          </cell>
          <cell r="G2047">
            <v>1</v>
          </cell>
          <cell r="H2047">
            <v>224775</v>
          </cell>
          <cell r="I2047">
            <v>224775</v>
          </cell>
          <cell r="J2047">
            <v>0</v>
          </cell>
          <cell r="K2047">
            <v>15</v>
          </cell>
          <cell r="L2047">
            <v>3371625</v>
          </cell>
          <cell r="Y2047" t="e">
            <v>#N/A</v>
          </cell>
          <cell r="Z2047" t="e">
            <v>#N/A</v>
          </cell>
        </row>
        <row r="2050">
          <cell r="E2050" t="str">
            <v>MANO DE OBRA</v>
          </cell>
          <cell r="I2050">
            <v>0</v>
          </cell>
          <cell r="L2050">
            <v>0</v>
          </cell>
          <cell r="Z2050">
            <v>0</v>
          </cell>
        </row>
        <row r="2052">
          <cell r="E2052" t="str">
            <v>VARIOS</v>
          </cell>
          <cell r="I2052">
            <v>3750</v>
          </cell>
          <cell r="L2052">
            <v>56250</v>
          </cell>
          <cell r="Z2052" t="e">
            <v>#N/A</v>
          </cell>
        </row>
        <row r="2053">
          <cell r="D2053" t="str">
            <v>AL07VCG</v>
          </cell>
          <cell r="E2053" t="str">
            <v>Vibrador para concretos a Gasolina</v>
          </cell>
          <cell r="F2053" t="str">
            <v>Hr</v>
          </cell>
          <cell r="G2053">
            <v>8.3333333333333329E-2</v>
          </cell>
          <cell r="H2053">
            <v>45000</v>
          </cell>
          <cell r="I2053">
            <v>3750</v>
          </cell>
          <cell r="J2053">
            <v>0</v>
          </cell>
          <cell r="K2053">
            <v>1.25</v>
          </cell>
          <cell r="L2053">
            <v>56250</v>
          </cell>
          <cell r="Y2053" t="e">
            <v>#N/A</v>
          </cell>
          <cell r="Z2053" t="e">
            <v>#N/A</v>
          </cell>
        </row>
        <row r="2054">
          <cell r="E2054" t="str">
            <v>SUBTOTAL</v>
          </cell>
          <cell r="I2054">
            <v>228525</v>
          </cell>
          <cell r="L2054">
            <v>3427875</v>
          </cell>
          <cell r="Z2054" t="e">
            <v>#N/A</v>
          </cell>
        </row>
        <row r="2055">
          <cell r="E2055" t="str">
            <v>A.I.U</v>
          </cell>
          <cell r="I2055">
            <v>0</v>
          </cell>
          <cell r="L2055">
            <v>0</v>
          </cell>
          <cell r="Z2055">
            <v>0</v>
          </cell>
        </row>
        <row r="2056">
          <cell r="D2056" t="str">
            <v>AIUAADMON</v>
          </cell>
          <cell r="E2056" t="str">
            <v>Admon</v>
          </cell>
          <cell r="F2056">
            <v>0</v>
          </cell>
          <cell r="I2056">
            <v>0</v>
          </cell>
          <cell r="J2056">
            <v>0</v>
          </cell>
          <cell r="L2056">
            <v>0</v>
          </cell>
          <cell r="Z2056">
            <v>0</v>
          </cell>
        </row>
        <row r="2057">
          <cell r="D2057" t="str">
            <v>AIUAIMPRE</v>
          </cell>
          <cell r="E2057" t="str">
            <v>Imprevistos</v>
          </cell>
          <cell r="F2057">
            <v>0</v>
          </cell>
          <cell r="I2057">
            <v>0</v>
          </cell>
          <cell r="J2057">
            <v>0</v>
          </cell>
          <cell r="L2057">
            <v>0</v>
          </cell>
          <cell r="Z2057">
            <v>0</v>
          </cell>
        </row>
        <row r="2058">
          <cell r="D2058" t="str">
            <v>AIUAUTILI</v>
          </cell>
          <cell r="E2058" t="str">
            <v>Utilidad</v>
          </cell>
          <cell r="F2058">
            <v>0</v>
          </cell>
          <cell r="I2058">
            <v>0</v>
          </cell>
          <cell r="J2058">
            <v>0</v>
          </cell>
          <cell r="L2058">
            <v>0</v>
          </cell>
          <cell r="Z2058">
            <v>0</v>
          </cell>
        </row>
        <row r="2059">
          <cell r="D2059" t="str">
            <v>AIUAIVAUTI</v>
          </cell>
          <cell r="E2059" t="str">
            <v>IVA utilidad</v>
          </cell>
          <cell r="F2059">
            <v>0</v>
          </cell>
          <cell r="I2059">
            <v>0</v>
          </cell>
          <cell r="J2059">
            <v>0</v>
          </cell>
          <cell r="L2059">
            <v>0</v>
          </cell>
          <cell r="Z2059">
            <v>0</v>
          </cell>
        </row>
        <row r="2061">
          <cell r="E2061" t="str">
            <v>ITEM</v>
          </cell>
        </row>
        <row r="2062">
          <cell r="D2062" t="str">
            <v>PETO</v>
          </cell>
          <cell r="E2062" t="str">
            <v>Topografia</v>
          </cell>
          <cell r="G2062" t="str">
            <v>UN.</v>
          </cell>
          <cell r="H2062" t="str">
            <v>Mes</v>
          </cell>
          <cell r="I2062" t="e">
            <v>#N/A</v>
          </cell>
          <cell r="K2062">
            <v>0</v>
          </cell>
          <cell r="L2062" t="e">
            <v>#N/A</v>
          </cell>
          <cell r="P2062" t="e">
            <v>#N/A</v>
          </cell>
          <cell r="Q2062" t="e">
            <v>#N/A</v>
          </cell>
          <cell r="X2062" t="e">
            <v>#N/A</v>
          </cell>
          <cell r="Z2062" t="e">
            <v>#VALUE!</v>
          </cell>
          <cell r="AC2062" t="e">
            <v>#VALUE!</v>
          </cell>
        </row>
        <row r="2064">
          <cell r="D2064" t="str">
            <v>CODIGO</v>
          </cell>
          <cell r="E2064" t="str">
            <v>DESCRIPCION</v>
          </cell>
          <cell r="F2064" t="str">
            <v>UN</v>
          </cell>
          <cell r="G2064" t="str">
            <v>CANT</v>
          </cell>
          <cell r="H2064" t="str">
            <v>V/UNIT.</v>
          </cell>
          <cell r="I2064" t="str">
            <v>V/TOTAL</v>
          </cell>
          <cell r="K2064" t="str">
            <v>CANT TOTAL</v>
          </cell>
          <cell r="L2064" t="str">
            <v>Vr TOTAL</v>
          </cell>
          <cell r="Y2064" t="str">
            <v>CANT.</v>
          </cell>
          <cell r="Z2064" t="str">
            <v>V/TOTAL</v>
          </cell>
        </row>
        <row r="2065">
          <cell r="E2065" t="str">
            <v>VARIOS</v>
          </cell>
          <cell r="I2065" t="e">
            <v>#N/A</v>
          </cell>
          <cell r="L2065" t="e">
            <v>#N/A</v>
          </cell>
          <cell r="Z2065" t="e">
            <v>#VALUE!</v>
          </cell>
        </row>
        <row r="2066">
          <cell r="D2066" t="str">
            <v>TC65T</v>
          </cell>
          <cell r="E2066" t="e">
            <v>#N/A</v>
          </cell>
          <cell r="F2066" t="e">
            <v>#N/A</v>
          </cell>
          <cell r="G2066">
            <v>1</v>
          </cell>
          <cell r="H2066" t="e">
            <v>#N/A</v>
          </cell>
          <cell r="I2066" t="e">
            <v>#N/A</v>
          </cell>
          <cell r="J2066" t="e">
            <v>#N/A</v>
          </cell>
          <cell r="K2066">
            <v>0</v>
          </cell>
          <cell r="L2066" t="e">
            <v>#N/A</v>
          </cell>
          <cell r="Y2066" t="e">
            <v>#VALUE!</v>
          </cell>
          <cell r="Z2066" t="e">
            <v>#VALUE!</v>
          </cell>
        </row>
        <row r="2068">
          <cell r="E2068" t="str">
            <v>SUBTOTAL</v>
          </cell>
          <cell r="I2068" t="e">
            <v>#N/A</v>
          </cell>
          <cell r="L2068" t="e">
            <v>#N/A</v>
          </cell>
          <cell r="Z2068" t="e">
            <v>#VALUE!</v>
          </cell>
        </row>
        <row r="2069">
          <cell r="E2069" t="str">
            <v>A.I.U</v>
          </cell>
          <cell r="I2069" t="e">
            <v>#N/A</v>
          </cell>
          <cell r="L2069" t="e">
            <v>#N/A</v>
          </cell>
          <cell r="Z2069" t="e">
            <v>#N/A</v>
          </cell>
        </row>
        <row r="2070">
          <cell r="D2070" t="str">
            <v>AIUAADMON</v>
          </cell>
          <cell r="E2070" t="str">
            <v>Admon</v>
          </cell>
          <cell r="F2070">
            <v>0</v>
          </cell>
          <cell r="I2070" t="e">
            <v>#N/A</v>
          </cell>
          <cell r="J2070">
            <v>0</v>
          </cell>
          <cell r="L2070" t="e">
            <v>#N/A</v>
          </cell>
          <cell r="Z2070" t="e">
            <v>#N/A</v>
          </cell>
        </row>
        <row r="2071">
          <cell r="D2071" t="str">
            <v>AIUAIMPRE</v>
          </cell>
          <cell r="E2071" t="str">
            <v>Imprevistos</v>
          </cell>
          <cell r="F2071">
            <v>0</v>
          </cell>
          <cell r="I2071" t="e">
            <v>#N/A</v>
          </cell>
          <cell r="J2071">
            <v>0</v>
          </cell>
          <cell r="L2071" t="e">
            <v>#N/A</v>
          </cell>
          <cell r="Z2071" t="e">
            <v>#N/A</v>
          </cell>
        </row>
        <row r="2072">
          <cell r="D2072" t="str">
            <v>AIUAUTILI</v>
          </cell>
          <cell r="E2072" t="str">
            <v>Utilidad</v>
          </cell>
          <cell r="F2072">
            <v>0</v>
          </cell>
          <cell r="I2072" t="e">
            <v>#N/A</v>
          </cell>
          <cell r="J2072">
            <v>0</v>
          </cell>
          <cell r="L2072" t="e">
            <v>#N/A</v>
          </cell>
          <cell r="Z2072" t="e">
            <v>#N/A</v>
          </cell>
        </row>
        <row r="2073">
          <cell r="D2073" t="str">
            <v>AIUAIVAUTI</v>
          </cell>
          <cell r="E2073" t="str">
            <v>IVA utilidad</v>
          </cell>
          <cell r="F2073">
            <v>0</v>
          </cell>
          <cell r="I2073" t="e">
            <v>#N/A</v>
          </cell>
          <cell r="J2073">
            <v>0</v>
          </cell>
          <cell r="L2073" t="e">
            <v>#N/A</v>
          </cell>
          <cell r="Z2073" t="e">
            <v>#N/A</v>
          </cell>
        </row>
        <row r="2075">
          <cell r="E2075" t="str">
            <v>ITEM</v>
          </cell>
        </row>
        <row r="2076">
          <cell r="D2076" t="str">
            <v>PEDO</v>
          </cell>
          <cell r="E2076" t="str">
            <v>Direccion Obra</v>
          </cell>
          <cell r="G2076" t="str">
            <v>UN.</v>
          </cell>
          <cell r="H2076" t="str">
            <v>Mes</v>
          </cell>
          <cell r="I2076" t="e">
            <v>#N/A</v>
          </cell>
          <cell r="K2076">
            <v>0</v>
          </cell>
          <cell r="L2076" t="e">
            <v>#N/A</v>
          </cell>
          <cell r="P2076" t="e">
            <v>#N/A</v>
          </cell>
          <cell r="Q2076" t="e">
            <v>#N/A</v>
          </cell>
          <cell r="X2076" t="e">
            <v>#N/A</v>
          </cell>
          <cell r="Z2076" t="e">
            <v>#VALUE!</v>
          </cell>
          <cell r="AC2076" t="e">
            <v>#VALUE!</v>
          </cell>
        </row>
        <row r="2078">
          <cell r="D2078" t="str">
            <v>CODIGO</v>
          </cell>
          <cell r="E2078" t="str">
            <v>DESCRIPCION</v>
          </cell>
          <cell r="F2078" t="str">
            <v>UN</v>
          </cell>
          <cell r="G2078" t="str">
            <v>CANT</v>
          </cell>
          <cell r="H2078" t="str">
            <v>V/UNIT.</v>
          </cell>
          <cell r="I2078" t="str">
            <v>V/TOTAL</v>
          </cell>
          <cell r="K2078" t="str">
            <v>CANT TOTAL</v>
          </cell>
          <cell r="L2078" t="str">
            <v>Vr TOTAL</v>
          </cell>
          <cell r="Y2078" t="str">
            <v>CANT.</v>
          </cell>
          <cell r="Z2078" t="str">
            <v>V/TOTAL</v>
          </cell>
        </row>
        <row r="2079">
          <cell r="E2079" t="str">
            <v>VARIOS</v>
          </cell>
          <cell r="I2079" t="e">
            <v>#N/A</v>
          </cell>
          <cell r="L2079" t="e">
            <v>#N/A</v>
          </cell>
          <cell r="Z2079" t="e">
            <v>#VALUE!</v>
          </cell>
        </row>
        <row r="2080">
          <cell r="D2080" t="str">
            <v>TC65DO</v>
          </cell>
          <cell r="E2080" t="e">
            <v>#N/A</v>
          </cell>
          <cell r="F2080" t="e">
            <v>#N/A</v>
          </cell>
          <cell r="G2080">
            <v>0.5</v>
          </cell>
          <cell r="H2080" t="e">
            <v>#N/A</v>
          </cell>
          <cell r="I2080" t="e">
            <v>#N/A</v>
          </cell>
          <cell r="J2080" t="e">
            <v>#N/A</v>
          </cell>
          <cell r="K2080">
            <v>0</v>
          </cell>
          <cell r="L2080" t="e">
            <v>#N/A</v>
          </cell>
          <cell r="Y2080" t="e">
            <v>#VALUE!</v>
          </cell>
          <cell r="Z2080" t="e">
            <v>#VALUE!</v>
          </cell>
        </row>
        <row r="2081">
          <cell r="D2081" t="str">
            <v>TC65RO</v>
          </cell>
          <cell r="E2081" t="e">
            <v>#N/A</v>
          </cell>
          <cell r="F2081" t="e">
            <v>#N/A</v>
          </cell>
          <cell r="G2081">
            <v>1</v>
          </cell>
          <cell r="H2081" t="e">
            <v>#N/A</v>
          </cell>
          <cell r="I2081" t="e">
            <v>#N/A</v>
          </cell>
          <cell r="J2081" t="e">
            <v>#N/A</v>
          </cell>
          <cell r="K2081">
            <v>0</v>
          </cell>
          <cell r="L2081" t="e">
            <v>#N/A</v>
          </cell>
          <cell r="Y2081" t="e">
            <v>#VALUE!</v>
          </cell>
          <cell r="Z2081" t="e">
            <v>#VALUE!</v>
          </cell>
        </row>
        <row r="2082">
          <cell r="D2082" t="str">
            <v>TC65IO</v>
          </cell>
          <cell r="E2082" t="e">
            <v>#N/A</v>
          </cell>
          <cell r="F2082" t="e">
            <v>#N/A</v>
          </cell>
          <cell r="G2082">
            <v>1</v>
          </cell>
          <cell r="H2082" t="e">
            <v>#N/A</v>
          </cell>
          <cell r="I2082" t="e">
            <v>#N/A</v>
          </cell>
          <cell r="J2082" t="e">
            <v>#N/A</v>
          </cell>
          <cell r="K2082">
            <v>0</v>
          </cell>
          <cell r="L2082" t="e">
            <v>#N/A</v>
          </cell>
          <cell r="Y2082" t="e">
            <v>#VALUE!</v>
          </cell>
          <cell r="Z2082" t="e">
            <v>#VALUE!</v>
          </cell>
        </row>
        <row r="2083">
          <cell r="D2083" t="str">
            <v>TC65SE</v>
          </cell>
          <cell r="E2083" t="e">
            <v>#N/A</v>
          </cell>
          <cell r="F2083" t="e">
            <v>#N/A</v>
          </cell>
          <cell r="G2083">
            <v>1</v>
          </cell>
          <cell r="H2083" t="e">
            <v>#N/A</v>
          </cell>
          <cell r="I2083" t="e">
            <v>#N/A</v>
          </cell>
          <cell r="J2083" t="e">
            <v>#N/A</v>
          </cell>
          <cell r="K2083">
            <v>0</v>
          </cell>
          <cell r="L2083" t="e">
            <v>#N/A</v>
          </cell>
          <cell r="Y2083" t="e">
            <v>#VALUE!</v>
          </cell>
          <cell r="Z2083" t="e">
            <v>#VALUE!</v>
          </cell>
        </row>
        <row r="2084">
          <cell r="E2084" t="str">
            <v>SUBTOTAL</v>
          </cell>
          <cell r="I2084" t="e">
            <v>#N/A</v>
          </cell>
          <cell r="L2084" t="e">
            <v>#N/A</v>
          </cell>
          <cell r="Z2084" t="e">
            <v>#VALUE!</v>
          </cell>
        </row>
        <row r="2085">
          <cell r="E2085" t="str">
            <v>A.I.U</v>
          </cell>
          <cell r="I2085" t="e">
            <v>#N/A</v>
          </cell>
          <cell r="L2085" t="e">
            <v>#N/A</v>
          </cell>
          <cell r="Z2085" t="e">
            <v>#N/A</v>
          </cell>
        </row>
        <row r="2086">
          <cell r="D2086" t="str">
            <v>AIUAADMON</v>
          </cell>
          <cell r="E2086" t="str">
            <v>Admon</v>
          </cell>
          <cell r="F2086">
            <v>0</v>
          </cell>
          <cell r="I2086" t="e">
            <v>#N/A</v>
          </cell>
          <cell r="J2086">
            <v>0</v>
          </cell>
          <cell r="L2086" t="e">
            <v>#N/A</v>
          </cell>
          <cell r="Z2086" t="e">
            <v>#N/A</v>
          </cell>
        </row>
        <row r="2087">
          <cell r="D2087" t="str">
            <v>AIUAIMPRE</v>
          </cell>
          <cell r="E2087" t="str">
            <v>Imprevistos</v>
          </cell>
          <cell r="F2087">
            <v>0</v>
          </cell>
          <cell r="I2087" t="e">
            <v>#N/A</v>
          </cell>
          <cell r="J2087">
            <v>0</v>
          </cell>
          <cell r="L2087" t="e">
            <v>#N/A</v>
          </cell>
          <cell r="Z2087" t="e">
            <v>#N/A</v>
          </cell>
        </row>
        <row r="2088">
          <cell r="D2088" t="str">
            <v>AIUAUTILI</v>
          </cell>
          <cell r="E2088" t="str">
            <v>Utilidad</v>
          </cell>
          <cell r="F2088">
            <v>0</v>
          </cell>
          <cell r="I2088" t="e">
            <v>#N/A</v>
          </cell>
          <cell r="J2088">
            <v>0</v>
          </cell>
          <cell r="L2088" t="e">
            <v>#N/A</v>
          </cell>
          <cell r="Z2088" t="e">
            <v>#N/A</v>
          </cell>
        </row>
        <row r="2089">
          <cell r="D2089" t="str">
            <v>AIUAIVAUTI</v>
          </cell>
          <cell r="E2089" t="str">
            <v>IVA utilidad</v>
          </cell>
          <cell r="F2089">
            <v>0</v>
          </cell>
          <cell r="I2089" t="e">
            <v>#N/A</v>
          </cell>
          <cell r="J2089">
            <v>0</v>
          </cell>
          <cell r="L2089" t="e">
            <v>#N/A</v>
          </cell>
          <cell r="Z2089" t="e">
            <v>#N/A</v>
          </cell>
        </row>
        <row r="2091">
          <cell r="E2091" t="str">
            <v>ITEM</v>
          </cell>
        </row>
        <row r="2092">
          <cell r="D2092" t="str">
            <v>PEDOC</v>
          </cell>
          <cell r="E2092" t="str">
            <v>Direccion Obra</v>
          </cell>
          <cell r="G2092" t="str">
            <v>UN.</v>
          </cell>
          <cell r="H2092" t="str">
            <v>Mes</v>
          </cell>
          <cell r="I2092" t="e">
            <v>#N/A</v>
          </cell>
          <cell r="K2092">
            <v>0</v>
          </cell>
          <cell r="L2092" t="e">
            <v>#N/A</v>
          </cell>
          <cell r="P2092" t="e">
            <v>#N/A</v>
          </cell>
          <cell r="Q2092" t="e">
            <v>#N/A</v>
          </cell>
          <cell r="X2092" t="e">
            <v>#N/A</v>
          </cell>
          <cell r="Z2092" t="e">
            <v>#VALUE!</v>
          </cell>
          <cell r="AC2092" t="e">
            <v>#VALUE!</v>
          </cell>
        </row>
        <row r="2094">
          <cell r="D2094" t="str">
            <v>CODIGO</v>
          </cell>
          <cell r="E2094" t="str">
            <v>DESCRIPCION</v>
          </cell>
          <cell r="F2094" t="str">
            <v>UN</v>
          </cell>
          <cell r="G2094" t="str">
            <v>CANT</v>
          </cell>
          <cell r="H2094" t="str">
            <v>V/UNIT.</v>
          </cell>
          <cell r="I2094" t="str">
            <v>V/TOTAL</v>
          </cell>
          <cell r="K2094" t="str">
            <v>CANT TOTAL</v>
          </cell>
          <cell r="L2094" t="str">
            <v>Vr TOTAL</v>
          </cell>
          <cell r="Y2094" t="str">
            <v>CANT.</v>
          </cell>
          <cell r="Z2094" t="str">
            <v>V/TOTAL</v>
          </cell>
        </row>
        <row r="2095">
          <cell r="E2095" t="str">
            <v>VARIOS</v>
          </cell>
          <cell r="I2095" t="e">
            <v>#N/A</v>
          </cell>
          <cell r="L2095" t="e">
            <v>#N/A</v>
          </cell>
          <cell r="Z2095" t="e">
            <v>#VALUE!</v>
          </cell>
        </row>
        <row r="2096">
          <cell r="D2096" t="str">
            <v>TC65DO</v>
          </cell>
          <cell r="E2096" t="e">
            <v>#N/A</v>
          </cell>
          <cell r="F2096" t="e">
            <v>#N/A</v>
          </cell>
          <cell r="G2096">
            <v>0.503</v>
          </cell>
          <cell r="H2096" t="e">
            <v>#N/A</v>
          </cell>
          <cell r="I2096" t="e">
            <v>#N/A</v>
          </cell>
          <cell r="J2096" t="e">
            <v>#N/A</v>
          </cell>
          <cell r="K2096">
            <v>0</v>
          </cell>
          <cell r="L2096" t="e">
            <v>#N/A</v>
          </cell>
          <cell r="Y2096" t="e">
            <v>#VALUE!</v>
          </cell>
          <cell r="Z2096" t="e">
            <v>#VALUE!</v>
          </cell>
        </row>
        <row r="2100">
          <cell r="E2100" t="str">
            <v>SUBTOTAL</v>
          </cell>
          <cell r="I2100" t="e">
            <v>#N/A</v>
          </cell>
          <cell r="L2100" t="e">
            <v>#N/A</v>
          </cell>
          <cell r="Z2100" t="e">
            <v>#VALUE!</v>
          </cell>
        </row>
        <row r="2101">
          <cell r="E2101" t="str">
            <v>A.I.U</v>
          </cell>
          <cell r="I2101" t="e">
            <v>#N/A</v>
          </cell>
          <cell r="L2101" t="e">
            <v>#N/A</v>
          </cell>
          <cell r="Z2101" t="e">
            <v>#N/A</v>
          </cell>
        </row>
        <row r="2102">
          <cell r="D2102" t="str">
            <v>AIUAADMON</v>
          </cell>
          <cell r="E2102" t="str">
            <v>Admon</v>
          </cell>
          <cell r="F2102">
            <v>0</v>
          </cell>
          <cell r="I2102" t="e">
            <v>#N/A</v>
          </cell>
          <cell r="J2102">
            <v>0</v>
          </cell>
          <cell r="L2102" t="e">
            <v>#N/A</v>
          </cell>
          <cell r="Z2102" t="e">
            <v>#N/A</v>
          </cell>
        </row>
        <row r="2103">
          <cell r="D2103" t="str">
            <v>AIUAIMPRE</v>
          </cell>
          <cell r="E2103" t="str">
            <v>Imprevistos</v>
          </cell>
          <cell r="F2103">
            <v>0</v>
          </cell>
          <cell r="I2103" t="e">
            <v>#N/A</v>
          </cell>
          <cell r="J2103">
            <v>0</v>
          </cell>
          <cell r="L2103" t="e">
            <v>#N/A</v>
          </cell>
          <cell r="Z2103" t="e">
            <v>#N/A</v>
          </cell>
        </row>
        <row r="2104">
          <cell r="D2104" t="str">
            <v>AIUAUTILI</v>
          </cell>
          <cell r="E2104" t="str">
            <v>Utilidad</v>
          </cell>
          <cell r="F2104">
            <v>0</v>
          </cell>
          <cell r="I2104" t="e">
            <v>#N/A</v>
          </cell>
          <cell r="J2104">
            <v>0</v>
          </cell>
          <cell r="L2104" t="e">
            <v>#N/A</v>
          </cell>
          <cell r="Z2104" t="e">
            <v>#N/A</v>
          </cell>
        </row>
        <row r="2105">
          <cell r="D2105" t="str">
            <v>AIUAIVAUTI</v>
          </cell>
          <cell r="E2105" t="str">
            <v>IVA utilidad</v>
          </cell>
          <cell r="F2105">
            <v>0</v>
          </cell>
          <cell r="I2105" t="e">
            <v>#N/A</v>
          </cell>
          <cell r="J2105">
            <v>0</v>
          </cell>
          <cell r="L2105" t="e">
            <v>#N/A</v>
          </cell>
          <cell r="Z2105" t="e">
            <v>#N/A</v>
          </cell>
        </row>
        <row r="2107">
          <cell r="E2107" t="str">
            <v>ITEM</v>
          </cell>
        </row>
        <row r="2108">
          <cell r="D2108" t="str">
            <v>PEAL</v>
          </cell>
          <cell r="E2108" t="str">
            <v>Almacen</v>
          </cell>
          <cell r="G2108" t="str">
            <v>UN.</v>
          </cell>
          <cell r="H2108" t="str">
            <v>Mes</v>
          </cell>
          <cell r="I2108" t="e">
            <v>#N/A</v>
          </cell>
          <cell r="K2108">
            <v>0</v>
          </cell>
          <cell r="L2108" t="e">
            <v>#N/A</v>
          </cell>
          <cell r="P2108" t="e">
            <v>#N/A</v>
          </cell>
          <cell r="Q2108" t="e">
            <v>#N/A</v>
          </cell>
          <cell r="X2108" t="e">
            <v>#N/A</v>
          </cell>
          <cell r="Z2108" t="e">
            <v>#VALUE!</v>
          </cell>
          <cell r="AC2108" t="e">
            <v>#VALUE!</v>
          </cell>
        </row>
        <row r="2110">
          <cell r="D2110" t="str">
            <v>CODIGO</v>
          </cell>
          <cell r="E2110" t="str">
            <v>DESCRIPCION</v>
          </cell>
          <cell r="F2110" t="str">
            <v>UN</v>
          </cell>
          <cell r="G2110" t="str">
            <v>CANT</v>
          </cell>
          <cell r="H2110" t="str">
            <v>V/UNIT.</v>
          </cell>
          <cell r="I2110" t="str">
            <v>V/TOTAL</v>
          </cell>
          <cell r="K2110" t="str">
            <v>CANT TOTAL</v>
          </cell>
          <cell r="L2110" t="str">
            <v>Vr TOTAL</v>
          </cell>
          <cell r="Y2110" t="str">
            <v>CANT.</v>
          </cell>
          <cell r="Z2110" t="str">
            <v>V/TOTAL</v>
          </cell>
        </row>
        <row r="2111">
          <cell r="E2111" t="str">
            <v>VARIOS</v>
          </cell>
          <cell r="I2111" t="e">
            <v>#N/A</v>
          </cell>
          <cell r="L2111" t="e">
            <v>#N/A</v>
          </cell>
          <cell r="Z2111" t="e">
            <v>#VALUE!</v>
          </cell>
        </row>
        <row r="2112">
          <cell r="D2112" t="str">
            <v>TC65ALMA</v>
          </cell>
          <cell r="E2112" t="e">
            <v>#N/A</v>
          </cell>
          <cell r="F2112" t="e">
            <v>#N/A</v>
          </cell>
          <cell r="G2112">
            <v>1</v>
          </cell>
          <cell r="H2112" t="e">
            <v>#N/A</v>
          </cell>
          <cell r="I2112" t="e">
            <v>#N/A</v>
          </cell>
          <cell r="J2112" t="e">
            <v>#N/A</v>
          </cell>
          <cell r="K2112">
            <v>0</v>
          </cell>
          <cell r="L2112" t="e">
            <v>#N/A</v>
          </cell>
          <cell r="Y2112" t="e">
            <v>#VALUE!</v>
          </cell>
          <cell r="Z2112" t="e">
            <v>#VALUE!</v>
          </cell>
        </row>
        <row r="2113">
          <cell r="D2113" t="str">
            <v>TC65AYAL</v>
          </cell>
          <cell r="E2113" t="e">
            <v>#N/A</v>
          </cell>
          <cell r="F2113" t="e">
            <v>#N/A</v>
          </cell>
          <cell r="G2113">
            <v>2</v>
          </cell>
          <cell r="H2113" t="e">
            <v>#N/A</v>
          </cell>
          <cell r="I2113" t="e">
            <v>#N/A</v>
          </cell>
          <cell r="J2113" t="e">
            <v>#N/A</v>
          </cell>
          <cell r="K2113">
            <v>0</v>
          </cell>
          <cell r="L2113" t="e">
            <v>#N/A</v>
          </cell>
          <cell r="Y2113" t="e">
            <v>#VALUE!</v>
          </cell>
          <cell r="Z2113" t="e">
            <v>#VALUE!</v>
          </cell>
        </row>
        <row r="2115">
          <cell r="E2115" t="str">
            <v>SUBTOTAL</v>
          </cell>
          <cell r="I2115" t="e">
            <v>#N/A</v>
          </cell>
          <cell r="L2115" t="e">
            <v>#N/A</v>
          </cell>
          <cell r="Z2115" t="e">
            <v>#VALUE!</v>
          </cell>
        </row>
        <row r="2116">
          <cell r="E2116" t="str">
            <v>A.I.U</v>
          </cell>
          <cell r="I2116" t="e">
            <v>#N/A</v>
          </cell>
          <cell r="L2116" t="e">
            <v>#N/A</v>
          </cell>
          <cell r="Z2116" t="e">
            <v>#N/A</v>
          </cell>
        </row>
        <row r="2117">
          <cell r="D2117" t="str">
            <v>AIUAADMON</v>
          </cell>
          <cell r="E2117" t="str">
            <v>Admon</v>
          </cell>
          <cell r="F2117">
            <v>0</v>
          </cell>
          <cell r="I2117" t="e">
            <v>#N/A</v>
          </cell>
          <cell r="J2117">
            <v>0</v>
          </cell>
          <cell r="L2117" t="e">
            <v>#N/A</v>
          </cell>
          <cell r="Z2117" t="e">
            <v>#N/A</v>
          </cell>
        </row>
        <row r="2118">
          <cell r="D2118" t="str">
            <v>AIUAIMPRE</v>
          </cell>
          <cell r="E2118" t="str">
            <v>Imprevistos</v>
          </cell>
          <cell r="F2118">
            <v>0</v>
          </cell>
          <cell r="I2118" t="e">
            <v>#N/A</v>
          </cell>
          <cell r="J2118">
            <v>0</v>
          </cell>
          <cell r="L2118" t="e">
            <v>#N/A</v>
          </cell>
          <cell r="Z2118" t="e">
            <v>#N/A</v>
          </cell>
        </row>
        <row r="2119">
          <cell r="D2119" t="str">
            <v>AIUAUTILI</v>
          </cell>
          <cell r="E2119" t="str">
            <v>Utilidad</v>
          </cell>
          <cell r="F2119">
            <v>0</v>
          </cell>
          <cell r="I2119" t="e">
            <v>#N/A</v>
          </cell>
          <cell r="J2119">
            <v>0</v>
          </cell>
          <cell r="L2119" t="e">
            <v>#N/A</v>
          </cell>
          <cell r="Z2119" t="e">
            <v>#N/A</v>
          </cell>
        </row>
        <row r="2120">
          <cell r="D2120" t="str">
            <v>AIUAIVAUTI</v>
          </cell>
          <cell r="E2120" t="str">
            <v>IVA utilidad</v>
          </cell>
          <cell r="F2120">
            <v>0</v>
          </cell>
          <cell r="I2120" t="e">
            <v>#N/A</v>
          </cell>
          <cell r="J2120">
            <v>0</v>
          </cell>
          <cell r="L2120" t="e">
            <v>#N/A</v>
          </cell>
          <cell r="Z2120" t="e">
            <v>#N/A</v>
          </cell>
        </row>
        <row r="2122">
          <cell r="E2122" t="str">
            <v>ITEM</v>
          </cell>
        </row>
        <row r="2123">
          <cell r="D2123" t="str">
            <v>PEVI</v>
          </cell>
          <cell r="E2123" t="str">
            <v>Vigilancia</v>
          </cell>
          <cell r="G2123" t="str">
            <v>UN.</v>
          </cell>
          <cell r="H2123" t="str">
            <v>Mes</v>
          </cell>
          <cell r="I2123" t="e">
            <v>#N/A</v>
          </cell>
          <cell r="K2123">
            <v>0</v>
          </cell>
          <cell r="L2123" t="e">
            <v>#N/A</v>
          </cell>
          <cell r="P2123" t="e">
            <v>#N/A</v>
          </cell>
          <cell r="Q2123" t="e">
            <v>#N/A</v>
          </cell>
          <cell r="X2123" t="e">
            <v>#N/A</v>
          </cell>
          <cell r="Z2123" t="e">
            <v>#VALUE!</v>
          </cell>
          <cell r="AC2123" t="e">
            <v>#VALUE!</v>
          </cell>
        </row>
        <row r="2125">
          <cell r="D2125" t="str">
            <v>CODIGO</v>
          </cell>
          <cell r="E2125" t="str">
            <v>DESCRIPCION</v>
          </cell>
          <cell r="F2125" t="str">
            <v>UN</v>
          </cell>
          <cell r="G2125" t="str">
            <v>CANT</v>
          </cell>
          <cell r="H2125" t="str">
            <v>V/UNIT.</v>
          </cell>
          <cell r="I2125" t="str">
            <v>V/TOTAL</v>
          </cell>
          <cell r="K2125" t="str">
            <v>CANT TOTAL</v>
          </cell>
          <cell r="L2125" t="str">
            <v>Vr TOTAL</v>
          </cell>
          <cell r="Y2125" t="str">
            <v>CANT.</v>
          </cell>
          <cell r="Z2125" t="str">
            <v>V/TOTAL</v>
          </cell>
        </row>
        <row r="2126">
          <cell r="E2126" t="str">
            <v>VARIOS</v>
          </cell>
          <cell r="I2126" t="e">
            <v>#N/A</v>
          </cell>
          <cell r="L2126" t="e">
            <v>#N/A</v>
          </cell>
          <cell r="Z2126" t="e">
            <v>#VALUE!</v>
          </cell>
        </row>
        <row r="2127">
          <cell r="D2127" t="str">
            <v>TC65VI</v>
          </cell>
          <cell r="E2127" t="e">
            <v>#N/A</v>
          </cell>
          <cell r="F2127" t="e">
            <v>#N/A</v>
          </cell>
          <cell r="G2127">
            <v>1</v>
          </cell>
          <cell r="H2127" t="e">
            <v>#N/A</v>
          </cell>
          <cell r="I2127" t="e">
            <v>#N/A</v>
          </cell>
          <cell r="J2127" t="e">
            <v>#N/A</v>
          </cell>
          <cell r="K2127">
            <v>0</v>
          </cell>
          <cell r="L2127" t="e">
            <v>#N/A</v>
          </cell>
          <cell r="Y2127" t="e">
            <v>#VALUE!</v>
          </cell>
          <cell r="Z2127" t="e">
            <v>#VALUE!</v>
          </cell>
        </row>
        <row r="2129">
          <cell r="E2129" t="str">
            <v>SUBTOTAL</v>
          </cell>
          <cell r="I2129" t="e">
            <v>#N/A</v>
          </cell>
          <cell r="L2129" t="e">
            <v>#N/A</v>
          </cell>
          <cell r="Z2129" t="e">
            <v>#VALUE!</v>
          </cell>
        </row>
        <row r="2130">
          <cell r="E2130" t="str">
            <v>A.I.U</v>
          </cell>
          <cell r="I2130" t="e">
            <v>#N/A</v>
          </cell>
          <cell r="L2130" t="e">
            <v>#N/A</v>
          </cell>
          <cell r="Z2130" t="e">
            <v>#VALUE!</v>
          </cell>
        </row>
        <row r="2131">
          <cell r="D2131" t="str">
            <v>AIUAADMON</v>
          </cell>
          <cell r="E2131" t="str">
            <v>Admon</v>
          </cell>
          <cell r="F2131">
            <v>0</v>
          </cell>
          <cell r="I2131" t="e">
            <v>#N/A</v>
          </cell>
          <cell r="L2131" t="e">
            <v>#N/A</v>
          </cell>
          <cell r="Z2131" t="e">
            <v>#VALUE!</v>
          </cell>
        </row>
        <row r="2132">
          <cell r="D2132" t="str">
            <v>AIUAIMPRE</v>
          </cell>
          <cell r="E2132" t="str">
            <v>Imprevistos</v>
          </cell>
          <cell r="F2132">
            <v>0</v>
          </cell>
          <cell r="I2132" t="e">
            <v>#N/A</v>
          </cell>
          <cell r="L2132" t="e">
            <v>#N/A</v>
          </cell>
          <cell r="Z2132" t="e">
            <v>#VALUE!</v>
          </cell>
        </row>
        <row r="2133">
          <cell r="D2133" t="str">
            <v>AIUAUTILI</v>
          </cell>
          <cell r="E2133" t="str">
            <v>Utilidad</v>
          </cell>
          <cell r="F2133">
            <v>0</v>
          </cell>
          <cell r="I2133" t="e">
            <v>#N/A</v>
          </cell>
          <cell r="L2133" t="e">
            <v>#N/A</v>
          </cell>
          <cell r="Z2133" t="e">
            <v>#VALUE!</v>
          </cell>
        </row>
        <row r="2134">
          <cell r="D2134" t="str">
            <v>AIUAIVAUTI</v>
          </cell>
          <cell r="E2134" t="str">
            <v>IVA utilidad</v>
          </cell>
          <cell r="F2134">
            <v>0</v>
          </cell>
          <cell r="I2134" t="e">
            <v>#N/A</v>
          </cell>
          <cell r="L2134" t="e">
            <v>#N/A</v>
          </cell>
          <cell r="Z2134" t="e">
            <v>#VALUE!</v>
          </cell>
        </row>
        <row r="2136">
          <cell r="E2136" t="str">
            <v>ITEM</v>
          </cell>
        </row>
        <row r="2137">
          <cell r="D2137" t="str">
            <v>PRPR</v>
          </cell>
          <cell r="E2137" t="e">
            <v>#N/A</v>
          </cell>
          <cell r="G2137" t="str">
            <v>UN.</v>
          </cell>
          <cell r="H2137" t="e">
            <v>#N/A</v>
          </cell>
          <cell r="I2137" t="e">
            <v>#N/A</v>
          </cell>
          <cell r="K2137">
            <v>0</v>
          </cell>
          <cell r="L2137" t="e">
            <v>#N/A</v>
          </cell>
          <cell r="P2137" t="e">
            <v>#N/A</v>
          </cell>
          <cell r="Q2137" t="e">
            <v>#N/A</v>
          </cell>
          <cell r="X2137" t="e">
            <v>#N/A</v>
          </cell>
          <cell r="Z2137" t="e">
            <v>#VALUE!</v>
          </cell>
          <cell r="AC2137" t="e">
            <v>#VALUE!</v>
          </cell>
        </row>
        <row r="2139">
          <cell r="D2139" t="str">
            <v>CODIGO</v>
          </cell>
          <cell r="E2139" t="str">
            <v>DESCRIPCION</v>
          </cell>
          <cell r="F2139" t="str">
            <v>UN</v>
          </cell>
          <cell r="G2139" t="str">
            <v>CANT</v>
          </cell>
          <cell r="H2139" t="str">
            <v>V/UNIT.</v>
          </cell>
          <cell r="I2139" t="str">
            <v>V/TOTAL</v>
          </cell>
          <cell r="K2139" t="str">
            <v>CANT TOTAL</v>
          </cell>
          <cell r="L2139" t="str">
            <v>Vr TOTAL</v>
          </cell>
          <cell r="Y2139" t="str">
            <v>CANT.</v>
          </cell>
          <cell r="Z2139" t="str">
            <v>V/TOTAL</v>
          </cell>
        </row>
        <row r="2140">
          <cell r="E2140" t="str">
            <v>VARIOS</v>
          </cell>
          <cell r="I2140" t="e">
            <v>#N/A</v>
          </cell>
          <cell r="L2140" t="e">
            <v>#N/A</v>
          </cell>
          <cell r="Z2140" t="e">
            <v>#VALUE!</v>
          </cell>
        </row>
        <row r="2141">
          <cell r="D2141" t="str">
            <v>TCPRPR</v>
          </cell>
          <cell r="E2141" t="e">
            <v>#N/A</v>
          </cell>
          <cell r="F2141" t="e">
            <v>#N/A</v>
          </cell>
          <cell r="G2141">
            <v>1.4999999999999999E-2</v>
          </cell>
          <cell r="H2141" t="e">
            <v>#N/A</v>
          </cell>
          <cell r="I2141" t="e">
            <v>#N/A</v>
          </cell>
          <cell r="J2141" t="e">
            <v>#N/A</v>
          </cell>
          <cell r="K2141">
            <v>0</v>
          </cell>
          <cell r="L2141" t="e">
            <v>#N/A</v>
          </cell>
          <cell r="Y2141" t="e">
            <v>#VALUE!</v>
          </cell>
          <cell r="Z2141" t="e">
            <v>#VALUE!</v>
          </cell>
        </row>
        <row r="2143">
          <cell r="E2143" t="str">
            <v>SUBTOTAL</v>
          </cell>
          <cell r="I2143" t="e">
            <v>#N/A</v>
          </cell>
          <cell r="L2143" t="e">
            <v>#N/A</v>
          </cell>
          <cell r="Z2143" t="e">
            <v>#VALUE!</v>
          </cell>
        </row>
        <row r="2144">
          <cell r="E2144" t="str">
            <v>A.I.U</v>
          </cell>
          <cell r="I2144" t="e">
            <v>#N/A</v>
          </cell>
          <cell r="L2144" t="e">
            <v>#N/A</v>
          </cell>
          <cell r="Z2144" t="e">
            <v>#VALUE!</v>
          </cell>
        </row>
        <row r="2145">
          <cell r="D2145" t="str">
            <v>AIUAADMON</v>
          </cell>
          <cell r="E2145" t="str">
            <v>Admon</v>
          </cell>
          <cell r="F2145">
            <v>0</v>
          </cell>
          <cell r="I2145" t="e">
            <v>#N/A</v>
          </cell>
          <cell r="L2145" t="e">
            <v>#N/A</v>
          </cell>
          <cell r="Z2145" t="e">
            <v>#VALUE!</v>
          </cell>
        </row>
        <row r="2146">
          <cell r="D2146" t="str">
            <v>AIUAIMPRE</v>
          </cell>
          <cell r="E2146" t="str">
            <v>Imprevistos</v>
          </cell>
          <cell r="F2146">
            <v>0</v>
          </cell>
          <cell r="I2146" t="e">
            <v>#N/A</v>
          </cell>
          <cell r="L2146" t="e">
            <v>#N/A</v>
          </cell>
          <cell r="Z2146" t="e">
            <v>#VALUE!</v>
          </cell>
        </row>
        <row r="2147">
          <cell r="D2147" t="str">
            <v>AIUAUTILI</v>
          </cell>
          <cell r="E2147" t="str">
            <v>Utilidad</v>
          </cell>
          <cell r="F2147">
            <v>0</v>
          </cell>
          <cell r="I2147" t="e">
            <v>#N/A</v>
          </cell>
          <cell r="L2147" t="e">
            <v>#N/A</v>
          </cell>
          <cell r="Z2147" t="e">
            <v>#VALUE!</v>
          </cell>
        </row>
        <row r="2148">
          <cell r="D2148" t="str">
            <v>AIUAIVAUTI</v>
          </cell>
          <cell r="E2148" t="str">
            <v>IVA utilidad</v>
          </cell>
          <cell r="F2148">
            <v>0</v>
          </cell>
          <cell r="I2148" t="e">
            <v>#N/A</v>
          </cell>
          <cell r="L2148" t="e">
            <v>#N/A</v>
          </cell>
          <cell r="Z2148" t="e">
            <v>#VALUE!</v>
          </cell>
        </row>
        <row r="2151">
          <cell r="E2151" t="str">
            <v>ITEM</v>
          </cell>
        </row>
        <row r="2152">
          <cell r="D2152" t="str">
            <v>MSAGU</v>
          </cell>
          <cell r="E2152" t="str">
            <v>Agua</v>
          </cell>
          <cell r="G2152" t="str">
            <v>UN.</v>
          </cell>
          <cell r="H2152" t="str">
            <v>Mes</v>
          </cell>
          <cell r="I2152" t="e">
            <v>#N/A</v>
          </cell>
          <cell r="K2152">
            <v>0</v>
          </cell>
          <cell r="L2152" t="e">
            <v>#N/A</v>
          </cell>
          <cell r="P2152" t="e">
            <v>#N/A</v>
          </cell>
          <cell r="Q2152" t="e">
            <v>#N/A</v>
          </cell>
          <cell r="X2152" t="e">
            <v>#N/A</v>
          </cell>
          <cell r="Z2152" t="e">
            <v>#VALUE!</v>
          </cell>
          <cell r="AC2152" t="e">
            <v>#VALUE!</v>
          </cell>
        </row>
        <row r="2154">
          <cell r="D2154" t="str">
            <v>CODIGO</v>
          </cell>
          <cell r="E2154" t="str">
            <v>DESCRIPCION</v>
          </cell>
          <cell r="F2154" t="str">
            <v>UN</v>
          </cell>
          <cell r="G2154" t="str">
            <v>CANT</v>
          </cell>
          <cell r="H2154" t="str">
            <v>V/UNIT.</v>
          </cell>
          <cell r="I2154" t="str">
            <v>V/TOTAL</v>
          </cell>
          <cell r="K2154" t="str">
            <v>CANT TOTAL</v>
          </cell>
          <cell r="L2154" t="str">
            <v>Vr TOTAL</v>
          </cell>
          <cell r="Y2154" t="str">
            <v>CANT.</v>
          </cell>
          <cell r="Z2154" t="str">
            <v>V/TOTAL</v>
          </cell>
        </row>
        <row r="2155">
          <cell r="E2155" t="str">
            <v>VARIOS</v>
          </cell>
          <cell r="I2155" t="e">
            <v>#N/A</v>
          </cell>
          <cell r="L2155" t="e">
            <v>#N/A</v>
          </cell>
          <cell r="Z2155" t="e">
            <v>#VALUE!</v>
          </cell>
        </row>
        <row r="2156">
          <cell r="D2156" t="str">
            <v>TCMSAGU</v>
          </cell>
          <cell r="E2156" t="e">
            <v>#N/A</v>
          </cell>
          <cell r="F2156" t="e">
            <v>#N/A</v>
          </cell>
          <cell r="G2156">
            <v>1</v>
          </cell>
          <cell r="H2156" t="e">
            <v>#N/A</v>
          </cell>
          <cell r="I2156" t="e">
            <v>#N/A</v>
          </cell>
          <cell r="J2156" t="e">
            <v>#N/A</v>
          </cell>
          <cell r="K2156">
            <v>0</v>
          </cell>
          <cell r="L2156" t="e">
            <v>#N/A</v>
          </cell>
          <cell r="Y2156" t="e">
            <v>#VALUE!</v>
          </cell>
          <cell r="Z2156" t="e">
            <v>#VALUE!</v>
          </cell>
        </row>
        <row r="2158">
          <cell r="E2158" t="str">
            <v>SUBTOTAL</v>
          </cell>
          <cell r="I2158" t="e">
            <v>#N/A</v>
          </cell>
          <cell r="L2158" t="e">
            <v>#N/A</v>
          </cell>
          <cell r="Z2158" t="e">
            <v>#VALUE!</v>
          </cell>
        </row>
        <row r="2159">
          <cell r="E2159" t="str">
            <v>A.I.U</v>
          </cell>
          <cell r="I2159" t="e">
            <v>#N/A</v>
          </cell>
          <cell r="L2159" t="e">
            <v>#N/A</v>
          </cell>
          <cell r="Z2159" t="e">
            <v>#VALUE!</v>
          </cell>
        </row>
        <row r="2160">
          <cell r="D2160" t="str">
            <v>AIUAADMON</v>
          </cell>
          <cell r="E2160" t="str">
            <v>Admon</v>
          </cell>
          <cell r="F2160">
            <v>0</v>
          </cell>
          <cell r="I2160" t="e">
            <v>#N/A</v>
          </cell>
          <cell r="L2160" t="e">
            <v>#N/A</v>
          </cell>
          <cell r="Z2160" t="e">
            <v>#VALUE!</v>
          </cell>
        </row>
        <row r="2161">
          <cell r="D2161" t="str">
            <v>AIUAIMPRE</v>
          </cell>
          <cell r="E2161" t="str">
            <v>Imprevistos</v>
          </cell>
          <cell r="F2161">
            <v>0</v>
          </cell>
          <cell r="I2161" t="e">
            <v>#N/A</v>
          </cell>
          <cell r="L2161" t="e">
            <v>#N/A</v>
          </cell>
          <cell r="Z2161" t="e">
            <v>#VALUE!</v>
          </cell>
        </row>
        <row r="2162">
          <cell r="D2162" t="str">
            <v>AIUAUTILI</v>
          </cell>
          <cell r="E2162" t="str">
            <v>Utilidad</v>
          </cell>
          <cell r="F2162">
            <v>0</v>
          </cell>
          <cell r="I2162" t="e">
            <v>#N/A</v>
          </cell>
          <cell r="L2162" t="e">
            <v>#N/A</v>
          </cell>
          <cell r="Z2162" t="e">
            <v>#VALUE!</v>
          </cell>
        </row>
        <row r="2163">
          <cell r="D2163" t="str">
            <v>AIUAIVAUTI</v>
          </cell>
          <cell r="E2163" t="str">
            <v>IVA utilidad</v>
          </cell>
          <cell r="F2163">
            <v>0</v>
          </cell>
          <cell r="I2163" t="e">
            <v>#N/A</v>
          </cell>
          <cell r="L2163" t="e">
            <v>#N/A</v>
          </cell>
          <cell r="Z2163" t="e">
            <v>#VALUE!</v>
          </cell>
        </row>
        <row r="2165">
          <cell r="E2165" t="str">
            <v>ITEM</v>
          </cell>
        </row>
        <row r="2166">
          <cell r="D2166" t="str">
            <v>MSENE</v>
          </cell>
          <cell r="E2166" t="str">
            <v>Luz</v>
          </cell>
          <cell r="G2166" t="str">
            <v>UN.</v>
          </cell>
          <cell r="H2166" t="str">
            <v>Mes</v>
          </cell>
          <cell r="I2166" t="e">
            <v>#N/A</v>
          </cell>
          <cell r="K2166">
            <v>0</v>
          </cell>
          <cell r="L2166" t="e">
            <v>#N/A</v>
          </cell>
          <cell r="P2166" t="e">
            <v>#N/A</v>
          </cell>
          <cell r="Q2166" t="e">
            <v>#N/A</v>
          </cell>
          <cell r="X2166" t="e">
            <v>#N/A</v>
          </cell>
          <cell r="Z2166" t="e">
            <v>#VALUE!</v>
          </cell>
          <cell r="AC2166" t="e">
            <v>#VALUE!</v>
          </cell>
        </row>
        <row r="2168">
          <cell r="D2168" t="str">
            <v>CODIGO</v>
          </cell>
          <cell r="E2168" t="str">
            <v>DESCRIPCION</v>
          </cell>
          <cell r="F2168" t="str">
            <v>UN</v>
          </cell>
          <cell r="G2168" t="str">
            <v>CANT</v>
          </cell>
          <cell r="H2168" t="str">
            <v>V/UNIT.</v>
          </cell>
          <cell r="I2168" t="str">
            <v>V/TOTAL</v>
          </cell>
          <cell r="K2168" t="str">
            <v>CANT TOTAL</v>
          </cell>
          <cell r="L2168" t="str">
            <v>Vr TOTAL</v>
          </cell>
          <cell r="Y2168" t="str">
            <v>CANT.</v>
          </cell>
          <cell r="Z2168" t="str">
            <v>V/TOTAL</v>
          </cell>
        </row>
        <row r="2169">
          <cell r="E2169" t="str">
            <v>VARIOS</v>
          </cell>
          <cell r="I2169" t="e">
            <v>#N/A</v>
          </cell>
          <cell r="L2169" t="e">
            <v>#N/A</v>
          </cell>
          <cell r="Z2169" t="e">
            <v>#VALUE!</v>
          </cell>
        </row>
        <row r="2170">
          <cell r="D2170" t="str">
            <v>TCMSENE</v>
          </cell>
          <cell r="E2170" t="e">
            <v>#N/A</v>
          </cell>
          <cell r="F2170" t="e">
            <v>#N/A</v>
          </cell>
          <cell r="G2170">
            <v>1</v>
          </cell>
          <cell r="H2170" t="e">
            <v>#N/A</v>
          </cell>
          <cell r="I2170" t="e">
            <v>#N/A</v>
          </cell>
          <cell r="J2170" t="e">
            <v>#N/A</v>
          </cell>
          <cell r="K2170">
            <v>0</v>
          </cell>
          <cell r="L2170" t="e">
            <v>#N/A</v>
          </cell>
          <cell r="Y2170" t="e">
            <v>#VALUE!</v>
          </cell>
          <cell r="Z2170" t="e">
            <v>#VALUE!</v>
          </cell>
        </row>
        <row r="2172">
          <cell r="E2172" t="str">
            <v>SUBTOTAL</v>
          </cell>
          <cell r="I2172" t="e">
            <v>#N/A</v>
          </cell>
          <cell r="L2172" t="e">
            <v>#N/A</v>
          </cell>
          <cell r="Z2172" t="e">
            <v>#VALUE!</v>
          </cell>
        </row>
        <row r="2173">
          <cell r="E2173" t="str">
            <v>A.I.U</v>
          </cell>
          <cell r="I2173" t="e">
            <v>#N/A</v>
          </cell>
          <cell r="L2173" t="e">
            <v>#N/A</v>
          </cell>
          <cell r="Z2173" t="e">
            <v>#VALUE!</v>
          </cell>
        </row>
        <row r="2174">
          <cell r="D2174" t="str">
            <v>AIUAADMON</v>
          </cell>
          <cell r="E2174" t="str">
            <v>Admon</v>
          </cell>
          <cell r="F2174">
            <v>0</v>
          </cell>
          <cell r="I2174" t="e">
            <v>#N/A</v>
          </cell>
          <cell r="L2174" t="e">
            <v>#N/A</v>
          </cell>
          <cell r="Z2174" t="e">
            <v>#VALUE!</v>
          </cell>
        </row>
        <row r="2175">
          <cell r="D2175" t="str">
            <v>AIUAIMPRE</v>
          </cell>
          <cell r="E2175" t="str">
            <v>Imprevistos</v>
          </cell>
          <cell r="F2175">
            <v>0</v>
          </cell>
          <cell r="I2175" t="e">
            <v>#N/A</v>
          </cell>
          <cell r="L2175" t="e">
            <v>#N/A</v>
          </cell>
          <cell r="Z2175" t="e">
            <v>#VALUE!</v>
          </cell>
        </row>
        <row r="2176">
          <cell r="D2176" t="str">
            <v>AIUAUTILI</v>
          </cell>
          <cell r="E2176" t="str">
            <v>Utilidad</v>
          </cell>
          <cell r="F2176">
            <v>0</v>
          </cell>
          <cell r="I2176" t="e">
            <v>#N/A</v>
          </cell>
          <cell r="L2176" t="e">
            <v>#N/A</v>
          </cell>
          <cell r="Z2176" t="e">
            <v>#VALUE!</v>
          </cell>
        </row>
        <row r="2177">
          <cell r="D2177" t="str">
            <v>AIUAIVAUTI</v>
          </cell>
          <cell r="E2177" t="str">
            <v>IVA utilidad</v>
          </cell>
          <cell r="F2177">
            <v>0</v>
          </cell>
          <cell r="I2177" t="e">
            <v>#N/A</v>
          </cell>
          <cell r="L2177" t="e">
            <v>#N/A</v>
          </cell>
          <cell r="Z2177" t="e">
            <v>#VALUE!</v>
          </cell>
        </row>
        <row r="2179">
          <cell r="E2179" t="str">
            <v>ITEM</v>
          </cell>
        </row>
        <row r="2180">
          <cell r="D2180" t="str">
            <v>MSPENE</v>
          </cell>
          <cell r="E2180" t="str">
            <v>Provisional electrica</v>
          </cell>
          <cell r="G2180" t="str">
            <v>UN.</v>
          </cell>
          <cell r="H2180" t="str">
            <v>Gb</v>
          </cell>
          <cell r="I2180" t="e">
            <v>#N/A</v>
          </cell>
          <cell r="K2180">
            <v>0</v>
          </cell>
          <cell r="L2180" t="e">
            <v>#N/A</v>
          </cell>
          <cell r="P2180" t="e">
            <v>#N/A</v>
          </cell>
          <cell r="Q2180" t="e">
            <v>#N/A</v>
          </cell>
          <cell r="X2180" t="e">
            <v>#N/A</v>
          </cell>
          <cell r="Z2180" t="e">
            <v>#VALUE!</v>
          </cell>
          <cell r="AC2180" t="e">
            <v>#VALUE!</v>
          </cell>
        </row>
        <row r="2182">
          <cell r="D2182" t="str">
            <v>CODIGO</v>
          </cell>
          <cell r="E2182" t="str">
            <v>DESCRIPCION</v>
          </cell>
          <cell r="F2182" t="str">
            <v>UN</v>
          </cell>
          <cell r="G2182" t="str">
            <v>CANT</v>
          </cell>
          <cell r="H2182" t="str">
            <v>V/UNIT.</v>
          </cell>
          <cell r="I2182" t="str">
            <v>V/TOTAL</v>
          </cell>
          <cell r="K2182" t="str">
            <v>CANT TOTAL</v>
          </cell>
          <cell r="L2182" t="str">
            <v>Vr TOTAL</v>
          </cell>
          <cell r="Y2182" t="str">
            <v>CANT.</v>
          </cell>
          <cell r="Z2182" t="str">
            <v>V/TOTAL</v>
          </cell>
        </row>
        <row r="2183">
          <cell r="E2183" t="str">
            <v>VARIOS</v>
          </cell>
          <cell r="I2183" t="e">
            <v>#N/A</v>
          </cell>
          <cell r="L2183" t="e">
            <v>#N/A</v>
          </cell>
          <cell r="Z2183" t="e">
            <v>#VALUE!</v>
          </cell>
        </row>
        <row r="2184">
          <cell r="D2184" t="str">
            <v>TCMSPENE</v>
          </cell>
          <cell r="E2184" t="e">
            <v>#N/A</v>
          </cell>
          <cell r="F2184" t="e">
            <v>#N/A</v>
          </cell>
          <cell r="G2184">
            <v>1</v>
          </cell>
          <cell r="H2184" t="e">
            <v>#N/A</v>
          </cell>
          <cell r="I2184" t="e">
            <v>#N/A</v>
          </cell>
          <cell r="J2184" t="e">
            <v>#N/A</v>
          </cell>
          <cell r="K2184">
            <v>0</v>
          </cell>
          <cell r="L2184" t="e">
            <v>#N/A</v>
          </cell>
          <cell r="Y2184" t="e">
            <v>#VALUE!</v>
          </cell>
          <cell r="Z2184" t="e">
            <v>#VALUE!</v>
          </cell>
        </row>
        <row r="2186">
          <cell r="E2186" t="str">
            <v>SUBTOTAL</v>
          </cell>
          <cell r="I2186" t="e">
            <v>#N/A</v>
          </cell>
          <cell r="L2186" t="e">
            <v>#N/A</v>
          </cell>
          <cell r="Z2186" t="e">
            <v>#VALUE!</v>
          </cell>
        </row>
        <row r="2187">
          <cell r="E2187" t="str">
            <v>A.I.U</v>
          </cell>
          <cell r="I2187" t="e">
            <v>#N/A</v>
          </cell>
          <cell r="L2187" t="e">
            <v>#N/A</v>
          </cell>
          <cell r="Z2187" t="e">
            <v>#VALUE!</v>
          </cell>
        </row>
        <row r="2188">
          <cell r="D2188" t="str">
            <v>AIUAADMON</v>
          </cell>
          <cell r="E2188" t="str">
            <v>Admon</v>
          </cell>
          <cell r="F2188">
            <v>0</v>
          </cell>
          <cell r="I2188" t="e">
            <v>#N/A</v>
          </cell>
          <cell r="L2188" t="e">
            <v>#N/A</v>
          </cell>
          <cell r="Z2188" t="e">
            <v>#VALUE!</v>
          </cell>
        </row>
        <row r="2189">
          <cell r="D2189" t="str">
            <v>AIUAIMPRE</v>
          </cell>
          <cell r="E2189" t="str">
            <v>Imprevistos</v>
          </cell>
          <cell r="F2189">
            <v>0</v>
          </cell>
          <cell r="I2189" t="e">
            <v>#N/A</v>
          </cell>
          <cell r="L2189" t="e">
            <v>#N/A</v>
          </cell>
          <cell r="Z2189" t="e">
            <v>#VALUE!</v>
          </cell>
        </row>
        <row r="2190">
          <cell r="D2190" t="str">
            <v>AIUAUTILI</v>
          </cell>
          <cell r="E2190" t="str">
            <v>Utilidad</v>
          </cell>
          <cell r="F2190">
            <v>0</v>
          </cell>
          <cell r="I2190" t="e">
            <v>#N/A</v>
          </cell>
          <cell r="L2190" t="e">
            <v>#N/A</v>
          </cell>
          <cell r="Z2190" t="e">
            <v>#VALUE!</v>
          </cell>
        </row>
        <row r="2191">
          <cell r="D2191" t="str">
            <v>AIUAIVAUTI</v>
          </cell>
          <cell r="E2191" t="str">
            <v>IVA utilidad</v>
          </cell>
          <cell r="F2191">
            <v>0</v>
          </cell>
          <cell r="I2191" t="e">
            <v>#N/A</v>
          </cell>
          <cell r="L2191" t="e">
            <v>#N/A</v>
          </cell>
          <cell r="Z2191" t="e">
            <v>#VALUE!</v>
          </cell>
        </row>
        <row r="2194">
          <cell r="E2194" t="str">
            <v>ITEM</v>
          </cell>
        </row>
        <row r="2195">
          <cell r="D2195" t="str">
            <v>MSTEL</v>
          </cell>
          <cell r="E2195" t="str">
            <v>Telefono</v>
          </cell>
          <cell r="G2195" t="str">
            <v>UN.</v>
          </cell>
          <cell r="H2195" t="str">
            <v>Mes</v>
          </cell>
          <cell r="I2195" t="e">
            <v>#N/A</v>
          </cell>
          <cell r="K2195">
            <v>0</v>
          </cell>
          <cell r="L2195" t="e">
            <v>#N/A</v>
          </cell>
          <cell r="P2195" t="e">
            <v>#N/A</v>
          </cell>
          <cell r="Q2195" t="e">
            <v>#N/A</v>
          </cell>
          <cell r="X2195" t="e">
            <v>#N/A</v>
          </cell>
          <cell r="Z2195" t="e">
            <v>#VALUE!</v>
          </cell>
          <cell r="AC2195" t="e">
            <v>#VALUE!</v>
          </cell>
        </row>
        <row r="2197">
          <cell r="D2197" t="str">
            <v>CODIGO</v>
          </cell>
          <cell r="E2197" t="str">
            <v>DESCRIPCION</v>
          </cell>
          <cell r="F2197" t="str">
            <v>UN</v>
          </cell>
          <cell r="G2197" t="str">
            <v>CANT</v>
          </cell>
          <cell r="H2197" t="str">
            <v>V/UNIT.</v>
          </cell>
          <cell r="I2197" t="str">
            <v>V/TOTAL</v>
          </cell>
          <cell r="K2197" t="str">
            <v>CANT TOTAL</v>
          </cell>
          <cell r="L2197" t="str">
            <v>Vr TOTAL</v>
          </cell>
          <cell r="Y2197" t="str">
            <v>CANT.</v>
          </cell>
          <cell r="Z2197" t="str">
            <v>V/TOTAL</v>
          </cell>
        </row>
        <row r="2198">
          <cell r="E2198" t="str">
            <v>VARIOS</v>
          </cell>
          <cell r="I2198" t="e">
            <v>#N/A</v>
          </cell>
          <cell r="L2198" t="e">
            <v>#N/A</v>
          </cell>
          <cell r="Z2198" t="e">
            <v>#VALUE!</v>
          </cell>
        </row>
        <row r="2199">
          <cell r="D2199" t="str">
            <v>TCMSTEL</v>
          </cell>
          <cell r="E2199" t="e">
            <v>#N/A</v>
          </cell>
          <cell r="F2199" t="e">
            <v>#N/A</v>
          </cell>
          <cell r="G2199">
            <v>1</v>
          </cell>
          <cell r="H2199" t="e">
            <v>#N/A</v>
          </cell>
          <cell r="I2199" t="e">
            <v>#N/A</v>
          </cell>
          <cell r="J2199" t="e">
            <v>#N/A</v>
          </cell>
          <cell r="K2199">
            <v>0</v>
          </cell>
          <cell r="L2199" t="e">
            <v>#N/A</v>
          </cell>
          <cell r="Y2199" t="e">
            <v>#VALUE!</v>
          </cell>
          <cell r="Z2199" t="e">
            <v>#VALUE!</v>
          </cell>
        </row>
        <row r="2201">
          <cell r="E2201" t="str">
            <v>SUBTOTAL</v>
          </cell>
          <cell r="I2201" t="e">
            <v>#N/A</v>
          </cell>
          <cell r="L2201" t="e">
            <v>#N/A</v>
          </cell>
          <cell r="Z2201" t="e">
            <v>#VALUE!</v>
          </cell>
        </row>
        <row r="2202">
          <cell r="E2202" t="str">
            <v>A.I.U</v>
          </cell>
          <cell r="I2202" t="e">
            <v>#N/A</v>
          </cell>
          <cell r="L2202" t="e">
            <v>#N/A</v>
          </cell>
          <cell r="Z2202" t="e">
            <v>#VALUE!</v>
          </cell>
        </row>
        <row r="2203">
          <cell r="D2203" t="str">
            <v>AIUAADMON</v>
          </cell>
          <cell r="E2203" t="str">
            <v>Admon</v>
          </cell>
          <cell r="F2203">
            <v>0</v>
          </cell>
          <cell r="I2203" t="e">
            <v>#N/A</v>
          </cell>
          <cell r="L2203" t="e">
            <v>#N/A</v>
          </cell>
          <cell r="Z2203" t="e">
            <v>#VALUE!</v>
          </cell>
        </row>
        <row r="2204">
          <cell r="D2204" t="str">
            <v>AIUAIMPRE</v>
          </cell>
          <cell r="E2204" t="str">
            <v>Imprevistos</v>
          </cell>
          <cell r="F2204">
            <v>0</v>
          </cell>
          <cell r="I2204" t="e">
            <v>#N/A</v>
          </cell>
          <cell r="L2204" t="e">
            <v>#N/A</v>
          </cell>
          <cell r="Z2204" t="e">
            <v>#VALUE!</v>
          </cell>
        </row>
        <row r="2205">
          <cell r="D2205" t="str">
            <v>AIUAUTILI</v>
          </cell>
          <cell r="E2205" t="str">
            <v>Utilidad</v>
          </cell>
          <cell r="F2205">
            <v>0</v>
          </cell>
          <cell r="I2205" t="e">
            <v>#N/A</v>
          </cell>
          <cell r="L2205" t="e">
            <v>#N/A</v>
          </cell>
          <cell r="Z2205" t="e">
            <v>#VALUE!</v>
          </cell>
        </row>
        <row r="2206">
          <cell r="D2206" t="str">
            <v>AIUAIVAUTI</v>
          </cell>
          <cell r="E2206" t="str">
            <v>IVA utilidad</v>
          </cell>
          <cell r="F2206">
            <v>0</v>
          </cell>
          <cell r="I2206" t="e">
            <v>#N/A</v>
          </cell>
          <cell r="L2206" t="e">
            <v>#N/A</v>
          </cell>
          <cell r="Z2206" t="e">
            <v>#VALUE!</v>
          </cell>
        </row>
      </sheetData>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d"/>
      <sheetName val="Insum"/>
      <sheetName val="Apu"/>
      <sheetName val="Ppto"/>
      <sheetName val="PreciosApto"/>
      <sheetName val="InsAct"/>
      <sheetName val="Ejecut"/>
      <sheetName val="Hoja2"/>
      <sheetName val="Hoja3"/>
    </sheetNames>
    <sheetDataSet>
      <sheetData sheetId="0" refreshError="1"/>
      <sheetData sheetId="1" refreshError="1"/>
      <sheetData sheetId="2" refreshError="1">
        <row r="8">
          <cell r="N8" t="str">
            <v>Vr. MATERIALES</v>
          </cell>
          <cell r="O8" t="str">
            <v>Vr. M.O</v>
          </cell>
          <cell r="P8" t="str">
            <v>Vr. VARIOS</v>
          </cell>
          <cell r="Q8" t="str">
            <v>Vr. A.I.U</v>
          </cell>
          <cell r="R8" t="str">
            <v>EQUIPO</v>
          </cell>
          <cell r="S8" t="str">
            <v>REPOSICION</v>
          </cell>
          <cell r="T8" t="str">
            <v>REPUESTOS</v>
          </cell>
          <cell r="U8" t="str">
            <v>MANTENIMIENTO</v>
          </cell>
          <cell r="V8" t="str">
            <v>COMBUSTIBLE</v>
          </cell>
          <cell r="W8" t="str">
            <v>OPERADOR</v>
          </cell>
          <cell r="X8">
            <v>2288419024.0599999</v>
          </cell>
          <cell r="AA8" t="str">
            <v>Vr. MATERIALES</v>
          </cell>
          <cell r="AB8" t="str">
            <v>Vr. M.O</v>
          </cell>
          <cell r="AC8" t="str">
            <v>Vr. VARIOS</v>
          </cell>
        </row>
        <row r="9">
          <cell r="E9" t="str">
            <v>ITEM</v>
          </cell>
        </row>
        <row r="10">
          <cell r="D10" t="str">
            <v>TPCAMPA</v>
          </cell>
          <cell r="E10" t="str">
            <v>Campamento alquilado</v>
          </cell>
          <cell r="G10" t="str">
            <v>UN.</v>
          </cell>
          <cell r="H10" t="str">
            <v>Un</v>
          </cell>
          <cell r="I10" t="e">
            <v>#N/A</v>
          </cell>
          <cell r="K10">
            <v>0</v>
          </cell>
          <cell r="L10" t="e">
            <v>#N/A</v>
          </cell>
          <cell r="N10">
            <v>46364</v>
          </cell>
          <cell r="O10" t="e">
            <v>#N/A</v>
          </cell>
          <cell r="P10">
            <v>660000</v>
          </cell>
          <cell r="Q10" t="e">
            <v>#N/A</v>
          </cell>
          <cell r="X10" t="e">
            <v>#N/A</v>
          </cell>
          <cell r="Z10" t="e">
            <v>#VALUE!</v>
          </cell>
          <cell r="AA10" t="e">
            <v>#VALUE!</v>
          </cell>
          <cell r="AB10" t="e">
            <v>#VALUE!</v>
          </cell>
          <cell r="AC10" t="e">
            <v>#VALUE!</v>
          </cell>
        </row>
        <row r="12">
          <cell r="D12" t="str">
            <v>CODIGO</v>
          </cell>
          <cell r="E12" t="str">
            <v>DESCRIPCION</v>
          </cell>
          <cell r="F12" t="str">
            <v>UN</v>
          </cell>
          <cell r="G12" t="str">
            <v>CANT</v>
          </cell>
          <cell r="H12" t="str">
            <v>V/UNIT.</v>
          </cell>
          <cell r="I12" t="str">
            <v>V/TOTAL</v>
          </cell>
          <cell r="K12" t="str">
            <v>CANT TOTAL</v>
          </cell>
          <cell r="L12" t="str">
            <v>Vr TOTAL</v>
          </cell>
          <cell r="Y12" t="str">
            <v>CANT.</v>
          </cell>
          <cell r="Z12" t="str">
            <v>V/TOTAL</v>
          </cell>
        </row>
        <row r="13">
          <cell r="E13" t="str">
            <v>MATERIALES</v>
          </cell>
          <cell r="I13">
            <v>46364</v>
          </cell>
          <cell r="L13">
            <v>0</v>
          </cell>
          <cell r="Z13" t="e">
            <v>#VALUE!</v>
          </cell>
        </row>
        <row r="14">
          <cell r="D14" t="str">
            <v>MA25DURM</v>
          </cell>
          <cell r="E14" t="str">
            <v>Durmiente</v>
          </cell>
          <cell r="F14" t="str">
            <v>Un</v>
          </cell>
          <cell r="G14">
            <v>10</v>
          </cell>
          <cell r="H14">
            <v>2000</v>
          </cell>
          <cell r="I14">
            <v>20000</v>
          </cell>
          <cell r="J14">
            <v>0</v>
          </cell>
          <cell r="K14">
            <v>0</v>
          </cell>
          <cell r="L14">
            <v>0</v>
          </cell>
          <cell r="Y14" t="e">
            <v>#VALUE!</v>
          </cell>
          <cell r="Z14" t="e">
            <v>#VALUE!</v>
          </cell>
        </row>
        <row r="15">
          <cell r="D15" t="str">
            <v>MA19PC25</v>
          </cell>
          <cell r="E15" t="str">
            <v>Puntilla con cabeza 2,5"</v>
          </cell>
          <cell r="F15" t="str">
            <v>Lb</v>
          </cell>
          <cell r="G15">
            <v>4</v>
          </cell>
          <cell r="H15">
            <v>1216</v>
          </cell>
          <cell r="I15">
            <v>4864</v>
          </cell>
          <cell r="J15">
            <v>0</v>
          </cell>
          <cell r="K15">
            <v>0</v>
          </cell>
          <cell r="L15">
            <v>0</v>
          </cell>
          <cell r="Y15" t="e">
            <v>#VALUE!</v>
          </cell>
          <cell r="Z15" t="e">
            <v>#VALUE!</v>
          </cell>
        </row>
        <row r="16">
          <cell r="D16" t="str">
            <v>MA17CAND</v>
          </cell>
          <cell r="E16" t="str">
            <v>Candado</v>
          </cell>
          <cell r="F16" t="str">
            <v>Un</v>
          </cell>
          <cell r="G16">
            <v>1</v>
          </cell>
          <cell r="H16">
            <v>9000</v>
          </cell>
          <cell r="I16">
            <v>9000</v>
          </cell>
          <cell r="J16">
            <v>0</v>
          </cell>
          <cell r="K16">
            <v>0</v>
          </cell>
          <cell r="L16">
            <v>0</v>
          </cell>
          <cell r="Y16" t="e">
            <v>#VALUE!</v>
          </cell>
          <cell r="Z16" t="e">
            <v>#VALUE!</v>
          </cell>
        </row>
        <row r="17">
          <cell r="D17" t="str">
            <v>MA17CADE1</v>
          </cell>
          <cell r="E17" t="str">
            <v>Cadena 1"</v>
          </cell>
          <cell r="F17" t="str">
            <v>Ml</v>
          </cell>
          <cell r="G17">
            <v>5</v>
          </cell>
          <cell r="H17">
            <v>2500</v>
          </cell>
          <cell r="I17">
            <v>12500</v>
          </cell>
          <cell r="J17">
            <v>0</v>
          </cell>
          <cell r="K17">
            <v>0</v>
          </cell>
          <cell r="L17">
            <v>0</v>
          </cell>
          <cell r="Y17" t="e">
            <v>#VALUE!</v>
          </cell>
          <cell r="Z17" t="e">
            <v>#VALUE!</v>
          </cell>
        </row>
        <row r="20">
          <cell r="E20" t="str">
            <v>MANO DE OBRA</v>
          </cell>
          <cell r="I20" t="e">
            <v>#N/A</v>
          </cell>
          <cell r="L20" t="e">
            <v>#N/A</v>
          </cell>
          <cell r="Z20" t="e">
            <v>#VALUE!</v>
          </cell>
        </row>
        <row r="21">
          <cell r="D21" t="str">
            <v>MOTPICAMP</v>
          </cell>
          <cell r="E21" t="e">
            <v>#N/A</v>
          </cell>
          <cell r="F21" t="e">
            <v>#N/A</v>
          </cell>
          <cell r="G21">
            <v>1</v>
          </cell>
          <cell r="H21" t="e">
            <v>#N/A</v>
          </cell>
          <cell r="I21" t="e">
            <v>#N/A</v>
          </cell>
          <cell r="J21" t="e">
            <v>#N/A</v>
          </cell>
          <cell r="K21">
            <v>0</v>
          </cell>
          <cell r="L21" t="e">
            <v>#N/A</v>
          </cell>
          <cell r="Y21" t="e">
            <v>#VALUE!</v>
          </cell>
          <cell r="Z21" t="e">
            <v>#VALUE!</v>
          </cell>
        </row>
        <row r="23">
          <cell r="E23" t="str">
            <v>VARIOS</v>
          </cell>
          <cell r="I23">
            <v>660000</v>
          </cell>
          <cell r="L23">
            <v>0</v>
          </cell>
          <cell r="Z23" t="e">
            <v>#VALUE!</v>
          </cell>
        </row>
        <row r="24">
          <cell r="D24" t="str">
            <v>AL03CAMPA</v>
          </cell>
          <cell r="E24" t="str">
            <v>Alquiler campamento</v>
          </cell>
          <cell r="F24" t="str">
            <v>mes</v>
          </cell>
          <cell r="G24">
            <v>7</v>
          </cell>
          <cell r="H24">
            <v>80000</v>
          </cell>
          <cell r="I24">
            <v>560000</v>
          </cell>
          <cell r="J24">
            <v>0</v>
          </cell>
          <cell r="K24">
            <v>0</v>
          </cell>
          <cell r="L24">
            <v>0</v>
          </cell>
          <cell r="Y24" t="e">
            <v>#VALUE!</v>
          </cell>
          <cell r="Z24" t="e">
            <v>#VALUE!</v>
          </cell>
        </row>
        <row r="25">
          <cell r="D25" t="str">
            <v>TC60TCAMP</v>
          </cell>
          <cell r="E25" t="str">
            <v>Transporte campamento</v>
          </cell>
          <cell r="F25" t="str">
            <v>Un</v>
          </cell>
          <cell r="G25">
            <v>1</v>
          </cell>
          <cell r="H25">
            <v>100000</v>
          </cell>
          <cell r="I25">
            <v>100000</v>
          </cell>
          <cell r="J25">
            <v>0</v>
          </cell>
          <cell r="K25">
            <v>0</v>
          </cell>
          <cell r="L25">
            <v>0</v>
          </cell>
          <cell r="Y25" t="e">
            <v>#VALUE!</v>
          </cell>
          <cell r="Z25" t="e">
            <v>#VALUE!</v>
          </cell>
        </row>
        <row r="27">
          <cell r="E27" t="str">
            <v>SUBTOTAL</v>
          </cell>
          <cell r="I27" t="e">
            <v>#N/A</v>
          </cell>
          <cell r="L27" t="e">
            <v>#N/A</v>
          </cell>
          <cell r="Z27" t="e">
            <v>#VALUE!</v>
          </cell>
        </row>
        <row r="28">
          <cell r="E28" t="str">
            <v>A.I.U</v>
          </cell>
          <cell r="I28" t="e">
            <v>#N/A</v>
          </cell>
          <cell r="L28" t="e">
            <v>#N/A</v>
          </cell>
          <cell r="Z28" t="e">
            <v>#N/A</v>
          </cell>
        </row>
        <row r="29">
          <cell r="D29" t="str">
            <v>AIUAADMON</v>
          </cell>
          <cell r="E29" t="str">
            <v>Admon</v>
          </cell>
          <cell r="F29">
            <v>0</v>
          </cell>
          <cell r="I29" t="e">
            <v>#N/A</v>
          </cell>
          <cell r="J29">
            <v>0</v>
          </cell>
          <cell r="L29" t="e">
            <v>#N/A</v>
          </cell>
          <cell r="Z29" t="e">
            <v>#N/A</v>
          </cell>
        </row>
        <row r="30">
          <cell r="D30" t="str">
            <v>AIUAIMPRE</v>
          </cell>
          <cell r="E30" t="str">
            <v>Imprevistos</v>
          </cell>
          <cell r="F30">
            <v>0</v>
          </cell>
          <cell r="I30" t="e">
            <v>#N/A</v>
          </cell>
          <cell r="J30">
            <v>0</v>
          </cell>
          <cell r="L30" t="e">
            <v>#N/A</v>
          </cell>
          <cell r="Z30" t="e">
            <v>#N/A</v>
          </cell>
        </row>
        <row r="31">
          <cell r="D31" t="str">
            <v>AIUAUTILI</v>
          </cell>
          <cell r="E31" t="str">
            <v>Utilidad</v>
          </cell>
          <cell r="F31">
            <v>0</v>
          </cell>
          <cell r="I31" t="e">
            <v>#N/A</v>
          </cell>
          <cell r="J31">
            <v>0</v>
          </cell>
          <cell r="L31" t="e">
            <v>#N/A</v>
          </cell>
          <cell r="Z31" t="e">
            <v>#N/A</v>
          </cell>
        </row>
        <row r="32">
          <cell r="D32" t="str">
            <v>AIUAIVAUTI</v>
          </cell>
          <cell r="E32" t="str">
            <v>IVA utilidad</v>
          </cell>
          <cell r="F32">
            <v>0</v>
          </cell>
          <cell r="I32" t="e">
            <v>#N/A</v>
          </cell>
          <cell r="J32">
            <v>0</v>
          </cell>
          <cell r="L32" t="e">
            <v>#N/A</v>
          </cell>
          <cell r="Z32" t="e">
            <v>#N/A</v>
          </cell>
        </row>
        <row r="34">
          <cell r="E34" t="str">
            <v>ITEM</v>
          </cell>
        </row>
        <row r="35">
          <cell r="D35" t="str">
            <v>TPCAMP</v>
          </cell>
          <cell r="E35" t="str">
            <v xml:space="preserve">Campamento </v>
          </cell>
          <cell r="G35" t="str">
            <v>UN.</v>
          </cell>
          <cell r="H35" t="str">
            <v>M2</v>
          </cell>
          <cell r="I35" t="e">
            <v>#N/A</v>
          </cell>
          <cell r="K35">
            <v>0</v>
          </cell>
          <cell r="L35" t="e">
            <v>#N/A</v>
          </cell>
          <cell r="N35">
            <v>4205.4799999999996</v>
          </cell>
          <cell r="O35" t="e">
            <v>#N/A</v>
          </cell>
          <cell r="P35" t="e">
            <v>#N/A</v>
          </cell>
          <cell r="Q35" t="e">
            <v>#N/A</v>
          </cell>
          <cell r="X35" t="e">
            <v>#N/A</v>
          </cell>
          <cell r="Z35" t="e">
            <v>#VALUE!</v>
          </cell>
          <cell r="AA35" t="e">
            <v>#VALUE!</v>
          </cell>
          <cell r="AB35" t="e">
            <v>#VALUE!</v>
          </cell>
          <cell r="AC35" t="e">
            <v>#VALUE!</v>
          </cell>
        </row>
        <row r="37">
          <cell r="D37" t="str">
            <v>CODIGO</v>
          </cell>
          <cell r="E37" t="str">
            <v>DESCRIPCION</v>
          </cell>
          <cell r="F37" t="str">
            <v>UN</v>
          </cell>
          <cell r="G37" t="str">
            <v>CANT</v>
          </cell>
          <cell r="H37" t="str">
            <v>V/UNIT.</v>
          </cell>
          <cell r="I37" t="str">
            <v>V/TOTAL</v>
          </cell>
          <cell r="K37" t="str">
            <v>CANT TOTAL</v>
          </cell>
          <cell r="L37" t="str">
            <v>Vr TOTAL</v>
          </cell>
          <cell r="Y37" t="str">
            <v>CANT.</v>
          </cell>
          <cell r="Z37" t="str">
            <v>V/TOTAL</v>
          </cell>
        </row>
        <row r="38">
          <cell r="E38" t="str">
            <v>MATERIALES</v>
          </cell>
          <cell r="I38">
            <v>4205.4799999999996</v>
          </cell>
          <cell r="L38">
            <v>0</v>
          </cell>
          <cell r="Z38" t="e">
            <v>#VALUE!</v>
          </cell>
        </row>
        <row r="39">
          <cell r="D39" t="str">
            <v>MA25DURM</v>
          </cell>
          <cell r="E39" t="str">
            <v>Durmiente</v>
          </cell>
          <cell r="F39" t="str">
            <v>Un</v>
          </cell>
          <cell r="G39">
            <v>2</v>
          </cell>
          <cell r="H39">
            <v>2000</v>
          </cell>
          <cell r="I39">
            <v>4000</v>
          </cell>
          <cell r="J39">
            <v>0</v>
          </cell>
          <cell r="K39">
            <v>0</v>
          </cell>
          <cell r="L39">
            <v>0</v>
          </cell>
          <cell r="Y39" t="e">
            <v>#VALUE!</v>
          </cell>
          <cell r="Z39" t="e">
            <v>#VALUE!</v>
          </cell>
        </row>
        <row r="40">
          <cell r="D40" t="str">
            <v>MA19PC25</v>
          </cell>
          <cell r="E40" t="str">
            <v>Puntilla con cabeza 2,5"</v>
          </cell>
          <cell r="F40" t="str">
            <v>Lb</v>
          </cell>
          <cell r="G40">
            <v>0.03</v>
          </cell>
          <cell r="H40">
            <v>1216</v>
          </cell>
          <cell r="I40">
            <v>36.479999999999997</v>
          </cell>
          <cell r="J40">
            <v>0</v>
          </cell>
          <cell r="K40">
            <v>0</v>
          </cell>
          <cell r="L40">
            <v>0</v>
          </cell>
          <cell r="Y40" t="e">
            <v>#VALUE!</v>
          </cell>
          <cell r="Z40" t="e">
            <v>#VALUE!</v>
          </cell>
        </row>
        <row r="41">
          <cell r="D41" t="str">
            <v>MA17CAND</v>
          </cell>
          <cell r="E41" t="str">
            <v>Candado</v>
          </cell>
          <cell r="F41" t="str">
            <v>Un</v>
          </cell>
          <cell r="G41">
            <v>1.6E-2</v>
          </cell>
          <cell r="H41">
            <v>9000</v>
          </cell>
          <cell r="I41">
            <v>144</v>
          </cell>
          <cell r="J41">
            <v>0</v>
          </cell>
          <cell r="K41">
            <v>0</v>
          </cell>
          <cell r="L41">
            <v>0</v>
          </cell>
          <cell r="Y41" t="e">
            <v>#VALUE!</v>
          </cell>
          <cell r="Z41" t="e">
            <v>#VALUE!</v>
          </cell>
        </row>
        <row r="42">
          <cell r="D42" t="str">
            <v>MA17CADE1</v>
          </cell>
          <cell r="E42" t="str">
            <v>Cadena 1"</v>
          </cell>
          <cell r="F42" t="str">
            <v>Ml</v>
          </cell>
          <cell r="G42">
            <v>0.01</v>
          </cell>
          <cell r="H42">
            <v>2500</v>
          </cell>
          <cell r="I42">
            <v>25</v>
          </cell>
          <cell r="J42">
            <v>0</v>
          </cell>
          <cell r="K42">
            <v>0</v>
          </cell>
          <cell r="L42">
            <v>0</v>
          </cell>
          <cell r="Y42" t="e">
            <v>#VALUE!</v>
          </cell>
          <cell r="Z42" t="e">
            <v>#VALUE!</v>
          </cell>
        </row>
        <row r="45">
          <cell r="E45" t="str">
            <v>MANO DE OBRA</v>
          </cell>
          <cell r="I45" t="e">
            <v>#N/A</v>
          </cell>
          <cell r="L45" t="e">
            <v>#N/A</v>
          </cell>
          <cell r="Z45" t="e">
            <v>#VALUE!</v>
          </cell>
        </row>
        <row r="46">
          <cell r="D46" t="str">
            <v>MOTPICAMP</v>
          </cell>
          <cell r="E46" t="e">
            <v>#N/A</v>
          </cell>
          <cell r="F46" t="e">
            <v>#N/A</v>
          </cell>
          <cell r="G46">
            <v>0</v>
          </cell>
          <cell r="H46" t="e">
            <v>#N/A</v>
          </cell>
          <cell r="I46" t="e">
            <v>#N/A</v>
          </cell>
          <cell r="J46" t="e">
            <v>#N/A</v>
          </cell>
          <cell r="K46">
            <v>0</v>
          </cell>
          <cell r="L46" t="e">
            <v>#N/A</v>
          </cell>
          <cell r="Y46" t="e">
            <v>#VALUE!</v>
          </cell>
          <cell r="Z46" t="e">
            <v>#VALUE!</v>
          </cell>
        </row>
        <row r="48">
          <cell r="E48" t="str">
            <v>VARIOS</v>
          </cell>
          <cell r="I48" t="e">
            <v>#N/A</v>
          </cell>
          <cell r="L48" t="e">
            <v>#N/A</v>
          </cell>
          <cell r="Z48" t="e">
            <v>#VALUE!</v>
          </cell>
        </row>
        <row r="49">
          <cell r="D49" t="str">
            <v>TC03CAMP</v>
          </cell>
          <cell r="E49" t="e">
            <v>#N/A</v>
          </cell>
          <cell r="F49" t="e">
            <v>#N/A</v>
          </cell>
          <cell r="G49">
            <v>1</v>
          </cell>
          <cell r="H49" t="e">
            <v>#N/A</v>
          </cell>
          <cell r="I49" t="e">
            <v>#N/A</v>
          </cell>
          <cell r="J49" t="e">
            <v>#N/A</v>
          </cell>
          <cell r="K49">
            <v>0</v>
          </cell>
          <cell r="L49" t="e">
            <v>#N/A</v>
          </cell>
          <cell r="Y49" t="e">
            <v>#VALUE!</v>
          </cell>
          <cell r="Z49" t="e">
            <v>#VALUE!</v>
          </cell>
        </row>
        <row r="52">
          <cell r="E52" t="str">
            <v>SUBTOTAL</v>
          </cell>
          <cell r="I52" t="e">
            <v>#N/A</v>
          </cell>
          <cell r="L52" t="e">
            <v>#N/A</v>
          </cell>
          <cell r="Z52" t="e">
            <v>#VALUE!</v>
          </cell>
        </row>
        <row r="53">
          <cell r="E53" t="str">
            <v>A.I.U</v>
          </cell>
          <cell r="I53" t="e">
            <v>#N/A</v>
          </cell>
          <cell r="L53" t="e">
            <v>#N/A</v>
          </cell>
          <cell r="Z53" t="e">
            <v>#N/A</v>
          </cell>
        </row>
        <row r="54">
          <cell r="D54" t="str">
            <v>AIUAADMON</v>
          </cell>
          <cell r="E54" t="str">
            <v>Admon</v>
          </cell>
          <cell r="F54">
            <v>0</v>
          </cell>
          <cell r="I54" t="e">
            <v>#N/A</v>
          </cell>
          <cell r="J54">
            <v>0</v>
          </cell>
          <cell r="L54" t="e">
            <v>#N/A</v>
          </cell>
          <cell r="Z54" t="e">
            <v>#N/A</v>
          </cell>
        </row>
        <row r="55">
          <cell r="D55" t="str">
            <v>AIUAIMPRE</v>
          </cell>
          <cell r="E55" t="str">
            <v>Imprevistos</v>
          </cell>
          <cell r="F55">
            <v>0</v>
          </cell>
          <cell r="I55" t="e">
            <v>#N/A</v>
          </cell>
          <cell r="J55">
            <v>0</v>
          </cell>
          <cell r="L55" t="e">
            <v>#N/A</v>
          </cell>
          <cell r="Z55" t="e">
            <v>#N/A</v>
          </cell>
        </row>
        <row r="56">
          <cell r="D56" t="str">
            <v>AIUAUTILI</v>
          </cell>
          <cell r="E56" t="str">
            <v>Utilidad</v>
          </cell>
          <cell r="F56">
            <v>0</v>
          </cell>
          <cell r="I56" t="e">
            <v>#N/A</v>
          </cell>
          <cell r="J56">
            <v>0</v>
          </cell>
          <cell r="L56" t="e">
            <v>#N/A</v>
          </cell>
          <cell r="Z56" t="e">
            <v>#N/A</v>
          </cell>
        </row>
        <row r="57">
          <cell r="D57" t="str">
            <v>AIUAIVAUTI</v>
          </cell>
          <cell r="E57" t="str">
            <v>IVA utilidad</v>
          </cell>
          <cell r="F57">
            <v>0</v>
          </cell>
          <cell r="I57" t="e">
            <v>#N/A</v>
          </cell>
          <cell r="J57">
            <v>0</v>
          </cell>
          <cell r="L57" t="e">
            <v>#N/A</v>
          </cell>
          <cell r="Z57" t="e">
            <v>#N/A</v>
          </cell>
        </row>
        <row r="59">
          <cell r="E59" t="str">
            <v>ITEM</v>
          </cell>
        </row>
        <row r="60">
          <cell r="D60" t="str">
            <v>TPCLZ</v>
          </cell>
          <cell r="E60" t="str">
            <v>Cerramiento Lámina de Zinc H=2,00 m</v>
          </cell>
          <cell r="G60" t="str">
            <v>UN.</v>
          </cell>
          <cell r="H60" t="str">
            <v>Ml</v>
          </cell>
          <cell r="I60" t="e">
            <v>#N/A</v>
          </cell>
          <cell r="K60">
            <v>0</v>
          </cell>
          <cell r="L60" t="e">
            <v>#N/A</v>
          </cell>
          <cell r="N60" t="e">
            <v>#N/A</v>
          </cell>
          <cell r="O60">
            <v>2000</v>
          </cell>
          <cell r="P60" t="e">
            <v>#N/A</v>
          </cell>
          <cell r="Q60" t="e">
            <v>#N/A</v>
          </cell>
          <cell r="X60" t="e">
            <v>#N/A</v>
          </cell>
          <cell r="Z60" t="e">
            <v>#VALUE!</v>
          </cell>
          <cell r="AA60" t="e">
            <v>#VALUE!</v>
          </cell>
          <cell r="AB60" t="e">
            <v>#VALUE!</v>
          </cell>
          <cell r="AC60" t="e">
            <v>#VALUE!</v>
          </cell>
        </row>
        <row r="62">
          <cell r="D62" t="str">
            <v>CODIGO</v>
          </cell>
          <cell r="E62" t="str">
            <v>DESCRIPCION</v>
          </cell>
          <cell r="F62" t="str">
            <v>UN</v>
          </cell>
          <cell r="G62" t="str">
            <v>CANT</v>
          </cell>
          <cell r="H62" t="str">
            <v>V/UNIT.</v>
          </cell>
          <cell r="I62" t="str">
            <v>V/TOTAL</v>
          </cell>
          <cell r="K62" t="str">
            <v>CANT TOTAL</v>
          </cell>
          <cell r="L62" t="str">
            <v>Vr TOTAL</v>
          </cell>
          <cell r="Y62" t="str">
            <v>CANT.</v>
          </cell>
          <cell r="Z62" t="str">
            <v>V/TOTAL</v>
          </cell>
        </row>
        <row r="63">
          <cell r="E63" t="str">
            <v>MATERIALES</v>
          </cell>
          <cell r="I63" t="e">
            <v>#N/A</v>
          </cell>
          <cell r="L63" t="e">
            <v>#N/A</v>
          </cell>
          <cell r="Z63" t="e">
            <v>#VALUE!</v>
          </cell>
        </row>
        <row r="64">
          <cell r="D64" t="str">
            <v>MA29TZ</v>
          </cell>
          <cell r="E64" t="e">
            <v>#N/A</v>
          </cell>
          <cell r="F64" t="e">
            <v>#N/A</v>
          </cell>
          <cell r="G64">
            <v>1.5</v>
          </cell>
          <cell r="H64" t="e">
            <v>#N/A</v>
          </cell>
          <cell r="I64" t="e">
            <v>#N/A</v>
          </cell>
          <cell r="J64" t="e">
            <v>#N/A</v>
          </cell>
          <cell r="K64">
            <v>0</v>
          </cell>
          <cell r="L64" t="e">
            <v>#N/A</v>
          </cell>
          <cell r="Y64" t="e">
            <v>#VALUE!</v>
          </cell>
          <cell r="Z64" t="e">
            <v>#VALUE!</v>
          </cell>
        </row>
        <row r="65">
          <cell r="D65" t="str">
            <v>MA19PC25</v>
          </cell>
          <cell r="E65" t="str">
            <v>Puntilla con cabeza 2,5"</v>
          </cell>
          <cell r="F65" t="str">
            <v>Lb</v>
          </cell>
          <cell r="G65">
            <v>0.05</v>
          </cell>
          <cell r="H65">
            <v>1216</v>
          </cell>
          <cell r="I65">
            <v>60.800000000000004</v>
          </cell>
          <cell r="J65">
            <v>0</v>
          </cell>
          <cell r="K65">
            <v>0</v>
          </cell>
          <cell r="L65">
            <v>0</v>
          </cell>
          <cell r="Y65" t="e">
            <v>#VALUE!</v>
          </cell>
          <cell r="Z65" t="e">
            <v>#VALUE!</v>
          </cell>
        </row>
        <row r="66">
          <cell r="D66" t="str">
            <v>MA25VL6</v>
          </cell>
          <cell r="E66" t="str">
            <v>Vara Limaton 6m Diametro 12-15</v>
          </cell>
          <cell r="F66" t="str">
            <v>Un</v>
          </cell>
          <cell r="G66">
            <v>0.5</v>
          </cell>
          <cell r="H66">
            <v>18560</v>
          </cell>
          <cell r="I66">
            <v>9280</v>
          </cell>
          <cell r="J66">
            <v>0</v>
          </cell>
          <cell r="K66">
            <v>0</v>
          </cell>
          <cell r="L66">
            <v>0</v>
          </cell>
          <cell r="Y66" t="e">
            <v>#VALUE!</v>
          </cell>
          <cell r="Z66" t="e">
            <v>#VALUE!</v>
          </cell>
        </row>
        <row r="67">
          <cell r="D67" t="str">
            <v>MA29CTZ</v>
          </cell>
          <cell r="E67" t="e">
            <v>#N/A</v>
          </cell>
          <cell r="F67" t="e">
            <v>#N/A</v>
          </cell>
          <cell r="G67">
            <v>0.09</v>
          </cell>
          <cell r="H67" t="e">
            <v>#N/A</v>
          </cell>
          <cell r="I67" t="e">
            <v>#N/A</v>
          </cell>
          <cell r="J67" t="e">
            <v>#N/A</v>
          </cell>
          <cell r="K67">
            <v>0</v>
          </cell>
          <cell r="L67" t="e">
            <v>#N/A</v>
          </cell>
          <cell r="Y67" t="e">
            <v>#VALUE!</v>
          </cell>
          <cell r="Z67" t="e">
            <v>#VALUE!</v>
          </cell>
        </row>
        <row r="70">
          <cell r="E70" t="str">
            <v>MANO DE OBRA</v>
          </cell>
          <cell r="I70">
            <v>2000</v>
          </cell>
          <cell r="L70">
            <v>0</v>
          </cell>
          <cell r="Z70" t="e">
            <v>#VALUE!</v>
          </cell>
        </row>
        <row r="71">
          <cell r="D71" t="str">
            <v>MOTPCZ</v>
          </cell>
          <cell r="E71" t="str">
            <v>M.O. Cerramiento Teja Zinc</v>
          </cell>
          <cell r="F71" t="str">
            <v>Ml</v>
          </cell>
          <cell r="G71">
            <v>1</v>
          </cell>
          <cell r="H71">
            <v>2000</v>
          </cell>
          <cell r="I71">
            <v>2000</v>
          </cell>
          <cell r="J71">
            <v>0</v>
          </cell>
          <cell r="K71">
            <v>0</v>
          </cell>
          <cell r="L71">
            <v>0</v>
          </cell>
          <cell r="Y71" t="e">
            <v>#VALUE!</v>
          </cell>
          <cell r="Z71" t="e">
            <v>#VALUE!</v>
          </cell>
        </row>
        <row r="73">
          <cell r="E73" t="str">
            <v>VARIOS</v>
          </cell>
          <cell r="I73" t="e">
            <v>#N/A</v>
          </cell>
          <cell r="L73" t="e">
            <v>#N/A</v>
          </cell>
          <cell r="Z73" t="e">
            <v>#VALUE!</v>
          </cell>
        </row>
        <row r="74">
          <cell r="D74" t="str">
            <v>TC46VTEJ</v>
          </cell>
          <cell r="E74" t="e">
            <v>#N/A</v>
          </cell>
          <cell r="F74" t="e">
            <v>#N/A</v>
          </cell>
          <cell r="G74">
            <v>2</v>
          </cell>
          <cell r="H74" t="e">
            <v>#N/A</v>
          </cell>
          <cell r="I74" t="e">
            <v>#N/A</v>
          </cell>
          <cell r="J74" t="e">
            <v>#N/A</v>
          </cell>
          <cell r="K74">
            <v>0</v>
          </cell>
          <cell r="L74" t="e">
            <v>#N/A</v>
          </cell>
          <cell r="Y74" t="e">
            <v>#VALUE!</v>
          </cell>
          <cell r="Z74" t="e">
            <v>#VALUE!</v>
          </cell>
        </row>
        <row r="75">
          <cell r="D75" t="str">
            <v>TC07H500</v>
          </cell>
          <cell r="E75" t="str">
            <v>Herramienta y Varios</v>
          </cell>
          <cell r="F75" t="str">
            <v>Gb</v>
          </cell>
          <cell r="G75">
            <v>1</v>
          </cell>
          <cell r="H75">
            <v>500</v>
          </cell>
          <cell r="I75">
            <v>500</v>
          </cell>
          <cell r="J75">
            <v>0</v>
          </cell>
          <cell r="K75">
            <v>0</v>
          </cell>
          <cell r="L75">
            <v>0</v>
          </cell>
          <cell r="Y75" t="e">
            <v>#VALUE!</v>
          </cell>
          <cell r="Z75" t="e">
            <v>#VALUE!</v>
          </cell>
        </row>
        <row r="77">
          <cell r="E77" t="str">
            <v>SUBTOTAL</v>
          </cell>
          <cell r="I77" t="e">
            <v>#N/A</v>
          </cell>
          <cell r="L77" t="e">
            <v>#N/A</v>
          </cell>
          <cell r="Z77" t="e">
            <v>#VALUE!</v>
          </cell>
        </row>
        <row r="78">
          <cell r="E78" t="str">
            <v>A.I.U</v>
          </cell>
          <cell r="I78" t="e">
            <v>#N/A</v>
          </cell>
          <cell r="L78" t="e">
            <v>#N/A</v>
          </cell>
          <cell r="Z78" t="e">
            <v>#N/A</v>
          </cell>
        </row>
        <row r="79">
          <cell r="D79" t="str">
            <v>AIUAADMON</v>
          </cell>
          <cell r="E79" t="str">
            <v>Admon</v>
          </cell>
          <cell r="F79">
            <v>0</v>
          </cell>
          <cell r="I79" t="e">
            <v>#N/A</v>
          </cell>
          <cell r="J79">
            <v>0</v>
          </cell>
          <cell r="L79" t="e">
            <v>#N/A</v>
          </cell>
          <cell r="Z79" t="e">
            <v>#N/A</v>
          </cell>
        </row>
        <row r="80">
          <cell r="D80" t="str">
            <v>AIUAIMPRE</v>
          </cell>
          <cell r="E80" t="str">
            <v>Imprevistos</v>
          </cell>
          <cell r="F80">
            <v>0</v>
          </cell>
          <cell r="I80" t="e">
            <v>#N/A</v>
          </cell>
          <cell r="J80">
            <v>0</v>
          </cell>
          <cell r="L80" t="e">
            <v>#N/A</v>
          </cell>
          <cell r="Z80" t="e">
            <v>#N/A</v>
          </cell>
        </row>
        <row r="81">
          <cell r="D81" t="str">
            <v>AIUAUTILI</v>
          </cell>
          <cell r="E81" t="str">
            <v>Utilidad</v>
          </cell>
          <cell r="F81">
            <v>0</v>
          </cell>
          <cell r="I81" t="e">
            <v>#N/A</v>
          </cell>
          <cell r="J81">
            <v>0</v>
          </cell>
          <cell r="L81" t="e">
            <v>#N/A</v>
          </cell>
          <cell r="Z81" t="e">
            <v>#N/A</v>
          </cell>
        </row>
        <row r="82">
          <cell r="D82" t="str">
            <v>AIUAIVAUTI</v>
          </cell>
          <cell r="E82" t="str">
            <v>IVA utilidad</v>
          </cell>
          <cell r="F82">
            <v>0</v>
          </cell>
          <cell r="I82" t="e">
            <v>#N/A</v>
          </cell>
          <cell r="J82">
            <v>0</v>
          </cell>
          <cell r="L82" t="e">
            <v>#N/A</v>
          </cell>
          <cell r="Z82" t="e">
            <v>#N/A</v>
          </cell>
        </row>
        <row r="84">
          <cell r="E84" t="str">
            <v>ITEM</v>
          </cell>
        </row>
        <row r="85">
          <cell r="D85" t="str">
            <v>TPCMP</v>
          </cell>
          <cell r="E85" t="str">
            <v>Cerramiento Malla Protección</v>
          </cell>
          <cell r="G85" t="str">
            <v>UN.</v>
          </cell>
          <cell r="H85" t="str">
            <v>Ml</v>
          </cell>
          <cell r="I85" t="e">
            <v>#N/A</v>
          </cell>
          <cell r="K85">
            <v>0</v>
          </cell>
          <cell r="L85" t="e">
            <v>#N/A</v>
          </cell>
          <cell r="N85" t="e">
            <v>#N/A</v>
          </cell>
          <cell r="O85">
            <v>2000</v>
          </cell>
          <cell r="P85">
            <v>500</v>
          </cell>
          <cell r="Q85" t="e">
            <v>#N/A</v>
          </cell>
          <cell r="X85" t="e">
            <v>#N/A</v>
          </cell>
          <cell r="Z85" t="e">
            <v>#VALUE!</v>
          </cell>
          <cell r="AA85" t="e">
            <v>#VALUE!</v>
          </cell>
          <cell r="AB85" t="e">
            <v>#VALUE!</v>
          </cell>
          <cell r="AC85" t="e">
            <v>#VALUE!</v>
          </cell>
        </row>
        <row r="87">
          <cell r="D87" t="str">
            <v>CODIGO</v>
          </cell>
          <cell r="E87" t="str">
            <v>DESCRIPCION</v>
          </cell>
          <cell r="F87" t="str">
            <v>UN</v>
          </cell>
          <cell r="G87" t="str">
            <v>CANT</v>
          </cell>
          <cell r="H87" t="str">
            <v>V/UNIT.</v>
          </cell>
          <cell r="I87" t="str">
            <v>V/TOTAL</v>
          </cell>
          <cell r="K87" t="str">
            <v>CANT TOTAL</v>
          </cell>
          <cell r="L87" t="str">
            <v>Vr TOTAL</v>
          </cell>
          <cell r="Y87" t="str">
            <v>CANT.</v>
          </cell>
          <cell r="Z87" t="str">
            <v>V/TOTAL</v>
          </cell>
        </row>
        <row r="88">
          <cell r="E88" t="str">
            <v>MATERIALES</v>
          </cell>
          <cell r="I88" t="e">
            <v>#N/A</v>
          </cell>
          <cell r="L88" t="e">
            <v>#N/A</v>
          </cell>
          <cell r="Z88" t="e">
            <v>#VALUE!</v>
          </cell>
        </row>
        <row r="89">
          <cell r="D89" t="str">
            <v>MA17MP</v>
          </cell>
          <cell r="E89" t="e">
            <v>#N/A</v>
          </cell>
          <cell r="F89" t="e">
            <v>#N/A</v>
          </cell>
          <cell r="G89">
            <v>4</v>
          </cell>
          <cell r="H89" t="e">
            <v>#N/A</v>
          </cell>
          <cell r="I89" t="e">
            <v>#N/A</v>
          </cell>
          <cell r="J89" t="e">
            <v>#N/A</v>
          </cell>
          <cell r="K89">
            <v>0</v>
          </cell>
          <cell r="L89" t="e">
            <v>#N/A</v>
          </cell>
          <cell r="Y89" t="e">
            <v>#VALUE!</v>
          </cell>
          <cell r="Z89" t="e">
            <v>#VALUE!</v>
          </cell>
        </row>
        <row r="90">
          <cell r="D90" t="str">
            <v>MA19PC25</v>
          </cell>
          <cell r="E90" t="str">
            <v>Puntilla con cabeza 2,5"</v>
          </cell>
          <cell r="F90" t="str">
            <v>Lb</v>
          </cell>
          <cell r="G90">
            <v>0.05</v>
          </cell>
          <cell r="H90">
            <v>1216</v>
          </cell>
          <cell r="I90">
            <v>60.800000000000004</v>
          </cell>
          <cell r="J90">
            <v>0</v>
          </cell>
          <cell r="K90">
            <v>0</v>
          </cell>
          <cell r="L90">
            <v>0</v>
          </cell>
          <cell r="Y90" t="e">
            <v>#VALUE!</v>
          </cell>
          <cell r="Z90" t="e">
            <v>#VALUE!</v>
          </cell>
        </row>
        <row r="91">
          <cell r="D91" t="str">
            <v>MA25VC6</v>
          </cell>
          <cell r="E91" t="str">
            <v>Vara de Corredor 6 ml</v>
          </cell>
          <cell r="F91" t="str">
            <v>Un</v>
          </cell>
          <cell r="G91">
            <v>0.34</v>
          </cell>
          <cell r="H91">
            <v>6900</v>
          </cell>
          <cell r="I91">
            <v>2346</v>
          </cell>
          <cell r="J91">
            <v>0</v>
          </cell>
          <cell r="K91">
            <v>0</v>
          </cell>
          <cell r="L91">
            <v>0</v>
          </cell>
          <cell r="Y91" t="e">
            <v>#VALUE!</v>
          </cell>
          <cell r="Z91" t="e">
            <v>#VALUE!</v>
          </cell>
        </row>
        <row r="92">
          <cell r="D92" t="str">
            <v>MA17APU</v>
          </cell>
          <cell r="E92" t="e">
            <v>#N/A</v>
          </cell>
          <cell r="F92" t="e">
            <v>#N/A</v>
          </cell>
          <cell r="G92">
            <v>2.7E-2</v>
          </cell>
          <cell r="H92" t="e">
            <v>#N/A</v>
          </cell>
          <cell r="I92" t="e">
            <v>#N/A</v>
          </cell>
          <cell r="J92" t="e">
            <v>#N/A</v>
          </cell>
          <cell r="K92">
            <v>0</v>
          </cell>
          <cell r="L92" t="e">
            <v>#N/A</v>
          </cell>
          <cell r="Y92" t="e">
            <v>#VALUE!</v>
          </cell>
          <cell r="Z92" t="e">
            <v>#VALUE!</v>
          </cell>
        </row>
        <row r="93">
          <cell r="D93" t="str">
            <v>MA17GAP</v>
          </cell>
          <cell r="E93" t="e">
            <v>#N/A</v>
          </cell>
          <cell r="F93" t="e">
            <v>#N/A</v>
          </cell>
          <cell r="G93">
            <v>0.03</v>
          </cell>
          <cell r="H93" t="e">
            <v>#N/A</v>
          </cell>
          <cell r="I93" t="e">
            <v>#N/A</v>
          </cell>
          <cell r="J93" t="e">
            <v>#N/A</v>
          </cell>
          <cell r="K93">
            <v>0</v>
          </cell>
          <cell r="L93" t="e">
            <v>#N/A</v>
          </cell>
          <cell r="Y93" t="e">
            <v>#VALUE!</v>
          </cell>
          <cell r="Z93" t="e">
            <v>#VALUE!</v>
          </cell>
        </row>
        <row r="94">
          <cell r="I94">
            <v>0</v>
          </cell>
          <cell r="J94">
            <v>0</v>
          </cell>
          <cell r="K94">
            <v>0</v>
          </cell>
          <cell r="L94">
            <v>0</v>
          </cell>
          <cell r="Z94">
            <v>0</v>
          </cell>
        </row>
        <row r="95">
          <cell r="E95" t="str">
            <v>MANO DE OBRA</v>
          </cell>
          <cell r="I95">
            <v>2000</v>
          </cell>
          <cell r="L95">
            <v>0</v>
          </cell>
          <cell r="Z95" t="e">
            <v>#VALUE!</v>
          </cell>
        </row>
        <row r="96">
          <cell r="D96" t="str">
            <v>MOTPCMP</v>
          </cell>
          <cell r="E96" t="str">
            <v>M.O. Cerramiento Malla Protección</v>
          </cell>
          <cell r="F96" t="str">
            <v>Ml</v>
          </cell>
          <cell r="G96">
            <v>1</v>
          </cell>
          <cell r="H96">
            <v>2000</v>
          </cell>
          <cell r="I96">
            <v>2000</v>
          </cell>
          <cell r="J96">
            <v>0</v>
          </cell>
          <cell r="K96">
            <v>0</v>
          </cell>
          <cell r="L96">
            <v>0</v>
          </cell>
          <cell r="Y96" t="e">
            <v>#VALUE!</v>
          </cell>
          <cell r="Z96" t="e">
            <v>#VALUE!</v>
          </cell>
        </row>
        <row r="98">
          <cell r="E98" t="str">
            <v>VARIOS</v>
          </cell>
          <cell r="I98">
            <v>500</v>
          </cell>
          <cell r="L98">
            <v>0</v>
          </cell>
          <cell r="Z98" t="e">
            <v>#VALUE!</v>
          </cell>
        </row>
        <row r="99">
          <cell r="D99" t="str">
            <v>TC07H500</v>
          </cell>
          <cell r="E99" t="str">
            <v>Herramienta y Varios</v>
          </cell>
          <cell r="F99" t="str">
            <v>Gb</v>
          </cell>
          <cell r="G99">
            <v>1</v>
          </cell>
          <cell r="H99">
            <v>500</v>
          </cell>
          <cell r="I99">
            <v>500</v>
          </cell>
          <cell r="J99">
            <v>0</v>
          </cell>
          <cell r="K99">
            <v>0</v>
          </cell>
          <cell r="L99">
            <v>0</v>
          </cell>
          <cell r="Y99" t="e">
            <v>#VALUE!</v>
          </cell>
          <cell r="Z99" t="e">
            <v>#VALUE!</v>
          </cell>
        </row>
        <row r="102">
          <cell r="E102" t="str">
            <v>SUBTOTAL</v>
          </cell>
          <cell r="I102" t="e">
            <v>#N/A</v>
          </cell>
          <cell r="L102" t="e">
            <v>#N/A</v>
          </cell>
          <cell r="Z102" t="e">
            <v>#VALUE!</v>
          </cell>
        </row>
        <row r="103">
          <cell r="E103" t="str">
            <v>A.I.U</v>
          </cell>
          <cell r="I103" t="e">
            <v>#N/A</v>
          </cell>
          <cell r="L103" t="e">
            <v>#N/A</v>
          </cell>
          <cell r="Z103" t="e">
            <v>#N/A</v>
          </cell>
        </row>
        <row r="104">
          <cell r="D104" t="str">
            <v>AIUAADMON</v>
          </cell>
          <cell r="E104" t="str">
            <v>Admon</v>
          </cell>
          <cell r="F104">
            <v>0</v>
          </cell>
          <cell r="I104" t="e">
            <v>#N/A</v>
          </cell>
          <cell r="J104">
            <v>0</v>
          </cell>
          <cell r="L104" t="e">
            <v>#N/A</v>
          </cell>
          <cell r="Z104" t="e">
            <v>#N/A</v>
          </cell>
        </row>
        <row r="105">
          <cell r="D105" t="str">
            <v>AIUAIMPRE</v>
          </cell>
          <cell r="E105" t="str">
            <v>Imprevistos</v>
          </cell>
          <cell r="F105">
            <v>0</v>
          </cell>
          <cell r="I105" t="e">
            <v>#N/A</v>
          </cell>
          <cell r="J105">
            <v>0</v>
          </cell>
          <cell r="L105" t="e">
            <v>#N/A</v>
          </cell>
          <cell r="Z105" t="e">
            <v>#N/A</v>
          </cell>
        </row>
        <row r="106">
          <cell r="D106" t="str">
            <v>AIUAUTILI</v>
          </cell>
          <cell r="E106" t="str">
            <v>Utilidad</v>
          </cell>
          <cell r="F106">
            <v>0</v>
          </cell>
          <cell r="I106" t="e">
            <v>#N/A</v>
          </cell>
          <cell r="J106">
            <v>0</v>
          </cell>
          <cell r="L106" t="e">
            <v>#N/A</v>
          </cell>
          <cell r="Z106" t="e">
            <v>#N/A</v>
          </cell>
        </row>
        <row r="107">
          <cell r="D107" t="str">
            <v>AIUAIVAUTI</v>
          </cell>
          <cell r="E107" t="str">
            <v>IVA utilidad</v>
          </cell>
          <cell r="F107">
            <v>0</v>
          </cell>
          <cell r="I107" t="e">
            <v>#N/A</v>
          </cell>
          <cell r="J107">
            <v>0</v>
          </cell>
          <cell r="L107" t="e">
            <v>#N/A</v>
          </cell>
          <cell r="Z107" t="e">
            <v>#N/A</v>
          </cell>
        </row>
        <row r="110">
          <cell r="E110" t="str">
            <v>ITEM</v>
          </cell>
        </row>
        <row r="111">
          <cell r="D111" t="str">
            <v>MTEMRT</v>
          </cell>
          <cell r="E111" t="str">
            <v>Excavacion Manual y Relleno Tuberia</v>
          </cell>
          <cell r="G111" t="str">
            <v>UN.</v>
          </cell>
          <cell r="H111" t="str">
            <v>M3</v>
          </cell>
          <cell r="I111">
            <v>7280</v>
          </cell>
          <cell r="K111">
            <v>0</v>
          </cell>
          <cell r="L111">
            <v>0</v>
          </cell>
          <cell r="N111">
            <v>0</v>
          </cell>
          <cell r="O111">
            <v>6500</v>
          </cell>
          <cell r="P111">
            <v>780</v>
          </cell>
          <cell r="Q111">
            <v>0</v>
          </cell>
          <cell r="X111">
            <v>0</v>
          </cell>
          <cell r="Z111" t="e">
            <v>#VALUE!</v>
          </cell>
          <cell r="AA111">
            <v>0</v>
          </cell>
          <cell r="AB111" t="e">
            <v>#VALUE!</v>
          </cell>
          <cell r="AC111" t="e">
            <v>#VALUE!</v>
          </cell>
        </row>
        <row r="113">
          <cell r="D113" t="str">
            <v>CODIGO</v>
          </cell>
          <cell r="E113" t="str">
            <v>DESCRIPCION</v>
          </cell>
          <cell r="F113" t="str">
            <v>UN</v>
          </cell>
          <cell r="G113" t="str">
            <v>CANT</v>
          </cell>
          <cell r="H113" t="str">
            <v>V/UNIT.</v>
          </cell>
          <cell r="I113" t="str">
            <v>V/TOTAL</v>
          </cell>
          <cell r="K113" t="str">
            <v>CANT TOTAL</v>
          </cell>
          <cell r="L113" t="str">
            <v>Vr TOTAL</v>
          </cell>
          <cell r="Y113" t="str">
            <v>CANT.</v>
          </cell>
          <cell r="Z113" t="str">
            <v>V/TOTAL</v>
          </cell>
        </row>
        <row r="114">
          <cell r="E114" t="str">
            <v>MATERIALES</v>
          </cell>
          <cell r="I114">
            <v>0</v>
          </cell>
          <cell r="L114">
            <v>0</v>
          </cell>
          <cell r="Z114">
            <v>0</v>
          </cell>
        </row>
        <row r="118">
          <cell r="E118" t="str">
            <v>MANO DE OBRA</v>
          </cell>
          <cell r="I118">
            <v>6500</v>
          </cell>
          <cell r="L118">
            <v>0</v>
          </cell>
          <cell r="Z118" t="e">
            <v>#VALUE!</v>
          </cell>
        </row>
        <row r="119">
          <cell r="D119" t="str">
            <v>MOMTEM</v>
          </cell>
          <cell r="E119" t="str">
            <v>Excavacion a Mano</v>
          </cell>
          <cell r="F119" t="str">
            <v>M3</v>
          </cell>
          <cell r="G119">
            <v>1</v>
          </cell>
          <cell r="H119">
            <v>4500</v>
          </cell>
          <cell r="I119">
            <v>4500</v>
          </cell>
          <cell r="J119">
            <v>0</v>
          </cell>
          <cell r="K119">
            <v>0</v>
          </cell>
          <cell r="L119">
            <v>0</v>
          </cell>
          <cell r="Y119" t="e">
            <v>#VALUE!</v>
          </cell>
          <cell r="Z119" t="e">
            <v>#VALUE!</v>
          </cell>
        </row>
        <row r="120">
          <cell r="D120" t="str">
            <v>MOMTRETU</v>
          </cell>
          <cell r="E120" t="str">
            <v xml:space="preserve">Recubrimiento Tuberia </v>
          </cell>
          <cell r="F120" t="str">
            <v>M3</v>
          </cell>
          <cell r="G120">
            <v>1</v>
          </cell>
          <cell r="H120">
            <v>2000</v>
          </cell>
          <cell r="I120">
            <v>2000</v>
          </cell>
          <cell r="J120">
            <v>0</v>
          </cell>
          <cell r="K120">
            <v>0</v>
          </cell>
          <cell r="L120">
            <v>0</v>
          </cell>
          <cell r="Y120" t="e">
            <v>#VALUE!</v>
          </cell>
          <cell r="Z120" t="e">
            <v>#VALUE!</v>
          </cell>
        </row>
        <row r="121">
          <cell r="E121" t="str">
            <v>VARIOS</v>
          </cell>
          <cell r="I121">
            <v>780</v>
          </cell>
          <cell r="L121">
            <v>0</v>
          </cell>
          <cell r="Z121" t="e">
            <v>#VALUE!</v>
          </cell>
        </row>
        <row r="122">
          <cell r="D122" t="str">
            <v>AL04APIS</v>
          </cell>
          <cell r="E122" t="str">
            <v>Apisonador</v>
          </cell>
          <cell r="F122" t="str">
            <v>Dia</v>
          </cell>
          <cell r="G122">
            <v>0.01</v>
          </cell>
          <cell r="H122">
            <v>33000</v>
          </cell>
          <cell r="I122">
            <v>330</v>
          </cell>
          <cell r="J122">
            <v>0</v>
          </cell>
          <cell r="K122">
            <v>0</v>
          </cell>
          <cell r="L122">
            <v>0</v>
          </cell>
          <cell r="Y122" t="e">
            <v>#VALUE!</v>
          </cell>
          <cell r="Z122" t="e">
            <v>#VALUE!</v>
          </cell>
        </row>
        <row r="123">
          <cell r="D123" t="str">
            <v>TC07h450</v>
          </cell>
          <cell r="E123" t="str">
            <v>Herramienta</v>
          </cell>
          <cell r="F123" t="str">
            <v>Gb</v>
          </cell>
          <cell r="G123">
            <v>1</v>
          </cell>
          <cell r="H123">
            <v>450</v>
          </cell>
          <cell r="I123">
            <v>450</v>
          </cell>
          <cell r="J123">
            <v>0</v>
          </cell>
          <cell r="K123">
            <v>0</v>
          </cell>
          <cell r="L123">
            <v>0</v>
          </cell>
          <cell r="Y123" t="e">
            <v>#VALUE!</v>
          </cell>
          <cell r="Z123" t="e">
            <v>#VALUE!</v>
          </cell>
        </row>
        <row r="125">
          <cell r="E125" t="str">
            <v>SUBTOTAL</v>
          </cell>
          <cell r="I125">
            <v>7280</v>
          </cell>
          <cell r="L125">
            <v>0</v>
          </cell>
          <cell r="Z125" t="e">
            <v>#VALUE!</v>
          </cell>
        </row>
        <row r="126">
          <cell r="E126" t="str">
            <v>A.I.U</v>
          </cell>
          <cell r="I126">
            <v>0</v>
          </cell>
          <cell r="L126">
            <v>0</v>
          </cell>
          <cell r="Z126">
            <v>0</v>
          </cell>
        </row>
        <row r="127">
          <cell r="D127" t="str">
            <v>AIUAADMON</v>
          </cell>
          <cell r="E127" t="str">
            <v>Admon</v>
          </cell>
          <cell r="F127">
            <v>0</v>
          </cell>
          <cell r="I127">
            <v>0</v>
          </cell>
          <cell r="J127">
            <v>0</v>
          </cell>
          <cell r="L127">
            <v>0</v>
          </cell>
          <cell r="Z127">
            <v>0</v>
          </cell>
        </row>
        <row r="128">
          <cell r="D128" t="str">
            <v>AIUAIMPRE</v>
          </cell>
          <cell r="E128" t="str">
            <v>Imprevistos</v>
          </cell>
          <cell r="F128">
            <v>0</v>
          </cell>
          <cell r="I128">
            <v>0</v>
          </cell>
          <cell r="J128">
            <v>0</v>
          </cell>
          <cell r="L128">
            <v>0</v>
          </cell>
          <cell r="Z128">
            <v>0</v>
          </cell>
        </row>
        <row r="129">
          <cell r="D129" t="str">
            <v>AIUAUTILI</v>
          </cell>
          <cell r="E129" t="str">
            <v>Utilidad</v>
          </cell>
          <cell r="F129">
            <v>0</v>
          </cell>
          <cell r="I129">
            <v>0</v>
          </cell>
          <cell r="J129">
            <v>0</v>
          </cell>
          <cell r="L129">
            <v>0</v>
          </cell>
          <cell r="Z129">
            <v>0</v>
          </cell>
        </row>
        <row r="130">
          <cell r="D130" t="str">
            <v>AIUAIVAUTI</v>
          </cell>
          <cell r="E130" t="str">
            <v>IVA utilidad</v>
          </cell>
          <cell r="F130">
            <v>0</v>
          </cell>
          <cell r="I130">
            <v>0</v>
          </cell>
          <cell r="J130">
            <v>0</v>
          </cell>
          <cell r="L130">
            <v>0</v>
          </cell>
          <cell r="Z130">
            <v>0</v>
          </cell>
        </row>
        <row r="132">
          <cell r="E132" t="str">
            <v>ITEM</v>
          </cell>
        </row>
        <row r="133">
          <cell r="D133" t="str">
            <v>MTERETROG</v>
          </cell>
          <cell r="E133" t="str">
            <v>Excavación Retro Oruga Grande</v>
          </cell>
          <cell r="G133" t="str">
            <v>UN.</v>
          </cell>
          <cell r="H133" t="str">
            <v>Hr</v>
          </cell>
          <cell r="I133">
            <v>90000</v>
          </cell>
          <cell r="K133">
            <v>0</v>
          </cell>
          <cell r="L133">
            <v>0</v>
          </cell>
          <cell r="N133">
            <v>0</v>
          </cell>
          <cell r="O133">
            <v>0</v>
          </cell>
          <cell r="P133">
            <v>90000</v>
          </cell>
          <cell r="Q133">
            <v>0</v>
          </cell>
          <cell r="X133">
            <v>0</v>
          </cell>
          <cell r="Z133" t="e">
            <v>#VALUE!</v>
          </cell>
          <cell r="AA133">
            <v>0</v>
          </cell>
          <cell r="AB133">
            <v>0</v>
          </cell>
          <cell r="AC133" t="e">
            <v>#VALUE!</v>
          </cell>
        </row>
        <row r="135">
          <cell r="D135" t="str">
            <v>CODIGO</v>
          </cell>
          <cell r="E135" t="str">
            <v>DESCRIPCION</v>
          </cell>
          <cell r="F135" t="str">
            <v>UN</v>
          </cell>
          <cell r="G135" t="str">
            <v>CANT</v>
          </cell>
          <cell r="H135" t="str">
            <v>V/UNIT.</v>
          </cell>
          <cell r="I135" t="str">
            <v>V/TOTAL</v>
          </cell>
          <cell r="K135" t="str">
            <v>CANT TOTAL</v>
          </cell>
          <cell r="L135" t="str">
            <v>Vr TOTAL</v>
          </cell>
          <cell r="Y135" t="str">
            <v>CANT.</v>
          </cell>
          <cell r="Z135" t="str">
            <v>V/TOTAL</v>
          </cell>
        </row>
        <row r="136">
          <cell r="E136" t="str">
            <v>HERRAMIENTA</v>
          </cell>
          <cell r="I136">
            <v>0</v>
          </cell>
          <cell r="L136">
            <v>0</v>
          </cell>
          <cell r="Z136">
            <v>0</v>
          </cell>
        </row>
        <row r="137">
          <cell r="I137">
            <v>0</v>
          </cell>
          <cell r="J137">
            <v>0</v>
          </cell>
          <cell r="K137">
            <v>0</v>
          </cell>
          <cell r="L137">
            <v>0</v>
          </cell>
          <cell r="Z137">
            <v>0</v>
          </cell>
        </row>
        <row r="139">
          <cell r="E139" t="str">
            <v>MANO DE OBRA</v>
          </cell>
          <cell r="I139">
            <v>0</v>
          </cell>
          <cell r="L139">
            <v>0</v>
          </cell>
          <cell r="Z139">
            <v>0</v>
          </cell>
        </row>
        <row r="140">
          <cell r="I140">
            <v>0</v>
          </cell>
          <cell r="J140">
            <v>0</v>
          </cell>
          <cell r="K140">
            <v>0</v>
          </cell>
          <cell r="L140">
            <v>0</v>
          </cell>
          <cell r="Z140">
            <v>0</v>
          </cell>
        </row>
        <row r="142">
          <cell r="E142" t="str">
            <v>VARIOS</v>
          </cell>
          <cell r="I142">
            <v>90000</v>
          </cell>
          <cell r="L142">
            <v>0</v>
          </cell>
          <cell r="Z142" t="e">
            <v>#VALUE!</v>
          </cell>
        </row>
        <row r="143">
          <cell r="D143" t="str">
            <v>AL04RETROG</v>
          </cell>
          <cell r="E143" t="str">
            <v>Retro Oruga 320</v>
          </cell>
          <cell r="F143" t="str">
            <v>Hr</v>
          </cell>
          <cell r="G143">
            <v>1</v>
          </cell>
          <cell r="H143">
            <v>90000</v>
          </cell>
          <cell r="I143">
            <v>90000</v>
          </cell>
          <cell r="J143">
            <v>0</v>
          </cell>
          <cell r="K143">
            <v>0</v>
          </cell>
          <cell r="L143">
            <v>0</v>
          </cell>
          <cell r="Y143" t="e">
            <v>#VALUE!</v>
          </cell>
          <cell r="Z143" t="e">
            <v>#VALUE!</v>
          </cell>
        </row>
        <row r="145">
          <cell r="E145" t="str">
            <v>SUBTOTAL</v>
          </cell>
          <cell r="I145">
            <v>90000</v>
          </cell>
          <cell r="L145">
            <v>0</v>
          </cell>
          <cell r="Z145" t="e">
            <v>#VALUE!</v>
          </cell>
        </row>
        <row r="146">
          <cell r="E146" t="str">
            <v>A.I.U</v>
          </cell>
          <cell r="I146">
            <v>0</v>
          </cell>
          <cell r="L146">
            <v>0</v>
          </cell>
          <cell r="Z146">
            <v>0</v>
          </cell>
        </row>
        <row r="147">
          <cell r="D147" t="str">
            <v>AIUAADMON</v>
          </cell>
          <cell r="E147" t="str">
            <v>Admon</v>
          </cell>
          <cell r="F147">
            <v>0</v>
          </cell>
          <cell r="I147">
            <v>0</v>
          </cell>
          <cell r="J147">
            <v>0</v>
          </cell>
          <cell r="L147">
            <v>0</v>
          </cell>
          <cell r="Z147">
            <v>0</v>
          </cell>
        </row>
        <row r="148">
          <cell r="D148" t="str">
            <v>AIUAIMPRE</v>
          </cell>
          <cell r="E148" t="str">
            <v>Imprevistos</v>
          </cell>
          <cell r="F148">
            <v>0</v>
          </cell>
          <cell r="I148">
            <v>0</v>
          </cell>
          <cell r="J148">
            <v>0</v>
          </cell>
          <cell r="L148">
            <v>0</v>
          </cell>
          <cell r="Z148">
            <v>0</v>
          </cell>
        </row>
        <row r="149">
          <cell r="D149" t="str">
            <v>AIUAUTILI</v>
          </cell>
          <cell r="E149" t="str">
            <v>Utilidad</v>
          </cell>
          <cell r="F149">
            <v>0</v>
          </cell>
          <cell r="I149">
            <v>0</v>
          </cell>
          <cell r="J149">
            <v>0</v>
          </cell>
          <cell r="L149">
            <v>0</v>
          </cell>
          <cell r="Z149">
            <v>0</v>
          </cell>
        </row>
        <row r="150">
          <cell r="D150" t="str">
            <v>AIUAIVAUTI</v>
          </cell>
          <cell r="E150" t="str">
            <v>IVA utilidad</v>
          </cell>
          <cell r="F150">
            <v>0</v>
          </cell>
          <cell r="I150">
            <v>0</v>
          </cell>
          <cell r="J150">
            <v>0</v>
          </cell>
          <cell r="L150">
            <v>0</v>
          </cell>
          <cell r="Z150">
            <v>0</v>
          </cell>
        </row>
        <row r="152">
          <cell r="E152" t="str">
            <v>ITEM</v>
          </cell>
        </row>
        <row r="153">
          <cell r="D153" t="str">
            <v>MTERETRO</v>
          </cell>
          <cell r="E153" t="str">
            <v>Excavación Retro Oruga</v>
          </cell>
          <cell r="G153" t="str">
            <v>UN.</v>
          </cell>
          <cell r="H153" t="str">
            <v>Hr</v>
          </cell>
          <cell r="I153">
            <v>60000</v>
          </cell>
          <cell r="K153">
            <v>0</v>
          </cell>
          <cell r="L153">
            <v>0</v>
          </cell>
          <cell r="N153">
            <v>0</v>
          </cell>
          <cell r="O153">
            <v>0</v>
          </cell>
          <cell r="P153">
            <v>60000</v>
          </cell>
          <cell r="Q153">
            <v>0</v>
          </cell>
          <cell r="X153">
            <v>0</v>
          </cell>
          <cell r="Z153" t="e">
            <v>#VALUE!</v>
          </cell>
          <cell r="AA153">
            <v>0</v>
          </cell>
          <cell r="AB153">
            <v>0</v>
          </cell>
          <cell r="AC153" t="e">
            <v>#VALUE!</v>
          </cell>
        </row>
        <row r="155">
          <cell r="D155" t="str">
            <v>CODIGO</v>
          </cell>
          <cell r="E155" t="str">
            <v>DESCRIPCION</v>
          </cell>
          <cell r="F155" t="str">
            <v>UN</v>
          </cell>
          <cell r="G155" t="str">
            <v>CANT</v>
          </cell>
          <cell r="H155" t="str">
            <v>V/UNIT.</v>
          </cell>
          <cell r="I155" t="str">
            <v>V/TOTAL</v>
          </cell>
          <cell r="K155" t="str">
            <v>CANT TOTAL</v>
          </cell>
          <cell r="L155" t="str">
            <v>Vr TOTAL</v>
          </cell>
          <cell r="Y155" t="str">
            <v>CANT.</v>
          </cell>
          <cell r="Z155" t="str">
            <v>V/TOTAL</v>
          </cell>
        </row>
        <row r="156">
          <cell r="E156" t="str">
            <v>HERRAMIENTA</v>
          </cell>
          <cell r="I156">
            <v>0</v>
          </cell>
          <cell r="L156">
            <v>0</v>
          </cell>
          <cell r="Z156">
            <v>0</v>
          </cell>
        </row>
        <row r="157">
          <cell r="I157">
            <v>0</v>
          </cell>
          <cell r="J157">
            <v>0</v>
          </cell>
          <cell r="K157">
            <v>0</v>
          </cell>
          <cell r="L157">
            <v>0</v>
          </cell>
          <cell r="Z157">
            <v>0</v>
          </cell>
        </row>
        <row r="159">
          <cell r="E159" t="str">
            <v>MANO DE OBRA</v>
          </cell>
          <cell r="I159">
            <v>0</v>
          </cell>
          <cell r="L159">
            <v>0</v>
          </cell>
          <cell r="Z159">
            <v>0</v>
          </cell>
        </row>
        <row r="160">
          <cell r="I160">
            <v>0</v>
          </cell>
          <cell r="J160">
            <v>0</v>
          </cell>
          <cell r="K160">
            <v>0</v>
          </cell>
          <cell r="L160">
            <v>0</v>
          </cell>
          <cell r="Z160">
            <v>0</v>
          </cell>
        </row>
        <row r="162">
          <cell r="E162" t="str">
            <v>VARIOS</v>
          </cell>
          <cell r="I162">
            <v>60000</v>
          </cell>
          <cell r="L162">
            <v>0</v>
          </cell>
          <cell r="Z162" t="e">
            <v>#VALUE!</v>
          </cell>
        </row>
        <row r="163">
          <cell r="D163" t="str">
            <v>AL04RETROE</v>
          </cell>
          <cell r="E163" t="str">
            <v>Retro Oruga</v>
          </cell>
          <cell r="F163" t="str">
            <v>Hr</v>
          </cell>
          <cell r="G163">
            <v>1</v>
          </cell>
          <cell r="H163">
            <v>60000</v>
          </cell>
          <cell r="I163">
            <v>60000</v>
          </cell>
          <cell r="J163">
            <v>0</v>
          </cell>
          <cell r="K163">
            <v>0</v>
          </cell>
          <cell r="L163">
            <v>0</v>
          </cell>
          <cell r="Y163" t="e">
            <v>#VALUE!</v>
          </cell>
          <cell r="Z163" t="e">
            <v>#VALUE!</v>
          </cell>
        </row>
        <row r="165">
          <cell r="E165" t="str">
            <v>SUBTOTAL</v>
          </cell>
          <cell r="I165">
            <v>60000</v>
          </cell>
          <cell r="L165">
            <v>0</v>
          </cell>
          <cell r="Z165" t="e">
            <v>#VALUE!</v>
          </cell>
        </row>
        <row r="166">
          <cell r="E166" t="str">
            <v>A.I.U</v>
          </cell>
          <cell r="I166">
            <v>0</v>
          </cell>
          <cell r="L166">
            <v>0</v>
          </cell>
          <cell r="Z166">
            <v>0</v>
          </cell>
        </row>
        <row r="167">
          <cell r="D167" t="str">
            <v>AIUAADMON</v>
          </cell>
          <cell r="E167" t="str">
            <v>Admon</v>
          </cell>
          <cell r="F167">
            <v>0</v>
          </cell>
          <cell r="I167">
            <v>0</v>
          </cell>
          <cell r="J167">
            <v>0</v>
          </cell>
          <cell r="L167">
            <v>0</v>
          </cell>
          <cell r="Z167">
            <v>0</v>
          </cell>
        </row>
        <row r="168">
          <cell r="D168" t="str">
            <v>AIUAIMPRE</v>
          </cell>
          <cell r="E168" t="str">
            <v>Imprevistos</v>
          </cell>
          <cell r="F168">
            <v>0</v>
          </cell>
          <cell r="I168">
            <v>0</v>
          </cell>
          <cell r="J168">
            <v>0</v>
          </cell>
          <cell r="L168">
            <v>0</v>
          </cell>
          <cell r="Z168">
            <v>0</v>
          </cell>
        </row>
        <row r="169">
          <cell r="D169" t="str">
            <v>AIUAUTILI</v>
          </cell>
          <cell r="E169" t="str">
            <v>Utilidad</v>
          </cell>
          <cell r="F169">
            <v>0</v>
          </cell>
          <cell r="I169">
            <v>0</v>
          </cell>
          <cell r="J169">
            <v>0</v>
          </cell>
          <cell r="L169">
            <v>0</v>
          </cell>
          <cell r="Z169">
            <v>0</v>
          </cell>
        </row>
        <row r="170">
          <cell r="D170" t="str">
            <v>AIUAIVAUTI</v>
          </cell>
          <cell r="E170" t="str">
            <v>IVA utilidad</v>
          </cell>
          <cell r="F170">
            <v>0</v>
          </cell>
          <cell r="I170">
            <v>0</v>
          </cell>
          <cell r="J170">
            <v>0</v>
          </cell>
          <cell r="L170">
            <v>0</v>
          </cell>
          <cell r="Z170">
            <v>0</v>
          </cell>
        </row>
        <row r="172">
          <cell r="E172" t="str">
            <v>ITEM</v>
          </cell>
        </row>
        <row r="173">
          <cell r="D173" t="str">
            <v>MTRETUREMA</v>
          </cell>
          <cell r="E173" t="str">
            <v>Recubrimento Tuberia en Recebo a Mano</v>
          </cell>
          <cell r="G173" t="str">
            <v>UN.</v>
          </cell>
          <cell r="H173" t="str">
            <v>M3</v>
          </cell>
          <cell r="I173">
            <v>29260</v>
          </cell>
          <cell r="K173">
            <v>7270.15</v>
          </cell>
          <cell r="L173">
            <v>212724589</v>
          </cell>
          <cell r="N173">
            <v>24510</v>
          </cell>
          <cell r="O173">
            <v>2000</v>
          </cell>
          <cell r="P173">
            <v>2750</v>
          </cell>
          <cell r="Q173">
            <v>0</v>
          </cell>
          <cell r="X173">
            <v>212724589</v>
          </cell>
          <cell r="Z173" t="e">
            <v>#N/A</v>
          </cell>
          <cell r="AA173" t="e">
            <v>#VALUE!</v>
          </cell>
          <cell r="AB173" t="e">
            <v>#VALUE!</v>
          </cell>
          <cell r="AC173" t="e">
            <v>#N/A</v>
          </cell>
        </row>
        <row r="175">
          <cell r="D175" t="str">
            <v>CODIGO</v>
          </cell>
          <cell r="E175" t="str">
            <v>DESCRIPCION</v>
          </cell>
          <cell r="F175" t="str">
            <v>UN</v>
          </cell>
          <cell r="G175" t="str">
            <v>CANT</v>
          </cell>
          <cell r="H175" t="str">
            <v>V/UNIT.</v>
          </cell>
          <cell r="I175" t="str">
            <v>V/TOTAL</v>
          </cell>
          <cell r="K175" t="str">
            <v>CANT TOTAL</v>
          </cell>
          <cell r="L175" t="str">
            <v>Vr TOTAL</v>
          </cell>
          <cell r="Y175" t="str">
            <v>CANT.</v>
          </cell>
          <cell r="Z175" t="str">
            <v>V/TOTAL</v>
          </cell>
        </row>
        <row r="176">
          <cell r="E176" t="str">
            <v>MATERIALES</v>
          </cell>
          <cell r="I176">
            <v>24510</v>
          </cell>
          <cell r="L176">
            <v>178191376.5</v>
          </cell>
          <cell r="Z176" t="e">
            <v>#VALUE!</v>
          </cell>
        </row>
        <row r="177">
          <cell r="D177" t="str">
            <v>MA02RMC</v>
          </cell>
          <cell r="E177" t="str">
            <v>Recebo en Cantera</v>
          </cell>
          <cell r="F177" t="str">
            <v>M3</v>
          </cell>
          <cell r="G177">
            <v>1.25</v>
          </cell>
          <cell r="H177">
            <v>6000</v>
          </cell>
          <cell r="I177">
            <v>7500</v>
          </cell>
          <cell r="J177">
            <v>0</v>
          </cell>
          <cell r="K177">
            <v>9087.6875</v>
          </cell>
          <cell r="L177">
            <v>54526125</v>
          </cell>
          <cell r="Y177" t="e">
            <v>#VALUE!</v>
          </cell>
          <cell r="Z177" t="e">
            <v>#VALUE!</v>
          </cell>
        </row>
        <row r="178">
          <cell r="D178" t="str">
            <v>TC09TR</v>
          </cell>
          <cell r="E178" t="str">
            <v>Transporte Recebo</v>
          </cell>
          <cell r="F178" t="str">
            <v>Vj</v>
          </cell>
          <cell r="G178">
            <v>0.21</v>
          </cell>
          <cell r="H178">
            <v>81000</v>
          </cell>
          <cell r="I178">
            <v>17010</v>
          </cell>
          <cell r="J178">
            <v>0</v>
          </cell>
          <cell r="K178">
            <v>1526.7314999999999</v>
          </cell>
          <cell r="L178">
            <v>123665251.49999999</v>
          </cell>
          <cell r="Y178" t="e">
            <v>#VALUE!</v>
          </cell>
          <cell r="Z178" t="e">
            <v>#VALUE!</v>
          </cell>
        </row>
        <row r="180">
          <cell r="E180" t="str">
            <v>MANO DE OBRA</v>
          </cell>
          <cell r="I180">
            <v>2000</v>
          </cell>
          <cell r="L180">
            <v>14540300</v>
          </cell>
          <cell r="Z180" t="e">
            <v>#VALUE!</v>
          </cell>
        </row>
        <row r="181">
          <cell r="D181" t="str">
            <v>MOMTRETU</v>
          </cell>
          <cell r="E181" t="str">
            <v xml:space="preserve">Recubrimiento Tuberia </v>
          </cell>
          <cell r="F181" t="str">
            <v>M3</v>
          </cell>
          <cell r="G181">
            <v>1</v>
          </cell>
          <cell r="H181">
            <v>2000</v>
          </cell>
          <cell r="I181">
            <v>2000</v>
          </cell>
          <cell r="J181">
            <v>0</v>
          </cell>
          <cell r="K181">
            <v>7270.15</v>
          </cell>
          <cell r="L181">
            <v>14540300</v>
          </cell>
          <cell r="Y181" t="e">
            <v>#VALUE!</v>
          </cell>
          <cell r="Z181" t="e">
            <v>#VALUE!</v>
          </cell>
        </row>
        <row r="183">
          <cell r="E183" t="str">
            <v>VARIOS</v>
          </cell>
          <cell r="I183">
            <v>2750</v>
          </cell>
          <cell r="L183">
            <v>19992912.5</v>
          </cell>
          <cell r="Z183" t="e">
            <v>#N/A</v>
          </cell>
        </row>
        <row r="184">
          <cell r="D184" t="str">
            <v>AL04BENIT</v>
          </cell>
          <cell r="E184" t="str">
            <v>Benitin</v>
          </cell>
          <cell r="F184" t="str">
            <v>Dia</v>
          </cell>
          <cell r="G184">
            <v>1.6E-2</v>
          </cell>
          <cell r="H184">
            <v>150000</v>
          </cell>
          <cell r="I184">
            <v>2400</v>
          </cell>
          <cell r="J184">
            <v>0</v>
          </cell>
          <cell r="K184">
            <v>116.3224</v>
          </cell>
          <cell r="L184">
            <v>17448360</v>
          </cell>
          <cell r="Y184" t="e">
            <v>#N/A</v>
          </cell>
          <cell r="Z184" t="e">
            <v>#N/A</v>
          </cell>
        </row>
        <row r="185">
          <cell r="D185" t="str">
            <v>TC07H150</v>
          </cell>
          <cell r="E185" t="str">
            <v>Herramienta</v>
          </cell>
          <cell r="F185" t="str">
            <v>Gb</v>
          </cell>
          <cell r="G185">
            <v>1</v>
          </cell>
          <cell r="H185">
            <v>350</v>
          </cell>
          <cell r="I185">
            <v>350</v>
          </cell>
          <cell r="J185">
            <v>0</v>
          </cell>
          <cell r="K185">
            <v>7270.15</v>
          </cell>
          <cell r="L185">
            <v>2544552.5</v>
          </cell>
          <cell r="Y185" t="e">
            <v>#N/A</v>
          </cell>
          <cell r="Z185" t="e">
            <v>#N/A</v>
          </cell>
        </row>
        <row r="186">
          <cell r="E186" t="str">
            <v>SUBTOTAL</v>
          </cell>
          <cell r="I186">
            <v>29260</v>
          </cell>
          <cell r="L186">
            <v>212724589</v>
          </cell>
          <cell r="Z186" t="e">
            <v>#N/A</v>
          </cell>
        </row>
        <row r="187">
          <cell r="E187" t="str">
            <v>A.I.U</v>
          </cell>
          <cell r="I187">
            <v>0</v>
          </cell>
          <cell r="L187">
            <v>0</v>
          </cell>
          <cell r="Z187">
            <v>0</v>
          </cell>
        </row>
        <row r="188">
          <cell r="D188" t="str">
            <v>AIUAADMON</v>
          </cell>
          <cell r="E188" t="str">
            <v>Admon</v>
          </cell>
          <cell r="F188">
            <v>0</v>
          </cell>
          <cell r="I188">
            <v>0</v>
          </cell>
          <cell r="J188">
            <v>0</v>
          </cell>
          <cell r="L188">
            <v>0</v>
          </cell>
          <cell r="Z188">
            <v>0</v>
          </cell>
        </row>
        <row r="189">
          <cell r="D189" t="str">
            <v>AIUAIMPRE</v>
          </cell>
          <cell r="E189" t="str">
            <v>Imprevistos</v>
          </cell>
          <cell r="F189">
            <v>0</v>
          </cell>
          <cell r="I189">
            <v>0</v>
          </cell>
          <cell r="J189">
            <v>0</v>
          </cell>
          <cell r="L189">
            <v>0</v>
          </cell>
          <cell r="Z189">
            <v>0</v>
          </cell>
        </row>
        <row r="190">
          <cell r="D190" t="str">
            <v>AIUAUTILI</v>
          </cell>
          <cell r="E190" t="str">
            <v>Utilidad</v>
          </cell>
          <cell r="F190">
            <v>0</v>
          </cell>
          <cell r="I190">
            <v>0</v>
          </cell>
          <cell r="J190">
            <v>0</v>
          </cell>
          <cell r="L190">
            <v>0</v>
          </cell>
          <cell r="Z190">
            <v>0</v>
          </cell>
        </row>
        <row r="191">
          <cell r="D191" t="str">
            <v>AIUAIVAUTI</v>
          </cell>
          <cell r="E191" t="str">
            <v>IVA utilidad</v>
          </cell>
          <cell r="F191">
            <v>0</v>
          </cell>
          <cell r="I191">
            <v>0</v>
          </cell>
          <cell r="J191">
            <v>0</v>
          </cell>
          <cell r="L191">
            <v>0</v>
          </cell>
          <cell r="Z191">
            <v>0</v>
          </cell>
        </row>
        <row r="193">
          <cell r="E193" t="str">
            <v>ITEM</v>
          </cell>
        </row>
        <row r="194">
          <cell r="D194" t="str">
            <v>MTRTRI</v>
          </cell>
          <cell r="E194" t="str">
            <v>Relleno Gravilla o Triturado</v>
          </cell>
          <cell r="G194" t="str">
            <v>UN.</v>
          </cell>
          <cell r="H194" t="str">
            <v>M3</v>
          </cell>
          <cell r="I194">
            <v>29070</v>
          </cell>
          <cell r="K194">
            <v>4144</v>
          </cell>
          <cell r="L194">
            <v>120466080</v>
          </cell>
          <cell r="N194">
            <v>29070</v>
          </cell>
          <cell r="O194">
            <v>0</v>
          </cell>
          <cell r="P194">
            <v>0</v>
          </cell>
          <cell r="Q194">
            <v>0</v>
          </cell>
          <cell r="X194">
            <v>120466080</v>
          </cell>
          <cell r="Z194" t="e">
            <v>#N/A</v>
          </cell>
          <cell r="AA194" t="e">
            <v>#N/A</v>
          </cell>
          <cell r="AB194">
            <v>0</v>
          </cell>
          <cell r="AC194">
            <v>0</v>
          </cell>
        </row>
        <row r="196">
          <cell r="D196" t="str">
            <v>CODIGO</v>
          </cell>
          <cell r="E196" t="str">
            <v>DESCRIPCION</v>
          </cell>
          <cell r="F196" t="str">
            <v>UN</v>
          </cell>
          <cell r="G196" t="str">
            <v>CANT</v>
          </cell>
          <cell r="H196" t="str">
            <v>V/UNIT.</v>
          </cell>
          <cell r="I196" t="str">
            <v>V/TOTAL</v>
          </cell>
          <cell r="K196" t="str">
            <v>CANT TOTAL</v>
          </cell>
          <cell r="L196" t="str">
            <v>Vr TOTAL</v>
          </cell>
          <cell r="Y196" t="str">
            <v>CANT.</v>
          </cell>
          <cell r="Z196" t="str">
            <v>V/TOTAL</v>
          </cell>
        </row>
        <row r="197">
          <cell r="E197" t="str">
            <v>MATERIALES</v>
          </cell>
          <cell r="I197">
            <v>29070</v>
          </cell>
          <cell r="L197">
            <v>120466080</v>
          </cell>
          <cell r="Z197" t="e">
            <v>#N/A</v>
          </cell>
        </row>
        <row r="198">
          <cell r="D198" t="str">
            <v>MA02TRITU</v>
          </cell>
          <cell r="E198" t="str">
            <v>Triturado</v>
          </cell>
          <cell r="F198" t="str">
            <v>m3</v>
          </cell>
          <cell r="G198">
            <v>1.02</v>
          </cell>
          <cell r="H198">
            <v>28500</v>
          </cell>
          <cell r="I198">
            <v>29070</v>
          </cell>
          <cell r="J198">
            <v>0</v>
          </cell>
          <cell r="K198">
            <v>4226.88</v>
          </cell>
          <cell r="L198">
            <v>120466080</v>
          </cell>
          <cell r="Y198" t="e">
            <v>#N/A</v>
          </cell>
          <cell r="Z198" t="e">
            <v>#N/A</v>
          </cell>
        </row>
        <row r="199">
          <cell r="I199">
            <v>0</v>
          </cell>
          <cell r="J199">
            <v>0</v>
          </cell>
          <cell r="K199">
            <v>0</v>
          </cell>
          <cell r="L199">
            <v>0</v>
          </cell>
          <cell r="Y199">
            <v>0</v>
          </cell>
          <cell r="Z199">
            <v>0</v>
          </cell>
        </row>
        <row r="201">
          <cell r="E201" t="str">
            <v>MANO DE OBRA</v>
          </cell>
          <cell r="I201">
            <v>0</v>
          </cell>
          <cell r="L201">
            <v>0</v>
          </cell>
          <cell r="Z201">
            <v>0</v>
          </cell>
        </row>
        <row r="202">
          <cell r="I202">
            <v>0</v>
          </cell>
          <cell r="J202">
            <v>0</v>
          </cell>
          <cell r="K202">
            <v>0</v>
          </cell>
          <cell r="L202">
            <v>0</v>
          </cell>
          <cell r="Y202">
            <v>0</v>
          </cell>
          <cell r="Z202">
            <v>0</v>
          </cell>
        </row>
        <row r="204">
          <cell r="E204" t="str">
            <v>VARIOS</v>
          </cell>
          <cell r="I204">
            <v>0</v>
          </cell>
          <cell r="L204">
            <v>0</v>
          </cell>
          <cell r="Z204">
            <v>0</v>
          </cell>
        </row>
        <row r="205">
          <cell r="I205">
            <v>0</v>
          </cell>
          <cell r="J205">
            <v>0</v>
          </cell>
          <cell r="K205">
            <v>0</v>
          </cell>
          <cell r="L205">
            <v>0</v>
          </cell>
          <cell r="Y205">
            <v>0</v>
          </cell>
          <cell r="Z205">
            <v>0</v>
          </cell>
        </row>
        <row r="206">
          <cell r="I206">
            <v>0</v>
          </cell>
          <cell r="J206">
            <v>0</v>
          </cell>
          <cell r="K206">
            <v>0</v>
          </cell>
          <cell r="L206">
            <v>0</v>
          </cell>
          <cell r="Y206">
            <v>0</v>
          </cell>
          <cell r="Z206">
            <v>0</v>
          </cell>
        </row>
        <row r="207">
          <cell r="E207" t="str">
            <v>SUBTOTAL</v>
          </cell>
          <cell r="I207">
            <v>29070</v>
          </cell>
          <cell r="L207">
            <v>120466080</v>
          </cell>
          <cell r="Z207" t="e">
            <v>#N/A</v>
          </cell>
        </row>
        <row r="208">
          <cell r="E208" t="str">
            <v>A.I.U</v>
          </cell>
          <cell r="I208">
            <v>0</v>
          </cell>
          <cell r="L208">
            <v>0</v>
          </cell>
          <cell r="Z208">
            <v>0</v>
          </cell>
        </row>
        <row r="209">
          <cell r="D209" t="str">
            <v>AIUAADMON</v>
          </cell>
          <cell r="E209" t="str">
            <v>Admon</v>
          </cell>
          <cell r="F209">
            <v>0</v>
          </cell>
          <cell r="I209">
            <v>0</v>
          </cell>
          <cell r="J209">
            <v>0</v>
          </cell>
          <cell r="L209">
            <v>0</v>
          </cell>
          <cell r="Z209">
            <v>0</v>
          </cell>
        </row>
        <row r="210">
          <cell r="D210" t="str">
            <v>AIUAIMPRE</v>
          </cell>
          <cell r="E210" t="str">
            <v>Imprevistos</v>
          </cell>
          <cell r="F210">
            <v>0</v>
          </cell>
          <cell r="I210">
            <v>0</v>
          </cell>
          <cell r="J210">
            <v>0</v>
          </cell>
          <cell r="L210">
            <v>0</v>
          </cell>
          <cell r="Z210">
            <v>0</v>
          </cell>
        </row>
        <row r="211">
          <cell r="D211" t="str">
            <v>AIUAUTILI</v>
          </cell>
          <cell r="E211" t="str">
            <v>Utilidad</v>
          </cell>
          <cell r="F211">
            <v>0</v>
          </cell>
          <cell r="I211">
            <v>0</v>
          </cell>
          <cell r="J211">
            <v>0</v>
          </cell>
          <cell r="L211">
            <v>0</v>
          </cell>
          <cell r="Z211">
            <v>0</v>
          </cell>
        </row>
        <row r="212">
          <cell r="D212" t="str">
            <v>AIUAIVAUTI</v>
          </cell>
          <cell r="E212" t="str">
            <v>IVA utilidad</v>
          </cell>
          <cell r="F212">
            <v>0</v>
          </cell>
          <cell r="I212">
            <v>0</v>
          </cell>
          <cell r="J212">
            <v>0</v>
          </cell>
          <cell r="L212">
            <v>0</v>
          </cell>
          <cell r="Z212">
            <v>0</v>
          </cell>
        </row>
        <row r="214">
          <cell r="E214" t="str">
            <v>ITEM</v>
          </cell>
        </row>
        <row r="215">
          <cell r="D215" t="str">
            <v>MTRRM</v>
          </cell>
          <cell r="E215" t="str">
            <v>Relleno Recebo a Mano</v>
          </cell>
          <cell r="G215" t="str">
            <v>UN.</v>
          </cell>
          <cell r="H215" t="str">
            <v>M3</v>
          </cell>
          <cell r="I215">
            <v>30330</v>
          </cell>
          <cell r="K215">
            <v>2758.85</v>
          </cell>
          <cell r="L215">
            <v>83675920.5</v>
          </cell>
          <cell r="N215">
            <v>24510</v>
          </cell>
          <cell r="O215">
            <v>4000</v>
          </cell>
          <cell r="P215">
            <v>1820</v>
          </cell>
          <cell r="Q215">
            <v>0</v>
          </cell>
          <cell r="X215">
            <v>83675920.5</v>
          </cell>
          <cell r="Z215" t="e">
            <v>#VALUE!</v>
          </cell>
          <cell r="AA215" t="e">
            <v>#VALUE!</v>
          </cell>
          <cell r="AB215" t="e">
            <v>#VALUE!</v>
          </cell>
          <cell r="AC215" t="e">
            <v>#VALUE!</v>
          </cell>
        </row>
        <row r="217">
          <cell r="D217" t="str">
            <v>CODIGO</v>
          </cell>
          <cell r="E217" t="str">
            <v>DESCRIPCION</v>
          </cell>
          <cell r="F217" t="str">
            <v>UN</v>
          </cell>
          <cell r="G217" t="str">
            <v>CANT</v>
          </cell>
          <cell r="H217" t="str">
            <v>V/UNIT.</v>
          </cell>
          <cell r="I217" t="str">
            <v>V/TOTAL</v>
          </cell>
          <cell r="K217" t="str">
            <v>CANT TOTAL</v>
          </cell>
          <cell r="L217" t="str">
            <v>Vr TOTAL</v>
          </cell>
          <cell r="Y217" t="str">
            <v>CANT.</v>
          </cell>
          <cell r="Z217" t="str">
            <v>V/TOTAL</v>
          </cell>
        </row>
        <row r="218">
          <cell r="E218" t="str">
            <v>MATERIALES</v>
          </cell>
          <cell r="I218">
            <v>24510</v>
          </cell>
          <cell r="L218">
            <v>67619413.5</v>
          </cell>
          <cell r="Z218" t="e">
            <v>#VALUE!</v>
          </cell>
        </row>
        <row r="219">
          <cell r="D219" t="str">
            <v>MA02RMC</v>
          </cell>
          <cell r="E219" t="str">
            <v>Recebo en Cantera</v>
          </cell>
          <cell r="F219" t="str">
            <v>M3</v>
          </cell>
          <cell r="G219">
            <v>1.25</v>
          </cell>
          <cell r="H219">
            <v>6000</v>
          </cell>
          <cell r="I219">
            <v>7500</v>
          </cell>
          <cell r="J219">
            <v>0</v>
          </cell>
          <cell r="K219">
            <v>3448.5625</v>
          </cell>
          <cell r="L219">
            <v>20691375</v>
          </cell>
          <cell r="Y219" t="e">
            <v>#VALUE!</v>
          </cell>
          <cell r="Z219" t="e">
            <v>#VALUE!</v>
          </cell>
        </row>
        <row r="220">
          <cell r="D220" t="str">
            <v>TC09TR</v>
          </cell>
          <cell r="E220" t="str">
            <v>Transporte Recebo</v>
          </cell>
          <cell r="F220" t="str">
            <v>Vj</v>
          </cell>
          <cell r="G220">
            <v>0.21</v>
          </cell>
          <cell r="H220">
            <v>81000</v>
          </cell>
          <cell r="I220">
            <v>17010</v>
          </cell>
          <cell r="J220">
            <v>0</v>
          </cell>
          <cell r="K220">
            <v>579.35849999999994</v>
          </cell>
          <cell r="L220">
            <v>46928038.499999993</v>
          </cell>
          <cell r="Y220" t="e">
            <v>#VALUE!</v>
          </cell>
          <cell r="Z220" t="e">
            <v>#VALUE!</v>
          </cell>
        </row>
        <row r="222">
          <cell r="E222" t="str">
            <v>MANO DE OBRA</v>
          </cell>
          <cell r="I222">
            <v>4000</v>
          </cell>
          <cell r="L222">
            <v>11035400</v>
          </cell>
          <cell r="Z222" t="e">
            <v>#VALUE!</v>
          </cell>
        </row>
        <row r="223">
          <cell r="D223" t="str">
            <v>MOMTRRM</v>
          </cell>
          <cell r="E223" t="str">
            <v>Relleno Receno a Mano</v>
          </cell>
          <cell r="F223" t="str">
            <v>M3</v>
          </cell>
          <cell r="G223">
            <v>1</v>
          </cell>
          <cell r="H223">
            <v>4000</v>
          </cell>
          <cell r="I223">
            <v>4000</v>
          </cell>
          <cell r="J223">
            <v>0</v>
          </cell>
          <cell r="K223">
            <v>2758.85</v>
          </cell>
          <cell r="L223">
            <v>11035400</v>
          </cell>
          <cell r="Y223" t="e">
            <v>#VALUE!</v>
          </cell>
          <cell r="Z223" t="e">
            <v>#VALUE!</v>
          </cell>
        </row>
        <row r="225">
          <cell r="E225" t="str">
            <v>VARIOS</v>
          </cell>
          <cell r="I225">
            <v>1820</v>
          </cell>
          <cell r="L225">
            <v>5021107</v>
          </cell>
          <cell r="Z225" t="e">
            <v>#VALUE!</v>
          </cell>
        </row>
        <row r="226">
          <cell r="D226" t="str">
            <v>AL04APIS</v>
          </cell>
          <cell r="E226" t="str">
            <v>Apisonador</v>
          </cell>
          <cell r="F226" t="str">
            <v>Dia</v>
          </cell>
          <cell r="G226">
            <v>0.04</v>
          </cell>
          <cell r="H226">
            <v>33000</v>
          </cell>
          <cell r="I226">
            <v>1320</v>
          </cell>
          <cell r="J226">
            <v>0</v>
          </cell>
          <cell r="K226">
            <v>110.354</v>
          </cell>
          <cell r="L226">
            <v>3641682</v>
          </cell>
          <cell r="Y226" t="e">
            <v>#VALUE!</v>
          </cell>
          <cell r="Z226" t="e">
            <v>#VALUE!</v>
          </cell>
        </row>
        <row r="227">
          <cell r="D227" t="str">
            <v>TC07H500</v>
          </cell>
          <cell r="E227" t="str">
            <v>Herramienta y Varios</v>
          </cell>
          <cell r="F227" t="str">
            <v>Gb</v>
          </cell>
          <cell r="G227">
            <v>1</v>
          </cell>
          <cell r="H227">
            <v>500</v>
          </cell>
          <cell r="I227">
            <v>500</v>
          </cell>
          <cell r="J227">
            <v>0</v>
          </cell>
          <cell r="K227">
            <v>2758.85</v>
          </cell>
          <cell r="L227">
            <v>1379425</v>
          </cell>
          <cell r="Y227" t="e">
            <v>#VALUE!</v>
          </cell>
          <cell r="Z227" t="e">
            <v>#VALUE!</v>
          </cell>
        </row>
        <row r="228">
          <cell r="E228" t="str">
            <v>SUBTOTAL</v>
          </cell>
          <cell r="I228">
            <v>30330</v>
          </cell>
          <cell r="L228">
            <v>83675920.5</v>
          </cell>
          <cell r="Z228" t="e">
            <v>#VALUE!</v>
          </cell>
        </row>
        <row r="229">
          <cell r="E229" t="str">
            <v>A.I.U</v>
          </cell>
          <cell r="I229">
            <v>0</v>
          </cell>
          <cell r="L229">
            <v>0</v>
          </cell>
          <cell r="Z229">
            <v>0</v>
          </cell>
        </row>
        <row r="230">
          <cell r="D230" t="str">
            <v>AIUAADMON</v>
          </cell>
          <cell r="E230" t="str">
            <v>Admon</v>
          </cell>
          <cell r="F230">
            <v>0</v>
          </cell>
          <cell r="I230">
            <v>0</v>
          </cell>
          <cell r="J230">
            <v>0</v>
          </cell>
          <cell r="L230">
            <v>0</v>
          </cell>
          <cell r="Z230">
            <v>0</v>
          </cell>
        </row>
        <row r="231">
          <cell r="D231" t="str">
            <v>AIUAIMPRE</v>
          </cell>
          <cell r="E231" t="str">
            <v>Imprevistos</v>
          </cell>
          <cell r="F231">
            <v>0</v>
          </cell>
          <cell r="I231">
            <v>0</v>
          </cell>
          <cell r="J231">
            <v>0</v>
          </cell>
          <cell r="L231">
            <v>0</v>
          </cell>
          <cell r="Z231">
            <v>0</v>
          </cell>
        </row>
        <row r="232">
          <cell r="D232" t="str">
            <v>AIUAUTILI</v>
          </cell>
          <cell r="E232" t="str">
            <v>Utilidad</v>
          </cell>
          <cell r="F232">
            <v>0</v>
          </cell>
          <cell r="I232">
            <v>0</v>
          </cell>
          <cell r="J232">
            <v>0</v>
          </cell>
          <cell r="L232">
            <v>0</v>
          </cell>
          <cell r="Z232">
            <v>0</v>
          </cell>
        </row>
        <row r="233">
          <cell r="D233" t="str">
            <v>AIUAIVAUTI</v>
          </cell>
          <cell r="E233" t="str">
            <v>IVA utilidad</v>
          </cell>
          <cell r="F233">
            <v>0</v>
          </cell>
          <cell r="I233">
            <v>0</v>
          </cell>
          <cell r="J233">
            <v>0</v>
          </cell>
          <cell r="L233">
            <v>0</v>
          </cell>
          <cell r="Z233">
            <v>0</v>
          </cell>
        </row>
        <row r="235">
          <cell r="E235" t="str">
            <v>ITEM</v>
          </cell>
        </row>
        <row r="236">
          <cell r="D236" t="str">
            <v>MTRMEX</v>
          </cell>
          <cell r="E236" t="str">
            <v>Retiro Material de Excavacion</v>
          </cell>
          <cell r="G236" t="str">
            <v>UN.</v>
          </cell>
          <cell r="H236" t="str">
            <v>M3</v>
          </cell>
          <cell r="I236">
            <v>11090</v>
          </cell>
          <cell r="K236">
            <v>22649</v>
          </cell>
          <cell r="L236">
            <v>251177410</v>
          </cell>
          <cell r="N236">
            <v>0</v>
          </cell>
          <cell r="O236">
            <v>0</v>
          </cell>
          <cell r="P236">
            <v>11090</v>
          </cell>
          <cell r="Q236">
            <v>0</v>
          </cell>
          <cell r="X236">
            <v>251177410</v>
          </cell>
          <cell r="Z236" t="e">
            <v>#N/A</v>
          </cell>
          <cell r="AA236">
            <v>0</v>
          </cell>
          <cell r="AB236">
            <v>0</v>
          </cell>
          <cell r="AC236" t="e">
            <v>#N/A</v>
          </cell>
        </row>
        <row r="238">
          <cell r="D238" t="str">
            <v>CODIGO</v>
          </cell>
          <cell r="E238" t="str">
            <v>DESCRIPCION</v>
          </cell>
          <cell r="F238" t="str">
            <v>UN</v>
          </cell>
          <cell r="G238" t="str">
            <v>CANT</v>
          </cell>
          <cell r="H238" t="str">
            <v>V/UNIT.</v>
          </cell>
          <cell r="I238" t="str">
            <v>V/TOTAL</v>
          </cell>
          <cell r="K238" t="str">
            <v>CANT TOTAL</v>
          </cell>
          <cell r="L238" t="str">
            <v>Vr TOTAL</v>
          </cell>
          <cell r="Y238" t="str">
            <v>CANT.</v>
          </cell>
          <cell r="Z238" t="str">
            <v>V/TOTAL</v>
          </cell>
        </row>
        <row r="239">
          <cell r="E239" t="str">
            <v>MATERIALES</v>
          </cell>
          <cell r="I239">
            <v>0</v>
          </cell>
          <cell r="L239">
            <v>0</v>
          </cell>
          <cell r="Z239">
            <v>0</v>
          </cell>
        </row>
        <row r="242">
          <cell r="E242" t="str">
            <v>MANO DE OBRA</v>
          </cell>
          <cell r="I242">
            <v>0</v>
          </cell>
          <cell r="L242">
            <v>0</v>
          </cell>
          <cell r="Z242">
            <v>0</v>
          </cell>
        </row>
        <row r="245">
          <cell r="E245" t="str">
            <v>VARIOS</v>
          </cell>
          <cell r="I245">
            <v>11090</v>
          </cell>
          <cell r="L245">
            <v>251177410</v>
          </cell>
          <cell r="Z245" t="e">
            <v>#N/A</v>
          </cell>
        </row>
        <row r="246">
          <cell r="D246" t="str">
            <v>TC09VOLN</v>
          </cell>
          <cell r="E246" t="str">
            <v>Volqueta</v>
          </cell>
          <cell r="F246" t="str">
            <v>M3</v>
          </cell>
          <cell r="G246">
            <v>1.3</v>
          </cell>
          <cell r="H246">
            <v>6667</v>
          </cell>
          <cell r="I246">
            <v>8667</v>
          </cell>
          <cell r="J246">
            <v>0</v>
          </cell>
          <cell r="K246">
            <v>29443.7</v>
          </cell>
          <cell r="L246">
            <v>196301147.90000001</v>
          </cell>
          <cell r="N246">
            <v>0.16666666666666666</v>
          </cell>
          <cell r="Y246" t="e">
            <v>#N/A</v>
          </cell>
          <cell r="Z246" t="e">
            <v>#N/A</v>
          </cell>
          <cell r="AA246">
            <v>0.16666666666666666</v>
          </cell>
        </row>
        <row r="247">
          <cell r="D247" t="str">
            <v>TC09BOT</v>
          </cell>
          <cell r="E247" t="str">
            <v>Botadero</v>
          </cell>
          <cell r="F247" t="str">
            <v>Vj</v>
          </cell>
          <cell r="G247">
            <v>0.3029</v>
          </cell>
          <cell r="H247">
            <v>8000</v>
          </cell>
          <cell r="I247">
            <v>2423</v>
          </cell>
          <cell r="J247">
            <v>0</v>
          </cell>
          <cell r="K247">
            <v>6860.3820999999998</v>
          </cell>
          <cell r="L247">
            <v>54883056.799999997</v>
          </cell>
          <cell r="Y247" t="e">
            <v>#N/A</v>
          </cell>
          <cell r="Z247" t="e">
            <v>#N/A</v>
          </cell>
        </row>
        <row r="248">
          <cell r="E248" t="str">
            <v>SUBTOTAL</v>
          </cell>
          <cell r="I248">
            <v>11090</v>
          </cell>
          <cell r="L248">
            <v>251177410</v>
          </cell>
          <cell r="Z248" t="e">
            <v>#N/A</v>
          </cell>
        </row>
        <row r="249">
          <cell r="E249" t="str">
            <v>A.I.U</v>
          </cell>
          <cell r="I249">
            <v>0</v>
          </cell>
          <cell r="L249">
            <v>0</v>
          </cell>
          <cell r="Z249">
            <v>0</v>
          </cell>
        </row>
        <row r="250">
          <cell r="D250" t="str">
            <v>AIUAADMON</v>
          </cell>
          <cell r="E250" t="str">
            <v>Admon</v>
          </cell>
          <cell r="F250">
            <v>0</v>
          </cell>
          <cell r="I250">
            <v>0</v>
          </cell>
          <cell r="J250">
            <v>0</v>
          </cell>
          <cell r="L250">
            <v>0</v>
          </cell>
          <cell r="Z250">
            <v>0</v>
          </cell>
        </row>
        <row r="251">
          <cell r="D251" t="str">
            <v>AIUAIMPRE</v>
          </cell>
          <cell r="E251" t="str">
            <v>Imprevistos</v>
          </cell>
          <cell r="F251">
            <v>0</v>
          </cell>
          <cell r="I251">
            <v>0</v>
          </cell>
          <cell r="J251">
            <v>0</v>
          </cell>
          <cell r="L251">
            <v>0</v>
          </cell>
          <cell r="Z251">
            <v>0</v>
          </cell>
        </row>
        <row r="252">
          <cell r="D252" t="str">
            <v>AIUAUTILI</v>
          </cell>
          <cell r="E252" t="str">
            <v>Utilidad</v>
          </cell>
          <cell r="F252">
            <v>0</v>
          </cell>
          <cell r="I252">
            <v>0</v>
          </cell>
          <cell r="J252">
            <v>0</v>
          </cell>
          <cell r="L252">
            <v>0</v>
          </cell>
          <cell r="Z252">
            <v>0</v>
          </cell>
        </row>
        <row r="253">
          <cell r="D253" t="str">
            <v>AIUAIVAUTI</v>
          </cell>
          <cell r="E253" t="str">
            <v>IVA utilidad</v>
          </cell>
          <cell r="F253">
            <v>0</v>
          </cell>
          <cell r="I253">
            <v>0</v>
          </cell>
          <cell r="J253">
            <v>0</v>
          </cell>
          <cell r="L253">
            <v>0</v>
          </cell>
          <cell r="Z253">
            <v>0</v>
          </cell>
        </row>
        <row r="255">
          <cell r="D255" t="str">
            <v>MTEXRGTU</v>
          </cell>
          <cell r="E255" t="str">
            <v>Excavacion Mecanica Retro 320 Tuberia</v>
          </cell>
          <cell r="G255" t="str">
            <v>UN.</v>
          </cell>
          <cell r="H255" t="str">
            <v>M3</v>
          </cell>
          <cell r="I255">
            <v>3060</v>
          </cell>
          <cell r="K255">
            <v>9100</v>
          </cell>
          <cell r="L255">
            <v>27846000</v>
          </cell>
          <cell r="N255">
            <v>0</v>
          </cell>
          <cell r="O255">
            <v>0</v>
          </cell>
          <cell r="P255">
            <v>3060</v>
          </cell>
          <cell r="Q255">
            <v>0</v>
          </cell>
          <cell r="X255">
            <v>27846000</v>
          </cell>
          <cell r="Z255" t="e">
            <v>#N/A</v>
          </cell>
          <cell r="AA255">
            <v>0</v>
          </cell>
          <cell r="AB255">
            <v>0</v>
          </cell>
          <cell r="AC255" t="e">
            <v>#N/A</v>
          </cell>
        </row>
        <row r="257">
          <cell r="D257" t="str">
            <v>CODIGO</v>
          </cell>
          <cell r="E257" t="str">
            <v>DESCRIPCION</v>
          </cell>
          <cell r="F257" t="str">
            <v>UN</v>
          </cell>
          <cell r="G257" t="str">
            <v>CANT</v>
          </cell>
          <cell r="H257" t="str">
            <v>V/UNIT.</v>
          </cell>
          <cell r="I257" t="str">
            <v>V/TOTAL</v>
          </cell>
          <cell r="K257" t="str">
            <v>CANT TOTAL</v>
          </cell>
          <cell r="L257" t="str">
            <v>Vr TOTAL</v>
          </cell>
          <cell r="Y257" t="str">
            <v>CANT.</v>
          </cell>
          <cell r="Z257" t="str">
            <v>V/TOTAL</v>
          </cell>
        </row>
        <row r="258">
          <cell r="E258" t="str">
            <v>HERRAMIENTA</v>
          </cell>
          <cell r="I258">
            <v>0</v>
          </cell>
          <cell r="L258">
            <v>0</v>
          </cell>
          <cell r="Z258">
            <v>0</v>
          </cell>
        </row>
        <row r="259">
          <cell r="I259">
            <v>0</v>
          </cell>
          <cell r="J259">
            <v>0</v>
          </cell>
          <cell r="K259">
            <v>0</v>
          </cell>
          <cell r="L259">
            <v>0</v>
          </cell>
          <cell r="Z259">
            <v>0</v>
          </cell>
        </row>
        <row r="261">
          <cell r="E261" t="str">
            <v>MANO DE OBRA</v>
          </cell>
          <cell r="I261">
            <v>0</v>
          </cell>
          <cell r="L261">
            <v>0</v>
          </cell>
          <cell r="Z261">
            <v>0</v>
          </cell>
        </row>
        <row r="262">
          <cell r="I262">
            <v>0</v>
          </cell>
          <cell r="J262">
            <v>0</v>
          </cell>
          <cell r="K262">
            <v>0</v>
          </cell>
          <cell r="L262">
            <v>0</v>
          </cell>
          <cell r="Z262">
            <v>0</v>
          </cell>
        </row>
        <row r="264">
          <cell r="E264" t="str">
            <v>VARIOS</v>
          </cell>
          <cell r="I264">
            <v>3060</v>
          </cell>
          <cell r="L264">
            <v>27846000</v>
          </cell>
          <cell r="Z264" t="e">
            <v>#N/A</v>
          </cell>
        </row>
        <row r="265">
          <cell r="D265" t="str">
            <v>AL04RETROG</v>
          </cell>
          <cell r="E265" t="str">
            <v>Retro Oruga 320</v>
          </cell>
          <cell r="F265" t="str">
            <v>Hr</v>
          </cell>
          <cell r="G265">
            <v>3.4000000000000002E-2</v>
          </cell>
          <cell r="H265">
            <v>90000</v>
          </cell>
          <cell r="I265">
            <v>3060</v>
          </cell>
          <cell r="J265">
            <v>0</v>
          </cell>
          <cell r="K265">
            <v>309.40000000000003</v>
          </cell>
          <cell r="L265">
            <v>27846000.000000004</v>
          </cell>
          <cell r="Y265" t="e">
            <v>#N/A</v>
          </cell>
          <cell r="Z265" t="e">
            <v>#N/A</v>
          </cell>
        </row>
        <row r="267">
          <cell r="E267" t="str">
            <v>SUBTOTAL</v>
          </cell>
          <cell r="I267">
            <v>3060</v>
          </cell>
          <cell r="L267">
            <v>27846000</v>
          </cell>
          <cell r="Z267" t="e">
            <v>#N/A</v>
          </cell>
        </row>
        <row r="268">
          <cell r="E268" t="str">
            <v>A.I.U</v>
          </cell>
          <cell r="I268">
            <v>0</v>
          </cell>
          <cell r="L268">
            <v>0</v>
          </cell>
          <cell r="Z268">
            <v>0</v>
          </cell>
        </row>
        <row r="269">
          <cell r="D269" t="str">
            <v>AIUAADMON</v>
          </cell>
          <cell r="E269" t="str">
            <v>Admon</v>
          </cell>
          <cell r="F269">
            <v>0</v>
          </cell>
          <cell r="I269">
            <v>0</v>
          </cell>
          <cell r="J269">
            <v>0</v>
          </cell>
          <cell r="L269">
            <v>0</v>
          </cell>
          <cell r="Z269">
            <v>0</v>
          </cell>
        </row>
        <row r="270">
          <cell r="D270" t="str">
            <v>AIUAIMPRE</v>
          </cell>
          <cell r="E270" t="str">
            <v>Imprevistos</v>
          </cell>
          <cell r="F270">
            <v>0</v>
          </cell>
          <cell r="I270">
            <v>0</v>
          </cell>
          <cell r="J270">
            <v>0</v>
          </cell>
          <cell r="L270">
            <v>0</v>
          </cell>
          <cell r="Z270">
            <v>0</v>
          </cell>
        </row>
        <row r="271">
          <cell r="D271" t="str">
            <v>AIUAUTILI</v>
          </cell>
          <cell r="E271" t="str">
            <v>Utilidad</v>
          </cell>
          <cell r="F271">
            <v>0</v>
          </cell>
          <cell r="I271">
            <v>0</v>
          </cell>
          <cell r="J271">
            <v>0</v>
          </cell>
          <cell r="L271">
            <v>0</v>
          </cell>
          <cell r="Z271">
            <v>0</v>
          </cell>
        </row>
        <row r="272">
          <cell r="D272" t="str">
            <v>AIUAIVAUTI</v>
          </cell>
          <cell r="E272" t="str">
            <v>IVA utilidad</v>
          </cell>
          <cell r="F272">
            <v>0</v>
          </cell>
          <cell r="I272">
            <v>0</v>
          </cell>
          <cell r="J272">
            <v>0</v>
          </cell>
          <cell r="L272">
            <v>0</v>
          </cell>
          <cell r="Z272">
            <v>0</v>
          </cell>
        </row>
        <row r="274">
          <cell r="D274" t="str">
            <v>MTEXRMTU</v>
          </cell>
          <cell r="E274" t="str">
            <v>Excavacion Mecanica Retro 200 Tuberia</v>
          </cell>
          <cell r="G274" t="str">
            <v>UN.</v>
          </cell>
          <cell r="H274" t="str">
            <v>M3</v>
          </cell>
          <cell r="I274">
            <v>3180</v>
          </cell>
          <cell r="K274">
            <v>10016</v>
          </cell>
          <cell r="L274">
            <v>31850880</v>
          </cell>
          <cell r="N274">
            <v>0</v>
          </cell>
          <cell r="O274">
            <v>0</v>
          </cell>
          <cell r="P274">
            <v>3180</v>
          </cell>
          <cell r="Q274">
            <v>0</v>
          </cell>
          <cell r="X274">
            <v>31850880</v>
          </cell>
          <cell r="Z274" t="e">
            <v>#N/A</v>
          </cell>
          <cell r="AA274">
            <v>0</v>
          </cell>
          <cell r="AB274">
            <v>0</v>
          </cell>
          <cell r="AC274" t="e">
            <v>#N/A</v>
          </cell>
        </row>
        <row r="276">
          <cell r="D276" t="str">
            <v>CODIGO</v>
          </cell>
          <cell r="E276" t="str">
            <v>DESCRIPCION</v>
          </cell>
          <cell r="F276" t="str">
            <v>UN</v>
          </cell>
          <cell r="G276" t="str">
            <v>CANT</v>
          </cell>
          <cell r="H276" t="str">
            <v>V/UNIT.</v>
          </cell>
          <cell r="I276" t="str">
            <v>V/TOTAL</v>
          </cell>
          <cell r="K276" t="str">
            <v>CANT TOTAL</v>
          </cell>
          <cell r="L276" t="str">
            <v>Vr TOTAL</v>
          </cell>
          <cell r="Y276" t="str">
            <v>CANT.</v>
          </cell>
          <cell r="Z276" t="str">
            <v>V/TOTAL</v>
          </cell>
        </row>
        <row r="277">
          <cell r="E277" t="str">
            <v>HERRAMIENTA</v>
          </cell>
          <cell r="I277">
            <v>0</v>
          </cell>
          <cell r="L277">
            <v>0</v>
          </cell>
          <cell r="Z277">
            <v>0</v>
          </cell>
        </row>
        <row r="278">
          <cell r="I278">
            <v>0</v>
          </cell>
          <cell r="J278">
            <v>0</v>
          </cell>
          <cell r="K278">
            <v>0</v>
          </cell>
          <cell r="L278">
            <v>0</v>
          </cell>
          <cell r="Z278">
            <v>0</v>
          </cell>
        </row>
        <row r="280">
          <cell r="E280" t="str">
            <v>MANO DE OBRA</v>
          </cell>
          <cell r="I280">
            <v>0</v>
          </cell>
          <cell r="L280">
            <v>0</v>
          </cell>
          <cell r="Z280">
            <v>0</v>
          </cell>
        </row>
        <row r="281">
          <cell r="I281">
            <v>0</v>
          </cell>
          <cell r="J281">
            <v>0</v>
          </cell>
          <cell r="K281">
            <v>0</v>
          </cell>
          <cell r="L281">
            <v>0</v>
          </cell>
          <cell r="Z281">
            <v>0</v>
          </cell>
        </row>
        <row r="283">
          <cell r="E283" t="str">
            <v>VARIOS</v>
          </cell>
          <cell r="I283">
            <v>3180</v>
          </cell>
          <cell r="L283">
            <v>31850880</v>
          </cell>
          <cell r="Z283" t="e">
            <v>#N/A</v>
          </cell>
        </row>
        <row r="284">
          <cell r="D284" t="str">
            <v>AL04RETROE</v>
          </cell>
          <cell r="E284" t="str">
            <v>Retro Oruga</v>
          </cell>
          <cell r="F284" t="str">
            <v>Hr</v>
          </cell>
          <cell r="G284">
            <v>5.2999999999999999E-2</v>
          </cell>
          <cell r="H284">
            <v>60000</v>
          </cell>
          <cell r="I284">
            <v>3180</v>
          </cell>
          <cell r="J284">
            <v>0</v>
          </cell>
          <cell r="K284">
            <v>530.84799999999996</v>
          </cell>
          <cell r="L284">
            <v>31850879.999999996</v>
          </cell>
          <cell r="Y284" t="e">
            <v>#N/A</v>
          </cell>
          <cell r="Z284" t="e">
            <v>#N/A</v>
          </cell>
        </row>
        <row r="285">
          <cell r="H285">
            <v>112</v>
          </cell>
        </row>
        <row r="286">
          <cell r="E286" t="str">
            <v>SUBTOTAL</v>
          </cell>
          <cell r="I286">
            <v>3180</v>
          </cell>
          <cell r="L286">
            <v>31850880</v>
          </cell>
          <cell r="Z286" t="e">
            <v>#N/A</v>
          </cell>
        </row>
        <row r="287">
          <cell r="E287" t="str">
            <v>A.I.U</v>
          </cell>
          <cell r="I287">
            <v>0</v>
          </cell>
          <cell r="L287">
            <v>0</v>
          </cell>
          <cell r="Z287">
            <v>0</v>
          </cell>
        </row>
        <row r="288">
          <cell r="D288" t="str">
            <v>AIUAADMON</v>
          </cell>
          <cell r="E288" t="str">
            <v>Admon</v>
          </cell>
          <cell r="F288">
            <v>0</v>
          </cell>
          <cell r="I288">
            <v>0</v>
          </cell>
          <cell r="J288">
            <v>0</v>
          </cell>
          <cell r="L288">
            <v>0</v>
          </cell>
          <cell r="Z288">
            <v>0</v>
          </cell>
        </row>
        <row r="289">
          <cell r="D289" t="str">
            <v>AIUAIMPRE</v>
          </cell>
          <cell r="E289" t="str">
            <v>Imprevistos</v>
          </cell>
          <cell r="F289">
            <v>0</v>
          </cell>
          <cell r="I289">
            <v>0</v>
          </cell>
          <cell r="J289">
            <v>0</v>
          </cell>
          <cell r="L289">
            <v>0</v>
          </cell>
          <cell r="Z289">
            <v>0</v>
          </cell>
        </row>
        <row r="290">
          <cell r="D290" t="str">
            <v>AIUAUTILI</v>
          </cell>
          <cell r="E290" t="str">
            <v>Utilidad</v>
          </cell>
          <cell r="F290">
            <v>0</v>
          </cell>
          <cell r="I290">
            <v>0</v>
          </cell>
          <cell r="J290">
            <v>0</v>
          </cell>
          <cell r="L290">
            <v>0</v>
          </cell>
          <cell r="Z290">
            <v>0</v>
          </cell>
        </row>
        <row r="291">
          <cell r="D291" t="str">
            <v>AIUAIVAUTI</v>
          </cell>
          <cell r="E291" t="str">
            <v>IVA utilidad</v>
          </cell>
          <cell r="F291">
            <v>0</v>
          </cell>
          <cell r="I291">
            <v>0</v>
          </cell>
          <cell r="J291">
            <v>0</v>
          </cell>
          <cell r="L291">
            <v>0</v>
          </cell>
          <cell r="Z291">
            <v>0</v>
          </cell>
        </row>
        <row r="293">
          <cell r="E293" t="str">
            <v>ITEM</v>
          </cell>
        </row>
        <row r="294">
          <cell r="D294" t="str">
            <v>MTRAJO</v>
          </cell>
          <cell r="E294" t="e">
            <v>#N/A</v>
          </cell>
          <cell r="G294" t="str">
            <v>UN.</v>
          </cell>
          <cell r="H294" t="e">
            <v>#N/A</v>
          </cell>
          <cell r="I294" t="e">
            <v>#N/A</v>
          </cell>
          <cell r="K294">
            <v>0</v>
          </cell>
          <cell r="L294" t="e">
            <v>#N/A</v>
          </cell>
          <cell r="N294" t="e">
            <v>#N/A</v>
          </cell>
          <cell r="O294">
            <v>2800</v>
          </cell>
          <cell r="P294">
            <v>0</v>
          </cell>
          <cell r="Q294" t="e">
            <v>#N/A</v>
          </cell>
          <cell r="X294" t="e">
            <v>#N/A</v>
          </cell>
          <cell r="Z294" t="e">
            <v>#VALUE!</v>
          </cell>
          <cell r="AA294" t="e">
            <v>#VALUE!</v>
          </cell>
          <cell r="AB294" t="e">
            <v>#VALUE!</v>
          </cell>
          <cell r="AC294">
            <v>0</v>
          </cell>
        </row>
        <row r="296">
          <cell r="D296" t="str">
            <v>CODIGO</v>
          </cell>
          <cell r="E296" t="str">
            <v>DESCRIPCION</v>
          </cell>
          <cell r="F296" t="str">
            <v>UN</v>
          </cell>
          <cell r="G296" t="str">
            <v>CANT</v>
          </cell>
          <cell r="H296" t="str">
            <v>V/UNIT.</v>
          </cell>
          <cell r="I296" t="str">
            <v>V/TOTAL</v>
          </cell>
          <cell r="K296" t="str">
            <v>CANT TOTAL</v>
          </cell>
          <cell r="L296" t="str">
            <v>Vr TOTAL</v>
          </cell>
          <cell r="Y296" t="str">
            <v>CANT.</v>
          </cell>
          <cell r="Z296" t="str">
            <v>V/TOTAL</v>
          </cell>
        </row>
        <row r="297">
          <cell r="E297" t="str">
            <v>MATERIALES</v>
          </cell>
          <cell r="I297" t="e">
            <v>#N/A</v>
          </cell>
          <cell r="L297" t="e">
            <v>#N/A</v>
          </cell>
          <cell r="Z297" t="e">
            <v>#VALUE!</v>
          </cell>
        </row>
        <row r="298">
          <cell r="D298" t="str">
            <v>MA02RA</v>
          </cell>
          <cell r="E298" t="e">
            <v>#N/A</v>
          </cell>
          <cell r="F298" t="e">
            <v>#N/A</v>
          </cell>
          <cell r="G298">
            <v>1</v>
          </cell>
          <cell r="H298" t="e">
            <v>#N/A</v>
          </cell>
          <cell r="I298" t="e">
            <v>#N/A</v>
          </cell>
          <cell r="J298" t="e">
            <v>#N/A</v>
          </cell>
          <cell r="K298">
            <v>0</v>
          </cell>
          <cell r="L298" t="e">
            <v>#N/A</v>
          </cell>
          <cell r="Y298" t="e">
            <v>#VALUE!</v>
          </cell>
          <cell r="Z298" t="e">
            <v>#VALUE!</v>
          </cell>
        </row>
        <row r="300">
          <cell r="E300" t="str">
            <v>MANO DE OBRA</v>
          </cell>
          <cell r="I300">
            <v>2800</v>
          </cell>
          <cell r="L300">
            <v>0</v>
          </cell>
          <cell r="Z300" t="e">
            <v>#VALUE!</v>
          </cell>
        </row>
        <row r="301">
          <cell r="D301" t="str">
            <v>MOVIIRA</v>
          </cell>
          <cell r="E301" t="str">
            <v>Instalacion Rajon</v>
          </cell>
          <cell r="F301" t="str">
            <v>m3</v>
          </cell>
          <cell r="G301">
            <v>1</v>
          </cell>
          <cell r="H301">
            <v>2800</v>
          </cell>
          <cell r="I301">
            <v>2800</v>
          </cell>
          <cell r="J301">
            <v>0</v>
          </cell>
          <cell r="K301">
            <v>0</v>
          </cell>
          <cell r="L301">
            <v>0</v>
          </cell>
          <cell r="Y301" t="e">
            <v>#VALUE!</v>
          </cell>
          <cell r="Z301" t="e">
            <v>#VALUE!</v>
          </cell>
        </row>
        <row r="303">
          <cell r="E303" t="str">
            <v>VARIOS</v>
          </cell>
          <cell r="I303">
            <v>0</v>
          </cell>
          <cell r="L303">
            <v>0</v>
          </cell>
          <cell r="Z303">
            <v>0</v>
          </cell>
        </row>
        <row r="304">
          <cell r="I304">
            <v>0</v>
          </cell>
          <cell r="J304">
            <v>0</v>
          </cell>
          <cell r="K304">
            <v>0</v>
          </cell>
          <cell r="L304">
            <v>0</v>
          </cell>
          <cell r="Z304">
            <v>0</v>
          </cell>
        </row>
        <row r="306">
          <cell r="E306" t="str">
            <v>SUBTOTAL</v>
          </cell>
          <cell r="I306" t="e">
            <v>#N/A</v>
          </cell>
          <cell r="L306" t="e">
            <v>#N/A</v>
          </cell>
          <cell r="Z306" t="e">
            <v>#VALUE!</v>
          </cell>
        </row>
        <row r="307">
          <cell r="E307" t="str">
            <v>A.I.U</v>
          </cell>
          <cell r="I307" t="e">
            <v>#N/A</v>
          </cell>
          <cell r="L307" t="e">
            <v>#N/A</v>
          </cell>
          <cell r="Z307" t="e">
            <v>#N/A</v>
          </cell>
        </row>
        <row r="308">
          <cell r="D308" t="str">
            <v>AIUAADMON</v>
          </cell>
          <cell r="E308" t="str">
            <v>Admon</v>
          </cell>
          <cell r="F308">
            <v>0</v>
          </cell>
          <cell r="I308" t="e">
            <v>#N/A</v>
          </cell>
          <cell r="J308">
            <v>0</v>
          </cell>
          <cell r="L308" t="e">
            <v>#N/A</v>
          </cell>
          <cell r="Z308" t="e">
            <v>#N/A</v>
          </cell>
        </row>
        <row r="309">
          <cell r="D309" t="str">
            <v>AIUAIMPRE</v>
          </cell>
          <cell r="E309" t="str">
            <v>Imprevistos</v>
          </cell>
          <cell r="F309">
            <v>0</v>
          </cell>
          <cell r="I309" t="e">
            <v>#N/A</v>
          </cell>
          <cell r="J309">
            <v>0</v>
          </cell>
          <cell r="L309" t="e">
            <v>#N/A</v>
          </cell>
          <cell r="Z309" t="e">
            <v>#N/A</v>
          </cell>
        </row>
        <row r="310">
          <cell r="D310" t="str">
            <v>AIUAUTILI</v>
          </cell>
          <cell r="E310" t="str">
            <v>Utilidad</v>
          </cell>
          <cell r="F310">
            <v>0</v>
          </cell>
          <cell r="I310" t="e">
            <v>#N/A</v>
          </cell>
          <cell r="J310">
            <v>0</v>
          </cell>
          <cell r="L310" t="e">
            <v>#N/A</v>
          </cell>
          <cell r="Z310" t="e">
            <v>#N/A</v>
          </cell>
        </row>
        <row r="311">
          <cell r="D311" t="str">
            <v>AIUAIVAUTI</v>
          </cell>
          <cell r="E311" t="str">
            <v>IVA utilidad</v>
          </cell>
          <cell r="F311">
            <v>0</v>
          </cell>
          <cell r="I311" t="e">
            <v>#N/A</v>
          </cell>
          <cell r="J311">
            <v>0</v>
          </cell>
          <cell r="L311" t="e">
            <v>#N/A</v>
          </cell>
          <cell r="Z311" t="e">
            <v>#N/A</v>
          </cell>
        </row>
        <row r="314">
          <cell r="E314" t="str">
            <v>ITEM</v>
          </cell>
        </row>
        <row r="315">
          <cell r="D315" t="str">
            <v>ANICBOX</v>
          </cell>
          <cell r="E315" t="str">
            <v>Inst. Concretos y Constr. Box Coulvert</v>
          </cell>
          <cell r="G315" t="str">
            <v>UN.</v>
          </cell>
          <cell r="H315" t="str">
            <v>M3</v>
          </cell>
          <cell r="I315">
            <v>96923</v>
          </cell>
          <cell r="K315">
            <v>214</v>
          </cell>
          <cell r="L315">
            <v>20741522</v>
          </cell>
          <cell r="N315">
            <v>5523</v>
          </cell>
          <cell r="O315">
            <v>78000</v>
          </cell>
          <cell r="P315">
            <v>13400</v>
          </cell>
          <cell r="Q315">
            <v>0</v>
          </cell>
          <cell r="X315">
            <v>20741522</v>
          </cell>
          <cell r="Y315" t="str">
            <v>M3</v>
          </cell>
          <cell r="Z315" t="e">
            <v>#N/A</v>
          </cell>
          <cell r="AA315" t="e">
            <v>#N/A</v>
          </cell>
          <cell r="AB315" t="e">
            <v>#N/A</v>
          </cell>
          <cell r="AC315" t="e">
            <v>#N/A</v>
          </cell>
        </row>
        <row r="317">
          <cell r="D317" t="str">
            <v>CODIGO</v>
          </cell>
          <cell r="E317" t="str">
            <v>DESCRIPCION</v>
          </cell>
          <cell r="F317" t="str">
            <v>UN</v>
          </cell>
          <cell r="G317" t="str">
            <v>CANT</v>
          </cell>
          <cell r="H317" t="str">
            <v>V/UNIT.</v>
          </cell>
          <cell r="I317" t="str">
            <v>V/TOTAL</v>
          </cell>
          <cell r="K317" t="str">
            <v>CANT TOTAL</v>
          </cell>
          <cell r="L317" t="str">
            <v>Vr TOTAL</v>
          </cell>
          <cell r="Y317" t="str">
            <v>CANT.</v>
          </cell>
          <cell r="Z317" t="str">
            <v>V/TOTAL</v>
          </cell>
        </row>
        <row r="318">
          <cell r="E318" t="str">
            <v>MATERIALES</v>
          </cell>
          <cell r="I318">
            <v>5523</v>
          </cell>
          <cell r="L318">
            <v>1181922</v>
          </cell>
          <cell r="Z318" t="e">
            <v>#N/A</v>
          </cell>
        </row>
        <row r="319">
          <cell r="D319" t="str">
            <v>MA19PC3</v>
          </cell>
          <cell r="E319" t="str">
            <v>Puntilla con cabeza 3"</v>
          </cell>
          <cell r="F319" t="str">
            <v>Lb</v>
          </cell>
          <cell r="G319">
            <v>0.5</v>
          </cell>
          <cell r="H319">
            <v>1216</v>
          </cell>
          <cell r="I319">
            <v>608</v>
          </cell>
          <cell r="J319">
            <v>0</v>
          </cell>
          <cell r="K319">
            <v>107</v>
          </cell>
          <cell r="L319">
            <v>130112</v>
          </cell>
          <cell r="Y319" t="e">
            <v>#N/A</v>
          </cell>
          <cell r="Z319" t="e">
            <v>#N/A</v>
          </cell>
        </row>
        <row r="320">
          <cell r="D320" t="str">
            <v>MA19PC25</v>
          </cell>
          <cell r="E320" t="str">
            <v>Puntilla con cabeza 2,5"</v>
          </cell>
          <cell r="F320" t="str">
            <v>Lb</v>
          </cell>
          <cell r="G320">
            <v>0.2</v>
          </cell>
          <cell r="H320">
            <v>1216</v>
          </cell>
          <cell r="I320">
            <v>243</v>
          </cell>
          <cell r="J320">
            <v>0</v>
          </cell>
          <cell r="K320">
            <v>42.800000000000004</v>
          </cell>
          <cell r="L320">
            <v>52044.800000000003</v>
          </cell>
          <cell r="Y320" t="e">
            <v>#N/A</v>
          </cell>
          <cell r="Z320" t="e">
            <v>#N/A</v>
          </cell>
        </row>
        <row r="321">
          <cell r="D321" t="str">
            <v>MA01AN18</v>
          </cell>
          <cell r="E321" t="str">
            <v>Alambre Negro</v>
          </cell>
          <cell r="F321" t="str">
            <v>Kg</v>
          </cell>
          <cell r="G321">
            <v>1.8</v>
          </cell>
          <cell r="H321">
            <v>1940</v>
          </cell>
          <cell r="I321">
            <v>3492</v>
          </cell>
          <cell r="J321">
            <v>0</v>
          </cell>
          <cell r="K321">
            <v>385.2</v>
          </cell>
          <cell r="L321">
            <v>747288</v>
          </cell>
          <cell r="Y321" t="e">
            <v>#N/A</v>
          </cell>
          <cell r="Z321" t="e">
            <v>#N/A</v>
          </cell>
        </row>
        <row r="322">
          <cell r="D322" t="str">
            <v>MA01A3</v>
          </cell>
          <cell r="E322" t="str">
            <v>Acero A-3</v>
          </cell>
          <cell r="F322" t="str">
            <v>Kg</v>
          </cell>
          <cell r="G322">
            <v>0.25</v>
          </cell>
          <cell r="H322">
            <v>1404</v>
          </cell>
          <cell r="I322">
            <v>351</v>
          </cell>
          <cell r="J322">
            <v>0</v>
          </cell>
          <cell r="K322">
            <v>53.5</v>
          </cell>
          <cell r="L322">
            <v>75114</v>
          </cell>
          <cell r="Y322" t="e">
            <v>#N/A</v>
          </cell>
          <cell r="Z322" t="e">
            <v>#N/A</v>
          </cell>
        </row>
        <row r="323">
          <cell r="D323" t="str">
            <v>MA25TB20</v>
          </cell>
          <cell r="E323" t="str">
            <v>Tabla Burra 20 cm</v>
          </cell>
          <cell r="F323" t="str">
            <v>Un</v>
          </cell>
          <cell r="G323">
            <v>0.13</v>
          </cell>
          <cell r="H323">
            <v>6380</v>
          </cell>
          <cell r="I323">
            <v>829</v>
          </cell>
          <cell r="J323">
            <v>0</v>
          </cell>
          <cell r="K323">
            <v>27.82</v>
          </cell>
          <cell r="L323">
            <v>177491.6</v>
          </cell>
          <cell r="Y323" t="e">
            <v>#N/A</v>
          </cell>
          <cell r="Z323" t="e">
            <v>#N/A</v>
          </cell>
        </row>
        <row r="325">
          <cell r="I325">
            <v>0</v>
          </cell>
          <cell r="J325">
            <v>0</v>
          </cell>
          <cell r="K325">
            <v>0</v>
          </cell>
          <cell r="L325">
            <v>0</v>
          </cell>
          <cell r="Z325">
            <v>0</v>
          </cell>
        </row>
        <row r="326">
          <cell r="E326" t="str">
            <v>MANO DE OBRA</v>
          </cell>
          <cell r="I326">
            <v>78000</v>
          </cell>
          <cell r="L326">
            <v>16692000</v>
          </cell>
          <cell r="Z326" t="e">
            <v>#N/A</v>
          </cell>
        </row>
        <row r="327">
          <cell r="D327" t="str">
            <v>MOANBOX</v>
          </cell>
          <cell r="E327" t="str">
            <v>Concreto Box-Coulvert</v>
          </cell>
          <cell r="F327" t="str">
            <v>m3</v>
          </cell>
          <cell r="G327">
            <v>1</v>
          </cell>
          <cell r="H327">
            <v>78000</v>
          </cell>
          <cell r="I327">
            <v>78000</v>
          </cell>
          <cell r="J327">
            <v>0</v>
          </cell>
          <cell r="K327">
            <v>214</v>
          </cell>
          <cell r="L327">
            <v>16692000</v>
          </cell>
          <cell r="Y327" t="e">
            <v>#N/A</v>
          </cell>
          <cell r="Z327" t="e">
            <v>#N/A</v>
          </cell>
        </row>
        <row r="328">
          <cell r="I328">
            <v>0</v>
          </cell>
          <cell r="J328">
            <v>0</v>
          </cell>
          <cell r="K328">
            <v>0</v>
          </cell>
          <cell r="L328">
            <v>0</v>
          </cell>
          <cell r="Z328">
            <v>0</v>
          </cell>
        </row>
        <row r="329">
          <cell r="E329" t="str">
            <v>VARIOS</v>
          </cell>
          <cell r="I329">
            <v>13400</v>
          </cell>
          <cell r="L329">
            <v>2867600</v>
          </cell>
          <cell r="Z329" t="e">
            <v>#N/A</v>
          </cell>
        </row>
        <row r="330">
          <cell r="D330" t="str">
            <v>TC07H800</v>
          </cell>
          <cell r="E330" t="str">
            <v>Herramienta Menor</v>
          </cell>
          <cell r="F330" t="str">
            <v>Gb</v>
          </cell>
          <cell r="G330">
            <v>1</v>
          </cell>
          <cell r="H330">
            <v>800</v>
          </cell>
          <cell r="I330">
            <v>800</v>
          </cell>
          <cell r="J330">
            <v>0</v>
          </cell>
          <cell r="K330">
            <v>214</v>
          </cell>
          <cell r="L330">
            <v>171200</v>
          </cell>
          <cell r="Y330" t="e">
            <v>#N/A</v>
          </cell>
          <cell r="Z330" t="e">
            <v>#N/A</v>
          </cell>
        </row>
        <row r="331">
          <cell r="D331" t="str">
            <v>AL07VCG</v>
          </cell>
          <cell r="E331" t="str">
            <v>Vibrador para concretos a Gasolina</v>
          </cell>
          <cell r="F331" t="str">
            <v>Hr</v>
          </cell>
          <cell r="G331">
            <v>0.08</v>
          </cell>
          <cell r="H331">
            <v>45000</v>
          </cell>
          <cell r="I331">
            <v>3600</v>
          </cell>
          <cell r="J331">
            <v>0</v>
          </cell>
          <cell r="K331">
            <v>17.12</v>
          </cell>
          <cell r="L331">
            <v>770400</v>
          </cell>
          <cell r="Y331" t="e">
            <v>#N/A</v>
          </cell>
          <cell r="Z331" t="e">
            <v>#N/A</v>
          </cell>
        </row>
        <row r="332">
          <cell r="D332" t="str">
            <v>AL04FORBO</v>
          </cell>
          <cell r="E332" t="str">
            <v>Formaleta Box-Coulvert</v>
          </cell>
          <cell r="F332" t="str">
            <v>m2</v>
          </cell>
          <cell r="G332">
            <v>2</v>
          </cell>
          <cell r="H332">
            <v>4500</v>
          </cell>
          <cell r="I332">
            <v>9000</v>
          </cell>
          <cell r="J332">
            <v>0</v>
          </cell>
          <cell r="K332">
            <v>428</v>
          </cell>
          <cell r="L332">
            <v>1926000</v>
          </cell>
          <cell r="Y332" t="e">
            <v>#N/A</v>
          </cell>
          <cell r="Z332" t="e">
            <v>#N/A</v>
          </cell>
        </row>
        <row r="333">
          <cell r="E333" t="str">
            <v>SUBTOTAL</v>
          </cell>
          <cell r="I333">
            <v>96923</v>
          </cell>
          <cell r="L333">
            <v>20741522</v>
          </cell>
          <cell r="Z333" t="e">
            <v>#N/A</v>
          </cell>
        </row>
        <row r="334">
          <cell r="E334" t="str">
            <v>A.I.U</v>
          </cell>
          <cell r="I334">
            <v>0</v>
          </cell>
          <cell r="L334">
            <v>0</v>
          </cell>
          <cell r="Z334">
            <v>0</v>
          </cell>
        </row>
        <row r="335">
          <cell r="D335" t="str">
            <v>AIUAADMON</v>
          </cell>
          <cell r="E335" t="str">
            <v>Admon</v>
          </cell>
          <cell r="F335">
            <v>0</v>
          </cell>
          <cell r="I335">
            <v>0</v>
          </cell>
          <cell r="J335">
            <v>0</v>
          </cell>
          <cell r="L335">
            <v>0</v>
          </cell>
          <cell r="Z335">
            <v>0</v>
          </cell>
        </row>
        <row r="336">
          <cell r="D336" t="str">
            <v>AIUAIMPRE</v>
          </cell>
          <cell r="E336" t="str">
            <v>Imprevistos</v>
          </cell>
          <cell r="F336">
            <v>0</v>
          </cell>
          <cell r="I336">
            <v>0</v>
          </cell>
          <cell r="J336">
            <v>0</v>
          </cell>
          <cell r="L336">
            <v>0</v>
          </cell>
          <cell r="Z336">
            <v>0</v>
          </cell>
        </row>
        <row r="337">
          <cell r="D337" t="str">
            <v>AIUAUTILI</v>
          </cell>
          <cell r="E337" t="str">
            <v>Utilidad</v>
          </cell>
          <cell r="F337">
            <v>0</v>
          </cell>
          <cell r="I337">
            <v>0</v>
          </cell>
          <cell r="J337">
            <v>0</v>
          </cell>
          <cell r="L337">
            <v>0</v>
          </cell>
          <cell r="Z337">
            <v>0</v>
          </cell>
        </row>
        <row r="338">
          <cell r="D338" t="str">
            <v>AIUAIVAUTI</v>
          </cell>
          <cell r="E338" t="str">
            <v>IVA utilidad</v>
          </cell>
          <cell r="F338">
            <v>0</v>
          </cell>
          <cell r="I338">
            <v>0</v>
          </cell>
          <cell r="J338">
            <v>0</v>
          </cell>
          <cell r="L338">
            <v>0</v>
          </cell>
          <cell r="Z338">
            <v>0</v>
          </cell>
        </row>
        <row r="340">
          <cell r="E340" t="str">
            <v>ITEM</v>
          </cell>
        </row>
        <row r="341">
          <cell r="D341" t="str">
            <v>ANICCA</v>
          </cell>
          <cell r="E341" t="str">
            <v>Inst. Concretos y Constr. Camaras y Cajas</v>
          </cell>
          <cell r="G341" t="str">
            <v>UN.</v>
          </cell>
          <cell r="H341" t="str">
            <v>M3</v>
          </cell>
          <cell r="I341">
            <v>75194</v>
          </cell>
          <cell r="K341">
            <v>483</v>
          </cell>
          <cell r="L341">
            <v>36318702</v>
          </cell>
          <cell r="N341">
            <v>3794</v>
          </cell>
          <cell r="O341">
            <v>60000</v>
          </cell>
          <cell r="P341">
            <v>11400</v>
          </cell>
          <cell r="Q341">
            <v>0</v>
          </cell>
          <cell r="X341">
            <v>36318702</v>
          </cell>
          <cell r="Y341" t="str">
            <v>M3</v>
          </cell>
          <cell r="Z341" t="e">
            <v>#N/A</v>
          </cell>
          <cell r="AA341" t="e">
            <v>#N/A</v>
          </cell>
          <cell r="AB341" t="e">
            <v>#N/A</v>
          </cell>
          <cell r="AC341" t="e">
            <v>#N/A</v>
          </cell>
        </row>
        <row r="343">
          <cell r="D343" t="str">
            <v>CODIGO</v>
          </cell>
          <cell r="E343" t="str">
            <v>DESCRIPCION</v>
          </cell>
          <cell r="F343" t="str">
            <v>UN</v>
          </cell>
          <cell r="G343" t="str">
            <v>CANT</v>
          </cell>
          <cell r="H343" t="str">
            <v>V/UNIT.</v>
          </cell>
          <cell r="I343" t="str">
            <v>V/TOTAL</v>
          </cell>
          <cell r="K343" t="str">
            <v>CANT TOTAL</v>
          </cell>
          <cell r="L343" t="str">
            <v>Vr TOTAL</v>
          </cell>
          <cell r="Y343" t="str">
            <v>CANT.</v>
          </cell>
          <cell r="Z343" t="str">
            <v>V/TOTAL</v>
          </cell>
        </row>
        <row r="344">
          <cell r="E344" t="str">
            <v>MATERIALES</v>
          </cell>
          <cell r="I344">
            <v>3794</v>
          </cell>
          <cell r="L344">
            <v>1832502</v>
          </cell>
          <cell r="Z344" t="e">
            <v>#N/A</v>
          </cell>
        </row>
        <row r="345">
          <cell r="D345" t="str">
            <v>MA19PC3</v>
          </cell>
          <cell r="E345" t="str">
            <v>Puntilla con cabeza 3"</v>
          </cell>
          <cell r="F345" t="str">
            <v>Lb</v>
          </cell>
          <cell r="G345">
            <v>0.3</v>
          </cell>
          <cell r="H345">
            <v>1216</v>
          </cell>
          <cell r="I345">
            <v>365</v>
          </cell>
          <cell r="J345">
            <v>0</v>
          </cell>
          <cell r="K345">
            <v>144.9</v>
          </cell>
          <cell r="L345">
            <v>176198.39999999999</v>
          </cell>
          <cell r="Y345" t="e">
            <v>#N/A</v>
          </cell>
          <cell r="Z345" t="e">
            <v>#N/A</v>
          </cell>
        </row>
        <row r="346">
          <cell r="D346" t="str">
            <v>MA19PC25</v>
          </cell>
          <cell r="E346" t="str">
            <v>Puntilla con cabeza 2,5"</v>
          </cell>
          <cell r="F346" t="str">
            <v>Lb</v>
          </cell>
          <cell r="G346">
            <v>0.15</v>
          </cell>
          <cell r="H346">
            <v>1216</v>
          </cell>
          <cell r="I346">
            <v>182</v>
          </cell>
          <cell r="J346">
            <v>0</v>
          </cell>
          <cell r="K346">
            <v>72.45</v>
          </cell>
          <cell r="L346">
            <v>88099.199999999997</v>
          </cell>
          <cell r="Y346" t="e">
            <v>#N/A</v>
          </cell>
          <cell r="Z346" t="e">
            <v>#N/A</v>
          </cell>
        </row>
        <row r="347">
          <cell r="D347" t="str">
            <v>MA01AN18</v>
          </cell>
          <cell r="E347" t="str">
            <v>Alambre Negro</v>
          </cell>
          <cell r="F347" t="str">
            <v>Kg</v>
          </cell>
          <cell r="G347">
            <v>1.2</v>
          </cell>
          <cell r="H347">
            <v>1940</v>
          </cell>
          <cell r="I347">
            <v>2328</v>
          </cell>
          <cell r="J347">
            <v>0</v>
          </cell>
          <cell r="K347">
            <v>579.6</v>
          </cell>
          <cell r="L347">
            <v>1124424</v>
          </cell>
          <cell r="Y347" t="e">
            <v>#N/A</v>
          </cell>
          <cell r="Z347" t="e">
            <v>#N/A</v>
          </cell>
        </row>
        <row r="348">
          <cell r="D348" t="str">
            <v>MA01A3</v>
          </cell>
          <cell r="E348" t="str">
            <v>Acero A-3</v>
          </cell>
          <cell r="F348" t="str">
            <v>Kg</v>
          </cell>
          <cell r="G348">
            <v>0.2</v>
          </cell>
          <cell r="H348">
            <v>1404</v>
          </cell>
          <cell r="I348">
            <v>281</v>
          </cell>
          <cell r="J348">
            <v>0</v>
          </cell>
          <cell r="K348">
            <v>96.600000000000009</v>
          </cell>
          <cell r="L348">
            <v>135626.40000000002</v>
          </cell>
          <cell r="Y348" t="e">
            <v>#N/A</v>
          </cell>
          <cell r="Z348" t="e">
            <v>#N/A</v>
          </cell>
        </row>
        <row r="349">
          <cell r="D349" t="str">
            <v>MA25TB20</v>
          </cell>
          <cell r="E349" t="str">
            <v>Tabla Burra 20 cm</v>
          </cell>
          <cell r="F349" t="str">
            <v>Un</v>
          </cell>
          <cell r="G349">
            <v>0.1</v>
          </cell>
          <cell r="H349">
            <v>6380</v>
          </cell>
          <cell r="I349">
            <v>638</v>
          </cell>
          <cell r="J349">
            <v>0</v>
          </cell>
          <cell r="K349">
            <v>48.300000000000004</v>
          </cell>
          <cell r="L349">
            <v>308154</v>
          </cell>
          <cell r="Y349" t="e">
            <v>#N/A</v>
          </cell>
          <cell r="Z349" t="e">
            <v>#N/A</v>
          </cell>
        </row>
        <row r="351">
          <cell r="I351">
            <v>0</v>
          </cell>
          <cell r="J351">
            <v>0</v>
          </cell>
          <cell r="K351">
            <v>0</v>
          </cell>
          <cell r="L351">
            <v>0</v>
          </cell>
          <cell r="Z351">
            <v>0</v>
          </cell>
        </row>
        <row r="352">
          <cell r="E352" t="str">
            <v>MANO DE OBRA</v>
          </cell>
          <cell r="I352">
            <v>60000</v>
          </cell>
          <cell r="L352">
            <v>28980000</v>
          </cell>
          <cell r="Z352" t="e">
            <v>#N/A</v>
          </cell>
        </row>
        <row r="353">
          <cell r="D353" t="str">
            <v>MOANCACON</v>
          </cell>
          <cell r="E353" t="str">
            <v>Camara en Concreto</v>
          </cell>
          <cell r="F353" t="str">
            <v>m3</v>
          </cell>
          <cell r="G353">
            <v>1</v>
          </cell>
          <cell r="H353">
            <v>60000</v>
          </cell>
          <cell r="I353">
            <v>60000</v>
          </cell>
          <cell r="J353">
            <v>0</v>
          </cell>
          <cell r="K353">
            <v>483</v>
          </cell>
          <cell r="L353">
            <v>28980000</v>
          </cell>
          <cell r="Y353" t="e">
            <v>#N/A</v>
          </cell>
          <cell r="Z353" t="e">
            <v>#N/A</v>
          </cell>
        </row>
        <row r="354">
          <cell r="I354">
            <v>0</v>
          </cell>
          <cell r="J354">
            <v>0</v>
          </cell>
          <cell r="K354">
            <v>0</v>
          </cell>
          <cell r="L354">
            <v>0</v>
          </cell>
          <cell r="Z354">
            <v>0</v>
          </cell>
        </row>
        <row r="355">
          <cell r="E355" t="str">
            <v>VARIOS</v>
          </cell>
          <cell r="I355">
            <v>11400</v>
          </cell>
          <cell r="L355">
            <v>5506200</v>
          </cell>
          <cell r="Z355" t="e">
            <v>#N/A</v>
          </cell>
        </row>
        <row r="356">
          <cell r="D356" t="str">
            <v>TC07H800</v>
          </cell>
          <cell r="E356" t="str">
            <v>Herramienta Menor</v>
          </cell>
          <cell r="F356" t="str">
            <v>Gb</v>
          </cell>
          <cell r="G356">
            <v>1</v>
          </cell>
          <cell r="H356">
            <v>800</v>
          </cell>
          <cell r="I356">
            <v>800</v>
          </cell>
          <cell r="J356">
            <v>0</v>
          </cell>
          <cell r="K356">
            <v>483</v>
          </cell>
          <cell r="L356">
            <v>386400</v>
          </cell>
          <cell r="Y356" t="e">
            <v>#N/A</v>
          </cell>
          <cell r="Z356" t="e">
            <v>#N/A</v>
          </cell>
        </row>
        <row r="357">
          <cell r="D357" t="str">
            <v>AL07VCG</v>
          </cell>
          <cell r="E357" t="str">
            <v>Vibrador para concretos a Gasolina</v>
          </cell>
          <cell r="F357" t="str">
            <v>Hr</v>
          </cell>
          <cell r="G357">
            <v>0.08</v>
          </cell>
          <cell r="H357">
            <v>45000</v>
          </cell>
          <cell r="I357">
            <v>3600</v>
          </cell>
          <cell r="J357">
            <v>0</v>
          </cell>
          <cell r="K357">
            <v>38.64</v>
          </cell>
          <cell r="L357">
            <v>1738800</v>
          </cell>
          <cell r="Y357" t="e">
            <v>#N/A</v>
          </cell>
          <cell r="Z357" t="e">
            <v>#N/A</v>
          </cell>
        </row>
        <row r="358">
          <cell r="D358" t="str">
            <v>AL04FORCA</v>
          </cell>
          <cell r="E358" t="str">
            <v>Formaleta Camaras</v>
          </cell>
          <cell r="F358" t="str">
            <v>m2</v>
          </cell>
          <cell r="G358">
            <v>2</v>
          </cell>
          <cell r="H358">
            <v>3500</v>
          </cell>
          <cell r="I358">
            <v>7000</v>
          </cell>
          <cell r="J358">
            <v>0</v>
          </cell>
          <cell r="K358">
            <v>966</v>
          </cell>
          <cell r="L358">
            <v>3381000</v>
          </cell>
          <cell r="Y358" t="e">
            <v>#N/A</v>
          </cell>
          <cell r="Z358" t="e">
            <v>#N/A</v>
          </cell>
        </row>
        <row r="359">
          <cell r="E359" t="str">
            <v>SUBTOTAL</v>
          </cell>
          <cell r="I359">
            <v>75194</v>
          </cell>
          <cell r="L359">
            <v>36318702</v>
          </cell>
          <cell r="Z359" t="e">
            <v>#N/A</v>
          </cell>
        </row>
        <row r="360">
          <cell r="E360" t="str">
            <v>A.I.U</v>
          </cell>
          <cell r="I360">
            <v>0</v>
          </cell>
          <cell r="L360">
            <v>0</v>
          </cell>
          <cell r="Z360">
            <v>0</v>
          </cell>
        </row>
        <row r="361">
          <cell r="D361" t="str">
            <v>AIUAADMON</v>
          </cell>
          <cell r="E361" t="str">
            <v>Admon</v>
          </cell>
          <cell r="F361">
            <v>0</v>
          </cell>
          <cell r="I361">
            <v>0</v>
          </cell>
          <cell r="J361">
            <v>0</v>
          </cell>
          <cell r="L361">
            <v>0</v>
          </cell>
          <cell r="Z361">
            <v>0</v>
          </cell>
        </row>
        <row r="362">
          <cell r="D362" t="str">
            <v>AIUAIMPRE</v>
          </cell>
          <cell r="E362" t="str">
            <v>Imprevistos</v>
          </cell>
          <cell r="F362">
            <v>0</v>
          </cell>
          <cell r="I362">
            <v>0</v>
          </cell>
          <cell r="J362">
            <v>0</v>
          </cell>
          <cell r="L362">
            <v>0</v>
          </cell>
          <cell r="Z362">
            <v>0</v>
          </cell>
        </row>
        <row r="363">
          <cell r="D363" t="str">
            <v>AIUAUTILI</v>
          </cell>
          <cell r="E363" t="str">
            <v>Utilidad</v>
          </cell>
          <cell r="F363">
            <v>0</v>
          </cell>
          <cell r="I363">
            <v>0</v>
          </cell>
          <cell r="J363">
            <v>0</v>
          </cell>
          <cell r="L363">
            <v>0</v>
          </cell>
          <cell r="Z363">
            <v>0</v>
          </cell>
        </row>
        <row r="364">
          <cell r="D364" t="str">
            <v>AIUAIVAUTI</v>
          </cell>
          <cell r="E364" t="str">
            <v>IVA utilidad</v>
          </cell>
          <cell r="F364">
            <v>0</v>
          </cell>
          <cell r="I364">
            <v>0</v>
          </cell>
          <cell r="J364">
            <v>0</v>
          </cell>
          <cell r="L364">
            <v>0</v>
          </cell>
          <cell r="Z364">
            <v>0</v>
          </cell>
        </row>
        <row r="366">
          <cell r="E366" t="str">
            <v>ITEM</v>
          </cell>
        </row>
        <row r="367">
          <cell r="D367" t="str">
            <v>ANITC12</v>
          </cell>
          <cell r="E367" t="str">
            <v xml:space="preserve">Instalación Tuberia Concreto  Ø 12" </v>
          </cell>
          <cell r="G367" t="str">
            <v>UN.</v>
          </cell>
          <cell r="H367" t="str">
            <v>Ml</v>
          </cell>
          <cell r="I367">
            <v>4028</v>
          </cell>
          <cell r="K367">
            <v>1358</v>
          </cell>
          <cell r="L367">
            <v>5470024</v>
          </cell>
          <cell r="N367">
            <v>218</v>
          </cell>
          <cell r="O367">
            <v>3750</v>
          </cell>
          <cell r="P367">
            <v>60</v>
          </cell>
          <cell r="Q367">
            <v>0</v>
          </cell>
          <cell r="X367">
            <v>5470024</v>
          </cell>
          <cell r="Z367" t="e">
            <v>#N/A</v>
          </cell>
          <cell r="AA367" t="e">
            <v>#N/A</v>
          </cell>
          <cell r="AB367" t="e">
            <v>#N/A</v>
          </cell>
          <cell r="AC367" t="e">
            <v>#N/A</v>
          </cell>
        </row>
        <row r="369">
          <cell r="D369" t="str">
            <v>CODIGO</v>
          </cell>
          <cell r="E369" t="str">
            <v>DESCRIPCION</v>
          </cell>
          <cell r="F369" t="str">
            <v>UN</v>
          </cell>
          <cell r="G369" t="str">
            <v>CANT</v>
          </cell>
          <cell r="H369" t="str">
            <v>V/UNIT.</v>
          </cell>
          <cell r="I369" t="str">
            <v>V/TOTAL</v>
          </cell>
          <cell r="K369" t="str">
            <v>CANT TOTAL</v>
          </cell>
          <cell r="L369" t="str">
            <v>Vr TOTAL</v>
          </cell>
          <cell r="Y369" t="str">
            <v>CANT.</v>
          </cell>
          <cell r="Z369" t="str">
            <v>V/TOTAL</v>
          </cell>
        </row>
        <row r="370">
          <cell r="E370" t="str">
            <v>MATERIALES</v>
          </cell>
          <cell r="I370">
            <v>218</v>
          </cell>
          <cell r="L370">
            <v>296044</v>
          </cell>
          <cell r="Z370" t="e">
            <v>#N/A</v>
          </cell>
        </row>
        <row r="373">
          <cell r="D373" t="str">
            <v>MA27LUBRI</v>
          </cell>
          <cell r="E373" t="str">
            <v>Lubricante</v>
          </cell>
          <cell r="F373" t="str">
            <v>lb</v>
          </cell>
          <cell r="G373">
            <v>0.02</v>
          </cell>
          <cell r="H373">
            <v>10890.543999999998</v>
          </cell>
          <cell r="I373">
            <v>218</v>
          </cell>
          <cell r="J373">
            <v>0</v>
          </cell>
          <cell r="K373">
            <v>27.16</v>
          </cell>
          <cell r="L373">
            <v>295787.17503999994</v>
          </cell>
          <cell r="Y373" t="e">
            <v>#N/A</v>
          </cell>
          <cell r="Z373" t="e">
            <v>#N/A</v>
          </cell>
        </row>
        <row r="374">
          <cell r="E374" t="str">
            <v>MANO DE OBRA</v>
          </cell>
          <cell r="I374">
            <v>3750</v>
          </cell>
          <cell r="L374">
            <v>5092500</v>
          </cell>
          <cell r="Z374" t="e">
            <v>#N/A</v>
          </cell>
        </row>
        <row r="375">
          <cell r="D375" t="str">
            <v>MOANIT12</v>
          </cell>
          <cell r="E375" t="str">
            <v>Inst. Tuberia Ø 12"</v>
          </cell>
          <cell r="F375" t="str">
            <v>ml</v>
          </cell>
          <cell r="G375">
            <v>1</v>
          </cell>
          <cell r="H375">
            <v>3750</v>
          </cell>
          <cell r="I375">
            <v>3750</v>
          </cell>
          <cell r="J375">
            <v>0</v>
          </cell>
          <cell r="K375">
            <v>1358</v>
          </cell>
          <cell r="L375">
            <v>5092500</v>
          </cell>
          <cell r="Y375" t="e">
            <v>#N/A</v>
          </cell>
          <cell r="Z375" t="e">
            <v>#N/A</v>
          </cell>
        </row>
        <row r="377">
          <cell r="E377" t="str">
            <v>VARIOS</v>
          </cell>
          <cell r="I377">
            <v>60</v>
          </cell>
          <cell r="L377">
            <v>81480</v>
          </cell>
          <cell r="Z377" t="e">
            <v>#N/A</v>
          </cell>
        </row>
        <row r="378">
          <cell r="D378" t="str">
            <v>TC07HINT</v>
          </cell>
          <cell r="E378" t="str">
            <v>Herramienta Menor</v>
          </cell>
          <cell r="F378" t="str">
            <v>ML"</v>
          </cell>
          <cell r="G378">
            <v>12</v>
          </cell>
          <cell r="H378">
            <v>5</v>
          </cell>
          <cell r="I378">
            <v>60</v>
          </cell>
          <cell r="J378">
            <v>0</v>
          </cell>
          <cell r="K378">
            <v>16296</v>
          </cell>
          <cell r="L378">
            <v>81480</v>
          </cell>
          <cell r="Y378" t="e">
            <v>#N/A</v>
          </cell>
          <cell r="Z378" t="e">
            <v>#N/A</v>
          </cell>
        </row>
        <row r="379">
          <cell r="E379" t="str">
            <v>SUBTOTAL</v>
          </cell>
          <cell r="I379">
            <v>4028</v>
          </cell>
          <cell r="L379">
            <v>5470024</v>
          </cell>
          <cell r="Z379" t="e">
            <v>#N/A</v>
          </cell>
        </row>
        <row r="380">
          <cell r="E380" t="str">
            <v>A.I.U</v>
          </cell>
          <cell r="I380">
            <v>0</v>
          </cell>
          <cell r="L380">
            <v>0</v>
          </cell>
          <cell r="Z380" t="e">
            <v>#REF!</v>
          </cell>
        </row>
        <row r="381">
          <cell r="D381" t="str">
            <v>AIUAADMON</v>
          </cell>
          <cell r="E381" t="str">
            <v>Admon</v>
          </cell>
          <cell r="F381">
            <v>0</v>
          </cell>
          <cell r="I381">
            <v>0</v>
          </cell>
          <cell r="J381">
            <v>0</v>
          </cell>
          <cell r="L381">
            <v>0</v>
          </cell>
          <cell r="Z381">
            <v>0</v>
          </cell>
        </row>
        <row r="382">
          <cell r="D382" t="str">
            <v>AIUAIMPRE</v>
          </cell>
          <cell r="E382" t="str">
            <v>Imprevistos</v>
          </cell>
          <cell r="F382">
            <v>0</v>
          </cell>
          <cell r="I382">
            <v>0</v>
          </cell>
          <cell r="J382">
            <v>0</v>
          </cell>
          <cell r="L382">
            <v>0</v>
          </cell>
          <cell r="Z382" t="e">
            <v>#REF!</v>
          </cell>
        </row>
        <row r="383">
          <cell r="D383" t="str">
            <v>AIUAUTILI</v>
          </cell>
          <cell r="E383" t="str">
            <v>Utilidad</v>
          </cell>
          <cell r="F383">
            <v>0</v>
          </cell>
          <cell r="I383">
            <v>0</v>
          </cell>
          <cell r="J383">
            <v>0</v>
          </cell>
          <cell r="L383">
            <v>0</v>
          </cell>
          <cell r="Z383" t="e">
            <v>#REF!</v>
          </cell>
        </row>
        <row r="384">
          <cell r="D384" t="str">
            <v>AIUAIVAUTI</v>
          </cell>
          <cell r="E384" t="str">
            <v>IVA utilidad</v>
          </cell>
          <cell r="F384">
            <v>0</v>
          </cell>
          <cell r="I384">
            <v>0</v>
          </cell>
          <cell r="J384">
            <v>0</v>
          </cell>
          <cell r="L384">
            <v>0</v>
          </cell>
          <cell r="Z384" t="e">
            <v>#REF!</v>
          </cell>
        </row>
        <row r="386">
          <cell r="E386" t="str">
            <v>ITEM</v>
          </cell>
        </row>
        <row r="387">
          <cell r="D387" t="str">
            <v>ANITC18</v>
          </cell>
          <cell r="E387" t="str">
            <v xml:space="preserve">Instalación Tuberia Concreto  Ø 14-18" </v>
          </cell>
          <cell r="G387" t="str">
            <v>UN.</v>
          </cell>
          <cell r="H387" t="str">
            <v>Ml</v>
          </cell>
          <cell r="I387">
            <v>5048</v>
          </cell>
          <cell r="K387">
            <v>87.04</v>
          </cell>
          <cell r="L387">
            <v>439377.92000000004</v>
          </cell>
          <cell r="N387">
            <v>218</v>
          </cell>
          <cell r="O387">
            <v>4680</v>
          </cell>
          <cell r="P387">
            <v>150</v>
          </cell>
          <cell r="Q387">
            <v>0</v>
          </cell>
          <cell r="X387">
            <v>439377.92000000004</v>
          </cell>
          <cell r="Y387" t="str">
            <v>Ml</v>
          </cell>
          <cell r="Z387" t="e">
            <v>#N/A</v>
          </cell>
          <cell r="AA387" t="e">
            <v>#N/A</v>
          </cell>
          <cell r="AB387" t="e">
            <v>#N/A</v>
          </cell>
          <cell r="AC387" t="e">
            <v>#N/A</v>
          </cell>
        </row>
        <row r="389">
          <cell r="D389" t="str">
            <v>CODIGO</v>
          </cell>
          <cell r="E389" t="str">
            <v>DESCRIPCION</v>
          </cell>
          <cell r="F389" t="str">
            <v>UN</v>
          </cell>
          <cell r="G389" t="str">
            <v>CANT</v>
          </cell>
          <cell r="H389" t="str">
            <v>V/UNIT.</v>
          </cell>
          <cell r="I389" t="str">
            <v>V/TOTAL</v>
          </cell>
          <cell r="K389" t="str">
            <v>CANT TOTAL</v>
          </cell>
          <cell r="L389" t="str">
            <v>Vr TOTAL</v>
          </cell>
          <cell r="Y389" t="str">
            <v>CANT.</v>
          </cell>
          <cell r="Z389" t="str">
            <v>V/TOTAL</v>
          </cell>
        </row>
        <row r="390">
          <cell r="E390" t="str">
            <v>MATERIALES</v>
          </cell>
          <cell r="I390">
            <v>218</v>
          </cell>
          <cell r="L390">
            <v>18974.72</v>
          </cell>
          <cell r="Z390" t="e">
            <v>#N/A</v>
          </cell>
        </row>
        <row r="391">
          <cell r="I391">
            <v>0</v>
          </cell>
          <cell r="J391">
            <v>0</v>
          </cell>
          <cell r="K391">
            <v>0</v>
          </cell>
          <cell r="L391">
            <v>0</v>
          </cell>
          <cell r="Y391">
            <v>0</v>
          </cell>
          <cell r="Z391">
            <v>0</v>
          </cell>
        </row>
        <row r="392">
          <cell r="I392">
            <v>0</v>
          </cell>
          <cell r="J392">
            <v>0</v>
          </cell>
          <cell r="K392">
            <v>0</v>
          </cell>
          <cell r="L392">
            <v>0</v>
          </cell>
          <cell r="Y392">
            <v>0</v>
          </cell>
          <cell r="Z392">
            <v>0</v>
          </cell>
        </row>
        <row r="393">
          <cell r="I393">
            <v>0</v>
          </cell>
          <cell r="J393">
            <v>0</v>
          </cell>
          <cell r="K393">
            <v>0</v>
          </cell>
          <cell r="L393">
            <v>0</v>
          </cell>
          <cell r="Y393">
            <v>0</v>
          </cell>
          <cell r="Z393">
            <v>0</v>
          </cell>
        </row>
        <row r="394">
          <cell r="D394" t="str">
            <v>MA27LUBRI</v>
          </cell>
          <cell r="E394" t="str">
            <v>Lubricante</v>
          </cell>
          <cell r="F394" t="str">
            <v>lb</v>
          </cell>
          <cell r="G394">
            <v>0.02</v>
          </cell>
          <cell r="H394">
            <v>10890.543999999998</v>
          </cell>
          <cell r="I394">
            <v>218</v>
          </cell>
          <cell r="J394">
            <v>0</v>
          </cell>
          <cell r="K394">
            <v>1.7408000000000001</v>
          </cell>
          <cell r="L394">
            <v>18958.258995199998</v>
          </cell>
          <cell r="Y394" t="e">
            <v>#N/A</v>
          </cell>
          <cell r="Z394" t="e">
            <v>#N/A</v>
          </cell>
        </row>
        <row r="395">
          <cell r="E395" t="str">
            <v>MANO DE OBRA</v>
          </cell>
          <cell r="I395">
            <v>4680</v>
          </cell>
          <cell r="L395">
            <v>407347.20000000001</v>
          </cell>
          <cell r="Z395" t="e">
            <v>#N/A</v>
          </cell>
        </row>
        <row r="396">
          <cell r="D396" t="str">
            <v>MOANIT18</v>
          </cell>
          <cell r="E396" t="str">
            <v>Inst. Tuberia Ø 14-18"</v>
          </cell>
          <cell r="F396" t="str">
            <v>ml</v>
          </cell>
          <cell r="G396">
            <v>1</v>
          </cell>
          <cell r="H396">
            <v>4680</v>
          </cell>
          <cell r="I396">
            <v>4680</v>
          </cell>
          <cell r="J396">
            <v>0</v>
          </cell>
          <cell r="K396">
            <v>87.04</v>
          </cell>
          <cell r="L396">
            <v>407347.20000000001</v>
          </cell>
          <cell r="Y396" t="e">
            <v>#N/A</v>
          </cell>
          <cell r="Z396" t="e">
            <v>#N/A</v>
          </cell>
        </row>
        <row r="398">
          <cell r="E398" t="str">
            <v>VARIOS</v>
          </cell>
          <cell r="I398">
            <v>150</v>
          </cell>
          <cell r="L398">
            <v>13056.000000000002</v>
          </cell>
          <cell r="Z398" t="e">
            <v>#N/A</v>
          </cell>
        </row>
        <row r="399">
          <cell r="I399">
            <v>0</v>
          </cell>
          <cell r="J399">
            <v>0</v>
          </cell>
          <cell r="K399">
            <v>0</v>
          </cell>
          <cell r="L399">
            <v>0</v>
          </cell>
          <cell r="Y399">
            <v>0</v>
          </cell>
          <cell r="Z399">
            <v>0</v>
          </cell>
        </row>
        <row r="400">
          <cell r="D400" t="str">
            <v>TC07HINT</v>
          </cell>
          <cell r="E400" t="str">
            <v>Herramienta Menor</v>
          </cell>
          <cell r="F400" t="str">
            <v>ML"</v>
          </cell>
          <cell r="G400">
            <v>30</v>
          </cell>
          <cell r="H400">
            <v>5</v>
          </cell>
          <cell r="I400">
            <v>150</v>
          </cell>
          <cell r="J400">
            <v>0</v>
          </cell>
          <cell r="K400">
            <v>2611.2000000000003</v>
          </cell>
          <cell r="L400">
            <v>13056.000000000002</v>
          </cell>
          <cell r="Y400" t="e">
            <v>#N/A</v>
          </cell>
          <cell r="Z400" t="e">
            <v>#N/A</v>
          </cell>
        </row>
        <row r="401">
          <cell r="E401" t="str">
            <v>SUBTOTAL</v>
          </cell>
          <cell r="I401">
            <v>5048</v>
          </cell>
          <cell r="L401">
            <v>439377.92000000004</v>
          </cell>
          <cell r="Z401" t="e">
            <v>#N/A</v>
          </cell>
        </row>
        <row r="402">
          <cell r="E402" t="str">
            <v>A.I.U</v>
          </cell>
          <cell r="I402">
            <v>0</v>
          </cell>
          <cell r="L402">
            <v>0</v>
          </cell>
          <cell r="Z402">
            <v>0</v>
          </cell>
        </row>
        <row r="403">
          <cell r="D403" t="str">
            <v>AIUAADMON</v>
          </cell>
          <cell r="E403" t="str">
            <v>Admon</v>
          </cell>
          <cell r="F403">
            <v>0</v>
          </cell>
          <cell r="I403">
            <v>0</v>
          </cell>
          <cell r="J403">
            <v>0</v>
          </cell>
          <cell r="L403">
            <v>0</v>
          </cell>
          <cell r="Z403">
            <v>0</v>
          </cell>
        </row>
        <row r="404">
          <cell r="D404" t="str">
            <v>AIUAIMPRE</v>
          </cell>
          <cell r="E404" t="str">
            <v>Imprevistos</v>
          </cell>
          <cell r="F404">
            <v>0</v>
          </cell>
          <cell r="I404">
            <v>0</v>
          </cell>
          <cell r="J404">
            <v>0</v>
          </cell>
          <cell r="L404">
            <v>0</v>
          </cell>
          <cell r="Z404">
            <v>0</v>
          </cell>
        </row>
        <row r="405">
          <cell r="D405" t="str">
            <v>AIUAUTILI</v>
          </cell>
          <cell r="E405" t="str">
            <v>Utilidad</v>
          </cell>
          <cell r="F405">
            <v>0</v>
          </cell>
          <cell r="I405">
            <v>0</v>
          </cell>
          <cell r="J405">
            <v>0</v>
          </cell>
          <cell r="L405">
            <v>0</v>
          </cell>
          <cell r="Z405">
            <v>0</v>
          </cell>
        </row>
        <row r="406">
          <cell r="D406" t="str">
            <v>AIUAIVAUTI</v>
          </cell>
          <cell r="E406" t="str">
            <v>IVA utilidad</v>
          </cell>
          <cell r="F406">
            <v>0</v>
          </cell>
          <cell r="I406">
            <v>0</v>
          </cell>
          <cell r="J406">
            <v>0</v>
          </cell>
          <cell r="L406">
            <v>0</v>
          </cell>
          <cell r="Z406">
            <v>0</v>
          </cell>
        </row>
        <row r="408">
          <cell r="E408" t="str">
            <v>ITEM</v>
          </cell>
        </row>
        <row r="409">
          <cell r="D409" t="str">
            <v>ANITC30</v>
          </cell>
          <cell r="E409" t="str">
            <v xml:space="preserve">Instalación Tuberia Concreto  Ø 27-30" </v>
          </cell>
          <cell r="G409" t="str">
            <v>UN.</v>
          </cell>
          <cell r="H409" t="str">
            <v>Ml</v>
          </cell>
          <cell r="I409">
            <v>19968</v>
          </cell>
          <cell r="K409">
            <v>106</v>
          </cell>
          <cell r="L409">
            <v>2116608</v>
          </cell>
          <cell r="N409">
            <v>218</v>
          </cell>
          <cell r="O409">
            <v>10000</v>
          </cell>
          <cell r="P409">
            <v>9750</v>
          </cell>
          <cell r="Q409">
            <v>0</v>
          </cell>
          <cell r="X409">
            <v>2116608</v>
          </cell>
          <cell r="Y409" t="str">
            <v>Ml</v>
          </cell>
          <cell r="Z409" t="e">
            <v>#N/A</v>
          </cell>
          <cell r="AA409" t="e">
            <v>#N/A</v>
          </cell>
          <cell r="AB409" t="e">
            <v>#N/A</v>
          </cell>
          <cell r="AC409" t="e">
            <v>#N/A</v>
          </cell>
        </row>
        <row r="411">
          <cell r="D411" t="str">
            <v>CODIGO</v>
          </cell>
          <cell r="E411" t="str">
            <v>DESCRIPCION</v>
          </cell>
          <cell r="F411" t="str">
            <v>UN</v>
          </cell>
          <cell r="G411" t="str">
            <v>CANT</v>
          </cell>
          <cell r="H411" t="str">
            <v>V/UNIT.</v>
          </cell>
          <cell r="I411" t="str">
            <v>V/TOTAL</v>
          </cell>
          <cell r="K411" t="str">
            <v>CANT TOTAL</v>
          </cell>
          <cell r="L411" t="str">
            <v>Vr TOTAL</v>
          </cell>
          <cell r="Y411" t="str">
            <v>CANT.</v>
          </cell>
          <cell r="Z411" t="str">
            <v>V/TOTAL</v>
          </cell>
        </row>
        <row r="412">
          <cell r="E412" t="str">
            <v>MATERIALES</v>
          </cell>
          <cell r="I412">
            <v>218</v>
          </cell>
          <cell r="L412">
            <v>23108</v>
          </cell>
          <cell r="Z412" t="e">
            <v>#N/A</v>
          </cell>
        </row>
        <row r="413">
          <cell r="I413">
            <v>0</v>
          </cell>
          <cell r="J413">
            <v>0</v>
          </cell>
          <cell r="K413">
            <v>0</v>
          </cell>
          <cell r="L413">
            <v>0</v>
          </cell>
          <cell r="Y413">
            <v>0</v>
          </cell>
          <cell r="Z413">
            <v>0</v>
          </cell>
        </row>
        <row r="414">
          <cell r="I414">
            <v>0</v>
          </cell>
          <cell r="J414">
            <v>0</v>
          </cell>
          <cell r="K414">
            <v>0</v>
          </cell>
          <cell r="L414">
            <v>0</v>
          </cell>
          <cell r="Y414">
            <v>0</v>
          </cell>
          <cell r="Z414">
            <v>0</v>
          </cell>
        </row>
        <row r="415">
          <cell r="I415">
            <v>0</v>
          </cell>
          <cell r="J415">
            <v>0</v>
          </cell>
          <cell r="K415">
            <v>0</v>
          </cell>
          <cell r="L415">
            <v>0</v>
          </cell>
          <cell r="Y415">
            <v>0</v>
          </cell>
          <cell r="Z415">
            <v>0</v>
          </cell>
        </row>
        <row r="416">
          <cell r="D416" t="str">
            <v>MA27LUBRI</v>
          </cell>
          <cell r="E416" t="str">
            <v>Lubricante</v>
          </cell>
          <cell r="F416" t="str">
            <v>lb</v>
          </cell>
          <cell r="G416">
            <v>0.02</v>
          </cell>
          <cell r="H416">
            <v>10890.543999999998</v>
          </cell>
          <cell r="I416">
            <v>218</v>
          </cell>
          <cell r="J416">
            <v>0</v>
          </cell>
          <cell r="K416">
            <v>2.12</v>
          </cell>
          <cell r="L416">
            <v>23087.953279999998</v>
          </cell>
          <cell r="Y416" t="e">
            <v>#N/A</v>
          </cell>
          <cell r="Z416" t="e">
            <v>#N/A</v>
          </cell>
        </row>
        <row r="417">
          <cell r="E417" t="str">
            <v>MANO DE OBRA</v>
          </cell>
          <cell r="I417">
            <v>10000</v>
          </cell>
          <cell r="L417">
            <v>1060000</v>
          </cell>
          <cell r="Z417" t="e">
            <v>#N/A</v>
          </cell>
        </row>
        <row r="418">
          <cell r="D418" t="str">
            <v>MOANIT30</v>
          </cell>
          <cell r="E418" t="str">
            <v>Inst. Tuberia Ø 27-30"</v>
          </cell>
          <cell r="F418" t="str">
            <v>ml</v>
          </cell>
          <cell r="G418">
            <v>1</v>
          </cell>
          <cell r="H418">
            <v>10000</v>
          </cell>
          <cell r="I418">
            <v>10000</v>
          </cell>
          <cell r="J418">
            <v>0</v>
          </cell>
          <cell r="K418">
            <v>106</v>
          </cell>
          <cell r="L418">
            <v>1060000</v>
          </cell>
          <cell r="Y418" t="e">
            <v>#N/A</v>
          </cell>
          <cell r="Z418" t="e">
            <v>#N/A</v>
          </cell>
        </row>
        <row r="420">
          <cell r="E420" t="str">
            <v>VARIOS</v>
          </cell>
          <cell r="I420">
            <v>9750</v>
          </cell>
          <cell r="L420">
            <v>1033500</v>
          </cell>
          <cell r="Z420" t="e">
            <v>#N/A</v>
          </cell>
        </row>
        <row r="421">
          <cell r="D421" t="str">
            <v>AL04RETRO</v>
          </cell>
          <cell r="E421" t="str">
            <v>Retro Oruga</v>
          </cell>
          <cell r="F421" t="str">
            <v>Hr</v>
          </cell>
          <cell r="G421">
            <v>0.16</v>
          </cell>
          <cell r="H421">
            <v>60000</v>
          </cell>
          <cell r="I421">
            <v>9600</v>
          </cell>
          <cell r="J421">
            <v>0</v>
          </cell>
          <cell r="K421">
            <v>16.96</v>
          </cell>
          <cell r="L421">
            <v>1017600</v>
          </cell>
          <cell r="Y421" t="e">
            <v>#N/A</v>
          </cell>
          <cell r="Z421" t="e">
            <v>#N/A</v>
          </cell>
        </row>
        <row r="422">
          <cell r="D422" t="str">
            <v>TC07HINT</v>
          </cell>
          <cell r="E422" t="str">
            <v>Herramienta Menor</v>
          </cell>
          <cell r="F422" t="str">
            <v>ML"</v>
          </cell>
          <cell r="G422">
            <v>30</v>
          </cell>
          <cell r="H422">
            <v>5</v>
          </cell>
          <cell r="I422">
            <v>150</v>
          </cell>
          <cell r="J422">
            <v>0</v>
          </cell>
          <cell r="K422">
            <v>3180</v>
          </cell>
          <cell r="L422">
            <v>15900</v>
          </cell>
          <cell r="Y422" t="e">
            <v>#N/A</v>
          </cell>
          <cell r="Z422" t="e">
            <v>#N/A</v>
          </cell>
        </row>
        <row r="423">
          <cell r="E423" t="str">
            <v>SUBTOTAL</v>
          </cell>
          <cell r="I423">
            <v>19968</v>
          </cell>
          <cell r="L423">
            <v>2116608</v>
          </cell>
          <cell r="Z423" t="e">
            <v>#N/A</v>
          </cell>
        </row>
        <row r="424">
          <cell r="E424" t="str">
            <v>A.I.U</v>
          </cell>
          <cell r="I424">
            <v>0</v>
          </cell>
          <cell r="L424">
            <v>0</v>
          </cell>
          <cell r="Z424">
            <v>0</v>
          </cell>
        </row>
        <row r="425">
          <cell r="D425" t="str">
            <v>AIUAADMON</v>
          </cell>
          <cell r="E425" t="str">
            <v>Admon</v>
          </cell>
          <cell r="F425">
            <v>0</v>
          </cell>
          <cell r="I425">
            <v>0</v>
          </cell>
          <cell r="J425">
            <v>0</v>
          </cell>
          <cell r="L425">
            <v>0</v>
          </cell>
          <cell r="Z425">
            <v>0</v>
          </cell>
        </row>
        <row r="426">
          <cell r="D426" t="str">
            <v>AIUAIMPRE</v>
          </cell>
          <cell r="E426" t="str">
            <v>Imprevistos</v>
          </cell>
          <cell r="F426">
            <v>0</v>
          </cell>
          <cell r="I426">
            <v>0</v>
          </cell>
          <cell r="J426">
            <v>0</v>
          </cell>
          <cell r="L426">
            <v>0</v>
          </cell>
          <cell r="Z426">
            <v>0</v>
          </cell>
        </row>
        <row r="427">
          <cell r="D427" t="str">
            <v>AIUAUTILI</v>
          </cell>
          <cell r="E427" t="str">
            <v>Utilidad</v>
          </cell>
          <cell r="F427">
            <v>0</v>
          </cell>
          <cell r="I427">
            <v>0</v>
          </cell>
          <cell r="J427">
            <v>0</v>
          </cell>
          <cell r="L427">
            <v>0</v>
          </cell>
          <cell r="Z427">
            <v>0</v>
          </cell>
        </row>
        <row r="428">
          <cell r="D428" t="str">
            <v>AIUAIVAUTI</v>
          </cell>
          <cell r="E428" t="str">
            <v>IVA utilidad</v>
          </cell>
          <cell r="F428">
            <v>0</v>
          </cell>
          <cell r="I428">
            <v>0</v>
          </cell>
          <cell r="J428">
            <v>0</v>
          </cell>
          <cell r="L428">
            <v>0</v>
          </cell>
          <cell r="Z428">
            <v>0</v>
          </cell>
        </row>
        <row r="430">
          <cell r="E430" t="str">
            <v>ITEM</v>
          </cell>
        </row>
        <row r="431">
          <cell r="D431" t="str">
            <v>ANITC40</v>
          </cell>
          <cell r="E431" t="str">
            <v xml:space="preserve">Instalación Tuberia Concreto  Ø 36-40" </v>
          </cell>
          <cell r="G431" t="str">
            <v>UN.</v>
          </cell>
          <cell r="H431" t="str">
            <v>Ml</v>
          </cell>
          <cell r="I431">
            <v>23945</v>
          </cell>
          <cell r="K431">
            <v>137</v>
          </cell>
          <cell r="L431">
            <v>3280465</v>
          </cell>
          <cell r="N431">
            <v>545</v>
          </cell>
          <cell r="O431">
            <v>11200</v>
          </cell>
          <cell r="P431">
            <v>12200</v>
          </cell>
          <cell r="Q431">
            <v>0</v>
          </cell>
          <cell r="X431">
            <v>3280465</v>
          </cell>
          <cell r="Y431" t="str">
            <v>Ml</v>
          </cell>
          <cell r="Z431" t="e">
            <v>#N/A</v>
          </cell>
          <cell r="AA431" t="e">
            <v>#N/A</v>
          </cell>
          <cell r="AB431" t="e">
            <v>#N/A</v>
          </cell>
          <cell r="AC431" t="e">
            <v>#N/A</v>
          </cell>
        </row>
        <row r="433">
          <cell r="D433" t="str">
            <v>CODIGO</v>
          </cell>
          <cell r="E433" t="str">
            <v>DESCRIPCION</v>
          </cell>
          <cell r="F433" t="str">
            <v>UN</v>
          </cell>
          <cell r="G433" t="str">
            <v>CANT</v>
          </cell>
          <cell r="H433" t="str">
            <v>V/UNIT.</v>
          </cell>
          <cell r="I433" t="str">
            <v>V/TOTAL</v>
          </cell>
          <cell r="K433" t="str">
            <v>CANT TOTAL</v>
          </cell>
          <cell r="L433" t="str">
            <v>Vr TOTAL</v>
          </cell>
          <cell r="Y433" t="str">
            <v>CANT.</v>
          </cell>
          <cell r="Z433" t="str">
            <v>V/TOTAL</v>
          </cell>
        </row>
        <row r="434">
          <cell r="E434" t="str">
            <v>MATERIALES</v>
          </cell>
          <cell r="I434">
            <v>545</v>
          </cell>
          <cell r="L434">
            <v>74665</v>
          </cell>
          <cell r="Z434" t="e">
            <v>#N/A</v>
          </cell>
        </row>
        <row r="435">
          <cell r="I435">
            <v>0</v>
          </cell>
          <cell r="J435">
            <v>0</v>
          </cell>
          <cell r="K435">
            <v>0</v>
          </cell>
          <cell r="L435">
            <v>0</v>
          </cell>
          <cell r="Y435">
            <v>0</v>
          </cell>
          <cell r="Z435">
            <v>0</v>
          </cell>
        </row>
        <row r="436">
          <cell r="I436">
            <v>0</v>
          </cell>
          <cell r="J436">
            <v>0</v>
          </cell>
          <cell r="K436">
            <v>0</v>
          </cell>
          <cell r="L436">
            <v>0</v>
          </cell>
          <cell r="Y436">
            <v>0</v>
          </cell>
          <cell r="Z436">
            <v>0</v>
          </cell>
        </row>
        <row r="437">
          <cell r="I437">
            <v>0</v>
          </cell>
          <cell r="J437">
            <v>0</v>
          </cell>
          <cell r="K437">
            <v>0</v>
          </cell>
          <cell r="L437">
            <v>0</v>
          </cell>
          <cell r="Y437">
            <v>0</v>
          </cell>
          <cell r="Z437">
            <v>0</v>
          </cell>
        </row>
        <row r="438">
          <cell r="D438" t="str">
            <v>MA27LUBRI</v>
          </cell>
          <cell r="E438" t="str">
            <v>Lubricante</v>
          </cell>
          <cell r="F438" t="str">
            <v>lb</v>
          </cell>
          <cell r="G438">
            <v>0.05</v>
          </cell>
          <cell r="H438">
            <v>10890.543999999998</v>
          </cell>
          <cell r="I438">
            <v>545</v>
          </cell>
          <cell r="J438">
            <v>0</v>
          </cell>
          <cell r="K438">
            <v>6.8500000000000005</v>
          </cell>
          <cell r="L438">
            <v>74600.2264</v>
          </cell>
          <cell r="Y438" t="e">
            <v>#N/A</v>
          </cell>
          <cell r="Z438" t="e">
            <v>#N/A</v>
          </cell>
        </row>
        <row r="439">
          <cell r="E439" t="str">
            <v>MANO DE OBRA</v>
          </cell>
          <cell r="I439">
            <v>11200</v>
          </cell>
          <cell r="L439">
            <v>1534400</v>
          </cell>
          <cell r="Z439" t="e">
            <v>#N/A</v>
          </cell>
        </row>
        <row r="440">
          <cell r="D440" t="str">
            <v>MOANIT40</v>
          </cell>
          <cell r="E440" t="str">
            <v>Inst. Tuberia Ø 36-40"</v>
          </cell>
          <cell r="F440" t="str">
            <v>ml</v>
          </cell>
          <cell r="G440">
            <v>1</v>
          </cell>
          <cell r="H440">
            <v>11200</v>
          </cell>
          <cell r="I440">
            <v>11200</v>
          </cell>
          <cell r="J440">
            <v>0</v>
          </cell>
          <cell r="K440">
            <v>137</v>
          </cell>
          <cell r="L440">
            <v>1534400</v>
          </cell>
          <cell r="Y440" t="e">
            <v>#N/A</v>
          </cell>
          <cell r="Z440" t="e">
            <v>#N/A</v>
          </cell>
        </row>
        <row r="442">
          <cell r="E442" t="str">
            <v>VARIOS</v>
          </cell>
          <cell r="I442">
            <v>12200</v>
          </cell>
          <cell r="L442">
            <v>1671400</v>
          </cell>
          <cell r="Z442" t="e">
            <v>#N/A</v>
          </cell>
        </row>
        <row r="443">
          <cell r="D443" t="str">
            <v>AL04RETRO</v>
          </cell>
          <cell r="E443" t="str">
            <v>Retro Oruga</v>
          </cell>
          <cell r="F443" t="str">
            <v>Hr</v>
          </cell>
          <cell r="G443">
            <v>0.2</v>
          </cell>
          <cell r="H443">
            <v>60000</v>
          </cell>
          <cell r="I443">
            <v>12000</v>
          </cell>
          <cell r="J443">
            <v>0</v>
          </cell>
          <cell r="K443">
            <v>27.400000000000002</v>
          </cell>
          <cell r="L443">
            <v>1644000.0000000002</v>
          </cell>
          <cell r="Y443" t="e">
            <v>#N/A</v>
          </cell>
          <cell r="Z443" t="e">
            <v>#N/A</v>
          </cell>
        </row>
        <row r="444">
          <cell r="D444" t="str">
            <v>TC07HINT</v>
          </cell>
          <cell r="E444" t="str">
            <v>Herramienta Menor</v>
          </cell>
          <cell r="F444" t="str">
            <v>ML"</v>
          </cell>
          <cell r="G444">
            <v>40</v>
          </cell>
          <cell r="H444">
            <v>5</v>
          </cell>
          <cell r="I444">
            <v>200</v>
          </cell>
          <cell r="J444">
            <v>0</v>
          </cell>
          <cell r="K444">
            <v>5480</v>
          </cell>
          <cell r="L444">
            <v>27400</v>
          </cell>
          <cell r="Y444" t="e">
            <v>#N/A</v>
          </cell>
          <cell r="Z444" t="e">
            <v>#N/A</v>
          </cell>
        </row>
        <row r="445">
          <cell r="E445" t="str">
            <v>SUBTOTAL</v>
          </cell>
          <cell r="I445">
            <v>23945</v>
          </cell>
          <cell r="L445">
            <v>3280465</v>
          </cell>
          <cell r="Z445" t="e">
            <v>#N/A</v>
          </cell>
        </row>
        <row r="446">
          <cell r="E446" t="str">
            <v>A.I.U</v>
          </cell>
          <cell r="I446">
            <v>0</v>
          </cell>
          <cell r="L446">
            <v>0</v>
          </cell>
          <cell r="Z446">
            <v>0</v>
          </cell>
        </row>
        <row r="447">
          <cell r="D447" t="str">
            <v>AIUAADMON</v>
          </cell>
          <cell r="E447" t="str">
            <v>Admon</v>
          </cell>
          <cell r="F447">
            <v>0</v>
          </cell>
          <cell r="I447">
            <v>0</v>
          </cell>
          <cell r="J447">
            <v>0</v>
          </cell>
          <cell r="L447">
            <v>0</v>
          </cell>
          <cell r="Z447">
            <v>0</v>
          </cell>
        </row>
        <row r="448">
          <cell r="D448" t="str">
            <v>AIUAIMPRE</v>
          </cell>
          <cell r="E448" t="str">
            <v>Imprevistos</v>
          </cell>
          <cell r="F448">
            <v>0</v>
          </cell>
          <cell r="I448">
            <v>0</v>
          </cell>
          <cell r="J448">
            <v>0</v>
          </cell>
          <cell r="L448">
            <v>0</v>
          </cell>
          <cell r="Z448">
            <v>0</v>
          </cell>
        </row>
        <row r="449">
          <cell r="D449" t="str">
            <v>AIUAUTILI</v>
          </cell>
          <cell r="E449" t="str">
            <v>Utilidad</v>
          </cell>
          <cell r="F449">
            <v>0</v>
          </cell>
          <cell r="I449">
            <v>0</v>
          </cell>
          <cell r="J449">
            <v>0</v>
          </cell>
          <cell r="L449">
            <v>0</v>
          </cell>
          <cell r="Z449">
            <v>0</v>
          </cell>
        </row>
        <row r="450">
          <cell r="D450" t="str">
            <v>AIUAIVAUTI</v>
          </cell>
          <cell r="E450" t="str">
            <v>IVA utilidad</v>
          </cell>
          <cell r="F450">
            <v>0</v>
          </cell>
          <cell r="I450">
            <v>0</v>
          </cell>
          <cell r="J450">
            <v>0</v>
          </cell>
          <cell r="L450">
            <v>0</v>
          </cell>
          <cell r="Z450">
            <v>0</v>
          </cell>
        </row>
        <row r="452">
          <cell r="E452" t="str">
            <v>ITEM</v>
          </cell>
        </row>
        <row r="453">
          <cell r="D453" t="str">
            <v>ANITC56</v>
          </cell>
          <cell r="E453" t="str">
            <v>Instalación Tuberia Concreto  Ø 1,40 m</v>
          </cell>
          <cell r="G453" t="str">
            <v>UN.</v>
          </cell>
          <cell r="H453" t="str">
            <v>Ml</v>
          </cell>
          <cell r="I453">
            <v>26433</v>
          </cell>
          <cell r="K453">
            <v>170</v>
          </cell>
          <cell r="L453">
            <v>4493610</v>
          </cell>
          <cell r="N453">
            <v>653</v>
          </cell>
          <cell r="O453">
            <v>13500</v>
          </cell>
          <cell r="P453">
            <v>12280</v>
          </cell>
          <cell r="Q453">
            <v>0</v>
          </cell>
          <cell r="X453">
            <v>4493610</v>
          </cell>
          <cell r="Y453" t="str">
            <v>Ml</v>
          </cell>
          <cell r="Z453" t="e">
            <v>#N/A</v>
          </cell>
          <cell r="AA453" t="e">
            <v>#N/A</v>
          </cell>
          <cell r="AB453" t="e">
            <v>#N/A</v>
          </cell>
          <cell r="AC453" t="e">
            <v>#N/A</v>
          </cell>
        </row>
        <row r="455">
          <cell r="D455" t="str">
            <v>CODIGO</v>
          </cell>
          <cell r="E455" t="str">
            <v>DESCRIPCION</v>
          </cell>
          <cell r="F455" t="str">
            <v>UN</v>
          </cell>
          <cell r="G455" t="str">
            <v>CANT</v>
          </cell>
          <cell r="H455" t="str">
            <v>V/UNIT.</v>
          </cell>
          <cell r="I455" t="str">
            <v>V/TOTAL</v>
          </cell>
          <cell r="K455" t="str">
            <v>CANT TOTAL</v>
          </cell>
          <cell r="L455" t="str">
            <v>Vr TOTAL</v>
          </cell>
          <cell r="Y455" t="str">
            <v>CANT.</v>
          </cell>
          <cell r="Z455" t="str">
            <v>V/TOTAL</v>
          </cell>
        </row>
        <row r="456">
          <cell r="E456" t="str">
            <v>MATERIALES</v>
          </cell>
          <cell r="I456">
            <v>653</v>
          </cell>
          <cell r="L456">
            <v>111010</v>
          </cell>
          <cell r="Z456" t="e">
            <v>#N/A</v>
          </cell>
        </row>
        <row r="459">
          <cell r="D459" t="str">
            <v>MA27LUBRI</v>
          </cell>
          <cell r="E459" t="str">
            <v>Lubricante</v>
          </cell>
          <cell r="F459" t="str">
            <v>lb</v>
          </cell>
          <cell r="G459">
            <v>0.06</v>
          </cell>
          <cell r="H459">
            <v>10890.543999999998</v>
          </cell>
          <cell r="I459">
            <v>653</v>
          </cell>
          <cell r="J459">
            <v>0</v>
          </cell>
          <cell r="K459">
            <v>10.199999999999999</v>
          </cell>
          <cell r="L459">
            <v>111083.54879999998</v>
          </cell>
          <cell r="Y459" t="e">
            <v>#N/A</v>
          </cell>
          <cell r="Z459" t="e">
            <v>#N/A</v>
          </cell>
        </row>
        <row r="460">
          <cell r="E460" t="str">
            <v>MANO DE OBRA</v>
          </cell>
          <cell r="I460">
            <v>13500</v>
          </cell>
          <cell r="L460">
            <v>2295000</v>
          </cell>
          <cell r="Z460" t="e">
            <v>#N/A</v>
          </cell>
        </row>
        <row r="461">
          <cell r="D461" t="str">
            <v>MOANIT56</v>
          </cell>
          <cell r="E461" t="str">
            <v>Inst. Tuberia Ø 1,40 m</v>
          </cell>
          <cell r="F461" t="str">
            <v>ml</v>
          </cell>
          <cell r="G461">
            <v>1</v>
          </cell>
          <cell r="H461">
            <v>13500</v>
          </cell>
          <cell r="I461">
            <v>13500</v>
          </cell>
          <cell r="J461">
            <v>0</v>
          </cell>
          <cell r="K461">
            <v>170</v>
          </cell>
          <cell r="L461">
            <v>2295000</v>
          </cell>
          <cell r="Y461" t="e">
            <v>#N/A</v>
          </cell>
          <cell r="Z461" t="e">
            <v>#N/A</v>
          </cell>
        </row>
        <row r="463">
          <cell r="E463" t="str">
            <v>VARIOS</v>
          </cell>
          <cell r="I463">
            <v>12280</v>
          </cell>
          <cell r="L463">
            <v>2087600</v>
          </cell>
          <cell r="Z463" t="e">
            <v>#N/A</v>
          </cell>
        </row>
        <row r="464">
          <cell r="D464" t="str">
            <v>AL04RETRO</v>
          </cell>
          <cell r="E464" t="str">
            <v>Retro Oruga</v>
          </cell>
          <cell r="F464" t="str">
            <v>Hr</v>
          </cell>
          <cell r="G464">
            <v>0.2</v>
          </cell>
          <cell r="H464">
            <v>60000</v>
          </cell>
          <cell r="I464">
            <v>12000</v>
          </cell>
          <cell r="J464">
            <v>0</v>
          </cell>
          <cell r="K464">
            <v>34</v>
          </cell>
          <cell r="L464">
            <v>2040000</v>
          </cell>
          <cell r="Y464" t="e">
            <v>#N/A</v>
          </cell>
          <cell r="Z464" t="e">
            <v>#N/A</v>
          </cell>
        </row>
        <row r="465">
          <cell r="D465" t="str">
            <v>TC07HINT</v>
          </cell>
          <cell r="E465" t="str">
            <v>Herramienta Menor</v>
          </cell>
          <cell r="F465" t="str">
            <v>ML"</v>
          </cell>
          <cell r="G465">
            <v>56</v>
          </cell>
          <cell r="H465">
            <v>5</v>
          </cell>
          <cell r="I465">
            <v>280</v>
          </cell>
          <cell r="J465">
            <v>0</v>
          </cell>
          <cell r="K465">
            <v>9520</v>
          </cell>
          <cell r="L465">
            <v>47600</v>
          </cell>
          <cell r="Y465" t="e">
            <v>#N/A</v>
          </cell>
          <cell r="Z465" t="e">
            <v>#N/A</v>
          </cell>
        </row>
        <row r="466">
          <cell r="E466" t="str">
            <v>SUBTOTAL</v>
          </cell>
          <cell r="I466">
            <v>26433</v>
          </cell>
          <cell r="L466">
            <v>4493610</v>
          </cell>
          <cell r="Z466" t="e">
            <v>#N/A</v>
          </cell>
        </row>
        <row r="467">
          <cell r="E467" t="str">
            <v>A.I.U</v>
          </cell>
          <cell r="I467">
            <v>0</v>
          </cell>
          <cell r="L467">
            <v>0</v>
          </cell>
          <cell r="Z467">
            <v>0</v>
          </cell>
        </row>
        <row r="468">
          <cell r="D468" t="str">
            <v>AIUAADMON</v>
          </cell>
          <cell r="E468" t="str">
            <v>Admon</v>
          </cell>
          <cell r="F468">
            <v>0</v>
          </cell>
          <cell r="I468">
            <v>0</v>
          </cell>
          <cell r="J468">
            <v>0</v>
          </cell>
          <cell r="L468">
            <v>0</v>
          </cell>
          <cell r="Z468">
            <v>0</v>
          </cell>
        </row>
        <row r="469">
          <cell r="D469" t="str">
            <v>AIUAIMPRE</v>
          </cell>
          <cell r="E469" t="str">
            <v>Imprevistos</v>
          </cell>
          <cell r="F469">
            <v>0</v>
          </cell>
          <cell r="I469">
            <v>0</v>
          </cell>
          <cell r="J469">
            <v>0</v>
          </cell>
          <cell r="L469">
            <v>0</v>
          </cell>
          <cell r="Z469">
            <v>0</v>
          </cell>
        </row>
        <row r="470">
          <cell r="D470" t="str">
            <v>AIUAUTILI</v>
          </cell>
          <cell r="E470" t="str">
            <v>Utilidad</v>
          </cell>
          <cell r="F470">
            <v>0</v>
          </cell>
          <cell r="I470">
            <v>0</v>
          </cell>
          <cell r="J470">
            <v>0</v>
          </cell>
          <cell r="L470">
            <v>0</v>
          </cell>
          <cell r="Z470">
            <v>0</v>
          </cell>
        </row>
        <row r="471">
          <cell r="D471" t="str">
            <v>AIUAIVAUTI</v>
          </cell>
          <cell r="E471" t="str">
            <v>IVA utilidad</v>
          </cell>
          <cell r="F471">
            <v>0</v>
          </cell>
          <cell r="I471">
            <v>0</v>
          </cell>
          <cell r="J471">
            <v>0</v>
          </cell>
          <cell r="L471">
            <v>0</v>
          </cell>
          <cell r="Z471">
            <v>0</v>
          </cell>
        </row>
        <row r="473">
          <cell r="E473" t="str">
            <v>ITEM</v>
          </cell>
        </row>
        <row r="474">
          <cell r="D474" t="str">
            <v>ANITC72</v>
          </cell>
          <cell r="E474" t="str">
            <v>Instalación Tuberia Concreto  Ø 1,80 m</v>
          </cell>
          <cell r="G474" t="str">
            <v>UN.</v>
          </cell>
          <cell r="H474" t="str">
            <v>Ml</v>
          </cell>
          <cell r="I474">
            <v>37333</v>
          </cell>
          <cell r="K474">
            <v>130</v>
          </cell>
          <cell r="L474">
            <v>4853290</v>
          </cell>
          <cell r="N474">
            <v>653</v>
          </cell>
          <cell r="O474">
            <v>14720</v>
          </cell>
          <cell r="P474">
            <v>21960</v>
          </cell>
          <cell r="Q474">
            <v>0</v>
          </cell>
          <cell r="X474">
            <v>4853290</v>
          </cell>
          <cell r="Y474" t="str">
            <v>Ml</v>
          </cell>
          <cell r="Z474" t="e">
            <v>#N/A</v>
          </cell>
          <cell r="AA474" t="e">
            <v>#N/A</v>
          </cell>
          <cell r="AB474" t="e">
            <v>#N/A</v>
          </cell>
          <cell r="AC474" t="e">
            <v>#N/A</v>
          </cell>
        </row>
        <row r="476">
          <cell r="D476" t="str">
            <v>CODIGO</v>
          </cell>
          <cell r="E476" t="str">
            <v>DESCRIPCION</v>
          </cell>
          <cell r="F476" t="str">
            <v>UN</v>
          </cell>
          <cell r="G476" t="str">
            <v>CANT</v>
          </cell>
          <cell r="H476" t="str">
            <v>V/UNIT.</v>
          </cell>
          <cell r="I476" t="str">
            <v>V/TOTAL</v>
          </cell>
          <cell r="K476" t="str">
            <v>CANT TOTAL</v>
          </cell>
          <cell r="L476" t="str">
            <v>Vr TOTAL</v>
          </cell>
          <cell r="Y476" t="str">
            <v>CANT.</v>
          </cell>
          <cell r="Z476" t="str">
            <v>V/TOTAL</v>
          </cell>
        </row>
        <row r="477">
          <cell r="E477" t="str">
            <v>MATERIALES</v>
          </cell>
          <cell r="I477">
            <v>653</v>
          </cell>
          <cell r="L477">
            <v>84890</v>
          </cell>
          <cell r="Z477" t="e">
            <v>#N/A</v>
          </cell>
        </row>
        <row r="480">
          <cell r="D480" t="str">
            <v>MA27LUBRI</v>
          </cell>
          <cell r="E480" t="str">
            <v>Lubricante</v>
          </cell>
          <cell r="F480" t="str">
            <v>lb</v>
          </cell>
          <cell r="G480">
            <v>0.06</v>
          </cell>
          <cell r="H480">
            <v>10890.543999999998</v>
          </cell>
          <cell r="I480">
            <v>653</v>
          </cell>
          <cell r="J480">
            <v>0</v>
          </cell>
          <cell r="K480">
            <v>7.8</v>
          </cell>
          <cell r="L480">
            <v>84946.243199999983</v>
          </cell>
          <cell r="Y480" t="e">
            <v>#N/A</v>
          </cell>
          <cell r="Z480" t="e">
            <v>#N/A</v>
          </cell>
        </row>
        <row r="481">
          <cell r="E481" t="str">
            <v>MANO DE OBRA</v>
          </cell>
          <cell r="I481">
            <v>14720</v>
          </cell>
          <cell r="L481">
            <v>1913600</v>
          </cell>
          <cell r="Z481" t="e">
            <v>#N/A</v>
          </cell>
        </row>
        <row r="482">
          <cell r="D482" t="str">
            <v>MOANIT72</v>
          </cell>
          <cell r="E482" t="str">
            <v>Inst. Tuberia Ø 1,80 m</v>
          </cell>
          <cell r="F482" t="str">
            <v>ml</v>
          </cell>
          <cell r="G482">
            <v>1</v>
          </cell>
          <cell r="H482">
            <v>14720</v>
          </cell>
          <cell r="I482">
            <v>14720</v>
          </cell>
          <cell r="J482">
            <v>0</v>
          </cell>
          <cell r="K482">
            <v>130</v>
          </cell>
          <cell r="L482">
            <v>1913600</v>
          </cell>
          <cell r="Y482" t="e">
            <v>#N/A</v>
          </cell>
          <cell r="Z482" t="e">
            <v>#N/A</v>
          </cell>
        </row>
        <row r="484">
          <cell r="E484" t="str">
            <v>VARIOS</v>
          </cell>
          <cell r="I484">
            <v>21960</v>
          </cell>
          <cell r="L484">
            <v>2854800</v>
          </cell>
          <cell r="Z484" t="e">
            <v>#N/A</v>
          </cell>
        </row>
        <row r="485">
          <cell r="D485" t="str">
            <v>AL04RETROG</v>
          </cell>
          <cell r="E485" t="str">
            <v>Retro Oruga 320</v>
          </cell>
          <cell r="F485" t="str">
            <v>Hr</v>
          </cell>
          <cell r="G485">
            <v>0.24</v>
          </cell>
          <cell r="H485">
            <v>90000</v>
          </cell>
          <cell r="I485">
            <v>21600</v>
          </cell>
          <cell r="J485">
            <v>0</v>
          </cell>
          <cell r="K485">
            <v>31.2</v>
          </cell>
          <cell r="L485">
            <v>2808000</v>
          </cell>
          <cell r="Y485" t="e">
            <v>#N/A</v>
          </cell>
          <cell r="Z485" t="e">
            <v>#N/A</v>
          </cell>
        </row>
        <row r="486">
          <cell r="D486" t="str">
            <v>TC07HINT</v>
          </cell>
          <cell r="E486" t="str">
            <v>Herramienta Menor</v>
          </cell>
          <cell r="F486" t="str">
            <v>ML"</v>
          </cell>
          <cell r="G486">
            <v>72</v>
          </cell>
          <cell r="H486">
            <v>5</v>
          </cell>
          <cell r="I486">
            <v>360</v>
          </cell>
          <cell r="J486">
            <v>0</v>
          </cell>
          <cell r="K486">
            <v>9360</v>
          </cell>
          <cell r="L486">
            <v>46800</v>
          </cell>
          <cell r="Y486" t="e">
            <v>#N/A</v>
          </cell>
          <cell r="Z486" t="e">
            <v>#N/A</v>
          </cell>
        </row>
        <row r="487">
          <cell r="E487" t="str">
            <v>SUBTOTAL</v>
          </cell>
          <cell r="I487">
            <v>37333</v>
          </cell>
          <cell r="L487">
            <v>4853290</v>
          </cell>
          <cell r="Z487" t="e">
            <v>#N/A</v>
          </cell>
        </row>
        <row r="488">
          <cell r="E488" t="str">
            <v>A.I.U</v>
          </cell>
          <cell r="I488">
            <v>0</v>
          </cell>
          <cell r="L488">
            <v>0</v>
          </cell>
          <cell r="Z488">
            <v>0</v>
          </cell>
        </row>
        <row r="489">
          <cell r="D489" t="str">
            <v>AIUAADMON</v>
          </cell>
          <cell r="E489" t="str">
            <v>Admon</v>
          </cell>
          <cell r="F489">
            <v>0</v>
          </cell>
          <cell r="I489">
            <v>0</v>
          </cell>
          <cell r="J489">
            <v>0</v>
          </cell>
          <cell r="L489">
            <v>0</v>
          </cell>
          <cell r="Z489">
            <v>0</v>
          </cell>
        </row>
        <row r="490">
          <cell r="D490" t="str">
            <v>AIUAIMPRE</v>
          </cell>
          <cell r="E490" t="str">
            <v>Imprevistos</v>
          </cell>
          <cell r="F490">
            <v>0</v>
          </cell>
          <cell r="I490">
            <v>0</v>
          </cell>
          <cell r="J490">
            <v>0</v>
          </cell>
          <cell r="L490">
            <v>0</v>
          </cell>
          <cell r="Z490">
            <v>0</v>
          </cell>
        </row>
        <row r="491">
          <cell r="D491" t="str">
            <v>AIUAUTILI</v>
          </cell>
          <cell r="E491" t="str">
            <v>Utilidad</v>
          </cell>
          <cell r="F491">
            <v>0</v>
          </cell>
          <cell r="I491">
            <v>0</v>
          </cell>
          <cell r="J491">
            <v>0</v>
          </cell>
          <cell r="L491">
            <v>0</v>
          </cell>
          <cell r="Z491">
            <v>0</v>
          </cell>
        </row>
        <row r="492">
          <cell r="D492" t="str">
            <v>AIUAIVAUTI</v>
          </cell>
          <cell r="E492" t="str">
            <v>IVA utilidad</v>
          </cell>
          <cell r="F492">
            <v>0</v>
          </cell>
          <cell r="I492">
            <v>0</v>
          </cell>
          <cell r="J492">
            <v>0</v>
          </cell>
          <cell r="L492">
            <v>0</v>
          </cell>
          <cell r="Z492">
            <v>0</v>
          </cell>
        </row>
        <row r="494">
          <cell r="E494" t="str">
            <v>ITEM</v>
          </cell>
        </row>
        <row r="495">
          <cell r="D495" t="str">
            <v>ANITC80</v>
          </cell>
          <cell r="E495" t="str">
            <v>Instalación Tuberia Concreto  Ø 2,00 m</v>
          </cell>
          <cell r="G495" t="str">
            <v>UN.</v>
          </cell>
          <cell r="H495" t="str">
            <v>Ml</v>
          </cell>
          <cell r="I495">
            <v>46413</v>
          </cell>
          <cell r="K495">
            <v>675</v>
          </cell>
          <cell r="L495">
            <v>31328775</v>
          </cell>
          <cell r="N495">
            <v>653</v>
          </cell>
          <cell r="O495">
            <v>18400</v>
          </cell>
          <cell r="P495">
            <v>27360</v>
          </cell>
          <cell r="Q495">
            <v>0</v>
          </cell>
          <cell r="X495">
            <v>31328775</v>
          </cell>
          <cell r="Y495" t="str">
            <v>Ml</v>
          </cell>
          <cell r="Z495" t="e">
            <v>#N/A</v>
          </cell>
          <cell r="AA495" t="e">
            <v>#N/A</v>
          </cell>
          <cell r="AB495" t="e">
            <v>#N/A</v>
          </cell>
          <cell r="AC495" t="e">
            <v>#N/A</v>
          </cell>
        </row>
        <row r="497">
          <cell r="D497" t="str">
            <v>CODIGO</v>
          </cell>
          <cell r="E497" t="str">
            <v>DESCRIPCION</v>
          </cell>
          <cell r="F497" t="str">
            <v>UN</v>
          </cell>
          <cell r="G497" t="str">
            <v>CANT</v>
          </cell>
          <cell r="H497" t="str">
            <v>V/UNIT.</v>
          </cell>
          <cell r="I497" t="str">
            <v>V/TOTAL</v>
          </cell>
          <cell r="K497" t="str">
            <v>CANT TOTAL</v>
          </cell>
          <cell r="L497" t="str">
            <v>Vr TOTAL</v>
          </cell>
          <cell r="Y497" t="str">
            <v>CANT.</v>
          </cell>
          <cell r="Z497" t="str">
            <v>V/TOTAL</v>
          </cell>
        </row>
        <row r="498">
          <cell r="E498" t="str">
            <v>MATERIALES</v>
          </cell>
          <cell r="I498">
            <v>653</v>
          </cell>
          <cell r="L498">
            <v>440775</v>
          </cell>
          <cell r="Z498" t="e">
            <v>#N/A</v>
          </cell>
        </row>
        <row r="501">
          <cell r="D501" t="str">
            <v>MA27LUBRI</v>
          </cell>
          <cell r="E501" t="str">
            <v>Lubricante</v>
          </cell>
          <cell r="F501" t="str">
            <v>lb</v>
          </cell>
          <cell r="G501">
            <v>0.06</v>
          </cell>
          <cell r="H501">
            <v>10890.543999999998</v>
          </cell>
          <cell r="I501">
            <v>653</v>
          </cell>
          <cell r="J501">
            <v>0</v>
          </cell>
          <cell r="K501">
            <v>40.5</v>
          </cell>
          <cell r="L501">
            <v>441067.03199999995</v>
          </cell>
          <cell r="Y501" t="e">
            <v>#N/A</v>
          </cell>
          <cell r="Z501" t="e">
            <v>#N/A</v>
          </cell>
        </row>
        <row r="502">
          <cell r="E502" t="str">
            <v>MANO DE OBRA</v>
          </cell>
          <cell r="I502">
            <v>18400</v>
          </cell>
          <cell r="L502">
            <v>12420000</v>
          </cell>
          <cell r="Z502" t="e">
            <v>#N/A</v>
          </cell>
        </row>
        <row r="503">
          <cell r="D503" t="str">
            <v>MOANIT80</v>
          </cell>
          <cell r="E503" t="str">
            <v>Inst. Tuberia Ø 2,00 m</v>
          </cell>
          <cell r="F503" t="str">
            <v>ml</v>
          </cell>
          <cell r="G503">
            <v>1</v>
          </cell>
          <cell r="H503">
            <v>18400</v>
          </cell>
          <cell r="I503">
            <v>18400</v>
          </cell>
          <cell r="J503">
            <v>0</v>
          </cell>
          <cell r="K503">
            <v>675</v>
          </cell>
          <cell r="L503">
            <v>12420000</v>
          </cell>
          <cell r="Y503" t="e">
            <v>#N/A</v>
          </cell>
          <cell r="Z503" t="e">
            <v>#N/A</v>
          </cell>
        </row>
        <row r="505">
          <cell r="E505" t="str">
            <v>VARIOS</v>
          </cell>
          <cell r="I505">
            <v>27360</v>
          </cell>
          <cell r="L505">
            <v>18468000</v>
          </cell>
          <cell r="Z505" t="e">
            <v>#N/A</v>
          </cell>
        </row>
        <row r="506">
          <cell r="D506" t="str">
            <v>AL04RETROG</v>
          </cell>
          <cell r="E506" t="str">
            <v>Retro Oruga 320</v>
          </cell>
          <cell r="F506" t="str">
            <v>Hr</v>
          </cell>
          <cell r="G506">
            <v>0.3</v>
          </cell>
          <cell r="H506">
            <v>90000</v>
          </cell>
          <cell r="I506">
            <v>27000</v>
          </cell>
          <cell r="J506">
            <v>0</v>
          </cell>
          <cell r="K506">
            <v>202.5</v>
          </cell>
          <cell r="L506">
            <v>18225000</v>
          </cell>
          <cell r="Y506" t="e">
            <v>#N/A</v>
          </cell>
          <cell r="Z506" t="e">
            <v>#N/A</v>
          </cell>
        </row>
        <row r="507">
          <cell r="D507" t="str">
            <v>TC07HINT</v>
          </cell>
          <cell r="E507" t="str">
            <v>Herramienta Menor</v>
          </cell>
          <cell r="F507" t="str">
            <v>ML"</v>
          </cell>
          <cell r="G507">
            <v>72</v>
          </cell>
          <cell r="H507">
            <v>5</v>
          </cell>
          <cell r="I507">
            <v>360</v>
          </cell>
          <cell r="J507">
            <v>0</v>
          </cell>
          <cell r="K507">
            <v>48600</v>
          </cell>
          <cell r="L507">
            <v>243000</v>
          </cell>
          <cell r="Y507" t="e">
            <v>#N/A</v>
          </cell>
          <cell r="Z507" t="e">
            <v>#N/A</v>
          </cell>
        </row>
        <row r="508">
          <cell r="E508" t="str">
            <v>SUBTOTAL</v>
          </cell>
          <cell r="I508">
            <v>46413</v>
          </cell>
          <cell r="L508">
            <v>31328775</v>
          </cell>
          <cell r="Z508" t="e">
            <v>#N/A</v>
          </cell>
        </row>
        <row r="509">
          <cell r="E509" t="str">
            <v>A.I.U</v>
          </cell>
          <cell r="I509">
            <v>0</v>
          </cell>
          <cell r="L509">
            <v>0</v>
          </cell>
          <cell r="Z509">
            <v>0</v>
          </cell>
        </row>
        <row r="510">
          <cell r="D510" t="str">
            <v>AIUAADMON</v>
          </cell>
          <cell r="E510" t="str">
            <v>Admon</v>
          </cell>
          <cell r="F510">
            <v>0</v>
          </cell>
          <cell r="I510">
            <v>0</v>
          </cell>
          <cell r="J510">
            <v>0</v>
          </cell>
          <cell r="L510">
            <v>0</v>
          </cell>
          <cell r="Z510">
            <v>0</v>
          </cell>
        </row>
        <row r="511">
          <cell r="D511" t="str">
            <v>AIUAIMPRE</v>
          </cell>
          <cell r="E511" t="str">
            <v>Imprevistos</v>
          </cell>
          <cell r="F511">
            <v>0</v>
          </cell>
          <cell r="I511">
            <v>0</v>
          </cell>
          <cell r="J511">
            <v>0</v>
          </cell>
          <cell r="L511">
            <v>0</v>
          </cell>
          <cell r="Z511">
            <v>0</v>
          </cell>
        </row>
        <row r="512">
          <cell r="D512" t="str">
            <v>AIUAUTILI</v>
          </cell>
          <cell r="E512" t="str">
            <v>Utilidad</v>
          </cell>
          <cell r="F512">
            <v>0</v>
          </cell>
          <cell r="I512">
            <v>0</v>
          </cell>
          <cell r="J512">
            <v>0</v>
          </cell>
          <cell r="L512">
            <v>0</v>
          </cell>
          <cell r="Z512">
            <v>0</v>
          </cell>
        </row>
        <row r="513">
          <cell r="D513" t="str">
            <v>AIUAIVAUTI</v>
          </cell>
          <cell r="E513" t="str">
            <v>IVA utilidad</v>
          </cell>
          <cell r="F513">
            <v>0</v>
          </cell>
          <cell r="I513">
            <v>0</v>
          </cell>
          <cell r="J513">
            <v>0</v>
          </cell>
          <cell r="L513">
            <v>0</v>
          </cell>
          <cell r="Z513">
            <v>0</v>
          </cell>
        </row>
        <row r="515">
          <cell r="E515" t="str">
            <v>ITEM</v>
          </cell>
        </row>
        <row r="516">
          <cell r="D516" t="str">
            <v>ANITF12</v>
          </cell>
          <cell r="E516" t="str">
            <v xml:space="preserve">Instalación Tuberia Flexible  Ø 12" </v>
          </cell>
          <cell r="G516" t="str">
            <v>UN.</v>
          </cell>
          <cell r="H516" t="str">
            <v>Ml</v>
          </cell>
          <cell r="I516">
            <v>3825</v>
          </cell>
          <cell r="K516">
            <v>1173</v>
          </cell>
          <cell r="L516">
            <v>4486725</v>
          </cell>
          <cell r="N516">
            <v>185</v>
          </cell>
          <cell r="O516">
            <v>3190</v>
          </cell>
          <cell r="P516">
            <v>450</v>
          </cell>
          <cell r="Q516">
            <v>0</v>
          </cell>
          <cell r="X516">
            <v>4486725</v>
          </cell>
          <cell r="Y516" t="str">
            <v>Ml</v>
          </cell>
          <cell r="Z516" t="e">
            <v>#N/A</v>
          </cell>
          <cell r="AA516" t="e">
            <v>#N/A</v>
          </cell>
          <cell r="AB516" t="e">
            <v>#N/A</v>
          </cell>
          <cell r="AC516" t="e">
            <v>#N/A</v>
          </cell>
        </row>
        <row r="518">
          <cell r="D518" t="str">
            <v>CODIGO</v>
          </cell>
          <cell r="E518" t="str">
            <v>DESCRIPCION</v>
          </cell>
          <cell r="F518" t="str">
            <v>UN</v>
          </cell>
          <cell r="G518" t="str">
            <v>CANT</v>
          </cell>
          <cell r="H518" t="str">
            <v>V/UNIT.</v>
          </cell>
          <cell r="I518" t="str">
            <v>V/TOTAL</v>
          </cell>
          <cell r="K518" t="str">
            <v>CANT TOTAL</v>
          </cell>
          <cell r="L518" t="str">
            <v>Vr TOTAL</v>
          </cell>
          <cell r="Y518" t="str">
            <v>CANT.</v>
          </cell>
          <cell r="Z518" t="str">
            <v>V/TOTAL</v>
          </cell>
        </row>
        <row r="519">
          <cell r="E519" t="str">
            <v>MATERIALES</v>
          </cell>
          <cell r="I519">
            <v>185</v>
          </cell>
          <cell r="L519">
            <v>217005</v>
          </cell>
          <cell r="Z519" t="e">
            <v>#N/A</v>
          </cell>
        </row>
        <row r="520">
          <cell r="I520">
            <v>0</v>
          </cell>
          <cell r="J520">
            <v>0</v>
          </cell>
          <cell r="K520">
            <v>0</v>
          </cell>
          <cell r="L520">
            <v>0</v>
          </cell>
          <cell r="Y520">
            <v>0</v>
          </cell>
          <cell r="Z520">
            <v>0</v>
          </cell>
        </row>
        <row r="521">
          <cell r="D521" t="str">
            <v>MA27LUBRI</v>
          </cell>
          <cell r="E521" t="str">
            <v>Lubricante</v>
          </cell>
          <cell r="F521" t="str">
            <v>lb</v>
          </cell>
          <cell r="G521">
            <v>1.7000000000000001E-2</v>
          </cell>
          <cell r="H521">
            <v>10890.543999999998</v>
          </cell>
          <cell r="I521">
            <v>185</v>
          </cell>
          <cell r="J521">
            <v>0</v>
          </cell>
          <cell r="K521">
            <v>19.941000000000003</v>
          </cell>
          <cell r="L521">
            <v>217168.33790399999</v>
          </cell>
          <cell r="Y521" t="e">
            <v>#N/A</v>
          </cell>
          <cell r="Z521" t="e">
            <v>#N/A</v>
          </cell>
        </row>
        <row r="522">
          <cell r="I522">
            <v>0</v>
          </cell>
          <cell r="J522">
            <v>0</v>
          </cell>
          <cell r="K522">
            <v>0</v>
          </cell>
          <cell r="L522">
            <v>0</v>
          </cell>
          <cell r="Y522">
            <v>0</v>
          </cell>
          <cell r="Z522">
            <v>0</v>
          </cell>
        </row>
        <row r="524">
          <cell r="E524" t="str">
            <v>MANO DE OBRA</v>
          </cell>
          <cell r="I524">
            <v>3190</v>
          </cell>
          <cell r="L524">
            <v>3741870</v>
          </cell>
          <cell r="Z524" t="e">
            <v>#N/A</v>
          </cell>
        </row>
        <row r="525">
          <cell r="D525" t="str">
            <v>MOANITF12</v>
          </cell>
          <cell r="E525" t="str">
            <v>Inst. Tuberia Ø 12"</v>
          </cell>
          <cell r="F525" t="str">
            <v>ml</v>
          </cell>
          <cell r="G525">
            <v>1</v>
          </cell>
          <cell r="H525">
            <v>3190</v>
          </cell>
          <cell r="I525">
            <v>3190</v>
          </cell>
          <cell r="J525">
            <v>0</v>
          </cell>
          <cell r="K525">
            <v>1173</v>
          </cell>
          <cell r="L525">
            <v>3741870</v>
          </cell>
          <cell r="Y525" t="e">
            <v>#N/A</v>
          </cell>
          <cell r="Z525" t="e">
            <v>#N/A</v>
          </cell>
        </row>
        <row r="527">
          <cell r="E527" t="str">
            <v>VARIOS</v>
          </cell>
          <cell r="I527">
            <v>450</v>
          </cell>
          <cell r="L527">
            <v>527850</v>
          </cell>
          <cell r="Z527" t="e">
            <v>#N/A</v>
          </cell>
        </row>
        <row r="528">
          <cell r="D528" t="str">
            <v>TC07H400</v>
          </cell>
          <cell r="E528" t="str">
            <v>Herramienta y Varios</v>
          </cell>
          <cell r="F528" t="str">
            <v>Gb</v>
          </cell>
          <cell r="G528">
            <v>1</v>
          </cell>
          <cell r="H528">
            <v>450</v>
          </cell>
          <cell r="I528">
            <v>450</v>
          </cell>
          <cell r="J528">
            <v>0</v>
          </cell>
          <cell r="K528">
            <v>1173</v>
          </cell>
          <cell r="L528">
            <v>527850</v>
          </cell>
          <cell r="Y528" t="e">
            <v>#N/A</v>
          </cell>
          <cell r="Z528" t="e">
            <v>#N/A</v>
          </cell>
        </row>
        <row r="530">
          <cell r="E530" t="str">
            <v>SUBTOTAL</v>
          </cell>
          <cell r="I530">
            <v>3825</v>
          </cell>
          <cell r="L530">
            <v>4486725</v>
          </cell>
          <cell r="Z530" t="e">
            <v>#N/A</v>
          </cell>
        </row>
        <row r="531">
          <cell r="E531" t="str">
            <v>A.I.U</v>
          </cell>
          <cell r="I531">
            <v>0</v>
          </cell>
          <cell r="L531">
            <v>0</v>
          </cell>
          <cell r="Z531">
            <v>0</v>
          </cell>
        </row>
        <row r="532">
          <cell r="D532" t="str">
            <v>AIUAADMON</v>
          </cell>
          <cell r="E532" t="str">
            <v>Admon</v>
          </cell>
          <cell r="F532">
            <v>0</v>
          </cell>
          <cell r="I532">
            <v>0</v>
          </cell>
          <cell r="J532">
            <v>0</v>
          </cell>
          <cell r="L532">
            <v>0</v>
          </cell>
          <cell r="Z532">
            <v>0</v>
          </cell>
        </row>
        <row r="533">
          <cell r="D533" t="str">
            <v>AIUAIMPRE</v>
          </cell>
          <cell r="E533" t="str">
            <v>Imprevistos</v>
          </cell>
          <cell r="F533">
            <v>0</v>
          </cell>
          <cell r="I533">
            <v>0</v>
          </cell>
          <cell r="J533">
            <v>0</v>
          </cell>
          <cell r="L533">
            <v>0</v>
          </cell>
          <cell r="Z533">
            <v>0</v>
          </cell>
        </row>
        <row r="534">
          <cell r="D534" t="str">
            <v>AIUAUTILI</v>
          </cell>
          <cell r="E534" t="str">
            <v>Utilidad</v>
          </cell>
          <cell r="F534">
            <v>0</v>
          </cell>
          <cell r="I534">
            <v>0</v>
          </cell>
          <cell r="J534">
            <v>0</v>
          </cell>
          <cell r="L534">
            <v>0</v>
          </cell>
          <cell r="Z534">
            <v>0</v>
          </cell>
        </row>
        <row r="535">
          <cell r="D535" t="str">
            <v>AIUAIVAUTI</v>
          </cell>
          <cell r="E535" t="str">
            <v>IVA utilidad</v>
          </cell>
          <cell r="F535">
            <v>0</v>
          </cell>
          <cell r="I535">
            <v>0</v>
          </cell>
          <cell r="J535">
            <v>0</v>
          </cell>
          <cell r="L535">
            <v>0</v>
          </cell>
          <cell r="Z535">
            <v>0</v>
          </cell>
        </row>
        <row r="537">
          <cell r="E537" t="str">
            <v>ITEM</v>
          </cell>
        </row>
        <row r="538">
          <cell r="D538" t="str">
            <v>ANITF18</v>
          </cell>
          <cell r="E538" t="str">
            <v xml:space="preserve">Instalación Tuberia Flexible  Ø 14-18" </v>
          </cell>
          <cell r="G538" t="str">
            <v>UN.</v>
          </cell>
          <cell r="H538" t="str">
            <v>Ml</v>
          </cell>
          <cell r="I538">
            <v>5088</v>
          </cell>
          <cell r="K538">
            <v>522</v>
          </cell>
          <cell r="L538">
            <v>2655936</v>
          </cell>
          <cell r="N538">
            <v>218</v>
          </cell>
          <cell r="O538">
            <v>4420</v>
          </cell>
          <cell r="P538">
            <v>450</v>
          </cell>
          <cell r="Q538">
            <v>0</v>
          </cell>
          <cell r="X538">
            <v>2655936</v>
          </cell>
          <cell r="Y538" t="str">
            <v>Ml</v>
          </cell>
          <cell r="Z538" t="e">
            <v>#N/A</v>
          </cell>
          <cell r="AA538" t="e">
            <v>#N/A</v>
          </cell>
          <cell r="AB538" t="e">
            <v>#N/A</v>
          </cell>
          <cell r="AC538" t="e">
            <v>#N/A</v>
          </cell>
        </row>
        <row r="540">
          <cell r="D540" t="str">
            <v>CODIGO</v>
          </cell>
          <cell r="E540" t="str">
            <v>DESCRIPCION</v>
          </cell>
          <cell r="F540" t="str">
            <v>UN</v>
          </cell>
          <cell r="G540" t="str">
            <v>CANT</v>
          </cell>
          <cell r="H540" t="str">
            <v>V/UNIT.</v>
          </cell>
          <cell r="I540" t="str">
            <v>V/TOTAL</v>
          </cell>
          <cell r="K540" t="str">
            <v>CANT TOTAL</v>
          </cell>
          <cell r="L540" t="str">
            <v>Vr TOTAL</v>
          </cell>
          <cell r="Y540" t="str">
            <v>CANT.</v>
          </cell>
          <cell r="Z540" t="str">
            <v>V/TOTAL</v>
          </cell>
        </row>
        <row r="541">
          <cell r="E541" t="str">
            <v>MATERIALES</v>
          </cell>
          <cell r="I541">
            <v>218</v>
          </cell>
          <cell r="L541">
            <v>113796</v>
          </cell>
          <cell r="Z541" t="e">
            <v>#N/A</v>
          </cell>
        </row>
        <row r="542">
          <cell r="I542">
            <v>0</v>
          </cell>
          <cell r="J542">
            <v>0</v>
          </cell>
          <cell r="K542">
            <v>0</v>
          </cell>
          <cell r="L542">
            <v>0</v>
          </cell>
          <cell r="Y542">
            <v>0</v>
          </cell>
          <cell r="Z542">
            <v>0</v>
          </cell>
        </row>
        <row r="543">
          <cell r="D543" t="str">
            <v>MA27LUBRI</v>
          </cell>
          <cell r="E543" t="str">
            <v>Lubricante</v>
          </cell>
          <cell r="F543" t="str">
            <v>lb</v>
          </cell>
          <cell r="G543">
            <v>0.02</v>
          </cell>
          <cell r="H543">
            <v>10890.543999999998</v>
          </cell>
          <cell r="I543">
            <v>218</v>
          </cell>
          <cell r="J543">
            <v>0</v>
          </cell>
          <cell r="K543">
            <v>10.44</v>
          </cell>
          <cell r="L543">
            <v>113697.27935999997</v>
          </cell>
          <cell r="Y543" t="e">
            <v>#N/A</v>
          </cell>
          <cell r="Z543" t="e">
            <v>#N/A</v>
          </cell>
        </row>
        <row r="544">
          <cell r="I544">
            <v>0</v>
          </cell>
          <cell r="J544">
            <v>0</v>
          </cell>
          <cell r="K544">
            <v>0</v>
          </cell>
          <cell r="L544">
            <v>0</v>
          </cell>
          <cell r="Y544">
            <v>0</v>
          </cell>
          <cell r="Z544">
            <v>0</v>
          </cell>
        </row>
        <row r="546">
          <cell r="E546" t="str">
            <v>MANO DE OBRA</v>
          </cell>
          <cell r="I546">
            <v>4420</v>
          </cell>
          <cell r="L546">
            <v>2307240</v>
          </cell>
          <cell r="Z546" t="e">
            <v>#N/A</v>
          </cell>
        </row>
        <row r="547">
          <cell r="D547" t="str">
            <v>MOANITF18</v>
          </cell>
          <cell r="E547" t="str">
            <v>Inst. Tuberia Ø 14-18"</v>
          </cell>
          <cell r="F547" t="str">
            <v>ml</v>
          </cell>
          <cell r="G547">
            <v>1</v>
          </cell>
          <cell r="H547">
            <v>4420</v>
          </cell>
          <cell r="I547">
            <v>4420</v>
          </cell>
          <cell r="J547">
            <v>0</v>
          </cell>
          <cell r="K547">
            <v>522</v>
          </cell>
          <cell r="L547">
            <v>2307240</v>
          </cell>
          <cell r="Y547" t="e">
            <v>#N/A</v>
          </cell>
          <cell r="Z547" t="e">
            <v>#N/A</v>
          </cell>
        </row>
        <row r="549">
          <cell r="E549" t="str">
            <v>VARIOS</v>
          </cell>
          <cell r="I549">
            <v>450</v>
          </cell>
          <cell r="L549">
            <v>234900</v>
          </cell>
          <cell r="Z549" t="e">
            <v>#N/A</v>
          </cell>
        </row>
        <row r="550">
          <cell r="D550" t="str">
            <v>TC07H400</v>
          </cell>
          <cell r="E550" t="str">
            <v>Herramienta y Varios</v>
          </cell>
          <cell r="F550" t="str">
            <v>Gb</v>
          </cell>
          <cell r="G550">
            <v>1</v>
          </cell>
          <cell r="H550">
            <v>450</v>
          </cell>
          <cell r="I550">
            <v>450</v>
          </cell>
          <cell r="J550">
            <v>0</v>
          </cell>
          <cell r="K550">
            <v>522</v>
          </cell>
          <cell r="L550">
            <v>234900</v>
          </cell>
          <cell r="Y550" t="e">
            <v>#N/A</v>
          </cell>
          <cell r="Z550" t="e">
            <v>#N/A</v>
          </cell>
        </row>
        <row r="552">
          <cell r="E552" t="str">
            <v>SUBTOTAL</v>
          </cell>
          <cell r="I552">
            <v>5088</v>
          </cell>
          <cell r="L552">
            <v>2655936</v>
          </cell>
          <cell r="Z552" t="e">
            <v>#N/A</v>
          </cell>
        </row>
        <row r="553">
          <cell r="E553" t="str">
            <v>A.I.U</v>
          </cell>
          <cell r="I553">
            <v>0</v>
          </cell>
          <cell r="L553">
            <v>0</v>
          </cell>
          <cell r="Z553">
            <v>0</v>
          </cell>
        </row>
        <row r="554">
          <cell r="D554" t="str">
            <v>AIUAADMON</v>
          </cell>
          <cell r="E554" t="str">
            <v>Admon</v>
          </cell>
          <cell r="F554">
            <v>0</v>
          </cell>
          <cell r="I554">
            <v>0</v>
          </cell>
          <cell r="J554">
            <v>0</v>
          </cell>
          <cell r="L554">
            <v>0</v>
          </cell>
          <cell r="Z554">
            <v>0</v>
          </cell>
        </row>
        <row r="555">
          <cell r="D555" t="str">
            <v>AIUAIMPRE</v>
          </cell>
          <cell r="E555" t="str">
            <v>Imprevistos</v>
          </cell>
          <cell r="F555">
            <v>0</v>
          </cell>
          <cell r="I555">
            <v>0</v>
          </cell>
          <cell r="J555">
            <v>0</v>
          </cell>
          <cell r="L555">
            <v>0</v>
          </cell>
          <cell r="Z555">
            <v>0</v>
          </cell>
        </row>
        <row r="556">
          <cell r="D556" t="str">
            <v>AIUAUTILI</v>
          </cell>
          <cell r="E556" t="str">
            <v>Utilidad</v>
          </cell>
          <cell r="F556">
            <v>0</v>
          </cell>
          <cell r="I556">
            <v>0</v>
          </cell>
          <cell r="J556">
            <v>0</v>
          </cell>
          <cell r="L556">
            <v>0</v>
          </cell>
          <cell r="Z556">
            <v>0</v>
          </cell>
        </row>
        <row r="557">
          <cell r="D557" t="str">
            <v>AIUAIVAUTI</v>
          </cell>
          <cell r="E557" t="str">
            <v>IVA utilidad</v>
          </cell>
          <cell r="F557">
            <v>0</v>
          </cell>
          <cell r="I557">
            <v>0</v>
          </cell>
          <cell r="J557">
            <v>0</v>
          </cell>
          <cell r="L557">
            <v>0</v>
          </cell>
          <cell r="Z557">
            <v>0</v>
          </cell>
        </row>
        <row r="559">
          <cell r="E559" t="str">
            <v>ITEM</v>
          </cell>
        </row>
        <row r="560">
          <cell r="D560" t="str">
            <v>ANITF24</v>
          </cell>
          <cell r="E560" t="str">
            <v xml:space="preserve">Instalación Tuberia Flexible  Ø 20-24" </v>
          </cell>
          <cell r="G560" t="str">
            <v>UN.</v>
          </cell>
          <cell r="H560" t="str">
            <v>Ml</v>
          </cell>
          <cell r="I560">
            <v>6428</v>
          </cell>
          <cell r="K560">
            <v>0</v>
          </cell>
          <cell r="L560">
            <v>0</v>
          </cell>
          <cell r="N560">
            <v>218</v>
          </cell>
          <cell r="O560">
            <v>5760</v>
          </cell>
          <cell r="P560">
            <v>450</v>
          </cell>
          <cell r="Q560">
            <v>0</v>
          </cell>
          <cell r="X560">
            <v>0</v>
          </cell>
          <cell r="Y560" t="str">
            <v>Ml</v>
          </cell>
          <cell r="Z560" t="e">
            <v>#N/A</v>
          </cell>
          <cell r="AA560" t="e">
            <v>#N/A</v>
          </cell>
          <cell r="AB560" t="e">
            <v>#N/A</v>
          </cell>
          <cell r="AC560" t="e">
            <v>#N/A</v>
          </cell>
        </row>
        <row r="562">
          <cell r="D562" t="str">
            <v>CODIGO</v>
          </cell>
          <cell r="E562" t="str">
            <v>DESCRIPCION</v>
          </cell>
          <cell r="F562" t="str">
            <v>UN</v>
          </cell>
          <cell r="G562" t="str">
            <v>CANT</v>
          </cell>
          <cell r="H562" t="str">
            <v>V/UNIT.</v>
          </cell>
          <cell r="I562" t="str">
            <v>V/TOTAL</v>
          </cell>
          <cell r="K562" t="str">
            <v>CANT TOTAL</v>
          </cell>
          <cell r="L562" t="str">
            <v>Vr TOTAL</v>
          </cell>
          <cell r="Y562" t="str">
            <v>CANT.</v>
          </cell>
          <cell r="Z562" t="str">
            <v>V/TOTAL</v>
          </cell>
        </row>
        <row r="563">
          <cell r="E563" t="str">
            <v>MATERIALES</v>
          </cell>
          <cell r="I563">
            <v>218</v>
          </cell>
          <cell r="L563">
            <v>0</v>
          </cell>
          <cell r="Z563" t="e">
            <v>#N/A</v>
          </cell>
        </row>
        <row r="564">
          <cell r="D564" t="str">
            <v>MA27LUBRI</v>
          </cell>
          <cell r="E564" t="str">
            <v>Lubricante</v>
          </cell>
          <cell r="F564" t="str">
            <v>lb</v>
          </cell>
          <cell r="G564">
            <v>0.02</v>
          </cell>
          <cell r="H564">
            <v>10890.543999999998</v>
          </cell>
          <cell r="I564">
            <v>218</v>
          </cell>
          <cell r="J564">
            <v>0</v>
          </cell>
          <cell r="K564">
            <v>0</v>
          </cell>
          <cell r="L564">
            <v>0</v>
          </cell>
          <cell r="Y564" t="e">
            <v>#N/A</v>
          </cell>
          <cell r="Z564" t="e">
            <v>#N/A</v>
          </cell>
        </row>
        <row r="565">
          <cell r="I565">
            <v>0</v>
          </cell>
          <cell r="J565">
            <v>0</v>
          </cell>
          <cell r="K565">
            <v>0</v>
          </cell>
          <cell r="L565">
            <v>0</v>
          </cell>
          <cell r="Y565">
            <v>0</v>
          </cell>
          <cell r="Z565">
            <v>0</v>
          </cell>
        </row>
        <row r="566">
          <cell r="I566">
            <v>0</v>
          </cell>
          <cell r="J566">
            <v>0</v>
          </cell>
          <cell r="K566">
            <v>0</v>
          </cell>
          <cell r="L566">
            <v>0</v>
          </cell>
          <cell r="Y566">
            <v>0</v>
          </cell>
          <cell r="Z566">
            <v>0</v>
          </cell>
        </row>
        <row r="568">
          <cell r="E568" t="str">
            <v>MANO DE OBRA</v>
          </cell>
          <cell r="I568">
            <v>5760</v>
          </cell>
          <cell r="L568">
            <v>0</v>
          </cell>
          <cell r="Z568" t="e">
            <v>#N/A</v>
          </cell>
        </row>
        <row r="569">
          <cell r="D569" t="str">
            <v>MOANITF24</v>
          </cell>
          <cell r="E569" t="str">
            <v>Inst. Tuberia Ø 20-24"</v>
          </cell>
          <cell r="F569" t="str">
            <v>ml</v>
          </cell>
          <cell r="G569">
            <v>1</v>
          </cell>
          <cell r="H569">
            <v>5760</v>
          </cell>
          <cell r="I569">
            <v>5760</v>
          </cell>
          <cell r="J569">
            <v>0</v>
          </cell>
          <cell r="K569">
            <v>0</v>
          </cell>
          <cell r="L569">
            <v>0</v>
          </cell>
          <cell r="Y569" t="e">
            <v>#N/A</v>
          </cell>
          <cell r="Z569" t="e">
            <v>#N/A</v>
          </cell>
        </row>
        <row r="571">
          <cell r="E571" t="str">
            <v>VARIOS</v>
          </cell>
          <cell r="I571">
            <v>450</v>
          </cell>
          <cell r="L571">
            <v>0</v>
          </cell>
          <cell r="Z571" t="e">
            <v>#N/A</v>
          </cell>
        </row>
        <row r="572">
          <cell r="D572" t="str">
            <v>TC07H400</v>
          </cell>
          <cell r="E572" t="str">
            <v>Herramienta y Varios</v>
          </cell>
          <cell r="F572" t="str">
            <v>Gb</v>
          </cell>
          <cell r="G572">
            <v>1</v>
          </cell>
          <cell r="H572">
            <v>450</v>
          </cell>
          <cell r="I572">
            <v>450</v>
          </cell>
          <cell r="J572">
            <v>0</v>
          </cell>
          <cell r="K572">
            <v>0</v>
          </cell>
          <cell r="L572">
            <v>0</v>
          </cell>
          <cell r="Y572" t="e">
            <v>#N/A</v>
          </cell>
          <cell r="Z572" t="e">
            <v>#N/A</v>
          </cell>
        </row>
        <row r="574">
          <cell r="E574" t="str">
            <v>SUBTOTAL</v>
          </cell>
          <cell r="I574">
            <v>6428</v>
          </cell>
          <cell r="L574">
            <v>0</v>
          </cell>
          <cell r="Z574" t="e">
            <v>#N/A</v>
          </cell>
        </row>
        <row r="575">
          <cell r="E575" t="str">
            <v>A.I.U</v>
          </cell>
          <cell r="I575">
            <v>0</v>
          </cell>
          <cell r="L575">
            <v>0</v>
          </cell>
          <cell r="Z575">
            <v>0</v>
          </cell>
        </row>
        <row r="576">
          <cell r="D576" t="str">
            <v>AIUAADMON</v>
          </cell>
          <cell r="E576" t="str">
            <v>Admon</v>
          </cell>
          <cell r="F576">
            <v>0</v>
          </cell>
          <cell r="I576">
            <v>0</v>
          </cell>
          <cell r="J576">
            <v>0</v>
          </cell>
          <cell r="L576">
            <v>0</v>
          </cell>
          <cell r="Z576">
            <v>0</v>
          </cell>
        </row>
        <row r="577">
          <cell r="D577" t="str">
            <v>AIUAIMPRE</v>
          </cell>
          <cell r="E577" t="str">
            <v>Imprevistos</v>
          </cell>
          <cell r="F577">
            <v>0</v>
          </cell>
          <cell r="I577">
            <v>0</v>
          </cell>
          <cell r="J577">
            <v>0</v>
          </cell>
          <cell r="L577">
            <v>0</v>
          </cell>
          <cell r="Z577">
            <v>0</v>
          </cell>
        </row>
        <row r="578">
          <cell r="D578" t="str">
            <v>AIUAUTILI</v>
          </cell>
          <cell r="E578" t="str">
            <v>Utilidad</v>
          </cell>
          <cell r="F578">
            <v>0</v>
          </cell>
          <cell r="I578">
            <v>0</v>
          </cell>
          <cell r="J578">
            <v>0</v>
          </cell>
          <cell r="L578">
            <v>0</v>
          </cell>
          <cell r="Z578">
            <v>0</v>
          </cell>
        </row>
        <row r="579">
          <cell r="D579" t="str">
            <v>AIUAIVAUTI</v>
          </cell>
          <cell r="E579" t="str">
            <v>IVA utilidad</v>
          </cell>
          <cell r="F579">
            <v>0</v>
          </cell>
          <cell r="I579">
            <v>0</v>
          </cell>
          <cell r="J579">
            <v>0</v>
          </cell>
          <cell r="L579">
            <v>0</v>
          </cell>
          <cell r="Z579">
            <v>0</v>
          </cell>
        </row>
        <row r="581">
          <cell r="E581" t="str">
            <v>ITEM</v>
          </cell>
        </row>
        <row r="582">
          <cell r="D582" t="str">
            <v>ANSCRC130</v>
          </cell>
          <cell r="E582" t="str">
            <v>Suministro Tuberia Concreto TCR CL-1 30"</v>
          </cell>
          <cell r="G582" t="str">
            <v>UN.</v>
          </cell>
          <cell r="H582" t="str">
            <v>Ml</v>
          </cell>
          <cell r="I582">
            <v>168472</v>
          </cell>
          <cell r="K582">
            <v>105.3</v>
          </cell>
          <cell r="L582">
            <v>17740101.599999998</v>
          </cell>
          <cell r="N582">
            <v>160520</v>
          </cell>
          <cell r="O582">
            <v>0</v>
          </cell>
          <cell r="P582">
            <v>7952</v>
          </cell>
          <cell r="Q582">
            <v>0</v>
          </cell>
          <cell r="X582">
            <v>17740101.599999998</v>
          </cell>
          <cell r="Y582" t="str">
            <v>Ml</v>
          </cell>
          <cell r="Z582" t="e">
            <v>#N/A</v>
          </cell>
          <cell r="AA582" t="e">
            <v>#N/A</v>
          </cell>
          <cell r="AB582">
            <v>0</v>
          </cell>
          <cell r="AC582" t="e">
            <v>#N/A</v>
          </cell>
        </row>
        <row r="584">
          <cell r="D584" t="str">
            <v>CODIGO</v>
          </cell>
          <cell r="E584" t="str">
            <v>DESCRIPCION</v>
          </cell>
          <cell r="F584" t="str">
            <v>UN</v>
          </cell>
          <cell r="G584" t="str">
            <v>CANT</v>
          </cell>
          <cell r="H584" t="str">
            <v>V/UNIT.</v>
          </cell>
          <cell r="I584" t="str">
            <v>V/TOTAL</v>
          </cell>
          <cell r="K584" t="str">
            <v>CANT TOTAL</v>
          </cell>
          <cell r="L584" t="str">
            <v>Vr TOTAL</v>
          </cell>
          <cell r="Y584" t="str">
            <v>CANT.</v>
          </cell>
          <cell r="Z584" t="str">
            <v>V/TOTAL</v>
          </cell>
        </row>
        <row r="585">
          <cell r="E585" t="str">
            <v>MATERIALES</v>
          </cell>
          <cell r="I585">
            <v>160520</v>
          </cell>
          <cell r="L585">
            <v>16902756</v>
          </cell>
          <cell r="Z585" t="e">
            <v>#N/A</v>
          </cell>
        </row>
        <row r="586">
          <cell r="D586" t="str">
            <v>MA46TCRC130</v>
          </cell>
          <cell r="E586" t="str">
            <v>Tuberia concreto TCR CL-I 30"</v>
          </cell>
          <cell r="F586" t="str">
            <v>ml</v>
          </cell>
          <cell r="G586">
            <v>1</v>
          </cell>
          <cell r="H586">
            <v>160520</v>
          </cell>
          <cell r="I586">
            <v>160520</v>
          </cell>
          <cell r="J586">
            <v>0</v>
          </cell>
          <cell r="K586">
            <v>105.3</v>
          </cell>
          <cell r="L586">
            <v>16902756</v>
          </cell>
          <cell r="Y586" t="e">
            <v>#N/A</v>
          </cell>
          <cell r="Z586" t="e">
            <v>#N/A</v>
          </cell>
        </row>
        <row r="589">
          <cell r="E589" t="str">
            <v>MANO DE OBRA</v>
          </cell>
          <cell r="I589">
            <v>0</v>
          </cell>
          <cell r="L589">
            <v>0</v>
          </cell>
          <cell r="Z589">
            <v>0</v>
          </cell>
        </row>
        <row r="592">
          <cell r="E592" t="str">
            <v>VARIOS</v>
          </cell>
          <cell r="I592">
            <v>7952</v>
          </cell>
          <cell r="L592">
            <v>837345.6</v>
          </cell>
          <cell r="Z592" t="e">
            <v>#N/A</v>
          </cell>
        </row>
        <row r="593">
          <cell r="D593" t="str">
            <v>TC60TT</v>
          </cell>
          <cell r="E593" t="str">
            <v>Transporte Tuberia</v>
          </cell>
          <cell r="F593" t="str">
            <v>Kg</v>
          </cell>
          <cell r="G593">
            <v>568</v>
          </cell>
          <cell r="H593">
            <v>14</v>
          </cell>
          <cell r="I593">
            <v>7952</v>
          </cell>
          <cell r="J593">
            <v>0</v>
          </cell>
          <cell r="K593">
            <v>59810.400000000001</v>
          </cell>
          <cell r="L593">
            <v>837345.6</v>
          </cell>
          <cell r="Y593" t="e">
            <v>#N/A</v>
          </cell>
          <cell r="Z593" t="e">
            <v>#N/A</v>
          </cell>
        </row>
        <row r="594">
          <cell r="E594" t="str">
            <v>SUBTOTAL</v>
          </cell>
          <cell r="I594">
            <v>168472</v>
          </cell>
          <cell r="L594">
            <v>17740101.599999998</v>
          </cell>
          <cell r="Z594" t="e">
            <v>#N/A</v>
          </cell>
        </row>
        <row r="595">
          <cell r="E595" t="str">
            <v>A.I.U</v>
          </cell>
          <cell r="I595">
            <v>0</v>
          </cell>
          <cell r="L595">
            <v>0</v>
          </cell>
          <cell r="Z595">
            <v>0</v>
          </cell>
        </row>
        <row r="596">
          <cell r="D596" t="str">
            <v>AIUAADMON</v>
          </cell>
          <cell r="E596" t="str">
            <v>Admon</v>
          </cell>
          <cell r="F596">
            <v>0</v>
          </cell>
          <cell r="I596">
            <v>0</v>
          </cell>
          <cell r="J596">
            <v>0</v>
          </cell>
          <cell r="L596">
            <v>0</v>
          </cell>
          <cell r="Z596">
            <v>0</v>
          </cell>
        </row>
        <row r="597">
          <cell r="D597" t="str">
            <v>AIUAIMPRE</v>
          </cell>
          <cell r="E597" t="str">
            <v>Imprevistos</v>
          </cell>
          <cell r="F597">
            <v>0</v>
          </cell>
          <cell r="I597">
            <v>0</v>
          </cell>
          <cell r="J597">
            <v>0</v>
          </cell>
          <cell r="L597">
            <v>0</v>
          </cell>
          <cell r="Z597">
            <v>0</v>
          </cell>
        </row>
        <row r="598">
          <cell r="D598" t="str">
            <v>AIUAUTILI</v>
          </cell>
          <cell r="E598" t="str">
            <v>Utilidad</v>
          </cell>
          <cell r="F598">
            <v>0</v>
          </cell>
          <cell r="I598">
            <v>0</v>
          </cell>
          <cell r="J598">
            <v>0</v>
          </cell>
          <cell r="L598">
            <v>0</v>
          </cell>
          <cell r="Z598">
            <v>0</v>
          </cell>
        </row>
        <row r="599">
          <cell r="D599" t="str">
            <v>AIUAIVAUTI</v>
          </cell>
          <cell r="E599" t="str">
            <v>IVA utilidad</v>
          </cell>
          <cell r="F599">
            <v>0</v>
          </cell>
          <cell r="I599">
            <v>0</v>
          </cell>
          <cell r="J599">
            <v>0</v>
          </cell>
          <cell r="L599">
            <v>0</v>
          </cell>
          <cell r="Z599">
            <v>0</v>
          </cell>
        </row>
        <row r="601">
          <cell r="E601" t="str">
            <v>ITEM</v>
          </cell>
        </row>
        <row r="602">
          <cell r="D602" t="str">
            <v>ANSCRC136</v>
          </cell>
          <cell r="E602" t="str">
            <v>Suministro Tuberia Concreto TCR CL-1 36"</v>
          </cell>
          <cell r="G602" t="str">
            <v>UN.</v>
          </cell>
          <cell r="H602" t="str">
            <v>Ml</v>
          </cell>
          <cell r="I602">
            <v>218113</v>
          </cell>
          <cell r="K602">
            <v>0</v>
          </cell>
          <cell r="L602">
            <v>0</v>
          </cell>
          <cell r="N602">
            <v>205905</v>
          </cell>
          <cell r="O602">
            <v>0</v>
          </cell>
          <cell r="P602">
            <v>12208</v>
          </cell>
          <cell r="Q602">
            <v>0</v>
          </cell>
          <cell r="X602">
            <v>0</v>
          </cell>
          <cell r="Y602" t="str">
            <v>Ml</v>
          </cell>
          <cell r="Z602" t="e">
            <v>#N/A</v>
          </cell>
          <cell r="AA602" t="e">
            <v>#N/A</v>
          </cell>
          <cell r="AB602">
            <v>0</v>
          </cell>
          <cell r="AC602" t="e">
            <v>#N/A</v>
          </cell>
        </row>
        <row r="604">
          <cell r="D604" t="str">
            <v>CODIGO</v>
          </cell>
          <cell r="E604" t="str">
            <v>DESCRIPCION</v>
          </cell>
          <cell r="F604" t="str">
            <v>UN</v>
          </cell>
          <cell r="G604" t="str">
            <v>CANT</v>
          </cell>
          <cell r="H604" t="str">
            <v>V/UNIT.</v>
          </cell>
          <cell r="I604" t="str">
            <v>V/TOTAL</v>
          </cell>
          <cell r="K604" t="str">
            <v>CANT TOTAL</v>
          </cell>
          <cell r="L604" t="str">
            <v>Vr TOTAL</v>
          </cell>
          <cell r="Y604" t="str">
            <v>CANT.</v>
          </cell>
          <cell r="Z604" t="str">
            <v>V/TOTAL</v>
          </cell>
        </row>
        <row r="605">
          <cell r="E605" t="str">
            <v>MATERIALES</v>
          </cell>
          <cell r="I605">
            <v>205905</v>
          </cell>
          <cell r="L605">
            <v>0</v>
          </cell>
          <cell r="Z605" t="e">
            <v>#N/A</v>
          </cell>
        </row>
        <row r="606">
          <cell r="D606" t="str">
            <v>MA46TCRC136</v>
          </cell>
          <cell r="E606" t="str">
            <v>Tuberia concreto TCR CL-I 36"</v>
          </cell>
          <cell r="F606" t="str">
            <v>ml</v>
          </cell>
          <cell r="G606">
            <v>1</v>
          </cell>
          <cell r="H606">
            <v>205904.64000000001</v>
          </cell>
          <cell r="I606">
            <v>205905</v>
          </cell>
          <cell r="J606">
            <v>0</v>
          </cell>
          <cell r="K606">
            <v>0</v>
          </cell>
          <cell r="L606">
            <v>0</v>
          </cell>
          <cell r="Y606" t="e">
            <v>#N/A</v>
          </cell>
          <cell r="Z606" t="e">
            <v>#N/A</v>
          </cell>
        </row>
        <row r="609">
          <cell r="E609" t="str">
            <v>MANO DE OBRA</v>
          </cell>
          <cell r="I609">
            <v>0</v>
          </cell>
          <cell r="L609">
            <v>0</v>
          </cell>
          <cell r="Z609">
            <v>0</v>
          </cell>
        </row>
        <row r="612">
          <cell r="E612" t="str">
            <v>VARIOS</v>
          </cell>
          <cell r="I612">
            <v>12208</v>
          </cell>
          <cell r="L612">
            <v>0</v>
          </cell>
          <cell r="Z612" t="e">
            <v>#N/A</v>
          </cell>
        </row>
        <row r="613">
          <cell r="D613" t="str">
            <v>TC60TT</v>
          </cell>
          <cell r="E613" t="str">
            <v>Transporte Tuberia</v>
          </cell>
          <cell r="F613" t="str">
            <v>Kg</v>
          </cell>
          <cell r="G613">
            <v>872</v>
          </cell>
          <cell r="H613">
            <v>14</v>
          </cell>
          <cell r="I613">
            <v>12208</v>
          </cell>
          <cell r="J613">
            <v>0</v>
          </cell>
          <cell r="K613">
            <v>0</v>
          </cell>
          <cell r="L613">
            <v>0</v>
          </cell>
          <cell r="Y613" t="e">
            <v>#N/A</v>
          </cell>
          <cell r="Z613" t="e">
            <v>#N/A</v>
          </cell>
        </row>
        <row r="614">
          <cell r="E614" t="str">
            <v>SUBTOTAL</v>
          </cell>
          <cell r="I614">
            <v>218113</v>
          </cell>
          <cell r="L614">
            <v>0</v>
          </cell>
          <cell r="Z614" t="e">
            <v>#N/A</v>
          </cell>
        </row>
        <row r="615">
          <cell r="E615" t="str">
            <v>A.I.U</v>
          </cell>
          <cell r="I615">
            <v>0</v>
          </cell>
          <cell r="L615">
            <v>0</v>
          </cell>
          <cell r="Z615">
            <v>0</v>
          </cell>
        </row>
        <row r="616">
          <cell r="D616" t="str">
            <v>AIUAADMON</v>
          </cell>
          <cell r="E616" t="str">
            <v>Admon</v>
          </cell>
          <cell r="F616">
            <v>0</v>
          </cell>
          <cell r="I616">
            <v>0</v>
          </cell>
          <cell r="J616">
            <v>0</v>
          </cell>
          <cell r="L616">
            <v>0</v>
          </cell>
          <cell r="Z616">
            <v>0</v>
          </cell>
        </row>
        <row r="617">
          <cell r="D617" t="str">
            <v>AIUAIMPRE</v>
          </cell>
          <cell r="E617" t="str">
            <v>Imprevistos</v>
          </cell>
          <cell r="F617">
            <v>0</v>
          </cell>
          <cell r="I617">
            <v>0</v>
          </cell>
          <cell r="J617">
            <v>0</v>
          </cell>
          <cell r="L617">
            <v>0</v>
          </cell>
          <cell r="Z617">
            <v>0</v>
          </cell>
        </row>
        <row r="618">
          <cell r="D618" t="str">
            <v>AIUAUTILI</v>
          </cell>
          <cell r="E618" t="str">
            <v>Utilidad</v>
          </cell>
          <cell r="F618">
            <v>0</v>
          </cell>
          <cell r="I618">
            <v>0</v>
          </cell>
          <cell r="J618">
            <v>0</v>
          </cell>
          <cell r="L618">
            <v>0</v>
          </cell>
          <cell r="Z618">
            <v>0</v>
          </cell>
        </row>
        <row r="619">
          <cell r="D619" t="str">
            <v>AIUAIVAUTI</v>
          </cell>
          <cell r="E619" t="str">
            <v>IVA utilidad</v>
          </cell>
          <cell r="F619">
            <v>0</v>
          </cell>
          <cell r="I619">
            <v>0</v>
          </cell>
          <cell r="J619">
            <v>0</v>
          </cell>
          <cell r="L619">
            <v>0</v>
          </cell>
          <cell r="Z619">
            <v>0</v>
          </cell>
        </row>
        <row r="621">
          <cell r="E621" t="str">
            <v>ITEM</v>
          </cell>
        </row>
        <row r="622">
          <cell r="D622" t="str">
            <v>ANSCRC156</v>
          </cell>
          <cell r="E622" t="str">
            <v>Suministro Tuberia Concreto TCR CL-1 Ø 1,40 m</v>
          </cell>
          <cell r="G622" t="str">
            <v>UN.</v>
          </cell>
          <cell r="H622" t="str">
            <v>Ml</v>
          </cell>
          <cell r="I622">
            <v>444059</v>
          </cell>
          <cell r="K622">
            <v>6</v>
          </cell>
          <cell r="L622">
            <v>2664354</v>
          </cell>
          <cell r="N622">
            <v>420987</v>
          </cell>
          <cell r="O622">
            <v>0</v>
          </cell>
          <cell r="P622">
            <v>23072</v>
          </cell>
          <cell r="Q622">
            <v>0</v>
          </cell>
          <cell r="X622">
            <v>2664354</v>
          </cell>
          <cell r="Y622" t="str">
            <v>Ml</v>
          </cell>
          <cell r="Z622" t="e">
            <v>#N/A</v>
          </cell>
          <cell r="AA622" t="e">
            <v>#N/A</v>
          </cell>
          <cell r="AB622">
            <v>0</v>
          </cell>
          <cell r="AC622" t="e">
            <v>#N/A</v>
          </cell>
        </row>
        <row r="624">
          <cell r="D624" t="str">
            <v>CODIGO</v>
          </cell>
          <cell r="E624" t="str">
            <v>DESCRIPCION</v>
          </cell>
          <cell r="F624" t="str">
            <v>UN</v>
          </cell>
          <cell r="G624" t="str">
            <v>CANT</v>
          </cell>
          <cell r="H624" t="str">
            <v>V/UNIT.</v>
          </cell>
          <cell r="I624" t="str">
            <v>V/TOTAL</v>
          </cell>
          <cell r="K624" t="str">
            <v>CANT TOTAL</v>
          </cell>
          <cell r="L624" t="str">
            <v>Vr TOTAL</v>
          </cell>
          <cell r="Y624" t="str">
            <v>CANT.</v>
          </cell>
          <cell r="Z624" t="str">
            <v>V/TOTAL</v>
          </cell>
        </row>
        <row r="625">
          <cell r="E625" t="str">
            <v>MATERIALES</v>
          </cell>
          <cell r="I625">
            <v>420987</v>
          </cell>
          <cell r="L625">
            <v>2525922</v>
          </cell>
          <cell r="Z625" t="e">
            <v>#N/A</v>
          </cell>
        </row>
        <row r="626">
          <cell r="D626" t="str">
            <v>MA46TCRC156</v>
          </cell>
          <cell r="E626" t="str">
            <v>Tuberia concreto TCR CL-I 1,40 m</v>
          </cell>
          <cell r="F626" t="str">
            <v>ml</v>
          </cell>
          <cell r="G626">
            <v>1</v>
          </cell>
          <cell r="H626">
            <v>420987.2</v>
          </cell>
          <cell r="I626">
            <v>420987</v>
          </cell>
          <cell r="J626">
            <v>0</v>
          </cell>
          <cell r="K626">
            <v>6</v>
          </cell>
          <cell r="L626">
            <v>2525923.2000000002</v>
          </cell>
          <cell r="Y626" t="e">
            <v>#N/A</v>
          </cell>
          <cell r="Z626" t="e">
            <v>#N/A</v>
          </cell>
        </row>
        <row r="629">
          <cell r="E629" t="str">
            <v>MANO DE OBRA</v>
          </cell>
          <cell r="I629">
            <v>0</v>
          </cell>
          <cell r="L629">
            <v>0</v>
          </cell>
          <cell r="Z629">
            <v>0</v>
          </cell>
        </row>
        <row r="632">
          <cell r="E632" t="str">
            <v>VARIOS</v>
          </cell>
          <cell r="I632">
            <v>23072</v>
          </cell>
          <cell r="L632">
            <v>138432</v>
          </cell>
          <cell r="Z632" t="e">
            <v>#N/A</v>
          </cell>
        </row>
        <row r="633">
          <cell r="D633" t="str">
            <v>TC60TT</v>
          </cell>
          <cell r="E633" t="str">
            <v>Transporte Tuberia</v>
          </cell>
          <cell r="F633" t="str">
            <v>Kg</v>
          </cell>
          <cell r="G633">
            <v>1648</v>
          </cell>
          <cell r="H633">
            <v>14</v>
          </cell>
          <cell r="I633">
            <v>23072</v>
          </cell>
          <cell r="J633">
            <v>0</v>
          </cell>
          <cell r="K633">
            <v>9888</v>
          </cell>
          <cell r="L633">
            <v>138432</v>
          </cell>
          <cell r="Y633" t="e">
            <v>#N/A</v>
          </cell>
          <cell r="Z633" t="e">
            <v>#N/A</v>
          </cell>
        </row>
        <row r="634">
          <cell r="E634" t="str">
            <v>SUBTOTAL</v>
          </cell>
          <cell r="I634">
            <v>444059</v>
          </cell>
          <cell r="L634">
            <v>2664354</v>
          </cell>
          <cell r="Z634" t="e">
            <v>#N/A</v>
          </cell>
        </row>
        <row r="635">
          <cell r="E635" t="str">
            <v>A.I.U</v>
          </cell>
          <cell r="I635">
            <v>0</v>
          </cell>
          <cell r="L635">
            <v>0</v>
          </cell>
          <cell r="Z635">
            <v>0</v>
          </cell>
        </row>
        <row r="636">
          <cell r="D636" t="str">
            <v>AIUAADMON</v>
          </cell>
          <cell r="E636" t="str">
            <v>Admon</v>
          </cell>
          <cell r="F636">
            <v>0</v>
          </cell>
          <cell r="I636">
            <v>0</v>
          </cell>
          <cell r="J636">
            <v>0</v>
          </cell>
          <cell r="L636">
            <v>0</v>
          </cell>
          <cell r="Z636">
            <v>0</v>
          </cell>
        </row>
        <row r="637">
          <cell r="D637" t="str">
            <v>AIUAIMPRE</v>
          </cell>
          <cell r="E637" t="str">
            <v>Imprevistos</v>
          </cell>
          <cell r="F637">
            <v>0</v>
          </cell>
          <cell r="I637">
            <v>0</v>
          </cell>
          <cell r="J637">
            <v>0</v>
          </cell>
          <cell r="L637">
            <v>0</v>
          </cell>
          <cell r="Z637">
            <v>0</v>
          </cell>
        </row>
        <row r="638">
          <cell r="D638" t="str">
            <v>AIUAUTILI</v>
          </cell>
          <cell r="E638" t="str">
            <v>Utilidad</v>
          </cell>
          <cell r="F638">
            <v>0</v>
          </cell>
          <cell r="I638">
            <v>0</v>
          </cell>
          <cell r="J638">
            <v>0</v>
          </cell>
          <cell r="L638">
            <v>0</v>
          </cell>
          <cell r="Z638">
            <v>0</v>
          </cell>
        </row>
        <row r="639">
          <cell r="D639" t="str">
            <v>AIUAIVAUTI</v>
          </cell>
          <cell r="E639" t="str">
            <v>IVA utilidad</v>
          </cell>
          <cell r="F639">
            <v>0</v>
          </cell>
          <cell r="I639">
            <v>0</v>
          </cell>
          <cell r="J639">
            <v>0</v>
          </cell>
          <cell r="L639">
            <v>0</v>
          </cell>
          <cell r="Z639">
            <v>0</v>
          </cell>
        </row>
        <row r="641">
          <cell r="E641" t="str">
            <v>ITEM</v>
          </cell>
        </row>
        <row r="642">
          <cell r="D642" t="str">
            <v>ANSCRC180</v>
          </cell>
          <cell r="E642" t="str">
            <v>Suministro Tuberia Concreto TCR CL-1  Ø 2,00 m</v>
          </cell>
          <cell r="G642" t="str">
            <v>UN.</v>
          </cell>
          <cell r="H642" t="str">
            <v>Ml</v>
          </cell>
          <cell r="I642">
            <v>844768</v>
          </cell>
          <cell r="K642">
            <v>59</v>
          </cell>
          <cell r="L642">
            <v>49841312</v>
          </cell>
          <cell r="N642">
            <v>844768</v>
          </cell>
          <cell r="O642">
            <v>0</v>
          </cell>
          <cell r="P642">
            <v>0</v>
          </cell>
          <cell r="Q642">
            <v>0</v>
          </cell>
          <cell r="X642">
            <v>49841312</v>
          </cell>
          <cell r="Y642" t="str">
            <v>Ml</v>
          </cell>
          <cell r="Z642" t="e">
            <v>#N/A</v>
          </cell>
          <cell r="AA642" t="e">
            <v>#N/A</v>
          </cell>
          <cell r="AB642">
            <v>0</v>
          </cell>
          <cell r="AC642">
            <v>0</v>
          </cell>
        </row>
        <row r="644">
          <cell r="D644" t="str">
            <v>CODIGO</v>
          </cell>
          <cell r="E644" t="str">
            <v>DESCRIPCION</v>
          </cell>
          <cell r="F644" t="str">
            <v>UN</v>
          </cell>
          <cell r="G644" t="str">
            <v>CANT</v>
          </cell>
          <cell r="H644" t="str">
            <v>V/UNIT.</v>
          </cell>
          <cell r="I644" t="str">
            <v>V/TOTAL</v>
          </cell>
          <cell r="K644" t="str">
            <v>CANT TOTAL</v>
          </cell>
          <cell r="L644" t="str">
            <v>Vr TOTAL</v>
          </cell>
          <cell r="Y644" t="str">
            <v>CANT.</v>
          </cell>
          <cell r="Z644" t="str">
            <v>V/TOTAL</v>
          </cell>
        </row>
        <row r="645">
          <cell r="E645" t="str">
            <v>MATERIALES</v>
          </cell>
          <cell r="I645">
            <v>844768</v>
          </cell>
          <cell r="L645">
            <v>49841312</v>
          </cell>
          <cell r="Z645" t="e">
            <v>#N/A</v>
          </cell>
        </row>
        <row r="646">
          <cell r="D646" t="str">
            <v>MA46TCRC180</v>
          </cell>
          <cell r="E646" t="str">
            <v>Tuberia concreto TCR CL-I 2,00 m</v>
          </cell>
          <cell r="F646" t="str">
            <v>ml</v>
          </cell>
          <cell r="G646">
            <v>1</v>
          </cell>
          <cell r="H646">
            <v>844767.68</v>
          </cell>
          <cell r="I646">
            <v>844768</v>
          </cell>
          <cell r="J646">
            <v>0</v>
          </cell>
          <cell r="K646">
            <v>59</v>
          </cell>
          <cell r="L646">
            <v>49841293.120000005</v>
          </cell>
          <cell r="Y646" t="e">
            <v>#N/A</v>
          </cell>
          <cell r="Z646" t="e">
            <v>#N/A</v>
          </cell>
        </row>
        <row r="649">
          <cell r="E649" t="str">
            <v>MANO DE OBRA</v>
          </cell>
          <cell r="I649">
            <v>0</v>
          </cell>
          <cell r="L649">
            <v>0</v>
          </cell>
          <cell r="Z649">
            <v>0</v>
          </cell>
        </row>
        <row r="652">
          <cell r="E652" t="str">
            <v>VARIOS</v>
          </cell>
          <cell r="I652">
            <v>0</v>
          </cell>
          <cell r="L652">
            <v>0</v>
          </cell>
          <cell r="Z652">
            <v>0</v>
          </cell>
        </row>
        <row r="654">
          <cell r="E654" t="str">
            <v>SUBTOTAL</v>
          </cell>
          <cell r="I654">
            <v>844768</v>
          </cell>
          <cell r="L654">
            <v>49841312</v>
          </cell>
          <cell r="Z654" t="e">
            <v>#N/A</v>
          </cell>
        </row>
        <row r="655">
          <cell r="E655" t="str">
            <v>A.I.U</v>
          </cell>
          <cell r="I655">
            <v>0</v>
          </cell>
          <cell r="L655">
            <v>0</v>
          </cell>
          <cell r="Z655">
            <v>0</v>
          </cell>
        </row>
        <row r="656">
          <cell r="D656" t="str">
            <v>AIUAADMON</v>
          </cell>
          <cell r="E656" t="str">
            <v>Admon</v>
          </cell>
          <cell r="F656">
            <v>0</v>
          </cell>
          <cell r="I656">
            <v>0</v>
          </cell>
          <cell r="J656">
            <v>0</v>
          </cell>
          <cell r="L656">
            <v>0</v>
          </cell>
          <cell r="Z656">
            <v>0</v>
          </cell>
        </row>
        <row r="657">
          <cell r="D657" t="str">
            <v>AIUAIMPRE</v>
          </cell>
          <cell r="E657" t="str">
            <v>Imprevistos</v>
          </cell>
          <cell r="F657">
            <v>0</v>
          </cell>
          <cell r="I657">
            <v>0</v>
          </cell>
          <cell r="J657">
            <v>0</v>
          </cell>
          <cell r="L657">
            <v>0</v>
          </cell>
          <cell r="Z657">
            <v>0</v>
          </cell>
        </row>
        <row r="658">
          <cell r="D658" t="str">
            <v>AIUAUTILI</v>
          </cell>
          <cell r="E658" t="str">
            <v>Utilidad</v>
          </cell>
          <cell r="F658">
            <v>0</v>
          </cell>
          <cell r="I658">
            <v>0</v>
          </cell>
          <cell r="J658">
            <v>0</v>
          </cell>
          <cell r="L658">
            <v>0</v>
          </cell>
          <cell r="Z658">
            <v>0</v>
          </cell>
        </row>
        <row r="659">
          <cell r="D659" t="str">
            <v>AIUAIVAUTI</v>
          </cell>
          <cell r="E659" t="str">
            <v>IVA utilidad</v>
          </cell>
          <cell r="F659">
            <v>0</v>
          </cell>
          <cell r="I659">
            <v>0</v>
          </cell>
          <cell r="J659">
            <v>0</v>
          </cell>
          <cell r="L659">
            <v>0</v>
          </cell>
          <cell r="Z659">
            <v>0</v>
          </cell>
        </row>
        <row r="661">
          <cell r="D661" t="str">
            <v>ANSCRC236</v>
          </cell>
          <cell r="E661" t="str">
            <v>Suministro Tuberia Concreto TCR CL-2  Ø 36"</v>
          </cell>
          <cell r="G661" t="str">
            <v>UN.</v>
          </cell>
          <cell r="H661" t="str">
            <v>Ml</v>
          </cell>
          <cell r="I661">
            <v>209557</v>
          </cell>
          <cell r="K661">
            <v>136.53</v>
          </cell>
          <cell r="L661">
            <v>28610817.210000001</v>
          </cell>
          <cell r="N661">
            <v>209557</v>
          </cell>
          <cell r="O661">
            <v>0</v>
          </cell>
          <cell r="P661">
            <v>0</v>
          </cell>
          <cell r="Q661">
            <v>0</v>
          </cell>
          <cell r="X661">
            <v>28610817.210000001</v>
          </cell>
          <cell r="Y661" t="str">
            <v>Ml</v>
          </cell>
          <cell r="Z661" t="e">
            <v>#N/A</v>
          </cell>
          <cell r="AA661" t="e">
            <v>#N/A</v>
          </cell>
          <cell r="AB661">
            <v>0</v>
          </cell>
          <cell r="AC661">
            <v>0</v>
          </cell>
        </row>
        <row r="663">
          <cell r="D663" t="str">
            <v>CODIGO</v>
          </cell>
          <cell r="E663" t="str">
            <v>DESCRIPCION</v>
          </cell>
          <cell r="F663" t="str">
            <v>UN</v>
          </cell>
          <cell r="G663" t="str">
            <v>CANT</v>
          </cell>
          <cell r="H663" t="str">
            <v>V/UNIT.</v>
          </cell>
          <cell r="I663" t="str">
            <v>V/TOTAL</v>
          </cell>
          <cell r="K663" t="str">
            <v>CANT TOTAL</v>
          </cell>
          <cell r="L663" t="str">
            <v>Vr TOTAL</v>
          </cell>
          <cell r="Y663" t="str">
            <v>CANT.</v>
          </cell>
          <cell r="Z663" t="str">
            <v>V/TOTAL</v>
          </cell>
        </row>
        <row r="664">
          <cell r="E664" t="str">
            <v>MATERIALES</v>
          </cell>
          <cell r="I664">
            <v>209557</v>
          </cell>
          <cell r="L664">
            <v>28610817.210000001</v>
          </cell>
          <cell r="Z664" t="e">
            <v>#N/A</v>
          </cell>
        </row>
        <row r="665">
          <cell r="D665" t="str">
            <v>MA46TCRC236</v>
          </cell>
          <cell r="E665" t="str">
            <v>Tuberia concreto TCR CL-I 36"</v>
          </cell>
          <cell r="F665" t="str">
            <v>ml</v>
          </cell>
          <cell r="G665">
            <v>1</v>
          </cell>
          <cell r="H665">
            <v>209557.25</v>
          </cell>
          <cell r="I665">
            <v>209557</v>
          </cell>
          <cell r="J665">
            <v>0</v>
          </cell>
          <cell r="K665">
            <v>136.53</v>
          </cell>
          <cell r="L665">
            <v>28610851.342500001</v>
          </cell>
          <cell r="Y665" t="e">
            <v>#N/A</v>
          </cell>
          <cell r="Z665" t="e">
            <v>#N/A</v>
          </cell>
        </row>
        <row r="668">
          <cell r="E668" t="str">
            <v>MANO DE OBRA</v>
          </cell>
          <cell r="I668">
            <v>0</v>
          </cell>
          <cell r="L668">
            <v>0</v>
          </cell>
          <cell r="Z668">
            <v>0</v>
          </cell>
        </row>
        <row r="671">
          <cell r="E671" t="str">
            <v>VARIOS</v>
          </cell>
          <cell r="I671">
            <v>0</v>
          </cell>
          <cell r="L671">
            <v>0</v>
          </cell>
          <cell r="Z671">
            <v>0</v>
          </cell>
        </row>
        <row r="673">
          <cell r="E673" t="str">
            <v>SUBTOTAL</v>
          </cell>
          <cell r="I673">
            <v>209557</v>
          </cell>
          <cell r="L673">
            <v>28610817.210000001</v>
          </cell>
          <cell r="Z673" t="e">
            <v>#N/A</v>
          </cell>
        </row>
        <row r="674">
          <cell r="E674" t="str">
            <v>A.I.U</v>
          </cell>
          <cell r="I674">
            <v>0</v>
          </cell>
          <cell r="L674">
            <v>0</v>
          </cell>
          <cell r="Z674">
            <v>0</v>
          </cell>
        </row>
        <row r="675">
          <cell r="D675" t="str">
            <v>AIUAADMON</v>
          </cell>
          <cell r="E675" t="str">
            <v>Admon</v>
          </cell>
          <cell r="F675">
            <v>0</v>
          </cell>
          <cell r="I675">
            <v>0</v>
          </cell>
          <cell r="J675">
            <v>0</v>
          </cell>
          <cell r="L675">
            <v>0</v>
          </cell>
          <cell r="Z675">
            <v>0</v>
          </cell>
        </row>
        <row r="676">
          <cell r="D676" t="str">
            <v>AIUAIMPRE</v>
          </cell>
          <cell r="E676" t="str">
            <v>Imprevistos</v>
          </cell>
          <cell r="F676">
            <v>0</v>
          </cell>
          <cell r="I676">
            <v>0</v>
          </cell>
          <cell r="J676">
            <v>0</v>
          </cell>
          <cell r="L676">
            <v>0</v>
          </cell>
          <cell r="Z676">
            <v>0</v>
          </cell>
        </row>
        <row r="677">
          <cell r="D677" t="str">
            <v>AIUAUTILI</v>
          </cell>
          <cell r="E677" t="str">
            <v>Utilidad</v>
          </cell>
          <cell r="F677">
            <v>0</v>
          </cell>
          <cell r="I677">
            <v>0</v>
          </cell>
          <cell r="J677">
            <v>0</v>
          </cell>
          <cell r="L677">
            <v>0</v>
          </cell>
          <cell r="Z677">
            <v>0</v>
          </cell>
        </row>
        <row r="678">
          <cell r="D678" t="str">
            <v>AIUAIVAUTI</v>
          </cell>
          <cell r="E678" t="str">
            <v>IVA utilidad</v>
          </cell>
          <cell r="F678">
            <v>0</v>
          </cell>
          <cell r="I678">
            <v>0</v>
          </cell>
          <cell r="J678">
            <v>0</v>
          </cell>
          <cell r="L678">
            <v>0</v>
          </cell>
          <cell r="Z678">
            <v>0</v>
          </cell>
        </row>
        <row r="680">
          <cell r="D680" t="str">
            <v>ANSCRC256</v>
          </cell>
          <cell r="E680" t="str">
            <v>Suministro Tuberia Concreto TCR CL-2  Ø 1,40 m</v>
          </cell>
          <cell r="G680" t="str">
            <v>UN.</v>
          </cell>
          <cell r="H680" t="str">
            <v>Ml</v>
          </cell>
          <cell r="I680">
            <v>427372</v>
          </cell>
          <cell r="K680">
            <v>114</v>
          </cell>
          <cell r="L680">
            <v>48720408</v>
          </cell>
          <cell r="N680">
            <v>427372</v>
          </cell>
          <cell r="O680">
            <v>0</v>
          </cell>
          <cell r="P680">
            <v>0</v>
          </cell>
          <cell r="Q680">
            <v>0</v>
          </cell>
          <cell r="X680">
            <v>48720408</v>
          </cell>
          <cell r="Y680" t="str">
            <v>Ml</v>
          </cell>
          <cell r="Z680" t="e">
            <v>#N/A</v>
          </cell>
          <cell r="AA680" t="e">
            <v>#N/A</v>
          </cell>
          <cell r="AB680">
            <v>0</v>
          </cell>
          <cell r="AC680">
            <v>0</v>
          </cell>
        </row>
        <row r="682">
          <cell r="D682" t="str">
            <v>CODIGO</v>
          </cell>
          <cell r="E682" t="str">
            <v>DESCRIPCION</v>
          </cell>
          <cell r="F682" t="str">
            <v>UN</v>
          </cell>
          <cell r="G682" t="str">
            <v>CANT</v>
          </cell>
          <cell r="H682" t="str">
            <v>V/UNIT.</v>
          </cell>
          <cell r="I682" t="str">
            <v>V/TOTAL</v>
          </cell>
          <cell r="K682" t="str">
            <v>CANT TOTAL</v>
          </cell>
          <cell r="L682" t="str">
            <v>Vr TOTAL</v>
          </cell>
          <cell r="Y682" t="str">
            <v>CANT.</v>
          </cell>
          <cell r="Z682" t="str">
            <v>V/TOTAL</v>
          </cell>
        </row>
        <row r="683">
          <cell r="E683" t="str">
            <v>MATERIALES</v>
          </cell>
          <cell r="I683">
            <v>427372</v>
          </cell>
          <cell r="L683">
            <v>48720408</v>
          </cell>
          <cell r="Z683" t="e">
            <v>#N/A</v>
          </cell>
        </row>
        <row r="684">
          <cell r="D684" t="str">
            <v>MA46TCRC256</v>
          </cell>
          <cell r="E684" t="str">
            <v>Tuberia concreto TCR CL-II 1,40 m</v>
          </cell>
          <cell r="F684" t="str">
            <v>ml</v>
          </cell>
          <cell r="G684">
            <v>1</v>
          </cell>
          <cell r="H684">
            <v>427371.84</v>
          </cell>
          <cell r="I684">
            <v>427372</v>
          </cell>
          <cell r="J684">
            <v>0</v>
          </cell>
          <cell r="K684">
            <v>114</v>
          </cell>
          <cell r="L684">
            <v>48720389.760000005</v>
          </cell>
          <cell r="Y684" t="e">
            <v>#N/A</v>
          </cell>
          <cell r="Z684" t="e">
            <v>#N/A</v>
          </cell>
        </row>
        <row r="687">
          <cell r="E687" t="str">
            <v>MANO DE OBRA</v>
          </cell>
          <cell r="I687">
            <v>0</v>
          </cell>
          <cell r="L687">
            <v>0</v>
          </cell>
          <cell r="Z687">
            <v>0</v>
          </cell>
        </row>
        <row r="690">
          <cell r="E690" t="str">
            <v>VARIOS</v>
          </cell>
          <cell r="I690">
            <v>0</v>
          </cell>
          <cell r="L690">
            <v>0</v>
          </cell>
          <cell r="Z690">
            <v>0</v>
          </cell>
        </row>
        <row r="692">
          <cell r="E692" t="str">
            <v>SUBTOTAL</v>
          </cell>
          <cell r="I692">
            <v>427372</v>
          </cell>
          <cell r="L692">
            <v>48720408</v>
          </cell>
          <cell r="Z692" t="e">
            <v>#N/A</v>
          </cell>
        </row>
        <row r="693">
          <cell r="E693" t="str">
            <v>A.I.U</v>
          </cell>
          <cell r="I693">
            <v>0</v>
          </cell>
          <cell r="L693">
            <v>0</v>
          </cell>
          <cell r="Z693">
            <v>0</v>
          </cell>
        </row>
        <row r="694">
          <cell r="D694" t="str">
            <v>AIUAADMON</v>
          </cell>
          <cell r="E694" t="str">
            <v>Admon</v>
          </cell>
          <cell r="F694">
            <v>0</v>
          </cell>
          <cell r="I694">
            <v>0</v>
          </cell>
          <cell r="J694">
            <v>0</v>
          </cell>
          <cell r="L694">
            <v>0</v>
          </cell>
          <cell r="Z694">
            <v>0</v>
          </cell>
        </row>
        <row r="695">
          <cell r="D695" t="str">
            <v>AIUAIMPRE</v>
          </cell>
          <cell r="E695" t="str">
            <v>Imprevistos</v>
          </cell>
          <cell r="F695">
            <v>0</v>
          </cell>
          <cell r="I695">
            <v>0</v>
          </cell>
          <cell r="J695">
            <v>0</v>
          </cell>
          <cell r="L695">
            <v>0</v>
          </cell>
          <cell r="Z695">
            <v>0</v>
          </cell>
        </row>
        <row r="696">
          <cell r="D696" t="str">
            <v>AIUAUTILI</v>
          </cell>
          <cell r="E696" t="str">
            <v>Utilidad</v>
          </cell>
          <cell r="F696">
            <v>0</v>
          </cell>
          <cell r="I696">
            <v>0</v>
          </cell>
          <cell r="J696">
            <v>0</v>
          </cell>
          <cell r="L696">
            <v>0</v>
          </cell>
          <cell r="Z696">
            <v>0</v>
          </cell>
        </row>
        <row r="697">
          <cell r="D697" t="str">
            <v>AIUAIVAUTI</v>
          </cell>
          <cell r="E697" t="str">
            <v>IVA utilidad</v>
          </cell>
          <cell r="F697">
            <v>0</v>
          </cell>
          <cell r="I697">
            <v>0</v>
          </cell>
          <cell r="J697">
            <v>0</v>
          </cell>
          <cell r="L697">
            <v>0</v>
          </cell>
          <cell r="Z697">
            <v>0</v>
          </cell>
        </row>
        <row r="699">
          <cell r="D699" t="str">
            <v>ANSCRC272</v>
          </cell>
          <cell r="E699" t="str">
            <v>Suministro Tuberia Concreto TCR CL-2  Ø 1,80 m</v>
          </cell>
          <cell r="G699" t="str">
            <v>UN.</v>
          </cell>
          <cell r="H699" t="str">
            <v>Ml</v>
          </cell>
          <cell r="I699">
            <v>675974</v>
          </cell>
          <cell r="K699">
            <v>8.9499999999999993</v>
          </cell>
          <cell r="L699">
            <v>6049967.2999999998</v>
          </cell>
          <cell r="N699">
            <v>675974</v>
          </cell>
          <cell r="O699">
            <v>0</v>
          </cell>
          <cell r="P699">
            <v>0</v>
          </cell>
          <cell r="Q699">
            <v>0</v>
          </cell>
          <cell r="X699">
            <v>6049967.2999999998</v>
          </cell>
          <cell r="Y699" t="str">
            <v>Ml</v>
          </cell>
          <cell r="Z699" t="e">
            <v>#N/A</v>
          </cell>
          <cell r="AA699" t="e">
            <v>#N/A</v>
          </cell>
          <cell r="AB699">
            <v>0</v>
          </cell>
          <cell r="AC699">
            <v>0</v>
          </cell>
        </row>
        <row r="701">
          <cell r="D701" t="str">
            <v>CODIGO</v>
          </cell>
          <cell r="E701" t="str">
            <v>DESCRIPCION</v>
          </cell>
          <cell r="F701" t="str">
            <v>UN</v>
          </cell>
          <cell r="G701" t="str">
            <v>CANT</v>
          </cell>
          <cell r="H701" t="str">
            <v>V/UNIT.</v>
          </cell>
          <cell r="I701" t="str">
            <v>V/TOTAL</v>
          </cell>
          <cell r="K701" t="str">
            <v>CANT TOTAL</v>
          </cell>
          <cell r="L701" t="str">
            <v>Vr TOTAL</v>
          </cell>
          <cell r="Y701" t="str">
            <v>CANT.</v>
          </cell>
          <cell r="Z701" t="str">
            <v>V/TOTAL</v>
          </cell>
        </row>
        <row r="702">
          <cell r="E702" t="str">
            <v>MATERIALES</v>
          </cell>
          <cell r="I702">
            <v>675974</v>
          </cell>
          <cell r="L702">
            <v>6049967.2999999998</v>
          </cell>
          <cell r="Z702" t="e">
            <v>#N/A</v>
          </cell>
        </row>
        <row r="703">
          <cell r="D703" t="str">
            <v>MA46TCRC272</v>
          </cell>
          <cell r="E703" t="str">
            <v>Tuberia concreto TCR CL-II 1,80 m</v>
          </cell>
          <cell r="F703" t="str">
            <v>ml</v>
          </cell>
          <cell r="G703">
            <v>1</v>
          </cell>
          <cell r="H703">
            <v>675973.76</v>
          </cell>
          <cell r="I703">
            <v>675974</v>
          </cell>
          <cell r="J703">
            <v>0</v>
          </cell>
          <cell r="K703">
            <v>8.9499999999999993</v>
          </cell>
          <cell r="L703">
            <v>6049965.1519999998</v>
          </cell>
          <cell r="Y703" t="e">
            <v>#N/A</v>
          </cell>
          <cell r="Z703" t="e">
            <v>#N/A</v>
          </cell>
        </row>
        <row r="706">
          <cell r="E706" t="str">
            <v>MANO DE OBRA</v>
          </cell>
          <cell r="I706">
            <v>0</v>
          </cell>
          <cell r="L706">
            <v>0</v>
          </cell>
          <cell r="Z706">
            <v>0</v>
          </cell>
        </row>
        <row r="709">
          <cell r="E709" t="str">
            <v>VARIOS</v>
          </cell>
          <cell r="I709">
            <v>0</v>
          </cell>
          <cell r="L709">
            <v>0</v>
          </cell>
          <cell r="Z709">
            <v>0</v>
          </cell>
        </row>
        <row r="711">
          <cell r="E711" t="str">
            <v>SUBTOTAL</v>
          </cell>
          <cell r="I711">
            <v>675974</v>
          </cell>
          <cell r="L711">
            <v>6049967.2999999998</v>
          </cell>
          <cell r="Z711" t="e">
            <v>#N/A</v>
          </cell>
        </row>
        <row r="712">
          <cell r="E712" t="str">
            <v>A.I.U</v>
          </cell>
          <cell r="I712">
            <v>0</v>
          </cell>
          <cell r="L712">
            <v>0</v>
          </cell>
          <cell r="Z712">
            <v>0</v>
          </cell>
        </row>
        <row r="713">
          <cell r="D713" t="str">
            <v>AIUAADMON</v>
          </cell>
          <cell r="E713" t="str">
            <v>Admon</v>
          </cell>
          <cell r="F713">
            <v>0</v>
          </cell>
          <cell r="I713">
            <v>0</v>
          </cell>
          <cell r="J713">
            <v>0</v>
          </cell>
          <cell r="L713">
            <v>0</v>
          </cell>
          <cell r="Z713">
            <v>0</v>
          </cell>
        </row>
        <row r="714">
          <cell r="D714" t="str">
            <v>AIUAIMPRE</v>
          </cell>
          <cell r="E714" t="str">
            <v>Imprevistos</v>
          </cell>
          <cell r="F714">
            <v>0</v>
          </cell>
          <cell r="I714">
            <v>0</v>
          </cell>
          <cell r="J714">
            <v>0</v>
          </cell>
          <cell r="L714">
            <v>0</v>
          </cell>
          <cell r="Z714">
            <v>0</v>
          </cell>
        </row>
        <row r="715">
          <cell r="D715" t="str">
            <v>AIUAUTILI</v>
          </cell>
          <cell r="E715" t="str">
            <v>Utilidad</v>
          </cell>
          <cell r="F715">
            <v>0</v>
          </cell>
          <cell r="I715">
            <v>0</v>
          </cell>
          <cell r="J715">
            <v>0</v>
          </cell>
          <cell r="L715">
            <v>0</v>
          </cell>
          <cell r="Z715">
            <v>0</v>
          </cell>
        </row>
        <row r="716">
          <cell r="D716" t="str">
            <v>AIUAIVAUTI</v>
          </cell>
          <cell r="E716" t="str">
            <v>IVA utilidad</v>
          </cell>
          <cell r="F716">
            <v>0</v>
          </cell>
          <cell r="I716">
            <v>0</v>
          </cell>
          <cell r="J716">
            <v>0</v>
          </cell>
          <cell r="L716">
            <v>0</v>
          </cell>
          <cell r="Z716">
            <v>0</v>
          </cell>
        </row>
        <row r="718">
          <cell r="D718" t="str">
            <v>ANSCRC280</v>
          </cell>
          <cell r="E718" t="str">
            <v>Suministro Tuberia Concreto TCR CL-2  Ø 2,00 m</v>
          </cell>
          <cell r="G718" t="str">
            <v>UN.</v>
          </cell>
          <cell r="H718" t="str">
            <v>Ml</v>
          </cell>
          <cell r="I718">
            <v>848359</v>
          </cell>
          <cell r="K718">
            <v>374</v>
          </cell>
          <cell r="L718">
            <v>317286266</v>
          </cell>
          <cell r="N718">
            <v>848359</v>
          </cell>
          <cell r="O718">
            <v>0</v>
          </cell>
          <cell r="P718">
            <v>0</v>
          </cell>
          <cell r="Q718">
            <v>0</v>
          </cell>
          <cell r="X718">
            <v>317286266</v>
          </cell>
          <cell r="Y718" t="str">
            <v>Ml</v>
          </cell>
          <cell r="Z718" t="e">
            <v>#N/A</v>
          </cell>
          <cell r="AA718" t="e">
            <v>#N/A</v>
          </cell>
          <cell r="AB718">
            <v>0</v>
          </cell>
          <cell r="AC718">
            <v>0</v>
          </cell>
        </row>
        <row r="720">
          <cell r="D720" t="str">
            <v>CODIGO</v>
          </cell>
          <cell r="E720" t="str">
            <v>DESCRIPCION</v>
          </cell>
          <cell r="F720" t="str">
            <v>UN</v>
          </cell>
          <cell r="G720" t="str">
            <v>CANT</v>
          </cell>
          <cell r="H720" t="str">
            <v>V/UNIT.</v>
          </cell>
          <cell r="I720" t="str">
            <v>V/TOTAL</v>
          </cell>
          <cell r="K720" t="str">
            <v>CANT TOTAL</v>
          </cell>
          <cell r="L720" t="str">
            <v>Vr TOTAL</v>
          </cell>
          <cell r="Y720" t="str">
            <v>CANT.</v>
          </cell>
          <cell r="Z720" t="str">
            <v>V/TOTAL</v>
          </cell>
        </row>
        <row r="721">
          <cell r="E721" t="str">
            <v>MATERIALES</v>
          </cell>
          <cell r="I721">
            <v>848359</v>
          </cell>
          <cell r="L721">
            <v>317286266</v>
          </cell>
          <cell r="Z721" t="e">
            <v>#N/A</v>
          </cell>
        </row>
        <row r="722">
          <cell r="D722" t="str">
            <v>MA46TCRC280</v>
          </cell>
          <cell r="E722" t="str">
            <v>Tuberia concreto TCR CL-II 2,00 m</v>
          </cell>
          <cell r="F722" t="str">
            <v>ml</v>
          </cell>
          <cell r="G722">
            <v>1</v>
          </cell>
          <cell r="H722">
            <v>848359.04</v>
          </cell>
          <cell r="I722">
            <v>848359</v>
          </cell>
          <cell r="J722">
            <v>0</v>
          </cell>
          <cell r="K722">
            <v>374</v>
          </cell>
          <cell r="L722">
            <v>317286280.96000004</v>
          </cell>
          <cell r="Y722" t="e">
            <v>#N/A</v>
          </cell>
          <cell r="Z722" t="e">
            <v>#N/A</v>
          </cell>
        </row>
        <row r="725">
          <cell r="E725" t="str">
            <v>MANO DE OBRA</v>
          </cell>
          <cell r="I725">
            <v>0</v>
          </cell>
          <cell r="L725">
            <v>0</v>
          </cell>
          <cell r="Z725">
            <v>0</v>
          </cell>
        </row>
        <row r="728">
          <cell r="E728" t="str">
            <v>VARIOS</v>
          </cell>
          <cell r="I728">
            <v>0</v>
          </cell>
          <cell r="L728">
            <v>0</v>
          </cell>
          <cell r="Z728">
            <v>0</v>
          </cell>
        </row>
        <row r="730">
          <cell r="E730" t="str">
            <v>SUBTOTAL</v>
          </cell>
          <cell r="I730">
            <v>848359</v>
          </cell>
          <cell r="L730">
            <v>317286266</v>
          </cell>
          <cell r="Z730" t="e">
            <v>#N/A</v>
          </cell>
        </row>
        <row r="731">
          <cell r="E731" t="str">
            <v>A.I.U</v>
          </cell>
          <cell r="I731">
            <v>0</v>
          </cell>
          <cell r="L731">
            <v>0</v>
          </cell>
          <cell r="Z731">
            <v>0</v>
          </cell>
        </row>
        <row r="732">
          <cell r="D732" t="str">
            <v>AIUAADMON</v>
          </cell>
          <cell r="E732" t="str">
            <v>Admon</v>
          </cell>
          <cell r="F732">
            <v>0</v>
          </cell>
          <cell r="I732">
            <v>0</v>
          </cell>
          <cell r="J732">
            <v>0</v>
          </cell>
          <cell r="L732">
            <v>0</v>
          </cell>
          <cell r="Z732">
            <v>0</v>
          </cell>
        </row>
        <row r="733">
          <cell r="D733" t="str">
            <v>AIUAIMPRE</v>
          </cell>
          <cell r="E733" t="str">
            <v>Imprevistos</v>
          </cell>
          <cell r="F733">
            <v>0</v>
          </cell>
          <cell r="I733">
            <v>0</v>
          </cell>
          <cell r="J733">
            <v>0</v>
          </cell>
          <cell r="L733">
            <v>0</v>
          </cell>
          <cell r="Z733">
            <v>0</v>
          </cell>
        </row>
        <row r="734">
          <cell r="D734" t="str">
            <v>AIUAUTILI</v>
          </cell>
          <cell r="E734" t="str">
            <v>Utilidad</v>
          </cell>
          <cell r="F734">
            <v>0</v>
          </cell>
          <cell r="I734">
            <v>0</v>
          </cell>
          <cell r="J734">
            <v>0</v>
          </cell>
          <cell r="L734">
            <v>0</v>
          </cell>
          <cell r="Z734">
            <v>0</v>
          </cell>
        </row>
        <row r="735">
          <cell r="D735" t="str">
            <v>AIUAIVAUTI</v>
          </cell>
          <cell r="E735" t="str">
            <v>IVA utilidad</v>
          </cell>
          <cell r="F735">
            <v>0</v>
          </cell>
          <cell r="I735">
            <v>0</v>
          </cell>
          <cell r="J735">
            <v>0</v>
          </cell>
          <cell r="L735">
            <v>0</v>
          </cell>
          <cell r="Z735">
            <v>0</v>
          </cell>
        </row>
        <row r="737">
          <cell r="D737" t="str">
            <v>ANSCRC324</v>
          </cell>
          <cell r="E737" t="str">
            <v>Suministro Tuberia Concreto TCR CL-3  Ø 24"</v>
          </cell>
          <cell r="G737" t="str">
            <v>UN.</v>
          </cell>
          <cell r="H737" t="str">
            <v>Ml</v>
          </cell>
          <cell r="I737">
            <v>106560</v>
          </cell>
          <cell r="K737">
            <v>0</v>
          </cell>
          <cell r="L737">
            <v>0</v>
          </cell>
          <cell r="N737">
            <v>106560</v>
          </cell>
          <cell r="O737">
            <v>0</v>
          </cell>
          <cell r="P737">
            <v>0</v>
          </cell>
          <cell r="Q737">
            <v>0</v>
          </cell>
          <cell r="X737">
            <v>0</v>
          </cell>
          <cell r="Y737" t="str">
            <v>Ml</v>
          </cell>
          <cell r="Z737" t="e">
            <v>#N/A</v>
          </cell>
          <cell r="AA737" t="e">
            <v>#N/A</v>
          </cell>
          <cell r="AB737">
            <v>0</v>
          </cell>
          <cell r="AC737">
            <v>0</v>
          </cell>
        </row>
        <row r="739">
          <cell r="D739" t="str">
            <v>CODIGO</v>
          </cell>
          <cell r="E739" t="str">
            <v>DESCRIPCION</v>
          </cell>
          <cell r="F739" t="str">
            <v>UN</v>
          </cell>
          <cell r="G739" t="str">
            <v>CANT</v>
          </cell>
          <cell r="H739" t="str">
            <v>V/UNIT.</v>
          </cell>
          <cell r="I739" t="str">
            <v>V/TOTAL</v>
          </cell>
          <cell r="K739" t="str">
            <v>CANT TOTAL</v>
          </cell>
          <cell r="L739" t="str">
            <v>Vr TOTAL</v>
          </cell>
          <cell r="Y739" t="str">
            <v>CANT.</v>
          </cell>
          <cell r="Z739" t="str">
            <v>V/TOTAL</v>
          </cell>
        </row>
        <row r="740">
          <cell r="E740" t="str">
            <v>MATERIALES</v>
          </cell>
          <cell r="I740">
            <v>106560</v>
          </cell>
          <cell r="L740">
            <v>0</v>
          </cell>
          <cell r="Z740" t="e">
            <v>#N/A</v>
          </cell>
        </row>
        <row r="741">
          <cell r="D741" t="str">
            <v>MA46TCRC324</v>
          </cell>
          <cell r="E741" t="str">
            <v>Tuberia concreto TCR CL-III 24</v>
          </cell>
          <cell r="F741" t="str">
            <v>ml</v>
          </cell>
          <cell r="G741">
            <v>1</v>
          </cell>
          <cell r="H741">
            <v>106560</v>
          </cell>
          <cell r="I741">
            <v>106560</v>
          </cell>
          <cell r="J741">
            <v>0</v>
          </cell>
          <cell r="K741">
            <v>0</v>
          </cell>
          <cell r="L741">
            <v>0</v>
          </cell>
          <cell r="Y741" t="e">
            <v>#N/A</v>
          </cell>
          <cell r="Z741" t="e">
            <v>#N/A</v>
          </cell>
        </row>
        <row r="744">
          <cell r="E744" t="str">
            <v>MANO DE OBRA</v>
          </cell>
          <cell r="I744">
            <v>0</v>
          </cell>
          <cell r="L744">
            <v>0</v>
          </cell>
          <cell r="Z744">
            <v>0</v>
          </cell>
        </row>
        <row r="747">
          <cell r="E747" t="str">
            <v>VARIOS</v>
          </cell>
          <cell r="I747">
            <v>0</v>
          </cell>
          <cell r="L747">
            <v>0</v>
          </cell>
          <cell r="Z747">
            <v>0</v>
          </cell>
        </row>
        <row r="749">
          <cell r="E749" t="str">
            <v>SUBTOTAL</v>
          </cell>
          <cell r="I749">
            <v>106560</v>
          </cell>
          <cell r="L749">
            <v>0</v>
          </cell>
          <cell r="Z749" t="e">
            <v>#N/A</v>
          </cell>
        </row>
        <row r="750">
          <cell r="E750" t="str">
            <v>A.I.U</v>
          </cell>
          <cell r="I750">
            <v>0</v>
          </cell>
          <cell r="L750">
            <v>0</v>
          </cell>
          <cell r="Z750">
            <v>0</v>
          </cell>
        </row>
        <row r="751">
          <cell r="D751" t="str">
            <v>AIUAADMON</v>
          </cell>
          <cell r="E751" t="str">
            <v>Admon</v>
          </cell>
          <cell r="F751">
            <v>0</v>
          </cell>
          <cell r="I751">
            <v>0</v>
          </cell>
          <cell r="J751">
            <v>0</v>
          </cell>
          <cell r="L751">
            <v>0</v>
          </cell>
          <cell r="Z751">
            <v>0</v>
          </cell>
        </row>
        <row r="752">
          <cell r="D752" t="str">
            <v>AIUAIMPRE</v>
          </cell>
          <cell r="E752" t="str">
            <v>Imprevistos</v>
          </cell>
          <cell r="F752">
            <v>0</v>
          </cell>
          <cell r="I752">
            <v>0</v>
          </cell>
          <cell r="J752">
            <v>0</v>
          </cell>
          <cell r="L752">
            <v>0</v>
          </cell>
          <cell r="Z752">
            <v>0</v>
          </cell>
        </row>
        <row r="753">
          <cell r="D753" t="str">
            <v>AIUAUTILI</v>
          </cell>
          <cell r="E753" t="str">
            <v>Utilidad</v>
          </cell>
          <cell r="F753">
            <v>0</v>
          </cell>
          <cell r="I753">
            <v>0</v>
          </cell>
          <cell r="J753">
            <v>0</v>
          </cell>
          <cell r="L753">
            <v>0</v>
          </cell>
          <cell r="Z753">
            <v>0</v>
          </cell>
        </row>
        <row r="754">
          <cell r="D754" t="str">
            <v>AIUAIVAUTI</v>
          </cell>
          <cell r="E754" t="str">
            <v>IVA utilidad</v>
          </cell>
          <cell r="F754">
            <v>0</v>
          </cell>
          <cell r="I754">
            <v>0</v>
          </cell>
          <cell r="J754">
            <v>0</v>
          </cell>
          <cell r="L754">
            <v>0</v>
          </cell>
          <cell r="Z754">
            <v>0</v>
          </cell>
        </row>
        <row r="756">
          <cell r="D756" t="str">
            <v>ANSCRC327</v>
          </cell>
          <cell r="E756" t="str">
            <v>Suministro Tuberia Concreto TCR CL-3  Ø 27"</v>
          </cell>
          <cell r="G756" t="str">
            <v>UN.</v>
          </cell>
          <cell r="H756" t="str">
            <v>Ml</v>
          </cell>
          <cell r="I756">
            <v>141978</v>
          </cell>
          <cell r="K756">
            <v>0</v>
          </cell>
          <cell r="L756">
            <v>0</v>
          </cell>
          <cell r="N756">
            <v>141978</v>
          </cell>
          <cell r="O756">
            <v>0</v>
          </cell>
          <cell r="P756">
            <v>0</v>
          </cell>
          <cell r="Q756">
            <v>0</v>
          </cell>
          <cell r="X756">
            <v>0</v>
          </cell>
          <cell r="Y756" t="str">
            <v>Ml</v>
          </cell>
          <cell r="Z756" t="e">
            <v>#N/A</v>
          </cell>
          <cell r="AA756" t="e">
            <v>#N/A</v>
          </cell>
          <cell r="AB756">
            <v>0</v>
          </cell>
          <cell r="AC756">
            <v>0</v>
          </cell>
        </row>
        <row r="758">
          <cell r="D758" t="str">
            <v>CODIGO</v>
          </cell>
          <cell r="E758" t="str">
            <v>DESCRIPCION</v>
          </cell>
          <cell r="F758" t="str">
            <v>UN</v>
          </cell>
          <cell r="G758" t="str">
            <v>CANT</v>
          </cell>
          <cell r="H758" t="str">
            <v>V/UNIT.</v>
          </cell>
          <cell r="I758" t="str">
            <v>V/TOTAL</v>
          </cell>
          <cell r="K758" t="str">
            <v>CANT TOTAL</v>
          </cell>
          <cell r="L758" t="str">
            <v>Vr TOTAL</v>
          </cell>
          <cell r="Y758" t="str">
            <v>CANT.</v>
          </cell>
          <cell r="Z758" t="str">
            <v>V/TOTAL</v>
          </cell>
        </row>
        <row r="759">
          <cell r="E759" t="str">
            <v>MATERIALES</v>
          </cell>
          <cell r="I759">
            <v>141978</v>
          </cell>
          <cell r="L759">
            <v>0</v>
          </cell>
          <cell r="Z759" t="e">
            <v>#N/A</v>
          </cell>
        </row>
        <row r="760">
          <cell r="D760" t="str">
            <v>MA46TCRC327</v>
          </cell>
          <cell r="E760" t="str">
            <v>Tuberia concreto TCR CL-III 27</v>
          </cell>
          <cell r="F760" t="str">
            <v>ml</v>
          </cell>
          <cell r="G760">
            <v>1</v>
          </cell>
          <cell r="H760">
            <v>141977.97</v>
          </cell>
          <cell r="I760">
            <v>141978</v>
          </cell>
          <cell r="J760">
            <v>0</v>
          </cell>
          <cell r="K760">
            <v>0</v>
          </cell>
          <cell r="L760">
            <v>0</v>
          </cell>
          <cell r="Y760" t="e">
            <v>#N/A</v>
          </cell>
          <cell r="Z760" t="e">
            <v>#N/A</v>
          </cell>
        </row>
        <row r="763">
          <cell r="E763" t="str">
            <v>MANO DE OBRA</v>
          </cell>
          <cell r="I763">
            <v>0</v>
          </cell>
          <cell r="L763">
            <v>0</v>
          </cell>
          <cell r="Z763">
            <v>0</v>
          </cell>
        </row>
        <row r="766">
          <cell r="E766" t="str">
            <v>VARIOS</v>
          </cell>
          <cell r="I766">
            <v>0</v>
          </cell>
          <cell r="L766">
            <v>0</v>
          </cell>
          <cell r="Z766">
            <v>0</v>
          </cell>
        </row>
        <row r="768">
          <cell r="E768" t="str">
            <v>SUBTOTAL</v>
          </cell>
          <cell r="I768">
            <v>141978</v>
          </cell>
          <cell r="L768">
            <v>0</v>
          </cell>
          <cell r="Z768" t="e">
            <v>#N/A</v>
          </cell>
        </row>
        <row r="769">
          <cell r="E769" t="str">
            <v>A.I.U</v>
          </cell>
          <cell r="I769">
            <v>0</v>
          </cell>
          <cell r="L769">
            <v>0</v>
          </cell>
          <cell r="Z769">
            <v>0</v>
          </cell>
        </row>
        <row r="770">
          <cell r="D770" t="str">
            <v>AIUAADMON</v>
          </cell>
          <cell r="E770" t="str">
            <v>Admon</v>
          </cell>
          <cell r="F770">
            <v>0</v>
          </cell>
          <cell r="I770">
            <v>0</v>
          </cell>
          <cell r="J770">
            <v>0</v>
          </cell>
          <cell r="L770">
            <v>0</v>
          </cell>
          <cell r="Z770">
            <v>0</v>
          </cell>
        </row>
        <row r="771">
          <cell r="D771" t="str">
            <v>AIUAIMPRE</v>
          </cell>
          <cell r="E771" t="str">
            <v>Imprevistos</v>
          </cell>
          <cell r="F771">
            <v>0</v>
          </cell>
          <cell r="I771">
            <v>0</v>
          </cell>
          <cell r="J771">
            <v>0</v>
          </cell>
          <cell r="L771">
            <v>0</v>
          </cell>
          <cell r="Z771">
            <v>0</v>
          </cell>
        </row>
        <row r="772">
          <cell r="D772" t="str">
            <v>AIUAUTILI</v>
          </cell>
          <cell r="E772" t="str">
            <v>Utilidad</v>
          </cell>
          <cell r="F772">
            <v>0</v>
          </cell>
          <cell r="I772">
            <v>0</v>
          </cell>
          <cell r="J772">
            <v>0</v>
          </cell>
          <cell r="L772">
            <v>0</v>
          </cell>
          <cell r="Z772">
            <v>0</v>
          </cell>
        </row>
        <row r="773">
          <cell r="D773" t="str">
            <v>AIUAIVAUTI</v>
          </cell>
          <cell r="E773" t="str">
            <v>IVA utilidad</v>
          </cell>
          <cell r="F773">
            <v>0</v>
          </cell>
          <cell r="I773">
            <v>0</v>
          </cell>
          <cell r="J773">
            <v>0</v>
          </cell>
          <cell r="L773">
            <v>0</v>
          </cell>
          <cell r="Z773">
            <v>0</v>
          </cell>
        </row>
        <row r="775">
          <cell r="D775" t="str">
            <v>ANSCRC330</v>
          </cell>
          <cell r="E775" t="str">
            <v>Suministro Tuberia Concreto TCR CL-3  Ø 30"</v>
          </cell>
          <cell r="G775" t="str">
            <v>UN.</v>
          </cell>
          <cell r="H775" t="str">
            <v>Ml</v>
          </cell>
          <cell r="I775">
            <v>143608</v>
          </cell>
          <cell r="K775">
            <v>0</v>
          </cell>
          <cell r="L775">
            <v>0</v>
          </cell>
          <cell r="N775">
            <v>143608</v>
          </cell>
          <cell r="O775">
            <v>0</v>
          </cell>
          <cell r="P775">
            <v>0</v>
          </cell>
          <cell r="Q775">
            <v>0</v>
          </cell>
          <cell r="X775">
            <v>0</v>
          </cell>
          <cell r="Y775" t="str">
            <v>Ml</v>
          </cell>
          <cell r="Z775" t="e">
            <v>#N/A</v>
          </cell>
          <cell r="AA775" t="e">
            <v>#N/A</v>
          </cell>
          <cell r="AB775">
            <v>0</v>
          </cell>
          <cell r="AC775">
            <v>0</v>
          </cell>
        </row>
        <row r="777">
          <cell r="D777" t="str">
            <v>CODIGO</v>
          </cell>
          <cell r="E777" t="str">
            <v>DESCRIPCION</v>
          </cell>
          <cell r="F777" t="str">
            <v>UN</v>
          </cell>
          <cell r="G777" t="str">
            <v>CANT</v>
          </cell>
          <cell r="H777" t="str">
            <v>V/UNIT.</v>
          </cell>
          <cell r="I777" t="str">
            <v>V/TOTAL</v>
          </cell>
          <cell r="K777" t="str">
            <v>CANT TOTAL</v>
          </cell>
          <cell r="L777" t="str">
            <v>Vr TOTAL</v>
          </cell>
          <cell r="Y777" t="str">
            <v>CANT.</v>
          </cell>
          <cell r="Z777" t="str">
            <v>V/TOTAL</v>
          </cell>
        </row>
        <row r="778">
          <cell r="E778" t="str">
            <v>MATERIALES</v>
          </cell>
          <cell r="I778">
            <v>143608</v>
          </cell>
          <cell r="L778">
            <v>0</v>
          </cell>
          <cell r="Z778" t="e">
            <v>#N/A</v>
          </cell>
        </row>
        <row r="779">
          <cell r="D779" t="str">
            <v>MA46TCRC330</v>
          </cell>
          <cell r="E779" t="str">
            <v>Tuberia concreto TCR CL-III 30</v>
          </cell>
          <cell r="F779" t="str">
            <v>ml</v>
          </cell>
          <cell r="G779">
            <v>1</v>
          </cell>
          <cell r="H779">
            <v>143608</v>
          </cell>
          <cell r="I779">
            <v>143608</v>
          </cell>
          <cell r="J779">
            <v>0</v>
          </cell>
          <cell r="K779">
            <v>0</v>
          </cell>
          <cell r="L779">
            <v>0</v>
          </cell>
          <cell r="Y779" t="e">
            <v>#N/A</v>
          </cell>
          <cell r="Z779" t="e">
            <v>#N/A</v>
          </cell>
        </row>
        <row r="782">
          <cell r="E782" t="str">
            <v>MANO DE OBRA</v>
          </cell>
          <cell r="I782">
            <v>0</v>
          </cell>
          <cell r="L782">
            <v>0</v>
          </cell>
          <cell r="Z782">
            <v>0</v>
          </cell>
        </row>
        <row r="785">
          <cell r="E785" t="str">
            <v>VARIOS</v>
          </cell>
          <cell r="I785">
            <v>0</v>
          </cell>
          <cell r="L785">
            <v>0</v>
          </cell>
          <cell r="Z785">
            <v>0</v>
          </cell>
        </row>
        <row r="787">
          <cell r="E787" t="str">
            <v>SUBTOTAL</v>
          </cell>
          <cell r="I787">
            <v>143608</v>
          </cell>
          <cell r="L787">
            <v>0</v>
          </cell>
          <cell r="Z787" t="e">
            <v>#N/A</v>
          </cell>
        </row>
        <row r="788">
          <cell r="E788" t="str">
            <v>A.I.U</v>
          </cell>
          <cell r="I788">
            <v>0</v>
          </cell>
          <cell r="L788">
            <v>0</v>
          </cell>
          <cell r="Z788">
            <v>0</v>
          </cell>
        </row>
        <row r="789">
          <cell r="D789" t="str">
            <v>AIUAADMON</v>
          </cell>
          <cell r="E789" t="str">
            <v>Admon</v>
          </cell>
          <cell r="F789">
            <v>0</v>
          </cell>
          <cell r="I789">
            <v>0</v>
          </cell>
          <cell r="J789">
            <v>0</v>
          </cell>
          <cell r="L789">
            <v>0</v>
          </cell>
          <cell r="Z789">
            <v>0</v>
          </cell>
        </row>
        <row r="790">
          <cell r="D790" t="str">
            <v>AIUAIMPRE</v>
          </cell>
          <cell r="E790" t="str">
            <v>Imprevistos</v>
          </cell>
          <cell r="F790">
            <v>0</v>
          </cell>
          <cell r="I790">
            <v>0</v>
          </cell>
          <cell r="J790">
            <v>0</v>
          </cell>
          <cell r="L790">
            <v>0</v>
          </cell>
          <cell r="Z790">
            <v>0</v>
          </cell>
        </row>
        <row r="791">
          <cell r="D791" t="str">
            <v>AIUAUTILI</v>
          </cell>
          <cell r="E791" t="str">
            <v>Utilidad</v>
          </cell>
          <cell r="F791">
            <v>0</v>
          </cell>
          <cell r="I791">
            <v>0</v>
          </cell>
          <cell r="J791">
            <v>0</v>
          </cell>
          <cell r="L791">
            <v>0</v>
          </cell>
          <cell r="Z791">
            <v>0</v>
          </cell>
        </row>
        <row r="792">
          <cell r="D792" t="str">
            <v>AIUAIVAUTI</v>
          </cell>
          <cell r="E792" t="str">
            <v>IVA utilidad</v>
          </cell>
          <cell r="F792">
            <v>0</v>
          </cell>
          <cell r="I792">
            <v>0</v>
          </cell>
          <cell r="J792">
            <v>0</v>
          </cell>
          <cell r="L792">
            <v>0</v>
          </cell>
          <cell r="Z792">
            <v>0</v>
          </cell>
        </row>
        <row r="794">
          <cell r="D794" t="str">
            <v>ANSCRC336</v>
          </cell>
          <cell r="E794" t="str">
            <v>Suministro Tuberia Concreto TCR CL-3  Ø 36"</v>
          </cell>
          <cell r="G794" t="str">
            <v>UN.</v>
          </cell>
          <cell r="H794" t="str">
            <v>Ml</v>
          </cell>
          <cell r="I794">
            <v>186992</v>
          </cell>
          <cell r="K794">
            <v>0</v>
          </cell>
          <cell r="L794">
            <v>0</v>
          </cell>
          <cell r="N794">
            <v>186992</v>
          </cell>
          <cell r="O794">
            <v>0</v>
          </cell>
          <cell r="P794">
            <v>0</v>
          </cell>
          <cell r="Q794">
            <v>0</v>
          </cell>
          <cell r="X794">
            <v>0</v>
          </cell>
          <cell r="Y794" t="str">
            <v>Ml</v>
          </cell>
          <cell r="Z794" t="e">
            <v>#N/A</v>
          </cell>
          <cell r="AA794" t="e">
            <v>#N/A</v>
          </cell>
          <cell r="AB794">
            <v>0</v>
          </cell>
          <cell r="AC794">
            <v>0</v>
          </cell>
        </row>
        <row r="796">
          <cell r="D796" t="str">
            <v>CODIGO</v>
          </cell>
          <cell r="E796" t="str">
            <v>DESCRIPCION</v>
          </cell>
          <cell r="F796" t="str">
            <v>UN</v>
          </cell>
          <cell r="G796" t="str">
            <v>CANT</v>
          </cell>
          <cell r="H796" t="str">
            <v>V/UNIT.</v>
          </cell>
          <cell r="I796" t="str">
            <v>V/TOTAL</v>
          </cell>
          <cell r="K796" t="str">
            <v>CANT TOTAL</v>
          </cell>
          <cell r="L796" t="str">
            <v>Vr TOTAL</v>
          </cell>
          <cell r="Y796" t="str">
            <v>CANT.</v>
          </cell>
          <cell r="Z796" t="str">
            <v>V/TOTAL</v>
          </cell>
        </row>
        <row r="797">
          <cell r="E797" t="str">
            <v>MATERIALES</v>
          </cell>
          <cell r="I797">
            <v>186992</v>
          </cell>
          <cell r="L797">
            <v>0</v>
          </cell>
          <cell r="Z797" t="e">
            <v>#N/A</v>
          </cell>
        </row>
        <row r="798">
          <cell r="D798" t="str">
            <v>MA46TCRC336</v>
          </cell>
          <cell r="E798" t="str">
            <v>Tuberia concreto TCR CL-III 36</v>
          </cell>
          <cell r="F798" t="str">
            <v>ml</v>
          </cell>
          <cell r="G798">
            <v>1</v>
          </cell>
          <cell r="H798">
            <v>186992</v>
          </cell>
          <cell r="I798">
            <v>186992</v>
          </cell>
          <cell r="J798">
            <v>0</v>
          </cell>
          <cell r="K798">
            <v>0</v>
          </cell>
          <cell r="L798">
            <v>0</v>
          </cell>
          <cell r="Y798" t="e">
            <v>#N/A</v>
          </cell>
          <cell r="Z798" t="e">
            <v>#N/A</v>
          </cell>
        </row>
        <row r="801">
          <cell r="E801" t="str">
            <v>MANO DE OBRA</v>
          </cell>
          <cell r="I801">
            <v>0</v>
          </cell>
          <cell r="L801">
            <v>0</v>
          </cell>
          <cell r="Z801">
            <v>0</v>
          </cell>
        </row>
        <row r="804">
          <cell r="E804" t="str">
            <v>VARIOS</v>
          </cell>
          <cell r="I804">
            <v>0</v>
          </cell>
          <cell r="L804">
            <v>0</v>
          </cell>
          <cell r="Z804">
            <v>0</v>
          </cell>
        </row>
        <row r="806">
          <cell r="E806" t="str">
            <v>SUBTOTAL</v>
          </cell>
          <cell r="I806">
            <v>186992</v>
          </cell>
          <cell r="L806">
            <v>0</v>
          </cell>
          <cell r="Z806" t="e">
            <v>#N/A</v>
          </cell>
        </row>
        <row r="807">
          <cell r="E807" t="str">
            <v>A.I.U</v>
          </cell>
          <cell r="I807">
            <v>0</v>
          </cell>
          <cell r="L807">
            <v>0</v>
          </cell>
          <cell r="Z807">
            <v>0</v>
          </cell>
        </row>
        <row r="808">
          <cell r="D808" t="str">
            <v>AIUAADMON</v>
          </cell>
          <cell r="E808" t="str">
            <v>Admon</v>
          </cell>
          <cell r="F808">
            <v>0</v>
          </cell>
          <cell r="I808">
            <v>0</v>
          </cell>
          <cell r="J808">
            <v>0</v>
          </cell>
          <cell r="L808">
            <v>0</v>
          </cell>
          <cell r="Z808">
            <v>0</v>
          </cell>
        </row>
        <row r="809">
          <cell r="D809" t="str">
            <v>AIUAIMPRE</v>
          </cell>
          <cell r="E809" t="str">
            <v>Imprevistos</v>
          </cell>
          <cell r="F809">
            <v>0</v>
          </cell>
          <cell r="I809">
            <v>0</v>
          </cell>
          <cell r="J809">
            <v>0</v>
          </cell>
          <cell r="L809">
            <v>0</v>
          </cell>
          <cell r="Z809">
            <v>0</v>
          </cell>
        </row>
        <row r="810">
          <cell r="D810" t="str">
            <v>AIUAUTILI</v>
          </cell>
          <cell r="E810" t="str">
            <v>Utilidad</v>
          </cell>
          <cell r="F810">
            <v>0</v>
          </cell>
          <cell r="I810">
            <v>0</v>
          </cell>
          <cell r="J810">
            <v>0</v>
          </cell>
          <cell r="L810">
            <v>0</v>
          </cell>
          <cell r="Z810">
            <v>0</v>
          </cell>
        </row>
        <row r="811">
          <cell r="D811" t="str">
            <v>AIUAIVAUTI</v>
          </cell>
          <cell r="E811" t="str">
            <v>IVA utilidad</v>
          </cell>
          <cell r="F811">
            <v>0</v>
          </cell>
          <cell r="I811">
            <v>0</v>
          </cell>
          <cell r="J811">
            <v>0</v>
          </cell>
          <cell r="L811">
            <v>0</v>
          </cell>
          <cell r="Z811">
            <v>0</v>
          </cell>
        </row>
        <row r="813">
          <cell r="D813" t="str">
            <v>ANSCRC356</v>
          </cell>
          <cell r="E813" t="str">
            <v>Suministro Tuberia Concreto TCR CL-3  Ø 1,40 m</v>
          </cell>
          <cell r="G813" t="str">
            <v>UN.</v>
          </cell>
          <cell r="H813" t="str">
            <v>Ml</v>
          </cell>
          <cell r="I813">
            <v>447942</v>
          </cell>
          <cell r="K813">
            <v>49</v>
          </cell>
          <cell r="L813">
            <v>21949158</v>
          </cell>
          <cell r="N813">
            <v>447942</v>
          </cell>
          <cell r="O813">
            <v>0</v>
          </cell>
          <cell r="P813">
            <v>0</v>
          </cell>
          <cell r="Q813">
            <v>0</v>
          </cell>
          <cell r="X813">
            <v>21949158</v>
          </cell>
          <cell r="Y813" t="str">
            <v>Ml</v>
          </cell>
          <cell r="Z813" t="e">
            <v>#N/A</v>
          </cell>
          <cell r="AA813" t="e">
            <v>#N/A</v>
          </cell>
          <cell r="AB813">
            <v>0</v>
          </cell>
          <cell r="AC813">
            <v>0</v>
          </cell>
        </row>
        <row r="815">
          <cell r="D815" t="str">
            <v>CODIGO</v>
          </cell>
          <cell r="E815" t="str">
            <v>DESCRIPCION</v>
          </cell>
          <cell r="F815" t="str">
            <v>UN</v>
          </cell>
          <cell r="G815" t="str">
            <v>CANT</v>
          </cell>
          <cell r="H815" t="str">
            <v>V/UNIT.</v>
          </cell>
          <cell r="I815" t="str">
            <v>V/TOTAL</v>
          </cell>
          <cell r="K815" t="str">
            <v>CANT TOTAL</v>
          </cell>
          <cell r="L815" t="str">
            <v>Vr TOTAL</v>
          </cell>
          <cell r="Y815" t="str">
            <v>CANT.</v>
          </cell>
          <cell r="Z815" t="str">
            <v>V/TOTAL</v>
          </cell>
        </row>
        <row r="816">
          <cell r="E816" t="str">
            <v>MATERIALES</v>
          </cell>
          <cell r="I816">
            <v>447942</v>
          </cell>
          <cell r="L816">
            <v>21949158</v>
          </cell>
          <cell r="Z816" t="e">
            <v>#N/A</v>
          </cell>
        </row>
        <row r="817">
          <cell r="D817" t="str">
            <v>MA46TCRC356</v>
          </cell>
          <cell r="E817" t="str">
            <v>Tuberia concreto TCR CL-III 1,40 m</v>
          </cell>
          <cell r="F817" t="str">
            <v>ml</v>
          </cell>
          <cell r="G817">
            <v>1</v>
          </cell>
          <cell r="H817">
            <v>447942.35</v>
          </cell>
          <cell r="I817">
            <v>447942</v>
          </cell>
          <cell r="J817">
            <v>0</v>
          </cell>
          <cell r="K817">
            <v>49</v>
          </cell>
          <cell r="L817">
            <v>21949175.149999999</v>
          </cell>
          <cell r="Y817" t="e">
            <v>#N/A</v>
          </cell>
          <cell r="Z817" t="e">
            <v>#N/A</v>
          </cell>
        </row>
        <row r="820">
          <cell r="E820" t="str">
            <v>MANO DE OBRA</v>
          </cell>
          <cell r="I820">
            <v>0</v>
          </cell>
          <cell r="L820">
            <v>0</v>
          </cell>
          <cell r="Z820">
            <v>0</v>
          </cell>
        </row>
        <row r="823">
          <cell r="E823" t="str">
            <v>VARIOS</v>
          </cell>
          <cell r="I823">
            <v>0</v>
          </cell>
          <cell r="L823">
            <v>0</v>
          </cell>
          <cell r="Z823">
            <v>0</v>
          </cell>
        </row>
        <row r="825">
          <cell r="E825" t="str">
            <v>SUBTOTAL</v>
          </cell>
          <cell r="I825">
            <v>447942</v>
          </cell>
          <cell r="L825">
            <v>21949158</v>
          </cell>
          <cell r="Z825" t="e">
            <v>#N/A</v>
          </cell>
        </row>
        <row r="826">
          <cell r="E826" t="str">
            <v>A.I.U</v>
          </cell>
          <cell r="I826">
            <v>0</v>
          </cell>
          <cell r="L826">
            <v>0</v>
          </cell>
          <cell r="Z826">
            <v>0</v>
          </cell>
        </row>
        <row r="827">
          <cell r="D827" t="str">
            <v>AIUAADMON</v>
          </cell>
          <cell r="E827" t="str">
            <v>Admon</v>
          </cell>
          <cell r="F827">
            <v>0</v>
          </cell>
          <cell r="I827">
            <v>0</v>
          </cell>
          <cell r="J827">
            <v>0</v>
          </cell>
          <cell r="L827">
            <v>0</v>
          </cell>
          <cell r="Z827">
            <v>0</v>
          </cell>
        </row>
        <row r="828">
          <cell r="D828" t="str">
            <v>AIUAIMPRE</v>
          </cell>
          <cell r="E828" t="str">
            <v>Imprevistos</v>
          </cell>
          <cell r="F828">
            <v>0</v>
          </cell>
          <cell r="I828">
            <v>0</v>
          </cell>
          <cell r="J828">
            <v>0</v>
          </cell>
          <cell r="L828">
            <v>0</v>
          </cell>
          <cell r="Z828">
            <v>0</v>
          </cell>
        </row>
        <row r="829">
          <cell r="D829" t="str">
            <v>AIUAUTILI</v>
          </cell>
          <cell r="E829" t="str">
            <v>Utilidad</v>
          </cell>
          <cell r="F829">
            <v>0</v>
          </cell>
          <cell r="I829">
            <v>0</v>
          </cell>
          <cell r="J829">
            <v>0</v>
          </cell>
          <cell r="L829">
            <v>0</v>
          </cell>
          <cell r="Z829">
            <v>0</v>
          </cell>
        </row>
        <row r="830">
          <cell r="D830" t="str">
            <v>AIUAIVAUTI</v>
          </cell>
          <cell r="E830" t="str">
            <v>IVA utilidad</v>
          </cell>
          <cell r="F830">
            <v>0</v>
          </cell>
          <cell r="I830">
            <v>0</v>
          </cell>
          <cell r="J830">
            <v>0</v>
          </cell>
          <cell r="L830">
            <v>0</v>
          </cell>
          <cell r="Z830">
            <v>0</v>
          </cell>
        </row>
        <row r="832">
          <cell r="D832" t="str">
            <v>ANSCRC372</v>
          </cell>
          <cell r="E832" t="str">
            <v>Suministro Tuberia Concreto TCR CL-3  Ø 1,80 m</v>
          </cell>
          <cell r="G832" t="str">
            <v>UN.</v>
          </cell>
          <cell r="H832" t="str">
            <v>Ml</v>
          </cell>
          <cell r="I832">
            <v>748998</v>
          </cell>
          <cell r="K832">
            <v>58</v>
          </cell>
          <cell r="L832">
            <v>43441884</v>
          </cell>
          <cell r="N832">
            <v>748998</v>
          </cell>
          <cell r="O832">
            <v>0</v>
          </cell>
          <cell r="P832">
            <v>0</v>
          </cell>
          <cell r="Q832">
            <v>0</v>
          </cell>
          <cell r="X832">
            <v>43441884</v>
          </cell>
          <cell r="Y832" t="str">
            <v>Ml</v>
          </cell>
          <cell r="Z832" t="e">
            <v>#N/A</v>
          </cell>
          <cell r="AA832" t="e">
            <v>#N/A</v>
          </cell>
          <cell r="AB832">
            <v>0</v>
          </cell>
          <cell r="AC832">
            <v>0</v>
          </cell>
        </row>
        <row r="834">
          <cell r="D834" t="str">
            <v>CODIGO</v>
          </cell>
          <cell r="E834" t="str">
            <v>DESCRIPCION</v>
          </cell>
          <cell r="F834" t="str">
            <v>UN</v>
          </cell>
          <cell r="G834" t="str">
            <v>CANT</v>
          </cell>
          <cell r="H834" t="str">
            <v>V/UNIT.</v>
          </cell>
          <cell r="I834" t="str">
            <v>V/TOTAL</v>
          </cell>
          <cell r="K834" t="str">
            <v>CANT TOTAL</v>
          </cell>
          <cell r="L834" t="str">
            <v>Vr TOTAL</v>
          </cell>
          <cell r="Y834" t="str">
            <v>CANT.</v>
          </cell>
          <cell r="Z834" t="str">
            <v>V/TOTAL</v>
          </cell>
        </row>
        <row r="835">
          <cell r="E835" t="str">
            <v>MATERIALES</v>
          </cell>
          <cell r="I835">
            <v>748998</v>
          </cell>
          <cell r="L835">
            <v>43441884</v>
          </cell>
          <cell r="Z835" t="e">
            <v>#N/A</v>
          </cell>
        </row>
        <row r="836">
          <cell r="D836" t="str">
            <v>MA46TCRC372</v>
          </cell>
          <cell r="E836" t="str">
            <v>Tuberia concreto TCR CL-III 1,80 m</v>
          </cell>
          <cell r="F836" t="str">
            <v>ml</v>
          </cell>
          <cell r="G836">
            <v>1</v>
          </cell>
          <cell r="H836">
            <v>748998.08</v>
          </cell>
          <cell r="I836">
            <v>748998</v>
          </cell>
          <cell r="J836">
            <v>0</v>
          </cell>
          <cell r="K836">
            <v>58</v>
          </cell>
          <cell r="L836">
            <v>43441888.640000001</v>
          </cell>
          <cell r="Y836" t="e">
            <v>#N/A</v>
          </cell>
          <cell r="Z836" t="e">
            <v>#N/A</v>
          </cell>
        </row>
        <row r="839">
          <cell r="E839" t="str">
            <v>MANO DE OBRA</v>
          </cell>
          <cell r="I839">
            <v>0</v>
          </cell>
          <cell r="L839">
            <v>0</v>
          </cell>
          <cell r="Z839">
            <v>0</v>
          </cell>
        </row>
        <row r="842">
          <cell r="E842" t="str">
            <v>VARIOS</v>
          </cell>
          <cell r="I842">
            <v>0</v>
          </cell>
          <cell r="L842">
            <v>0</v>
          </cell>
          <cell r="Z842">
            <v>0</v>
          </cell>
        </row>
        <row r="844">
          <cell r="E844" t="str">
            <v>SUBTOTAL</v>
          </cell>
          <cell r="I844">
            <v>748998</v>
          </cell>
          <cell r="L844">
            <v>43441884</v>
          </cell>
          <cell r="Z844" t="e">
            <v>#N/A</v>
          </cell>
        </row>
        <row r="845">
          <cell r="E845" t="str">
            <v>A.I.U</v>
          </cell>
          <cell r="I845">
            <v>0</v>
          </cell>
          <cell r="L845">
            <v>0</v>
          </cell>
          <cell r="Z845">
            <v>0</v>
          </cell>
        </row>
        <row r="846">
          <cell r="D846" t="str">
            <v>AIUAADMON</v>
          </cell>
          <cell r="E846" t="str">
            <v>Admon</v>
          </cell>
          <cell r="F846">
            <v>0</v>
          </cell>
          <cell r="I846">
            <v>0</v>
          </cell>
          <cell r="J846">
            <v>0</v>
          </cell>
          <cell r="L846">
            <v>0</v>
          </cell>
          <cell r="Z846">
            <v>0</v>
          </cell>
        </row>
        <row r="847">
          <cell r="D847" t="str">
            <v>AIUAIMPRE</v>
          </cell>
          <cell r="E847" t="str">
            <v>Imprevistos</v>
          </cell>
          <cell r="F847">
            <v>0</v>
          </cell>
          <cell r="I847">
            <v>0</v>
          </cell>
          <cell r="J847">
            <v>0</v>
          </cell>
          <cell r="L847">
            <v>0</v>
          </cell>
          <cell r="Z847">
            <v>0</v>
          </cell>
        </row>
        <row r="848">
          <cell r="D848" t="str">
            <v>AIUAUTILI</v>
          </cell>
          <cell r="E848" t="str">
            <v>Utilidad</v>
          </cell>
          <cell r="F848">
            <v>0</v>
          </cell>
          <cell r="I848">
            <v>0</v>
          </cell>
          <cell r="J848">
            <v>0</v>
          </cell>
          <cell r="L848">
            <v>0</v>
          </cell>
          <cell r="Z848">
            <v>0</v>
          </cell>
        </row>
        <row r="849">
          <cell r="D849" t="str">
            <v>AIUAIVAUTI</v>
          </cell>
          <cell r="E849" t="str">
            <v>IVA utilidad</v>
          </cell>
          <cell r="F849">
            <v>0</v>
          </cell>
          <cell r="I849">
            <v>0</v>
          </cell>
          <cell r="J849">
            <v>0</v>
          </cell>
          <cell r="L849">
            <v>0</v>
          </cell>
          <cell r="Z849">
            <v>0</v>
          </cell>
        </row>
        <row r="851">
          <cell r="D851" t="str">
            <v>ANSCSC112</v>
          </cell>
          <cell r="E851" t="str">
            <v xml:space="preserve">Suministro Tuberia Concreto TCS-C1 Ø 12" </v>
          </cell>
          <cell r="G851" t="str">
            <v>UN.</v>
          </cell>
          <cell r="H851" t="str">
            <v>Ml</v>
          </cell>
          <cell r="I851">
            <v>21716</v>
          </cell>
          <cell r="K851">
            <v>1359</v>
          </cell>
          <cell r="L851">
            <v>29512044</v>
          </cell>
          <cell r="N851">
            <v>21716</v>
          </cell>
          <cell r="O851">
            <v>0</v>
          </cell>
          <cell r="P851">
            <v>0</v>
          </cell>
          <cell r="Q851">
            <v>0</v>
          </cell>
          <cell r="X851">
            <v>29512044</v>
          </cell>
          <cell r="Y851" t="str">
            <v>Ml</v>
          </cell>
          <cell r="Z851" t="e">
            <v>#N/A</v>
          </cell>
          <cell r="AA851" t="e">
            <v>#N/A</v>
          </cell>
          <cell r="AB851">
            <v>0</v>
          </cell>
          <cell r="AC851">
            <v>0</v>
          </cell>
        </row>
        <row r="853">
          <cell r="D853" t="str">
            <v>CODIGO</v>
          </cell>
          <cell r="E853" t="str">
            <v>DESCRIPCION</v>
          </cell>
          <cell r="F853" t="str">
            <v>UN</v>
          </cell>
          <cell r="G853" t="str">
            <v>CANT</v>
          </cell>
          <cell r="H853" t="str">
            <v>V/UNIT.</v>
          </cell>
          <cell r="I853" t="str">
            <v>V/TOTAL</v>
          </cell>
          <cell r="K853" t="str">
            <v>CANT TOTAL</v>
          </cell>
          <cell r="L853" t="str">
            <v>Vr TOTAL</v>
          </cell>
          <cell r="Y853" t="str">
            <v>CANT.</v>
          </cell>
          <cell r="Z853" t="str">
            <v>V/TOTAL</v>
          </cell>
        </row>
        <row r="854">
          <cell r="E854" t="str">
            <v>MATERIALES</v>
          </cell>
          <cell r="I854">
            <v>21716</v>
          </cell>
          <cell r="L854">
            <v>29512044</v>
          </cell>
          <cell r="Z854" t="e">
            <v>#N/A</v>
          </cell>
        </row>
        <row r="855">
          <cell r="D855" t="str">
            <v>MA46CSC112</v>
          </cell>
          <cell r="E855" t="str">
            <v>Tuberia concreto TCS-CL1 12</v>
          </cell>
          <cell r="F855" t="str">
            <v>ml</v>
          </cell>
          <cell r="G855">
            <v>1</v>
          </cell>
          <cell r="H855">
            <v>21716.36</v>
          </cell>
          <cell r="I855">
            <v>21716</v>
          </cell>
          <cell r="J855">
            <v>0</v>
          </cell>
          <cell r="K855">
            <v>1359</v>
          </cell>
          <cell r="L855">
            <v>29512533.240000002</v>
          </cell>
          <cell r="Y855" t="e">
            <v>#N/A</v>
          </cell>
          <cell r="Z855" t="e">
            <v>#N/A</v>
          </cell>
        </row>
        <row r="858">
          <cell r="E858" t="str">
            <v>MANO DE OBRA</v>
          </cell>
          <cell r="I858">
            <v>0</v>
          </cell>
          <cell r="L858">
            <v>0</v>
          </cell>
          <cell r="Z858">
            <v>0</v>
          </cell>
        </row>
        <row r="861">
          <cell r="E861" t="str">
            <v>VARIOS</v>
          </cell>
          <cell r="I861">
            <v>0</v>
          </cell>
          <cell r="L861">
            <v>0</v>
          </cell>
          <cell r="Z861">
            <v>0</v>
          </cell>
        </row>
        <row r="863">
          <cell r="E863" t="str">
            <v>SUBTOTAL</v>
          </cell>
          <cell r="I863">
            <v>21716</v>
          </cell>
          <cell r="L863">
            <v>29512044</v>
          </cell>
          <cell r="Z863" t="e">
            <v>#N/A</v>
          </cell>
        </row>
        <row r="864">
          <cell r="E864" t="str">
            <v>A.I.U</v>
          </cell>
          <cell r="I864">
            <v>0</v>
          </cell>
          <cell r="L864">
            <v>0</v>
          </cell>
          <cell r="Z864">
            <v>0</v>
          </cell>
        </row>
        <row r="865">
          <cell r="D865" t="str">
            <v>AIUAADMON</v>
          </cell>
          <cell r="E865" t="str">
            <v>Admon</v>
          </cell>
          <cell r="F865">
            <v>0</v>
          </cell>
          <cell r="I865">
            <v>0</v>
          </cell>
          <cell r="J865">
            <v>0</v>
          </cell>
          <cell r="L865">
            <v>0</v>
          </cell>
          <cell r="Z865">
            <v>0</v>
          </cell>
        </row>
        <row r="866">
          <cell r="D866" t="str">
            <v>AIUAIMPRE</v>
          </cell>
          <cell r="E866" t="str">
            <v>Imprevistos</v>
          </cell>
          <cell r="F866">
            <v>0</v>
          </cell>
          <cell r="I866">
            <v>0</v>
          </cell>
          <cell r="J866">
            <v>0</v>
          </cell>
          <cell r="L866">
            <v>0</v>
          </cell>
          <cell r="Z866">
            <v>0</v>
          </cell>
        </row>
        <row r="867">
          <cell r="D867" t="str">
            <v>AIUAUTILI</v>
          </cell>
          <cell r="E867" t="str">
            <v>Utilidad</v>
          </cell>
          <cell r="F867">
            <v>0</v>
          </cell>
          <cell r="I867">
            <v>0</v>
          </cell>
          <cell r="J867">
            <v>0</v>
          </cell>
          <cell r="L867">
            <v>0</v>
          </cell>
          <cell r="Z867">
            <v>0</v>
          </cell>
        </row>
        <row r="868">
          <cell r="D868" t="str">
            <v>AIUAIVAUTI</v>
          </cell>
          <cell r="E868" t="str">
            <v>IVA utilidad</v>
          </cell>
          <cell r="F868">
            <v>0</v>
          </cell>
          <cell r="I868">
            <v>0</v>
          </cell>
          <cell r="J868">
            <v>0</v>
          </cell>
          <cell r="L868">
            <v>0</v>
          </cell>
          <cell r="Z868">
            <v>0</v>
          </cell>
        </row>
        <row r="870">
          <cell r="D870" t="str">
            <v>ANSCSC114</v>
          </cell>
          <cell r="E870" t="str">
            <v xml:space="preserve">Suministro Tuberia Concreto TCS-C1 Ø 14" </v>
          </cell>
          <cell r="G870" t="str">
            <v>UN.</v>
          </cell>
          <cell r="H870" t="str">
            <v>Ml</v>
          </cell>
          <cell r="I870">
            <v>27399</v>
          </cell>
          <cell r="K870">
            <v>0</v>
          </cell>
          <cell r="L870">
            <v>0</v>
          </cell>
          <cell r="N870">
            <v>27399</v>
          </cell>
          <cell r="O870">
            <v>0</v>
          </cell>
          <cell r="P870">
            <v>0</v>
          </cell>
          <cell r="Q870">
            <v>0</v>
          </cell>
          <cell r="X870">
            <v>0</v>
          </cell>
          <cell r="Y870" t="str">
            <v>Ml</v>
          </cell>
          <cell r="Z870" t="e">
            <v>#N/A</v>
          </cell>
          <cell r="AA870" t="e">
            <v>#N/A</v>
          </cell>
          <cell r="AB870">
            <v>0</v>
          </cell>
          <cell r="AC870">
            <v>0</v>
          </cell>
        </row>
        <row r="872">
          <cell r="D872" t="str">
            <v>CODIGO</v>
          </cell>
          <cell r="E872" t="str">
            <v>DESCRIPCION</v>
          </cell>
          <cell r="F872" t="str">
            <v>UN</v>
          </cell>
          <cell r="G872" t="str">
            <v>CANT</v>
          </cell>
          <cell r="H872" t="str">
            <v>V/UNIT.</v>
          </cell>
          <cell r="I872" t="str">
            <v>V/TOTAL</v>
          </cell>
          <cell r="K872" t="str">
            <v>CANT TOTAL</v>
          </cell>
          <cell r="L872" t="str">
            <v>Vr TOTAL</v>
          </cell>
          <cell r="Y872" t="str">
            <v>CANT.</v>
          </cell>
          <cell r="Z872" t="str">
            <v>V/TOTAL</v>
          </cell>
        </row>
        <row r="873">
          <cell r="E873" t="str">
            <v>MATERIALES</v>
          </cell>
          <cell r="I873">
            <v>27399</v>
          </cell>
          <cell r="L873">
            <v>0</v>
          </cell>
          <cell r="Z873" t="e">
            <v>#N/A</v>
          </cell>
        </row>
        <row r="874">
          <cell r="D874" t="str">
            <v>MA46CSC114</v>
          </cell>
          <cell r="E874" t="str">
            <v>Tuberia concreto TCS-CL1 14</v>
          </cell>
          <cell r="F874" t="str">
            <v>ml</v>
          </cell>
          <cell r="G874">
            <v>1</v>
          </cell>
          <cell r="H874">
            <v>27398.62</v>
          </cell>
          <cell r="I874">
            <v>27399</v>
          </cell>
          <cell r="J874">
            <v>0</v>
          </cell>
          <cell r="K874">
            <v>0</v>
          </cell>
          <cell r="L874">
            <v>0</v>
          </cell>
          <cell r="Y874" t="e">
            <v>#N/A</v>
          </cell>
          <cell r="Z874" t="e">
            <v>#N/A</v>
          </cell>
        </row>
        <row r="877">
          <cell r="E877" t="str">
            <v>MANO DE OBRA</v>
          </cell>
          <cell r="I877">
            <v>0</v>
          </cell>
          <cell r="L877">
            <v>0</v>
          </cell>
          <cell r="Z877">
            <v>0</v>
          </cell>
        </row>
        <row r="880">
          <cell r="E880" t="str">
            <v>VARIOS</v>
          </cell>
          <cell r="I880">
            <v>0</v>
          </cell>
          <cell r="L880">
            <v>0</v>
          </cell>
          <cell r="Z880">
            <v>0</v>
          </cell>
        </row>
        <row r="882">
          <cell r="E882" t="str">
            <v>SUBTOTAL</v>
          </cell>
          <cell r="I882">
            <v>27399</v>
          </cell>
          <cell r="L882">
            <v>0</v>
          </cell>
          <cell r="Z882" t="e">
            <v>#N/A</v>
          </cell>
        </row>
        <row r="883">
          <cell r="E883" t="str">
            <v>A.I.U</v>
          </cell>
          <cell r="I883">
            <v>0</v>
          </cell>
          <cell r="L883">
            <v>0</v>
          </cell>
          <cell r="Z883">
            <v>0</v>
          </cell>
        </row>
        <row r="884">
          <cell r="D884" t="str">
            <v>AIUAADMON</v>
          </cell>
          <cell r="E884" t="str">
            <v>Admon</v>
          </cell>
          <cell r="F884">
            <v>0</v>
          </cell>
          <cell r="I884">
            <v>0</v>
          </cell>
          <cell r="J884">
            <v>0</v>
          </cell>
          <cell r="L884">
            <v>0</v>
          </cell>
          <cell r="Z884">
            <v>0</v>
          </cell>
        </row>
        <row r="885">
          <cell r="D885" t="str">
            <v>AIUAIMPRE</v>
          </cell>
          <cell r="E885" t="str">
            <v>Imprevistos</v>
          </cell>
          <cell r="F885">
            <v>0</v>
          </cell>
          <cell r="I885">
            <v>0</v>
          </cell>
          <cell r="J885">
            <v>0</v>
          </cell>
          <cell r="L885">
            <v>0</v>
          </cell>
          <cell r="Z885">
            <v>0</v>
          </cell>
        </row>
        <row r="886">
          <cell r="D886" t="str">
            <v>AIUAUTILI</v>
          </cell>
          <cell r="E886" t="str">
            <v>Utilidad</v>
          </cell>
          <cell r="F886">
            <v>0</v>
          </cell>
          <cell r="I886">
            <v>0</v>
          </cell>
          <cell r="J886">
            <v>0</v>
          </cell>
          <cell r="L886">
            <v>0</v>
          </cell>
          <cell r="Z886">
            <v>0</v>
          </cell>
        </row>
        <row r="887">
          <cell r="D887" t="str">
            <v>AIUAIVAUTI</v>
          </cell>
          <cell r="E887" t="str">
            <v>IVA utilidad</v>
          </cell>
          <cell r="F887">
            <v>0</v>
          </cell>
          <cell r="I887">
            <v>0</v>
          </cell>
          <cell r="J887">
            <v>0</v>
          </cell>
          <cell r="L887">
            <v>0</v>
          </cell>
          <cell r="Z887">
            <v>0</v>
          </cell>
        </row>
        <row r="889">
          <cell r="D889" t="str">
            <v>ANSCSC116</v>
          </cell>
          <cell r="E889" t="str">
            <v xml:space="preserve">Suministro Tuberia Concreto TCS-C1 Ø 16" </v>
          </cell>
          <cell r="G889" t="str">
            <v>UN.</v>
          </cell>
          <cell r="H889" t="str">
            <v>Ml</v>
          </cell>
          <cell r="I889">
            <v>47522</v>
          </cell>
          <cell r="K889">
            <v>87.04</v>
          </cell>
          <cell r="L889">
            <v>4136314.8800000004</v>
          </cell>
          <cell r="N889">
            <v>47522</v>
          </cell>
          <cell r="O889">
            <v>0</v>
          </cell>
          <cell r="P889">
            <v>0</v>
          </cell>
          <cell r="Q889">
            <v>0</v>
          </cell>
          <cell r="X889">
            <v>4136314.8800000004</v>
          </cell>
          <cell r="Y889" t="str">
            <v>Ml</v>
          </cell>
          <cell r="Z889" t="e">
            <v>#N/A</v>
          </cell>
          <cell r="AA889" t="e">
            <v>#N/A</v>
          </cell>
          <cell r="AB889">
            <v>0</v>
          </cell>
          <cell r="AC889">
            <v>0</v>
          </cell>
        </row>
        <row r="891">
          <cell r="D891" t="str">
            <v>CODIGO</v>
          </cell>
          <cell r="E891" t="str">
            <v>DESCRIPCION</v>
          </cell>
          <cell r="F891" t="str">
            <v>UN</v>
          </cell>
          <cell r="G891" t="str">
            <v>CANT</v>
          </cell>
          <cell r="H891" t="str">
            <v>V/UNIT.</v>
          </cell>
          <cell r="I891" t="str">
            <v>V/TOTAL</v>
          </cell>
          <cell r="K891" t="str">
            <v>CANT TOTAL</v>
          </cell>
          <cell r="L891" t="str">
            <v>Vr TOTAL</v>
          </cell>
          <cell r="Y891" t="str">
            <v>CANT.</v>
          </cell>
          <cell r="Z891" t="str">
            <v>V/TOTAL</v>
          </cell>
        </row>
        <row r="892">
          <cell r="E892" t="str">
            <v>MATERIALES</v>
          </cell>
          <cell r="I892">
            <v>47522</v>
          </cell>
          <cell r="L892">
            <v>4136314.8800000004</v>
          </cell>
          <cell r="Z892" t="e">
            <v>#N/A</v>
          </cell>
        </row>
        <row r="893">
          <cell r="D893" t="str">
            <v>MA46CSC116</v>
          </cell>
          <cell r="E893" t="str">
            <v>Tuberia concreto TCS-CL1 16</v>
          </cell>
          <cell r="F893" t="str">
            <v>ml</v>
          </cell>
          <cell r="G893">
            <v>1</v>
          </cell>
          <cell r="H893">
            <v>47522.3</v>
          </cell>
          <cell r="I893">
            <v>47522</v>
          </cell>
          <cell r="J893">
            <v>0</v>
          </cell>
          <cell r="K893">
            <v>87.04</v>
          </cell>
          <cell r="L893">
            <v>4136340.9920000006</v>
          </cell>
          <cell r="Y893" t="e">
            <v>#N/A</v>
          </cell>
          <cell r="Z893" t="e">
            <v>#N/A</v>
          </cell>
        </row>
        <row r="896">
          <cell r="E896" t="str">
            <v>MANO DE OBRA</v>
          </cell>
          <cell r="I896">
            <v>0</v>
          </cell>
          <cell r="L896">
            <v>0</v>
          </cell>
          <cell r="Z896">
            <v>0</v>
          </cell>
        </row>
        <row r="899">
          <cell r="E899" t="str">
            <v>VARIOS</v>
          </cell>
          <cell r="I899">
            <v>0</v>
          </cell>
          <cell r="L899">
            <v>0</v>
          </cell>
          <cell r="Z899">
            <v>0</v>
          </cell>
        </row>
        <row r="901">
          <cell r="E901" t="str">
            <v>SUBTOTAL</v>
          </cell>
          <cell r="I901">
            <v>47522</v>
          </cell>
          <cell r="L901">
            <v>4136314.8800000004</v>
          </cell>
          <cell r="Z901" t="e">
            <v>#N/A</v>
          </cell>
        </row>
        <row r="902">
          <cell r="E902" t="str">
            <v>A.I.U</v>
          </cell>
          <cell r="I902">
            <v>0</v>
          </cell>
          <cell r="L902">
            <v>0</v>
          </cell>
          <cell r="Z902">
            <v>0</v>
          </cell>
        </row>
        <row r="903">
          <cell r="D903" t="str">
            <v>AIUAADMON</v>
          </cell>
          <cell r="E903" t="str">
            <v>Admon</v>
          </cell>
          <cell r="F903">
            <v>0</v>
          </cell>
          <cell r="I903">
            <v>0</v>
          </cell>
          <cell r="J903">
            <v>0</v>
          </cell>
          <cell r="L903">
            <v>0</v>
          </cell>
          <cell r="Z903">
            <v>0</v>
          </cell>
        </row>
        <row r="904">
          <cell r="D904" t="str">
            <v>AIUAIMPRE</v>
          </cell>
          <cell r="E904" t="str">
            <v>Imprevistos</v>
          </cell>
          <cell r="F904">
            <v>0</v>
          </cell>
          <cell r="I904">
            <v>0</v>
          </cell>
          <cell r="J904">
            <v>0</v>
          </cell>
          <cell r="L904">
            <v>0</v>
          </cell>
          <cell r="Z904">
            <v>0</v>
          </cell>
        </row>
        <row r="905">
          <cell r="D905" t="str">
            <v>AIUAUTILI</v>
          </cell>
          <cell r="E905" t="str">
            <v>Utilidad</v>
          </cell>
          <cell r="F905">
            <v>0</v>
          </cell>
          <cell r="I905">
            <v>0</v>
          </cell>
          <cell r="J905">
            <v>0</v>
          </cell>
          <cell r="L905">
            <v>0</v>
          </cell>
          <cell r="Z905">
            <v>0</v>
          </cell>
        </row>
        <row r="906">
          <cell r="D906" t="str">
            <v>AIUAIVAUTI</v>
          </cell>
          <cell r="E906" t="str">
            <v>IVA utilidad</v>
          </cell>
          <cell r="F906">
            <v>0</v>
          </cell>
          <cell r="I906">
            <v>0</v>
          </cell>
          <cell r="J906">
            <v>0</v>
          </cell>
          <cell r="L906">
            <v>0</v>
          </cell>
          <cell r="Z906">
            <v>0</v>
          </cell>
        </row>
        <row r="908">
          <cell r="D908" t="str">
            <v>ANSCSC118</v>
          </cell>
          <cell r="E908" t="str">
            <v xml:space="preserve">Suministro Tuberia Concreto TCS-C1 Ø 18" </v>
          </cell>
          <cell r="G908" t="str">
            <v>UN.</v>
          </cell>
          <cell r="H908" t="str">
            <v>Ml</v>
          </cell>
          <cell r="I908">
            <v>67582</v>
          </cell>
          <cell r="K908">
            <v>0</v>
          </cell>
          <cell r="L908">
            <v>0</v>
          </cell>
          <cell r="N908">
            <v>67582</v>
          </cell>
          <cell r="O908">
            <v>0</v>
          </cell>
          <cell r="P908">
            <v>0</v>
          </cell>
          <cell r="Q908">
            <v>0</v>
          </cell>
          <cell r="X908">
            <v>0</v>
          </cell>
          <cell r="Y908" t="str">
            <v>Ml</v>
          </cell>
          <cell r="Z908" t="e">
            <v>#N/A</v>
          </cell>
          <cell r="AA908" t="e">
            <v>#N/A</v>
          </cell>
          <cell r="AB908">
            <v>0</v>
          </cell>
          <cell r="AC908">
            <v>0</v>
          </cell>
        </row>
        <row r="910">
          <cell r="D910" t="str">
            <v>CODIGO</v>
          </cell>
          <cell r="E910" t="str">
            <v>DESCRIPCION</v>
          </cell>
          <cell r="F910" t="str">
            <v>UN</v>
          </cell>
          <cell r="G910" t="str">
            <v>CANT</v>
          </cell>
          <cell r="H910" t="str">
            <v>V/UNIT.</v>
          </cell>
          <cell r="I910" t="str">
            <v>V/TOTAL</v>
          </cell>
          <cell r="K910" t="str">
            <v>CANT TOTAL</v>
          </cell>
          <cell r="L910" t="str">
            <v>Vr TOTAL</v>
          </cell>
          <cell r="Y910" t="str">
            <v>CANT.</v>
          </cell>
          <cell r="Z910" t="str">
            <v>V/TOTAL</v>
          </cell>
        </row>
        <row r="911">
          <cell r="E911" t="str">
            <v>MATERIALES</v>
          </cell>
          <cell r="I911">
            <v>67582</v>
          </cell>
          <cell r="L911">
            <v>0</v>
          </cell>
          <cell r="Z911" t="e">
            <v>#N/A</v>
          </cell>
        </row>
        <row r="912">
          <cell r="D912" t="str">
            <v>MA46CSC118</v>
          </cell>
          <cell r="E912" t="str">
            <v>Tuberia concreto TCS-CL1 18</v>
          </cell>
          <cell r="F912" t="str">
            <v>ml</v>
          </cell>
          <cell r="G912">
            <v>1</v>
          </cell>
          <cell r="H912">
            <v>67581.600000000006</v>
          </cell>
          <cell r="I912">
            <v>67582</v>
          </cell>
          <cell r="J912">
            <v>0</v>
          </cell>
          <cell r="K912">
            <v>0</v>
          </cell>
          <cell r="L912">
            <v>0</v>
          </cell>
          <cell r="Y912" t="e">
            <v>#N/A</v>
          </cell>
          <cell r="Z912" t="e">
            <v>#N/A</v>
          </cell>
        </row>
        <row r="915">
          <cell r="E915" t="str">
            <v>MANO DE OBRA</v>
          </cell>
          <cell r="I915">
            <v>0</v>
          </cell>
          <cell r="L915">
            <v>0</v>
          </cell>
          <cell r="Z915">
            <v>0</v>
          </cell>
        </row>
        <row r="918">
          <cell r="E918" t="str">
            <v>VARIOS</v>
          </cell>
          <cell r="I918">
            <v>0</v>
          </cell>
          <cell r="L918">
            <v>0</v>
          </cell>
          <cell r="Z918">
            <v>0</v>
          </cell>
        </row>
        <row r="920">
          <cell r="E920" t="str">
            <v>SUBTOTAL</v>
          </cell>
          <cell r="I920">
            <v>67582</v>
          </cell>
          <cell r="L920">
            <v>0</v>
          </cell>
          <cell r="Z920" t="e">
            <v>#N/A</v>
          </cell>
        </row>
        <row r="921">
          <cell r="E921" t="str">
            <v>A.I.U</v>
          </cell>
          <cell r="I921">
            <v>0</v>
          </cell>
          <cell r="L921">
            <v>0</v>
          </cell>
          <cell r="Z921">
            <v>0</v>
          </cell>
        </row>
        <row r="922">
          <cell r="D922" t="str">
            <v>AIUAADMON</v>
          </cell>
          <cell r="E922" t="str">
            <v>Admon</v>
          </cell>
          <cell r="F922">
            <v>0</v>
          </cell>
          <cell r="I922">
            <v>0</v>
          </cell>
          <cell r="J922">
            <v>0</v>
          </cell>
          <cell r="L922">
            <v>0</v>
          </cell>
          <cell r="Z922">
            <v>0</v>
          </cell>
        </row>
        <row r="923">
          <cell r="D923" t="str">
            <v>AIUAIMPRE</v>
          </cell>
          <cell r="E923" t="str">
            <v>Imprevistos</v>
          </cell>
          <cell r="F923">
            <v>0</v>
          </cell>
          <cell r="I923">
            <v>0</v>
          </cell>
          <cell r="J923">
            <v>0</v>
          </cell>
          <cell r="L923">
            <v>0</v>
          </cell>
          <cell r="Z923">
            <v>0</v>
          </cell>
        </row>
        <row r="924">
          <cell r="D924" t="str">
            <v>AIUAUTILI</v>
          </cell>
          <cell r="E924" t="str">
            <v>Utilidad</v>
          </cell>
          <cell r="F924">
            <v>0</v>
          </cell>
          <cell r="I924">
            <v>0</v>
          </cell>
          <cell r="J924">
            <v>0</v>
          </cell>
          <cell r="L924">
            <v>0</v>
          </cell>
          <cell r="Z924">
            <v>0</v>
          </cell>
        </row>
        <row r="925">
          <cell r="D925" t="str">
            <v>AIUAIVAUTI</v>
          </cell>
          <cell r="E925" t="str">
            <v>IVA utilidad</v>
          </cell>
          <cell r="F925">
            <v>0</v>
          </cell>
          <cell r="I925">
            <v>0</v>
          </cell>
          <cell r="J925">
            <v>0</v>
          </cell>
          <cell r="L925">
            <v>0</v>
          </cell>
          <cell r="Z925">
            <v>0</v>
          </cell>
        </row>
        <row r="927">
          <cell r="D927" t="str">
            <v>ANSCSC120</v>
          </cell>
          <cell r="E927" t="str">
            <v xml:space="preserve">Suministro Tuberia Concreto TCS-C1 Ø 20" </v>
          </cell>
          <cell r="G927" t="str">
            <v>UN.</v>
          </cell>
          <cell r="H927" t="str">
            <v>Ml</v>
          </cell>
          <cell r="I927">
            <v>60761</v>
          </cell>
          <cell r="K927">
            <v>0</v>
          </cell>
          <cell r="L927">
            <v>0</v>
          </cell>
          <cell r="N927">
            <v>60761</v>
          </cell>
          <cell r="O927">
            <v>0</v>
          </cell>
          <cell r="P927">
            <v>0</v>
          </cell>
          <cell r="Q927">
            <v>0</v>
          </cell>
          <cell r="X927">
            <v>0</v>
          </cell>
          <cell r="Y927" t="str">
            <v>Ml</v>
          </cell>
          <cell r="Z927" t="e">
            <v>#N/A</v>
          </cell>
          <cell r="AA927" t="e">
            <v>#N/A</v>
          </cell>
          <cell r="AB927">
            <v>0</v>
          </cell>
          <cell r="AC927">
            <v>0</v>
          </cell>
        </row>
        <row r="929">
          <cell r="D929" t="str">
            <v>CODIGO</v>
          </cell>
          <cell r="E929" t="str">
            <v>DESCRIPCION</v>
          </cell>
          <cell r="F929" t="str">
            <v>UN</v>
          </cell>
          <cell r="G929" t="str">
            <v>CANT</v>
          </cell>
          <cell r="H929" t="str">
            <v>V/UNIT.</v>
          </cell>
          <cell r="I929" t="str">
            <v>V/TOTAL</v>
          </cell>
          <cell r="K929" t="str">
            <v>CANT TOTAL</v>
          </cell>
          <cell r="L929" t="str">
            <v>Vr TOTAL</v>
          </cell>
          <cell r="Y929" t="str">
            <v>CANT.</v>
          </cell>
          <cell r="Z929" t="str">
            <v>V/TOTAL</v>
          </cell>
        </row>
        <row r="930">
          <cell r="E930" t="str">
            <v>MATERIALES</v>
          </cell>
          <cell r="I930">
            <v>60761</v>
          </cell>
          <cell r="L930">
            <v>0</v>
          </cell>
          <cell r="Z930" t="e">
            <v>#N/A</v>
          </cell>
        </row>
        <row r="931">
          <cell r="D931" t="str">
            <v>MA46CSC120</v>
          </cell>
          <cell r="E931" t="str">
            <v>Tuberia concreto TCS-C1 20</v>
          </cell>
          <cell r="F931" t="str">
            <v>ml</v>
          </cell>
          <cell r="G931">
            <v>1</v>
          </cell>
          <cell r="H931">
            <v>60760.800000000003</v>
          </cell>
          <cell r="I931">
            <v>60761</v>
          </cell>
          <cell r="J931">
            <v>0</v>
          </cell>
          <cell r="K931">
            <v>0</v>
          </cell>
          <cell r="L931">
            <v>0</v>
          </cell>
          <cell r="Y931" t="e">
            <v>#N/A</v>
          </cell>
          <cell r="Z931" t="e">
            <v>#N/A</v>
          </cell>
        </row>
        <row r="934">
          <cell r="E934" t="str">
            <v>MANO DE OBRA</v>
          </cell>
          <cell r="I934">
            <v>0</v>
          </cell>
          <cell r="L934">
            <v>0</v>
          </cell>
          <cell r="Z934">
            <v>0</v>
          </cell>
        </row>
        <row r="937">
          <cell r="E937" t="str">
            <v>VARIOS</v>
          </cell>
          <cell r="I937">
            <v>0</v>
          </cell>
          <cell r="L937">
            <v>0</v>
          </cell>
          <cell r="Z937">
            <v>0</v>
          </cell>
        </row>
        <row r="939">
          <cell r="E939" t="str">
            <v>SUBTOTAL</v>
          </cell>
          <cell r="I939">
            <v>60761</v>
          </cell>
          <cell r="L939">
            <v>0</v>
          </cell>
          <cell r="Z939" t="e">
            <v>#N/A</v>
          </cell>
        </row>
        <row r="940">
          <cell r="E940" t="str">
            <v>A.I.U</v>
          </cell>
          <cell r="I940">
            <v>0</v>
          </cell>
          <cell r="L940">
            <v>0</v>
          </cell>
          <cell r="Z940">
            <v>0</v>
          </cell>
        </row>
        <row r="941">
          <cell r="D941" t="str">
            <v>AIUAADMON</v>
          </cell>
          <cell r="E941" t="str">
            <v>Admon</v>
          </cell>
          <cell r="F941">
            <v>0</v>
          </cell>
          <cell r="I941">
            <v>0</v>
          </cell>
          <cell r="J941">
            <v>0</v>
          </cell>
          <cell r="L941">
            <v>0</v>
          </cell>
          <cell r="Z941">
            <v>0</v>
          </cell>
        </row>
        <row r="942">
          <cell r="D942" t="str">
            <v>AIUAIMPRE</v>
          </cell>
          <cell r="E942" t="str">
            <v>Imprevistos</v>
          </cell>
          <cell r="F942">
            <v>0</v>
          </cell>
          <cell r="I942">
            <v>0</v>
          </cell>
          <cell r="J942">
            <v>0</v>
          </cell>
          <cell r="L942">
            <v>0</v>
          </cell>
          <cell r="Z942">
            <v>0</v>
          </cell>
        </row>
        <row r="943">
          <cell r="D943" t="str">
            <v>AIUAUTILI</v>
          </cell>
          <cell r="E943" t="str">
            <v>Utilidad</v>
          </cell>
          <cell r="F943">
            <v>0</v>
          </cell>
          <cell r="I943">
            <v>0</v>
          </cell>
          <cell r="J943">
            <v>0</v>
          </cell>
          <cell r="L943">
            <v>0</v>
          </cell>
          <cell r="Z943">
            <v>0</v>
          </cell>
        </row>
        <row r="944">
          <cell r="D944" t="str">
            <v>AIUAIVAUTI</v>
          </cell>
          <cell r="E944" t="str">
            <v>IVA utilidad</v>
          </cell>
          <cell r="F944">
            <v>0</v>
          </cell>
          <cell r="I944">
            <v>0</v>
          </cell>
          <cell r="J944">
            <v>0</v>
          </cell>
          <cell r="L944">
            <v>0</v>
          </cell>
          <cell r="Z944">
            <v>0</v>
          </cell>
        </row>
        <row r="946">
          <cell r="E946" t="str">
            <v>ITEM</v>
          </cell>
        </row>
        <row r="947">
          <cell r="D947" t="str">
            <v>ANSTF12</v>
          </cell>
          <cell r="E947" t="str">
            <v xml:space="preserve">Suministro Tuberia Flexible  PS 57 Ø 12" </v>
          </cell>
          <cell r="G947" t="str">
            <v>UN.</v>
          </cell>
          <cell r="H947" t="str">
            <v>Ml</v>
          </cell>
          <cell r="I947">
            <v>28400</v>
          </cell>
          <cell r="K947">
            <v>1173</v>
          </cell>
          <cell r="L947">
            <v>33313200</v>
          </cell>
          <cell r="N947">
            <v>28400</v>
          </cell>
          <cell r="O947">
            <v>0</v>
          </cell>
          <cell r="P947">
            <v>0</v>
          </cell>
          <cell r="Q947">
            <v>0</v>
          </cell>
          <cell r="X947">
            <v>33313200</v>
          </cell>
          <cell r="Y947" t="str">
            <v>Ml</v>
          </cell>
          <cell r="Z947" t="e">
            <v>#N/A</v>
          </cell>
          <cell r="AA947" t="e">
            <v>#N/A</v>
          </cell>
          <cell r="AB947">
            <v>0</v>
          </cell>
          <cell r="AC947">
            <v>0</v>
          </cell>
        </row>
        <row r="949">
          <cell r="D949" t="str">
            <v>CODIGO</v>
          </cell>
          <cell r="E949" t="str">
            <v>DESCRIPCION</v>
          </cell>
          <cell r="F949" t="str">
            <v>UN</v>
          </cell>
          <cell r="G949" t="str">
            <v>CANT</v>
          </cell>
          <cell r="H949" t="str">
            <v>V/UNIT.</v>
          </cell>
          <cell r="I949" t="str">
            <v>V/TOTAL</v>
          </cell>
          <cell r="K949" t="str">
            <v>CANT TOTAL</v>
          </cell>
          <cell r="L949" t="str">
            <v>Vr TOTAL</v>
          </cell>
          <cell r="Y949" t="str">
            <v>CANT.</v>
          </cell>
          <cell r="Z949" t="str">
            <v>V/TOTAL</v>
          </cell>
        </row>
        <row r="950">
          <cell r="E950" t="str">
            <v>MATERIALES</v>
          </cell>
          <cell r="I950">
            <v>28400</v>
          </cell>
          <cell r="L950">
            <v>33313200</v>
          </cell>
          <cell r="Z950" t="e">
            <v>#N/A</v>
          </cell>
        </row>
        <row r="951">
          <cell r="D951" t="str">
            <v>MA44TF12</v>
          </cell>
          <cell r="E951" t="str">
            <v>Tuberia Flexible PS 57 12 "</v>
          </cell>
          <cell r="F951" t="str">
            <v>Ml</v>
          </cell>
          <cell r="G951">
            <v>1</v>
          </cell>
          <cell r="H951">
            <v>28400</v>
          </cell>
          <cell r="I951">
            <v>28400</v>
          </cell>
          <cell r="J951">
            <v>0</v>
          </cell>
          <cell r="K951">
            <v>1173</v>
          </cell>
          <cell r="L951">
            <v>33313200</v>
          </cell>
          <cell r="Y951" t="e">
            <v>#N/A</v>
          </cell>
          <cell r="Z951" t="e">
            <v>#N/A</v>
          </cell>
        </row>
        <row r="952">
          <cell r="I952">
            <v>0</v>
          </cell>
          <cell r="J952">
            <v>0</v>
          </cell>
          <cell r="K952">
            <v>0</v>
          </cell>
          <cell r="L952">
            <v>0</v>
          </cell>
          <cell r="Y952">
            <v>0</v>
          </cell>
          <cell r="Z952">
            <v>0</v>
          </cell>
        </row>
        <row r="953">
          <cell r="I953">
            <v>0</v>
          </cell>
          <cell r="J953">
            <v>0</v>
          </cell>
          <cell r="K953">
            <v>0</v>
          </cell>
          <cell r="L953">
            <v>0</v>
          </cell>
          <cell r="Y953">
            <v>0</v>
          </cell>
          <cell r="Z953">
            <v>0</v>
          </cell>
        </row>
        <row r="955">
          <cell r="E955" t="str">
            <v>MANO DE OBRA</v>
          </cell>
          <cell r="I955">
            <v>0</v>
          </cell>
          <cell r="L955">
            <v>0</v>
          </cell>
          <cell r="Z955">
            <v>0</v>
          </cell>
        </row>
        <row r="956">
          <cell r="I956">
            <v>0</v>
          </cell>
          <cell r="J956">
            <v>0</v>
          </cell>
          <cell r="K956">
            <v>0</v>
          </cell>
          <cell r="L956">
            <v>0</v>
          </cell>
          <cell r="Y956">
            <v>0</v>
          </cell>
          <cell r="Z956">
            <v>0</v>
          </cell>
        </row>
        <row r="958">
          <cell r="E958" t="str">
            <v>VARIOS</v>
          </cell>
          <cell r="I958">
            <v>0</v>
          </cell>
          <cell r="L958">
            <v>0</v>
          </cell>
          <cell r="Z958">
            <v>0</v>
          </cell>
        </row>
        <row r="959">
          <cell r="I959">
            <v>0</v>
          </cell>
          <cell r="J959">
            <v>0</v>
          </cell>
          <cell r="K959">
            <v>0</v>
          </cell>
          <cell r="L959">
            <v>0</v>
          </cell>
          <cell r="Y959">
            <v>0</v>
          </cell>
          <cell r="Z959">
            <v>0</v>
          </cell>
        </row>
        <row r="961">
          <cell r="E961" t="str">
            <v>SUBTOTAL</v>
          </cell>
          <cell r="I961">
            <v>28400</v>
          </cell>
          <cell r="L961">
            <v>33313200</v>
          </cell>
          <cell r="Z961" t="e">
            <v>#N/A</v>
          </cell>
        </row>
        <row r="962">
          <cell r="E962" t="str">
            <v>A.I.U</v>
          </cell>
          <cell r="I962">
            <v>0</v>
          </cell>
          <cell r="L962">
            <v>0</v>
          </cell>
          <cell r="Z962">
            <v>0</v>
          </cell>
        </row>
        <row r="963">
          <cell r="D963" t="str">
            <v>AIUAADMON</v>
          </cell>
          <cell r="E963" t="str">
            <v>Admon</v>
          </cell>
          <cell r="F963">
            <v>0</v>
          </cell>
          <cell r="I963">
            <v>0</v>
          </cell>
          <cell r="J963">
            <v>0</v>
          </cell>
          <cell r="L963">
            <v>0</v>
          </cell>
          <cell r="Z963">
            <v>0</v>
          </cell>
        </row>
        <row r="964">
          <cell r="D964" t="str">
            <v>AIUAIMPRE</v>
          </cell>
          <cell r="E964" t="str">
            <v>Imprevistos</v>
          </cell>
          <cell r="F964">
            <v>0</v>
          </cell>
          <cell r="I964">
            <v>0</v>
          </cell>
          <cell r="J964">
            <v>0</v>
          </cell>
          <cell r="L964">
            <v>0</v>
          </cell>
          <cell r="Z964">
            <v>0</v>
          </cell>
        </row>
        <row r="965">
          <cell r="D965" t="str">
            <v>AIUAUTILI</v>
          </cell>
          <cell r="E965" t="str">
            <v>Utilidad</v>
          </cell>
          <cell r="F965">
            <v>0</v>
          </cell>
          <cell r="I965">
            <v>0</v>
          </cell>
          <cell r="J965">
            <v>0</v>
          </cell>
          <cell r="L965">
            <v>0</v>
          </cell>
          <cell r="Z965">
            <v>0</v>
          </cell>
        </row>
        <row r="966">
          <cell r="D966" t="str">
            <v>AIUAIVAUTI</v>
          </cell>
          <cell r="E966" t="str">
            <v>IVA utilidad</v>
          </cell>
          <cell r="F966">
            <v>0</v>
          </cell>
          <cell r="I966">
            <v>0</v>
          </cell>
          <cell r="J966">
            <v>0</v>
          </cell>
          <cell r="L966">
            <v>0</v>
          </cell>
          <cell r="Z966">
            <v>0</v>
          </cell>
        </row>
        <row r="968">
          <cell r="E968" t="str">
            <v>ITEM</v>
          </cell>
        </row>
        <row r="969">
          <cell r="D969" t="str">
            <v>ANSTF16</v>
          </cell>
          <cell r="E969" t="str">
            <v xml:space="preserve">Suministro Tuberia Flexible  PS 57 Ø 16" </v>
          </cell>
          <cell r="G969" t="str">
            <v>UN.</v>
          </cell>
          <cell r="H969" t="str">
            <v>Ml</v>
          </cell>
          <cell r="I969">
            <v>48350</v>
          </cell>
          <cell r="K969">
            <v>330</v>
          </cell>
          <cell r="L969">
            <v>15955500</v>
          </cell>
          <cell r="N969">
            <v>48350</v>
          </cell>
          <cell r="O969">
            <v>0</v>
          </cell>
          <cell r="P969">
            <v>0</v>
          </cell>
          <cell r="Q969">
            <v>0</v>
          </cell>
          <cell r="X969">
            <v>15955500</v>
          </cell>
          <cell r="Y969" t="str">
            <v>Ml</v>
          </cell>
          <cell r="Z969" t="e">
            <v>#N/A</v>
          </cell>
          <cell r="AA969" t="e">
            <v>#N/A</v>
          </cell>
          <cell r="AB969">
            <v>0</v>
          </cell>
          <cell r="AC969">
            <v>0</v>
          </cell>
        </row>
        <row r="971">
          <cell r="D971" t="str">
            <v>CODIGO</v>
          </cell>
          <cell r="E971" t="str">
            <v>DESCRIPCION</v>
          </cell>
          <cell r="F971" t="str">
            <v>UN</v>
          </cell>
          <cell r="G971" t="str">
            <v>CANT</v>
          </cell>
          <cell r="H971" t="str">
            <v>V/UNIT.</v>
          </cell>
          <cell r="I971" t="str">
            <v>V/TOTAL</v>
          </cell>
          <cell r="K971" t="str">
            <v>CANT TOTAL</v>
          </cell>
          <cell r="L971" t="str">
            <v>Vr TOTAL</v>
          </cell>
          <cell r="Y971" t="str">
            <v>CANT.</v>
          </cell>
          <cell r="Z971" t="str">
            <v>V/TOTAL</v>
          </cell>
        </row>
        <row r="972">
          <cell r="E972" t="str">
            <v>MATERIALES</v>
          </cell>
          <cell r="I972">
            <v>48350</v>
          </cell>
          <cell r="L972">
            <v>15955500</v>
          </cell>
          <cell r="Z972" t="e">
            <v>#N/A</v>
          </cell>
        </row>
        <row r="973">
          <cell r="D973" t="str">
            <v>MA44TF16</v>
          </cell>
          <cell r="E973" t="str">
            <v>Tuberia Flexible PS 57 16 "</v>
          </cell>
          <cell r="F973" t="str">
            <v>Ml</v>
          </cell>
          <cell r="G973">
            <v>1</v>
          </cell>
          <cell r="H973">
            <v>48350</v>
          </cell>
          <cell r="I973">
            <v>48350</v>
          </cell>
          <cell r="J973">
            <v>0</v>
          </cell>
          <cell r="K973">
            <v>330</v>
          </cell>
          <cell r="L973">
            <v>15955500</v>
          </cell>
          <cell r="Y973" t="e">
            <v>#N/A</v>
          </cell>
          <cell r="Z973" t="e">
            <v>#N/A</v>
          </cell>
        </row>
        <row r="974">
          <cell r="I974">
            <v>0</v>
          </cell>
          <cell r="J974">
            <v>0</v>
          </cell>
          <cell r="K974">
            <v>0</v>
          </cell>
          <cell r="L974">
            <v>0</v>
          </cell>
          <cell r="Y974">
            <v>0</v>
          </cell>
          <cell r="Z974">
            <v>0</v>
          </cell>
        </row>
        <row r="975">
          <cell r="I975">
            <v>0</v>
          </cell>
          <cell r="J975">
            <v>0</v>
          </cell>
          <cell r="K975">
            <v>0</v>
          </cell>
          <cell r="L975">
            <v>0</v>
          </cell>
          <cell r="Y975">
            <v>0</v>
          </cell>
          <cell r="Z975">
            <v>0</v>
          </cell>
        </row>
        <row r="977">
          <cell r="E977" t="str">
            <v>MANO DE OBRA</v>
          </cell>
          <cell r="I977">
            <v>0</v>
          </cell>
          <cell r="L977">
            <v>0</v>
          </cell>
          <cell r="Z977">
            <v>0</v>
          </cell>
        </row>
        <row r="978">
          <cell r="I978">
            <v>0</v>
          </cell>
          <cell r="J978">
            <v>0</v>
          </cell>
          <cell r="K978">
            <v>0</v>
          </cell>
          <cell r="L978">
            <v>0</v>
          </cell>
          <cell r="Y978">
            <v>0</v>
          </cell>
          <cell r="Z978">
            <v>0</v>
          </cell>
        </row>
        <row r="980">
          <cell r="E980" t="str">
            <v>VARIOS</v>
          </cell>
          <cell r="I980">
            <v>0</v>
          </cell>
          <cell r="L980">
            <v>0</v>
          </cell>
          <cell r="Z980">
            <v>0</v>
          </cell>
        </row>
        <row r="981">
          <cell r="I981">
            <v>0</v>
          </cell>
          <cell r="J981">
            <v>0</v>
          </cell>
          <cell r="K981">
            <v>0</v>
          </cell>
          <cell r="L981">
            <v>0</v>
          </cell>
          <cell r="Y981">
            <v>0</v>
          </cell>
          <cell r="Z981">
            <v>0</v>
          </cell>
        </row>
        <row r="983">
          <cell r="E983" t="str">
            <v>SUBTOTAL</v>
          </cell>
          <cell r="I983">
            <v>48350</v>
          </cell>
          <cell r="L983">
            <v>15955500</v>
          </cell>
          <cell r="Z983" t="e">
            <v>#N/A</v>
          </cell>
        </row>
        <row r="984">
          <cell r="E984" t="str">
            <v>A.I.U</v>
          </cell>
          <cell r="I984">
            <v>0</v>
          </cell>
          <cell r="L984">
            <v>0</v>
          </cell>
          <cell r="Z984">
            <v>0</v>
          </cell>
        </row>
        <row r="985">
          <cell r="D985" t="str">
            <v>AIUAADMON</v>
          </cell>
          <cell r="E985" t="str">
            <v>Admon</v>
          </cell>
          <cell r="F985">
            <v>0</v>
          </cell>
          <cell r="I985">
            <v>0</v>
          </cell>
          <cell r="J985">
            <v>0</v>
          </cell>
          <cell r="L985">
            <v>0</v>
          </cell>
          <cell r="Z985">
            <v>0</v>
          </cell>
        </row>
        <row r="986">
          <cell r="D986" t="str">
            <v>AIUAIMPRE</v>
          </cell>
          <cell r="E986" t="str">
            <v>Imprevistos</v>
          </cell>
          <cell r="F986">
            <v>0</v>
          </cell>
          <cell r="I986">
            <v>0</v>
          </cell>
          <cell r="J986">
            <v>0</v>
          </cell>
          <cell r="L986">
            <v>0</v>
          </cell>
          <cell r="Z986">
            <v>0</v>
          </cell>
        </row>
        <row r="987">
          <cell r="D987" t="str">
            <v>AIUAUTILI</v>
          </cell>
          <cell r="E987" t="str">
            <v>Utilidad</v>
          </cell>
          <cell r="F987">
            <v>0</v>
          </cell>
          <cell r="I987">
            <v>0</v>
          </cell>
          <cell r="J987">
            <v>0</v>
          </cell>
          <cell r="L987">
            <v>0</v>
          </cell>
          <cell r="Z987">
            <v>0</v>
          </cell>
        </row>
        <row r="988">
          <cell r="D988" t="str">
            <v>AIUAIVAUTI</v>
          </cell>
          <cell r="E988" t="str">
            <v>IVA utilidad</v>
          </cell>
          <cell r="F988">
            <v>0</v>
          </cell>
          <cell r="I988">
            <v>0</v>
          </cell>
          <cell r="J988">
            <v>0</v>
          </cell>
          <cell r="L988">
            <v>0</v>
          </cell>
          <cell r="Z988">
            <v>0</v>
          </cell>
        </row>
        <row r="990">
          <cell r="D990" t="str">
            <v>ANSTF18</v>
          </cell>
          <cell r="E990" t="str">
            <v xml:space="preserve">Suministro Tuberia Flexible  PS 57 Ø 18" </v>
          </cell>
          <cell r="G990" t="str">
            <v>UN.</v>
          </cell>
          <cell r="H990" t="str">
            <v>Ml</v>
          </cell>
          <cell r="I990">
            <v>56210</v>
          </cell>
          <cell r="K990">
            <v>192</v>
          </cell>
          <cell r="L990">
            <v>10792320</v>
          </cell>
          <cell r="N990">
            <v>56210</v>
          </cell>
          <cell r="O990">
            <v>0</v>
          </cell>
          <cell r="P990">
            <v>0</v>
          </cell>
          <cell r="Q990">
            <v>0</v>
          </cell>
          <cell r="X990">
            <v>10792320</v>
          </cell>
          <cell r="Y990" t="str">
            <v>Ml</v>
          </cell>
          <cell r="Z990" t="e">
            <v>#N/A</v>
          </cell>
          <cell r="AA990" t="e">
            <v>#N/A</v>
          </cell>
          <cell r="AB990">
            <v>0</v>
          </cell>
          <cell r="AC990">
            <v>0</v>
          </cell>
        </row>
        <row r="992">
          <cell r="D992" t="str">
            <v>CODIGO</v>
          </cell>
          <cell r="E992" t="str">
            <v>DESCRIPCION</v>
          </cell>
          <cell r="F992" t="str">
            <v>UN</v>
          </cell>
          <cell r="G992" t="str">
            <v>CANT</v>
          </cell>
          <cell r="H992" t="str">
            <v>V/UNIT.</v>
          </cell>
          <cell r="I992" t="str">
            <v>V/TOTAL</v>
          </cell>
          <cell r="K992" t="str">
            <v>CANT TOTAL</v>
          </cell>
          <cell r="L992" t="str">
            <v>Vr TOTAL</v>
          </cell>
          <cell r="Y992" t="str">
            <v>CANT.</v>
          </cell>
          <cell r="Z992" t="str">
            <v>V/TOTAL</v>
          </cell>
        </row>
        <row r="993">
          <cell r="E993" t="str">
            <v>MATERIALES</v>
          </cell>
          <cell r="I993">
            <v>56210</v>
          </cell>
          <cell r="L993">
            <v>10792320</v>
          </cell>
          <cell r="Z993" t="e">
            <v>#N/A</v>
          </cell>
        </row>
        <row r="994">
          <cell r="D994" t="str">
            <v>MA44TF18</v>
          </cell>
          <cell r="E994" t="str">
            <v>Tuberia Flexible PS 57 18 "</v>
          </cell>
          <cell r="F994" t="str">
            <v>Ml</v>
          </cell>
          <cell r="G994">
            <v>1</v>
          </cell>
          <cell r="H994">
            <v>56210</v>
          </cell>
          <cell r="I994">
            <v>56210</v>
          </cell>
          <cell r="J994">
            <v>0</v>
          </cell>
          <cell r="K994">
            <v>192</v>
          </cell>
          <cell r="L994">
            <v>10792320</v>
          </cell>
          <cell r="Y994" t="e">
            <v>#N/A</v>
          </cell>
          <cell r="Z994" t="e">
            <v>#N/A</v>
          </cell>
        </row>
        <row r="995">
          <cell r="I995">
            <v>0</v>
          </cell>
          <cell r="J995">
            <v>0</v>
          </cell>
          <cell r="K995">
            <v>0</v>
          </cell>
          <cell r="L995">
            <v>0</v>
          </cell>
          <cell r="Y995">
            <v>0</v>
          </cell>
          <cell r="Z995">
            <v>0</v>
          </cell>
        </row>
        <row r="996">
          <cell r="I996">
            <v>0</v>
          </cell>
          <cell r="J996">
            <v>0</v>
          </cell>
          <cell r="K996">
            <v>0</v>
          </cell>
          <cell r="L996">
            <v>0</v>
          </cell>
          <cell r="Y996">
            <v>0</v>
          </cell>
          <cell r="Z996">
            <v>0</v>
          </cell>
        </row>
        <row r="998">
          <cell r="E998" t="str">
            <v>MANO DE OBRA</v>
          </cell>
          <cell r="I998">
            <v>0</v>
          </cell>
          <cell r="L998">
            <v>0</v>
          </cell>
          <cell r="Z998">
            <v>0</v>
          </cell>
        </row>
        <row r="999">
          <cell r="I999">
            <v>0</v>
          </cell>
          <cell r="J999">
            <v>0</v>
          </cell>
          <cell r="K999">
            <v>0</v>
          </cell>
          <cell r="L999">
            <v>0</v>
          </cell>
          <cell r="Y999">
            <v>0</v>
          </cell>
          <cell r="Z999">
            <v>0</v>
          </cell>
        </row>
        <row r="1001">
          <cell r="E1001" t="str">
            <v>VARIOS</v>
          </cell>
          <cell r="I1001">
            <v>0</v>
          </cell>
          <cell r="L1001">
            <v>0</v>
          </cell>
          <cell r="Z1001">
            <v>0</v>
          </cell>
        </row>
        <row r="1002">
          <cell r="I1002">
            <v>0</v>
          </cell>
          <cell r="J1002">
            <v>0</v>
          </cell>
          <cell r="K1002">
            <v>0</v>
          </cell>
          <cell r="L1002">
            <v>0</v>
          </cell>
          <cell r="Y1002">
            <v>0</v>
          </cell>
          <cell r="Z1002">
            <v>0</v>
          </cell>
        </row>
        <row r="1004">
          <cell r="E1004" t="str">
            <v>SUBTOTAL</v>
          </cell>
          <cell r="I1004">
            <v>56210</v>
          </cell>
          <cell r="L1004">
            <v>10792320</v>
          </cell>
          <cell r="Z1004" t="e">
            <v>#N/A</v>
          </cell>
        </row>
        <row r="1005">
          <cell r="E1005" t="str">
            <v>A.I.U</v>
          </cell>
          <cell r="I1005">
            <v>0</v>
          </cell>
          <cell r="L1005">
            <v>0</v>
          </cell>
          <cell r="Z1005">
            <v>0</v>
          </cell>
        </row>
        <row r="1006">
          <cell r="D1006" t="str">
            <v>AIUAADMON</v>
          </cell>
          <cell r="E1006" t="str">
            <v>Admon</v>
          </cell>
          <cell r="F1006">
            <v>0</v>
          </cell>
          <cell r="I1006">
            <v>0</v>
          </cell>
          <cell r="J1006">
            <v>0</v>
          </cell>
          <cell r="L1006">
            <v>0</v>
          </cell>
          <cell r="Z1006">
            <v>0</v>
          </cell>
        </row>
        <row r="1007">
          <cell r="D1007" t="str">
            <v>AIUAIMPRE</v>
          </cell>
          <cell r="E1007" t="str">
            <v>Imprevistos</v>
          </cell>
          <cell r="F1007">
            <v>0</v>
          </cell>
          <cell r="I1007">
            <v>0</v>
          </cell>
          <cell r="J1007">
            <v>0</v>
          </cell>
          <cell r="L1007">
            <v>0</v>
          </cell>
          <cell r="Z1007">
            <v>0</v>
          </cell>
        </row>
        <row r="1008">
          <cell r="D1008" t="str">
            <v>AIUAUTILI</v>
          </cell>
          <cell r="E1008" t="str">
            <v>Utilidad</v>
          </cell>
          <cell r="F1008">
            <v>0</v>
          </cell>
          <cell r="I1008">
            <v>0</v>
          </cell>
          <cell r="J1008">
            <v>0</v>
          </cell>
          <cell r="L1008">
            <v>0</v>
          </cell>
          <cell r="Z1008">
            <v>0</v>
          </cell>
        </row>
        <row r="1009">
          <cell r="D1009" t="str">
            <v>AIUAIVAUTI</v>
          </cell>
          <cell r="E1009" t="str">
            <v>IVA utilidad</v>
          </cell>
          <cell r="F1009">
            <v>0</v>
          </cell>
          <cell r="I1009">
            <v>0</v>
          </cell>
          <cell r="J1009">
            <v>0</v>
          </cell>
          <cell r="L1009">
            <v>0</v>
          </cell>
          <cell r="Z1009">
            <v>0</v>
          </cell>
        </row>
        <row r="1011">
          <cell r="D1011" t="str">
            <v>ANSTF20</v>
          </cell>
          <cell r="E1011" t="str">
            <v xml:space="preserve">Suministro Tuberia Flexible  PS 57 Ø 20" </v>
          </cell>
          <cell r="G1011" t="str">
            <v>UN.</v>
          </cell>
          <cell r="H1011" t="str">
            <v>Ml</v>
          </cell>
          <cell r="I1011">
            <v>86450</v>
          </cell>
          <cell r="K1011">
            <v>0</v>
          </cell>
          <cell r="L1011">
            <v>0</v>
          </cell>
          <cell r="N1011">
            <v>86450</v>
          </cell>
          <cell r="O1011">
            <v>0</v>
          </cell>
          <cell r="P1011">
            <v>0</v>
          </cell>
          <cell r="Q1011">
            <v>0</v>
          </cell>
          <cell r="X1011">
            <v>0</v>
          </cell>
          <cell r="Y1011" t="str">
            <v>Ml</v>
          </cell>
          <cell r="Z1011" t="e">
            <v>#N/A</v>
          </cell>
          <cell r="AA1011" t="e">
            <v>#N/A</v>
          </cell>
          <cell r="AB1011">
            <v>0</v>
          </cell>
          <cell r="AC1011">
            <v>0</v>
          </cell>
        </row>
        <row r="1013">
          <cell r="D1013" t="str">
            <v>CODIGO</v>
          </cell>
          <cell r="E1013" t="str">
            <v>DESCRIPCION</v>
          </cell>
          <cell r="F1013" t="str">
            <v>UN</v>
          </cell>
          <cell r="G1013" t="str">
            <v>CANT</v>
          </cell>
          <cell r="H1013" t="str">
            <v>V/UNIT.</v>
          </cell>
          <cell r="I1013" t="str">
            <v>V/TOTAL</v>
          </cell>
          <cell r="K1013" t="str">
            <v>CANT TOTAL</v>
          </cell>
          <cell r="L1013" t="str">
            <v>Vr TOTAL</v>
          </cell>
          <cell r="Y1013" t="str">
            <v>CANT.</v>
          </cell>
          <cell r="Z1013" t="str">
            <v>V/TOTAL</v>
          </cell>
        </row>
        <row r="1014">
          <cell r="E1014" t="str">
            <v>MATERIALES</v>
          </cell>
          <cell r="I1014">
            <v>86450</v>
          </cell>
          <cell r="L1014">
            <v>0</v>
          </cell>
          <cell r="Z1014" t="e">
            <v>#N/A</v>
          </cell>
        </row>
        <row r="1015">
          <cell r="D1015" t="str">
            <v>MA44TF20</v>
          </cell>
          <cell r="E1015" t="str">
            <v>Tuberia Flexible PS 57 20 "</v>
          </cell>
          <cell r="F1015" t="str">
            <v>Ml</v>
          </cell>
          <cell r="G1015">
            <v>1</v>
          </cell>
          <cell r="H1015">
            <v>86450</v>
          </cell>
          <cell r="I1015">
            <v>86450</v>
          </cell>
          <cell r="J1015">
            <v>0</v>
          </cell>
          <cell r="K1015">
            <v>0</v>
          </cell>
          <cell r="L1015">
            <v>0</v>
          </cell>
          <cell r="Y1015" t="e">
            <v>#N/A</v>
          </cell>
          <cell r="Z1015" t="e">
            <v>#N/A</v>
          </cell>
        </row>
        <row r="1016">
          <cell r="I1016">
            <v>0</v>
          </cell>
          <cell r="J1016">
            <v>0</v>
          </cell>
          <cell r="K1016">
            <v>0</v>
          </cell>
          <cell r="L1016">
            <v>0</v>
          </cell>
          <cell r="Y1016">
            <v>0</v>
          </cell>
          <cell r="Z1016">
            <v>0</v>
          </cell>
        </row>
        <row r="1017">
          <cell r="I1017">
            <v>0</v>
          </cell>
          <cell r="J1017">
            <v>0</v>
          </cell>
          <cell r="K1017">
            <v>0</v>
          </cell>
          <cell r="L1017">
            <v>0</v>
          </cell>
          <cell r="Y1017">
            <v>0</v>
          </cell>
          <cell r="Z1017">
            <v>0</v>
          </cell>
        </row>
        <row r="1019">
          <cell r="E1019" t="str">
            <v>MANO DE OBRA</v>
          </cell>
          <cell r="I1019">
            <v>0</v>
          </cell>
          <cell r="L1019">
            <v>0</v>
          </cell>
          <cell r="Z1019">
            <v>0</v>
          </cell>
        </row>
        <row r="1020">
          <cell r="I1020">
            <v>0</v>
          </cell>
          <cell r="J1020">
            <v>0</v>
          </cell>
          <cell r="K1020">
            <v>0</v>
          </cell>
          <cell r="L1020">
            <v>0</v>
          </cell>
          <cell r="Y1020">
            <v>0</v>
          </cell>
          <cell r="Z1020">
            <v>0</v>
          </cell>
        </row>
        <row r="1022">
          <cell r="E1022" t="str">
            <v>VARIOS</v>
          </cell>
          <cell r="I1022">
            <v>0</v>
          </cell>
          <cell r="L1022">
            <v>0</v>
          </cell>
          <cell r="Z1022">
            <v>0</v>
          </cell>
        </row>
        <row r="1023">
          <cell r="I1023">
            <v>0</v>
          </cell>
          <cell r="J1023">
            <v>0</v>
          </cell>
          <cell r="K1023">
            <v>0</v>
          </cell>
          <cell r="L1023">
            <v>0</v>
          </cell>
          <cell r="Y1023">
            <v>0</v>
          </cell>
          <cell r="Z1023">
            <v>0</v>
          </cell>
        </row>
        <row r="1025">
          <cell r="E1025" t="str">
            <v>SUBTOTAL</v>
          </cell>
          <cell r="I1025">
            <v>86450</v>
          </cell>
          <cell r="L1025">
            <v>0</v>
          </cell>
          <cell r="Z1025" t="e">
            <v>#N/A</v>
          </cell>
        </row>
        <row r="1026">
          <cell r="E1026" t="str">
            <v>A.I.U</v>
          </cell>
          <cell r="I1026">
            <v>0</v>
          </cell>
          <cell r="L1026">
            <v>0</v>
          </cell>
          <cell r="Z1026">
            <v>0</v>
          </cell>
        </row>
        <row r="1027">
          <cell r="D1027" t="str">
            <v>AIUAADMON</v>
          </cell>
          <cell r="E1027" t="str">
            <v>Admon</v>
          </cell>
          <cell r="F1027">
            <v>0</v>
          </cell>
          <cell r="I1027">
            <v>0</v>
          </cell>
          <cell r="J1027">
            <v>0</v>
          </cell>
          <cell r="L1027">
            <v>0</v>
          </cell>
          <cell r="Z1027">
            <v>0</v>
          </cell>
        </row>
        <row r="1028">
          <cell r="D1028" t="str">
            <v>AIUAIMPRE</v>
          </cell>
          <cell r="E1028" t="str">
            <v>Imprevistos</v>
          </cell>
          <cell r="F1028">
            <v>0</v>
          </cell>
          <cell r="I1028">
            <v>0</v>
          </cell>
          <cell r="J1028">
            <v>0</v>
          </cell>
          <cell r="L1028">
            <v>0</v>
          </cell>
          <cell r="Z1028">
            <v>0</v>
          </cell>
        </row>
        <row r="1029">
          <cell r="D1029" t="str">
            <v>AIUAUTILI</v>
          </cell>
          <cell r="E1029" t="str">
            <v>Utilidad</v>
          </cell>
          <cell r="F1029">
            <v>0</v>
          </cell>
          <cell r="I1029">
            <v>0</v>
          </cell>
          <cell r="J1029">
            <v>0</v>
          </cell>
          <cell r="L1029">
            <v>0</v>
          </cell>
          <cell r="Z1029">
            <v>0</v>
          </cell>
        </row>
        <row r="1030">
          <cell r="D1030" t="str">
            <v>AIUAIVAUTI</v>
          </cell>
          <cell r="E1030" t="str">
            <v>IVA utilidad</v>
          </cell>
          <cell r="F1030">
            <v>0</v>
          </cell>
          <cell r="I1030">
            <v>0</v>
          </cell>
          <cell r="J1030">
            <v>0</v>
          </cell>
          <cell r="L1030">
            <v>0</v>
          </cell>
          <cell r="Z1030">
            <v>0</v>
          </cell>
        </row>
        <row r="1032">
          <cell r="E1032" t="str">
            <v>ITEM</v>
          </cell>
        </row>
        <row r="1033">
          <cell r="D1033" t="str">
            <v>ANENTIMA</v>
          </cell>
          <cell r="E1033" t="str">
            <v>Entibado Madera</v>
          </cell>
          <cell r="G1033" t="str">
            <v>UN.</v>
          </cell>
          <cell r="H1033" t="str">
            <v>M3</v>
          </cell>
          <cell r="I1033">
            <v>2302</v>
          </cell>
          <cell r="K1033">
            <v>13728</v>
          </cell>
          <cell r="L1033">
            <v>31601856</v>
          </cell>
          <cell r="N1033">
            <v>1003</v>
          </cell>
          <cell r="O1033">
            <v>712</v>
          </cell>
          <cell r="P1033">
            <v>587</v>
          </cell>
          <cell r="Q1033">
            <v>0</v>
          </cell>
          <cell r="X1033">
            <v>31601856</v>
          </cell>
          <cell r="Y1033" t="str">
            <v>M3</v>
          </cell>
          <cell r="Z1033" t="e">
            <v>#N/A</v>
          </cell>
          <cell r="AA1033" t="e">
            <v>#N/A</v>
          </cell>
          <cell r="AB1033" t="e">
            <v>#N/A</v>
          </cell>
          <cell r="AC1033" t="e">
            <v>#N/A</v>
          </cell>
        </row>
        <row r="1035">
          <cell r="D1035" t="str">
            <v>CODIGO</v>
          </cell>
          <cell r="E1035" t="str">
            <v>DESCRIPCION</v>
          </cell>
          <cell r="F1035" t="str">
            <v>UN</v>
          </cell>
          <cell r="G1035" t="str">
            <v>CANT</v>
          </cell>
          <cell r="H1035" t="str">
            <v>V/UNIT.</v>
          </cell>
          <cell r="I1035" t="str">
            <v>V/TOTAL</v>
          </cell>
          <cell r="K1035" t="str">
            <v>CANT TOTAL</v>
          </cell>
          <cell r="L1035" t="str">
            <v>Vr TOTAL</v>
          </cell>
          <cell r="Y1035" t="str">
            <v>CANT.</v>
          </cell>
          <cell r="Z1035" t="str">
            <v>V/TOTAL</v>
          </cell>
        </row>
        <row r="1036">
          <cell r="E1036" t="str">
            <v>MATERIALES</v>
          </cell>
          <cell r="I1036">
            <v>1003</v>
          </cell>
          <cell r="L1036">
            <v>13769184</v>
          </cell>
          <cell r="Z1036" t="e">
            <v>#N/A</v>
          </cell>
        </row>
        <row r="1037">
          <cell r="D1037" t="str">
            <v>MA25VL6</v>
          </cell>
          <cell r="E1037" t="str">
            <v>Vara Limaton 6m Diametro 12-15</v>
          </cell>
          <cell r="F1037" t="str">
            <v>Un</v>
          </cell>
          <cell r="G1037">
            <v>2.4E-2</v>
          </cell>
          <cell r="H1037">
            <v>18560</v>
          </cell>
          <cell r="I1037">
            <v>445</v>
          </cell>
          <cell r="J1037">
            <v>0</v>
          </cell>
          <cell r="K1037">
            <v>329.47199999999998</v>
          </cell>
          <cell r="L1037">
            <v>6115000.3199999994</v>
          </cell>
          <cell r="Y1037" t="e">
            <v>#N/A</v>
          </cell>
          <cell r="Z1037" t="e">
            <v>#N/A</v>
          </cell>
        </row>
        <row r="1038">
          <cell r="D1038" t="str">
            <v>MA25PO3</v>
          </cell>
          <cell r="E1038" t="str">
            <v>Planchon 3 Mts. 0,04*0,20*3,00</v>
          </cell>
          <cell r="F1038" t="str">
            <v>Un</v>
          </cell>
          <cell r="G1038">
            <v>2.7E-2</v>
          </cell>
          <cell r="H1038">
            <v>9860</v>
          </cell>
          <cell r="I1038">
            <v>266</v>
          </cell>
          <cell r="J1038">
            <v>0</v>
          </cell>
          <cell r="K1038">
            <v>370.65600000000001</v>
          </cell>
          <cell r="L1038">
            <v>3654668.16</v>
          </cell>
          <cell r="Y1038" t="e">
            <v>#N/A</v>
          </cell>
          <cell r="Z1038" t="e">
            <v>#N/A</v>
          </cell>
        </row>
        <row r="1039">
          <cell r="D1039" t="str">
            <v>MA25VI3</v>
          </cell>
          <cell r="E1039" t="str">
            <v>Vigas 0,10*0,20*3,00</v>
          </cell>
          <cell r="F1039" t="str">
            <v>Un</v>
          </cell>
          <cell r="G1039">
            <v>1.4E-2</v>
          </cell>
          <cell r="H1039">
            <v>20880</v>
          </cell>
          <cell r="I1039">
            <v>292</v>
          </cell>
          <cell r="J1039">
            <v>0</v>
          </cell>
          <cell r="K1039">
            <v>192.19200000000001</v>
          </cell>
          <cell r="L1039">
            <v>4012968.96</v>
          </cell>
          <cell r="Y1039" t="e">
            <v>#N/A</v>
          </cell>
          <cell r="Z1039" t="e">
            <v>#N/A</v>
          </cell>
        </row>
        <row r="1041">
          <cell r="E1041" t="str">
            <v>MANO DE OBRA</v>
          </cell>
          <cell r="I1041">
            <v>712</v>
          </cell>
          <cell r="L1041">
            <v>9774336</v>
          </cell>
          <cell r="Z1041" t="e">
            <v>#N/A</v>
          </cell>
        </row>
        <row r="1042">
          <cell r="D1042" t="str">
            <v>MOANENT</v>
          </cell>
          <cell r="E1042" t="str">
            <v>Entibado</v>
          </cell>
          <cell r="F1042" t="str">
            <v>M2</v>
          </cell>
          <cell r="G1042">
            <v>0.57199999999999995</v>
          </cell>
          <cell r="H1042">
            <v>1245</v>
          </cell>
          <cell r="I1042">
            <v>712</v>
          </cell>
          <cell r="J1042">
            <v>0</v>
          </cell>
          <cell r="K1042">
            <v>7852.4159999999993</v>
          </cell>
          <cell r="L1042">
            <v>9776257.9199999999</v>
          </cell>
          <cell r="Y1042" t="e">
            <v>#N/A</v>
          </cell>
          <cell r="Z1042" t="e">
            <v>#N/A</v>
          </cell>
        </row>
        <row r="1044">
          <cell r="E1044" t="str">
            <v>VARIOS</v>
          </cell>
          <cell r="I1044">
            <v>587</v>
          </cell>
          <cell r="L1044">
            <v>8058336</v>
          </cell>
          <cell r="Z1044" t="e">
            <v>#N/A</v>
          </cell>
        </row>
        <row r="1045">
          <cell r="D1045" t="str">
            <v>AL07PA</v>
          </cell>
          <cell r="E1045" t="str">
            <v>Parales</v>
          </cell>
          <cell r="F1045" t="str">
            <v>mes</v>
          </cell>
          <cell r="G1045">
            <v>0.115</v>
          </cell>
          <cell r="H1045">
            <v>1450</v>
          </cell>
          <cell r="I1045">
            <v>167</v>
          </cell>
          <cell r="J1045">
            <v>0</v>
          </cell>
          <cell r="K1045">
            <v>1578.72</v>
          </cell>
          <cell r="L1045">
            <v>2289144</v>
          </cell>
          <cell r="Y1045" t="e">
            <v>#N/A</v>
          </cell>
          <cell r="Z1045" t="e">
            <v>#N/A</v>
          </cell>
        </row>
        <row r="1046">
          <cell r="D1046" t="str">
            <v>AL04RETROE</v>
          </cell>
          <cell r="E1046" t="str">
            <v>Retro Oruga</v>
          </cell>
          <cell r="F1046" t="str">
            <v>Hr</v>
          </cell>
          <cell r="G1046">
            <v>7.0000000000000001E-3</v>
          </cell>
          <cell r="H1046">
            <v>60000</v>
          </cell>
          <cell r="I1046">
            <v>420</v>
          </cell>
          <cell r="J1046">
            <v>0</v>
          </cell>
          <cell r="K1046">
            <v>96.096000000000004</v>
          </cell>
          <cell r="L1046">
            <v>5765760</v>
          </cell>
          <cell r="Y1046" t="e">
            <v>#N/A</v>
          </cell>
          <cell r="Z1046" t="e">
            <v>#N/A</v>
          </cell>
        </row>
        <row r="1047">
          <cell r="E1047" t="str">
            <v>SUBTOTAL</v>
          </cell>
          <cell r="I1047">
            <v>2302</v>
          </cell>
          <cell r="L1047">
            <v>31601856</v>
          </cell>
          <cell r="Z1047" t="e">
            <v>#N/A</v>
          </cell>
        </row>
        <row r="1048">
          <cell r="E1048" t="str">
            <v>A.I.U</v>
          </cell>
          <cell r="I1048">
            <v>0</v>
          </cell>
          <cell r="L1048">
            <v>0</v>
          </cell>
          <cell r="Z1048">
            <v>0</v>
          </cell>
        </row>
        <row r="1049">
          <cell r="D1049" t="str">
            <v>AIUAADMON</v>
          </cell>
          <cell r="E1049" t="str">
            <v>Admon</v>
          </cell>
          <cell r="F1049">
            <v>0</v>
          </cell>
          <cell r="I1049">
            <v>0</v>
          </cell>
          <cell r="J1049">
            <v>0</v>
          </cell>
          <cell r="L1049">
            <v>0</v>
          </cell>
          <cell r="Z1049">
            <v>0</v>
          </cell>
        </row>
        <row r="1050">
          <cell r="D1050" t="str">
            <v>AIUAIMPRE</v>
          </cell>
          <cell r="E1050" t="str">
            <v>Imprevistos</v>
          </cell>
          <cell r="F1050">
            <v>0</v>
          </cell>
          <cell r="I1050">
            <v>0</v>
          </cell>
          <cell r="J1050">
            <v>0</v>
          </cell>
          <cell r="L1050">
            <v>0</v>
          </cell>
          <cell r="Z1050">
            <v>0</v>
          </cell>
        </row>
        <row r="1051">
          <cell r="D1051" t="str">
            <v>AIUAUTILI</v>
          </cell>
          <cell r="E1051" t="str">
            <v>Utilidad</v>
          </cell>
          <cell r="F1051">
            <v>0</v>
          </cell>
          <cell r="I1051">
            <v>0</v>
          </cell>
          <cell r="J1051">
            <v>0</v>
          </cell>
          <cell r="L1051">
            <v>0</v>
          </cell>
          <cell r="Z1051">
            <v>0</v>
          </cell>
        </row>
        <row r="1052">
          <cell r="D1052" t="str">
            <v>AIUAIVAUTI</v>
          </cell>
          <cell r="E1052" t="str">
            <v>IVA utilidad</v>
          </cell>
          <cell r="F1052">
            <v>0</v>
          </cell>
          <cell r="I1052">
            <v>0</v>
          </cell>
          <cell r="J1052">
            <v>0</v>
          </cell>
          <cell r="L1052">
            <v>0</v>
          </cell>
          <cell r="Z1052">
            <v>0</v>
          </cell>
        </row>
        <row r="1054">
          <cell r="D1054" t="str">
            <v>ANGER</v>
          </cell>
          <cell r="E1054" t="str">
            <v>Geotextil para Estabilización y Refuerzo Tipo 1</v>
          </cell>
          <cell r="G1054" t="str">
            <v>UN.</v>
          </cell>
          <cell r="H1054" t="str">
            <v>M2</v>
          </cell>
          <cell r="I1054">
            <v>3058</v>
          </cell>
          <cell r="K1054">
            <v>165</v>
          </cell>
          <cell r="L1054">
            <v>504570</v>
          </cell>
          <cell r="N1054">
            <v>2258</v>
          </cell>
          <cell r="O1054">
            <v>800</v>
          </cell>
          <cell r="P1054">
            <v>0</v>
          </cell>
          <cell r="Q1054">
            <v>0</v>
          </cell>
          <cell r="X1054">
            <v>504570</v>
          </cell>
          <cell r="Y1054" t="str">
            <v>M2</v>
          </cell>
          <cell r="Z1054" t="e">
            <v>#N/A</v>
          </cell>
          <cell r="AA1054" t="e">
            <v>#N/A</v>
          </cell>
          <cell r="AB1054" t="e">
            <v>#N/A</v>
          </cell>
          <cell r="AC1054">
            <v>0</v>
          </cell>
        </row>
        <row r="1056">
          <cell r="D1056" t="str">
            <v>CODIGO</v>
          </cell>
          <cell r="E1056" t="str">
            <v>DESCRIPCION</v>
          </cell>
          <cell r="F1056" t="str">
            <v>UN</v>
          </cell>
          <cell r="G1056" t="str">
            <v>CANT</v>
          </cell>
          <cell r="H1056" t="str">
            <v>V/UNIT.</v>
          </cell>
          <cell r="I1056" t="str">
            <v>V/TOTAL</v>
          </cell>
          <cell r="K1056" t="str">
            <v>CANT TOTAL</v>
          </cell>
          <cell r="L1056" t="str">
            <v>Vr TOTAL</v>
          </cell>
          <cell r="Y1056" t="str">
            <v>CANT.</v>
          </cell>
          <cell r="Z1056" t="str">
            <v>V/TOTAL</v>
          </cell>
        </row>
        <row r="1057">
          <cell r="E1057" t="str">
            <v>MATERIALES</v>
          </cell>
          <cell r="I1057">
            <v>2258</v>
          </cell>
          <cell r="L1057">
            <v>372570</v>
          </cell>
          <cell r="Z1057" t="e">
            <v>#N/A</v>
          </cell>
        </row>
        <row r="1058">
          <cell r="D1058" t="str">
            <v>MA26GE16NT</v>
          </cell>
          <cell r="E1058" t="str">
            <v>Geotextil 1600 NT</v>
          </cell>
          <cell r="F1058" t="str">
            <v>m2</v>
          </cell>
          <cell r="G1058">
            <v>1.05</v>
          </cell>
          <cell r="H1058">
            <v>2150</v>
          </cell>
          <cell r="I1058">
            <v>2258</v>
          </cell>
          <cell r="J1058">
            <v>0</v>
          </cell>
          <cell r="K1058">
            <v>173.25</v>
          </cell>
          <cell r="L1058">
            <v>372487.5</v>
          </cell>
          <cell r="Y1058" t="e">
            <v>#N/A</v>
          </cell>
          <cell r="Z1058" t="e">
            <v>#N/A</v>
          </cell>
        </row>
        <row r="1060">
          <cell r="E1060" t="str">
            <v>MANO DE OBRA</v>
          </cell>
          <cell r="I1060">
            <v>800</v>
          </cell>
          <cell r="L1060">
            <v>132000</v>
          </cell>
          <cell r="Z1060" t="e">
            <v>#N/A</v>
          </cell>
        </row>
        <row r="1061">
          <cell r="D1061" t="str">
            <v>MOANIGE</v>
          </cell>
          <cell r="E1061" t="str">
            <v xml:space="preserve">Instalación Geotextilespara estabilizacion </v>
          </cell>
          <cell r="F1061" t="str">
            <v>M2</v>
          </cell>
          <cell r="G1061">
            <v>1</v>
          </cell>
          <cell r="H1061">
            <v>800</v>
          </cell>
          <cell r="I1061">
            <v>800</v>
          </cell>
          <cell r="J1061">
            <v>0</v>
          </cell>
          <cell r="K1061">
            <v>165</v>
          </cell>
          <cell r="L1061">
            <v>132000</v>
          </cell>
          <cell r="Y1061" t="e">
            <v>#N/A</v>
          </cell>
          <cell r="Z1061" t="e">
            <v>#N/A</v>
          </cell>
        </row>
        <row r="1063">
          <cell r="E1063" t="str">
            <v>VARIOS</v>
          </cell>
          <cell r="I1063">
            <v>0</v>
          </cell>
          <cell r="L1063">
            <v>0</v>
          </cell>
          <cell r="Z1063">
            <v>0</v>
          </cell>
        </row>
        <row r="1065">
          <cell r="D1065" t="str">
            <v/>
          </cell>
        </row>
        <row r="1066">
          <cell r="E1066" t="str">
            <v>SUBTOTAL</v>
          </cell>
          <cell r="I1066">
            <v>3058</v>
          </cell>
          <cell r="L1066">
            <v>504570</v>
          </cell>
          <cell r="Z1066" t="e">
            <v>#N/A</v>
          </cell>
        </row>
        <row r="1067">
          <cell r="E1067" t="str">
            <v>A.I.U</v>
          </cell>
          <cell r="I1067">
            <v>0</v>
          </cell>
          <cell r="L1067">
            <v>0</v>
          </cell>
          <cell r="Z1067">
            <v>0</v>
          </cell>
        </row>
        <row r="1068">
          <cell r="D1068" t="str">
            <v>AIUAADMON</v>
          </cell>
          <cell r="E1068" t="str">
            <v>Admon</v>
          </cell>
          <cell r="F1068">
            <v>0</v>
          </cell>
          <cell r="I1068">
            <v>0</v>
          </cell>
          <cell r="J1068">
            <v>0</v>
          </cell>
          <cell r="L1068">
            <v>0</v>
          </cell>
          <cell r="Z1068">
            <v>0</v>
          </cell>
        </row>
        <row r="1069">
          <cell r="D1069" t="str">
            <v>AIUAIMPRE</v>
          </cell>
          <cell r="E1069" t="str">
            <v>Imprevistos</v>
          </cell>
          <cell r="F1069">
            <v>0</v>
          </cell>
          <cell r="I1069">
            <v>0</v>
          </cell>
          <cell r="J1069">
            <v>0</v>
          </cell>
          <cell r="L1069">
            <v>0</v>
          </cell>
          <cell r="Z1069">
            <v>0</v>
          </cell>
        </row>
        <row r="1070">
          <cell r="D1070" t="str">
            <v>AIUAUTILI</v>
          </cell>
          <cell r="E1070" t="str">
            <v>Utilidad</v>
          </cell>
          <cell r="F1070">
            <v>0</v>
          </cell>
          <cell r="I1070">
            <v>0</v>
          </cell>
          <cell r="J1070">
            <v>0</v>
          </cell>
          <cell r="L1070">
            <v>0</v>
          </cell>
          <cell r="Z1070">
            <v>0</v>
          </cell>
        </row>
        <row r="1071">
          <cell r="D1071" t="str">
            <v>AIUAIVAUTI</v>
          </cell>
          <cell r="E1071" t="str">
            <v>IVA utilidad</v>
          </cell>
          <cell r="F1071">
            <v>0</v>
          </cell>
          <cell r="I1071">
            <v>0</v>
          </cell>
          <cell r="J1071">
            <v>0</v>
          </cell>
          <cell r="L1071">
            <v>0</v>
          </cell>
          <cell r="Z1071">
            <v>0</v>
          </cell>
        </row>
        <row r="1073">
          <cell r="D1073" t="str">
            <v>ANGFD</v>
          </cell>
          <cell r="E1073" t="str">
            <v>Geotextil para Filtración y Drenaje Tipo 1</v>
          </cell>
          <cell r="G1073" t="str">
            <v>UN.</v>
          </cell>
          <cell r="H1073" t="str">
            <v>M2</v>
          </cell>
          <cell r="I1073">
            <v>3108</v>
          </cell>
          <cell r="K1073">
            <v>383</v>
          </cell>
          <cell r="L1073">
            <v>1190364</v>
          </cell>
          <cell r="N1073">
            <v>2258</v>
          </cell>
          <cell r="O1073">
            <v>850</v>
          </cell>
          <cell r="P1073">
            <v>0</v>
          </cell>
          <cell r="Q1073">
            <v>0</v>
          </cell>
          <cell r="X1073">
            <v>1190364</v>
          </cell>
          <cell r="Y1073" t="str">
            <v>M2</v>
          </cell>
          <cell r="Z1073" t="e">
            <v>#N/A</v>
          </cell>
          <cell r="AA1073" t="e">
            <v>#N/A</v>
          </cell>
          <cell r="AB1073" t="e">
            <v>#N/A</v>
          </cell>
          <cell r="AC1073">
            <v>0</v>
          </cell>
        </row>
        <row r="1075">
          <cell r="D1075" t="str">
            <v>CODIGO</v>
          </cell>
          <cell r="E1075" t="str">
            <v>DESCRIPCION</v>
          </cell>
          <cell r="F1075" t="str">
            <v>UN</v>
          </cell>
          <cell r="G1075" t="str">
            <v>CANT</v>
          </cell>
          <cell r="H1075" t="str">
            <v>V/UNIT.</v>
          </cell>
          <cell r="I1075" t="str">
            <v>V/TOTAL</v>
          </cell>
          <cell r="K1075" t="str">
            <v>CANT TOTAL</v>
          </cell>
          <cell r="L1075" t="str">
            <v>Vr TOTAL</v>
          </cell>
          <cell r="Y1075" t="str">
            <v>CANT.</v>
          </cell>
          <cell r="Z1075" t="str">
            <v>V/TOTAL</v>
          </cell>
        </row>
        <row r="1076">
          <cell r="E1076" t="str">
            <v>MATERIALES</v>
          </cell>
          <cell r="I1076">
            <v>2258</v>
          </cell>
          <cell r="L1076">
            <v>864814</v>
          </cell>
          <cell r="Z1076" t="e">
            <v>#N/A</v>
          </cell>
        </row>
        <row r="1077">
          <cell r="D1077" t="str">
            <v>MA26GE16NT</v>
          </cell>
          <cell r="E1077" t="str">
            <v>Geotextil 1600 NT</v>
          </cell>
          <cell r="F1077" t="str">
            <v>m2</v>
          </cell>
          <cell r="G1077">
            <v>1.05</v>
          </cell>
          <cell r="H1077">
            <v>2150</v>
          </cell>
          <cell r="I1077">
            <v>2258</v>
          </cell>
          <cell r="J1077">
            <v>0</v>
          </cell>
          <cell r="K1077">
            <v>402.15000000000003</v>
          </cell>
          <cell r="L1077">
            <v>864622.50000000012</v>
          </cell>
          <cell r="Y1077" t="e">
            <v>#N/A</v>
          </cell>
          <cell r="Z1077" t="e">
            <v>#N/A</v>
          </cell>
        </row>
        <row r="1079">
          <cell r="E1079" t="str">
            <v>MANO DE OBRA</v>
          </cell>
          <cell r="I1079">
            <v>850</v>
          </cell>
          <cell r="L1079">
            <v>325550</v>
          </cell>
          <cell r="Z1079" t="e">
            <v>#N/A</v>
          </cell>
        </row>
        <row r="1080">
          <cell r="D1080" t="str">
            <v>MOANIGF</v>
          </cell>
          <cell r="E1080" t="str">
            <v>Instalación Geotextilespara Filtraciones</v>
          </cell>
          <cell r="F1080" t="str">
            <v>M2</v>
          </cell>
          <cell r="G1080">
            <v>1</v>
          </cell>
          <cell r="H1080">
            <v>850</v>
          </cell>
          <cell r="I1080">
            <v>850</v>
          </cell>
          <cell r="J1080">
            <v>0</v>
          </cell>
          <cell r="K1080">
            <v>383</v>
          </cell>
          <cell r="L1080">
            <v>325550</v>
          </cell>
          <cell r="Y1080" t="e">
            <v>#N/A</v>
          </cell>
          <cell r="Z1080" t="e">
            <v>#N/A</v>
          </cell>
        </row>
        <row r="1082">
          <cell r="E1082" t="str">
            <v>VARIOS</v>
          </cell>
          <cell r="I1082">
            <v>0</v>
          </cell>
          <cell r="L1082">
            <v>0</v>
          </cell>
          <cell r="Z1082">
            <v>0</v>
          </cell>
        </row>
        <row r="1084">
          <cell r="D1084" t="str">
            <v/>
          </cell>
        </row>
        <row r="1085">
          <cell r="E1085" t="str">
            <v>SUBTOTAL</v>
          </cell>
          <cell r="I1085">
            <v>3108</v>
          </cell>
          <cell r="L1085">
            <v>1190364</v>
          </cell>
          <cell r="Z1085" t="e">
            <v>#N/A</v>
          </cell>
        </row>
        <row r="1086">
          <cell r="E1086" t="str">
            <v>A.I.U</v>
          </cell>
          <cell r="I1086">
            <v>0</v>
          </cell>
          <cell r="L1086">
            <v>0</v>
          </cell>
          <cell r="Z1086">
            <v>0</v>
          </cell>
        </row>
        <row r="1087">
          <cell r="D1087" t="str">
            <v>AIUAADMON</v>
          </cell>
          <cell r="E1087" t="str">
            <v>Admon</v>
          </cell>
          <cell r="F1087">
            <v>0</v>
          </cell>
          <cell r="I1087">
            <v>0</v>
          </cell>
          <cell r="J1087">
            <v>0</v>
          </cell>
          <cell r="L1087">
            <v>0</v>
          </cell>
          <cell r="Z1087">
            <v>0</v>
          </cell>
        </row>
        <row r="1088">
          <cell r="D1088" t="str">
            <v>AIUAIMPRE</v>
          </cell>
          <cell r="E1088" t="str">
            <v>Imprevistos</v>
          </cell>
          <cell r="F1088">
            <v>0</v>
          </cell>
          <cell r="I1088">
            <v>0</v>
          </cell>
          <cell r="J1088">
            <v>0</v>
          </cell>
          <cell r="L1088">
            <v>0</v>
          </cell>
          <cell r="Z1088">
            <v>0</v>
          </cell>
        </row>
        <row r="1089">
          <cell r="D1089" t="str">
            <v>AIUAUTILI</v>
          </cell>
          <cell r="E1089" t="str">
            <v>Utilidad</v>
          </cell>
          <cell r="F1089">
            <v>0</v>
          </cell>
          <cell r="I1089">
            <v>0</v>
          </cell>
          <cell r="J1089">
            <v>0</v>
          </cell>
          <cell r="L1089">
            <v>0</v>
          </cell>
          <cell r="Z1089">
            <v>0</v>
          </cell>
        </row>
        <row r="1090">
          <cell r="D1090" t="str">
            <v>AIUAIVAUTI</v>
          </cell>
          <cell r="E1090" t="str">
            <v>IVA utilidad</v>
          </cell>
          <cell r="F1090">
            <v>0</v>
          </cell>
          <cell r="I1090">
            <v>0</v>
          </cell>
          <cell r="J1090">
            <v>0</v>
          </cell>
          <cell r="L1090">
            <v>0</v>
          </cell>
          <cell r="Z1090">
            <v>0</v>
          </cell>
        </row>
        <row r="1092">
          <cell r="E1092" t="str">
            <v>ITEM</v>
          </cell>
        </row>
        <row r="1093">
          <cell r="D1093" t="str">
            <v>ANPOMA</v>
          </cell>
          <cell r="E1093" t="str">
            <v xml:space="preserve">Pozo Inspección Mamposteria </v>
          </cell>
          <cell r="G1093" t="str">
            <v>UN.</v>
          </cell>
          <cell r="H1093" t="str">
            <v>Ml</v>
          </cell>
          <cell r="I1093">
            <v>224479</v>
          </cell>
          <cell r="K1093">
            <v>234.95</v>
          </cell>
          <cell r="L1093">
            <v>52741341.049999997</v>
          </cell>
          <cell r="N1093">
            <v>188979</v>
          </cell>
          <cell r="O1093">
            <v>35000</v>
          </cell>
          <cell r="P1093">
            <v>500</v>
          </cell>
          <cell r="Q1093">
            <v>0</v>
          </cell>
          <cell r="X1093">
            <v>52741341.049999997</v>
          </cell>
          <cell r="Y1093" t="str">
            <v>Ml</v>
          </cell>
          <cell r="Z1093" t="e">
            <v>#VALUE!</v>
          </cell>
          <cell r="AA1093" t="e">
            <v>#VALUE!</v>
          </cell>
          <cell r="AB1093" t="e">
            <v>#VALUE!</v>
          </cell>
          <cell r="AC1093" t="e">
            <v>#VALUE!</v>
          </cell>
        </row>
        <row r="1095">
          <cell r="D1095" t="str">
            <v>CODIGO</v>
          </cell>
          <cell r="E1095" t="str">
            <v>DESCRIPCION</v>
          </cell>
          <cell r="F1095" t="str">
            <v>UN</v>
          </cell>
          <cell r="G1095" t="str">
            <v>CANT</v>
          </cell>
          <cell r="H1095" t="str">
            <v>V/UNIT.</v>
          </cell>
          <cell r="I1095" t="str">
            <v>V/TOTAL</v>
          </cell>
          <cell r="K1095" t="str">
            <v>CANT TOTAL</v>
          </cell>
          <cell r="L1095" t="str">
            <v>Vr TOTAL</v>
          </cell>
          <cell r="Y1095" t="str">
            <v>CANT.</v>
          </cell>
          <cell r="Z1095" t="str">
            <v>V/TOTAL</v>
          </cell>
        </row>
        <row r="1096">
          <cell r="E1096" t="str">
            <v>MATERIALES</v>
          </cell>
          <cell r="I1096">
            <v>188979</v>
          </cell>
          <cell r="L1096">
            <v>44400616.049999997</v>
          </cell>
          <cell r="Z1096" t="e">
            <v>#VALUE!</v>
          </cell>
        </row>
        <row r="1097">
          <cell r="D1097" t="str">
            <v>MA06TR</v>
          </cell>
          <cell r="E1097" t="str">
            <v>Ladrillo Tolete Recocido</v>
          </cell>
          <cell r="F1097" t="str">
            <v>Un</v>
          </cell>
          <cell r="G1097">
            <v>380</v>
          </cell>
          <cell r="H1097">
            <v>220</v>
          </cell>
          <cell r="I1097">
            <v>83600</v>
          </cell>
          <cell r="J1097">
            <v>0</v>
          </cell>
          <cell r="K1097">
            <v>89281</v>
          </cell>
          <cell r="L1097">
            <v>19641820</v>
          </cell>
          <cell r="Y1097" t="e">
            <v>#VALUE!</v>
          </cell>
          <cell r="Z1097" t="e">
            <v>#VALUE!</v>
          </cell>
        </row>
        <row r="1098">
          <cell r="D1098" t="str">
            <v>MA02AS</v>
          </cell>
          <cell r="E1098" t="str">
            <v>Arena Semilavada</v>
          </cell>
          <cell r="F1098" t="str">
            <v>M3</v>
          </cell>
          <cell r="G1098">
            <v>1.0455999999999999</v>
          </cell>
          <cell r="H1098">
            <v>19500</v>
          </cell>
          <cell r="I1098">
            <v>20389</v>
          </cell>
          <cell r="J1098">
            <v>0</v>
          </cell>
          <cell r="K1098">
            <v>245.66371999999996</v>
          </cell>
          <cell r="L1098">
            <v>4790442.5399999991</v>
          </cell>
          <cell r="Y1098" t="e">
            <v>#VALUE!</v>
          </cell>
          <cell r="Z1098" t="e">
            <v>#VALUE!</v>
          </cell>
        </row>
        <row r="1099">
          <cell r="D1099" t="str">
            <v>MA03CG</v>
          </cell>
          <cell r="E1099" t="str">
            <v>Cemento Gris</v>
          </cell>
          <cell r="F1099" t="str">
            <v>Kg</v>
          </cell>
          <cell r="G1099">
            <v>195.249</v>
          </cell>
          <cell r="H1099">
            <v>190</v>
          </cell>
          <cell r="I1099">
            <v>37097</v>
          </cell>
          <cell r="J1099">
            <v>0</v>
          </cell>
          <cell r="K1099">
            <v>45873.752549999997</v>
          </cell>
          <cell r="L1099">
            <v>8716012.9845000003</v>
          </cell>
          <cell r="Y1099" t="e">
            <v>#VALUE!</v>
          </cell>
          <cell r="Z1099" t="e">
            <v>#VALUE!</v>
          </cell>
        </row>
        <row r="1100">
          <cell r="D1100" t="str">
            <v>MA01H6</v>
          </cell>
          <cell r="E1100" t="str">
            <v>Acero PDR60 N. 6</v>
          </cell>
          <cell r="F1100" t="str">
            <v>Kg</v>
          </cell>
          <cell r="G1100">
            <v>8</v>
          </cell>
          <cell r="H1100">
            <v>2150</v>
          </cell>
          <cell r="I1100">
            <v>17200</v>
          </cell>
          <cell r="J1100">
            <v>0</v>
          </cell>
          <cell r="K1100">
            <v>1879.6</v>
          </cell>
          <cell r="L1100">
            <v>4041140</v>
          </cell>
          <cell r="Y1100" t="e">
            <v>#VALUE!</v>
          </cell>
          <cell r="Z1100" t="e">
            <v>#VALUE!</v>
          </cell>
        </row>
        <row r="1101">
          <cell r="D1101" t="str">
            <v>MA26GE16NT</v>
          </cell>
          <cell r="E1101" t="str">
            <v>Geotextil 1600 NT</v>
          </cell>
          <cell r="F1101" t="str">
            <v>m2</v>
          </cell>
          <cell r="G1101">
            <v>7.3920000000000003</v>
          </cell>
          <cell r="H1101">
            <v>2150</v>
          </cell>
          <cell r="I1101">
            <v>15893</v>
          </cell>
          <cell r="J1101">
            <v>0</v>
          </cell>
          <cell r="K1101">
            <v>1736.7503999999999</v>
          </cell>
          <cell r="L1101">
            <v>3734013.36</v>
          </cell>
          <cell r="Y1101" t="e">
            <v>#N/A</v>
          </cell>
          <cell r="Z1101" t="e">
            <v>#N/A</v>
          </cell>
        </row>
        <row r="1102">
          <cell r="D1102" t="str">
            <v>MA27T</v>
          </cell>
          <cell r="E1102" t="str">
            <v>Toxement</v>
          </cell>
          <cell r="F1102" t="str">
            <v>kg</v>
          </cell>
          <cell r="G1102">
            <v>8</v>
          </cell>
          <cell r="H1102">
            <v>1850</v>
          </cell>
          <cell r="I1102">
            <v>14800</v>
          </cell>
          <cell r="J1102">
            <v>0</v>
          </cell>
          <cell r="K1102">
            <v>1879.6</v>
          </cell>
          <cell r="L1102">
            <v>3477260</v>
          </cell>
          <cell r="Y1102" t="e">
            <v>#VALUE!</v>
          </cell>
          <cell r="Z1102" t="e">
            <v>#VALUE!</v>
          </cell>
        </row>
        <row r="1104">
          <cell r="E1104" t="str">
            <v>MANO DE OBRA</v>
          </cell>
          <cell r="I1104">
            <v>35000</v>
          </cell>
          <cell r="J1104">
            <v>0</v>
          </cell>
          <cell r="L1104">
            <v>8223250</v>
          </cell>
          <cell r="Z1104" t="e">
            <v>#VALUE!</v>
          </cell>
        </row>
        <row r="1105">
          <cell r="D1105" t="str">
            <v>MOANPM</v>
          </cell>
          <cell r="E1105" t="str">
            <v>Pozo Inspeccion Mamposteria</v>
          </cell>
          <cell r="F1105" t="str">
            <v>Ml</v>
          </cell>
          <cell r="G1105">
            <v>1</v>
          </cell>
          <cell r="H1105">
            <v>35000</v>
          </cell>
          <cell r="I1105">
            <v>35000</v>
          </cell>
          <cell r="J1105">
            <v>0</v>
          </cell>
          <cell r="K1105">
            <v>234.95</v>
          </cell>
          <cell r="L1105">
            <v>8223250</v>
          </cell>
          <cell r="Y1105" t="e">
            <v>#VALUE!</v>
          </cell>
          <cell r="Z1105" t="e">
            <v>#VALUE!</v>
          </cell>
        </row>
        <row r="1107">
          <cell r="E1107" t="str">
            <v>VARIOS</v>
          </cell>
          <cell r="I1107">
            <v>500</v>
          </cell>
          <cell r="L1107">
            <v>117475</v>
          </cell>
          <cell r="Z1107" t="e">
            <v>#VALUE!</v>
          </cell>
        </row>
        <row r="1108">
          <cell r="D1108" t="str">
            <v>TC07H350</v>
          </cell>
          <cell r="E1108" t="str">
            <v>Herramienta</v>
          </cell>
          <cell r="F1108" t="str">
            <v>Gb</v>
          </cell>
          <cell r="G1108">
            <v>1</v>
          </cell>
          <cell r="H1108">
            <v>500</v>
          </cell>
          <cell r="I1108">
            <v>500</v>
          </cell>
          <cell r="J1108">
            <v>0</v>
          </cell>
          <cell r="K1108">
            <v>234.95</v>
          </cell>
          <cell r="L1108">
            <v>117475</v>
          </cell>
          <cell r="Y1108" t="e">
            <v>#VALUE!</v>
          </cell>
          <cell r="Z1108" t="e">
            <v>#VALUE!</v>
          </cell>
        </row>
        <row r="1109">
          <cell r="D1109" t="str">
            <v/>
          </cell>
        </row>
        <row r="1110">
          <cell r="E1110" t="str">
            <v>SUBTOTAL</v>
          </cell>
          <cell r="I1110">
            <v>224479</v>
          </cell>
          <cell r="L1110">
            <v>52741341.049999997</v>
          </cell>
          <cell r="Z1110" t="e">
            <v>#VALUE!</v>
          </cell>
        </row>
        <row r="1111">
          <cell r="E1111" t="str">
            <v>A.I.U</v>
          </cell>
          <cell r="I1111">
            <v>0</v>
          </cell>
          <cell r="L1111">
            <v>0</v>
          </cell>
          <cell r="Z1111">
            <v>0</v>
          </cell>
        </row>
        <row r="1112">
          <cell r="D1112" t="str">
            <v>AIUAADMON</v>
          </cell>
          <cell r="E1112" t="str">
            <v>Admon</v>
          </cell>
          <cell r="F1112">
            <v>0</v>
          </cell>
          <cell r="I1112">
            <v>0</v>
          </cell>
          <cell r="L1112">
            <v>0</v>
          </cell>
          <cell r="Z1112">
            <v>0</v>
          </cell>
        </row>
        <row r="1113">
          <cell r="D1113" t="str">
            <v>AIUAIMPRE</v>
          </cell>
          <cell r="E1113" t="str">
            <v>Imprevistos</v>
          </cell>
          <cell r="F1113">
            <v>0</v>
          </cell>
          <cell r="I1113">
            <v>0</v>
          </cell>
          <cell r="J1113">
            <v>0</v>
          </cell>
          <cell r="L1113">
            <v>0</v>
          </cell>
          <cell r="Z1113">
            <v>0</v>
          </cell>
        </row>
        <row r="1114">
          <cell r="D1114" t="str">
            <v>AIUAUTILI</v>
          </cell>
          <cell r="E1114" t="str">
            <v>Utilidad</v>
          </cell>
          <cell r="F1114">
            <v>0</v>
          </cell>
          <cell r="I1114">
            <v>0</v>
          </cell>
          <cell r="J1114">
            <v>0</v>
          </cell>
          <cell r="L1114">
            <v>0</v>
          </cell>
          <cell r="Z1114">
            <v>0</v>
          </cell>
        </row>
        <row r="1115">
          <cell r="D1115" t="str">
            <v>AIUAIVAUTI</v>
          </cell>
          <cell r="E1115" t="str">
            <v>IVA utilidad</v>
          </cell>
          <cell r="F1115">
            <v>0</v>
          </cell>
          <cell r="I1115">
            <v>0</v>
          </cell>
          <cell r="J1115">
            <v>0</v>
          </cell>
          <cell r="L1115">
            <v>0</v>
          </cell>
          <cell r="Z1115">
            <v>0</v>
          </cell>
        </row>
        <row r="1117">
          <cell r="E1117" t="str">
            <v>ITEM</v>
          </cell>
        </row>
        <row r="1118">
          <cell r="D1118" t="str">
            <v>ANPOMA37</v>
          </cell>
          <cell r="E1118" t="str">
            <v>Pozo Inspección Mamposteria  e=0.37</v>
          </cell>
          <cell r="G1118" t="str">
            <v>UN.</v>
          </cell>
          <cell r="H1118" t="str">
            <v>Ml</v>
          </cell>
          <cell r="I1118">
            <v>386181</v>
          </cell>
          <cell r="K1118">
            <v>6</v>
          </cell>
          <cell r="L1118">
            <v>2317086</v>
          </cell>
          <cell r="N1118">
            <v>320681</v>
          </cell>
          <cell r="O1118">
            <v>65000</v>
          </cell>
          <cell r="P1118">
            <v>500</v>
          </cell>
          <cell r="Q1118">
            <v>0</v>
          </cell>
          <cell r="X1118">
            <v>2317086</v>
          </cell>
          <cell r="Y1118" t="str">
            <v>Ml</v>
          </cell>
          <cell r="Z1118" t="e">
            <v>#N/A</v>
          </cell>
          <cell r="AA1118" t="e">
            <v>#N/A</v>
          </cell>
          <cell r="AB1118" t="e">
            <v>#N/A</v>
          </cell>
          <cell r="AC1118" t="e">
            <v>#N/A</v>
          </cell>
        </row>
        <row r="1120">
          <cell r="D1120" t="str">
            <v>CODIGO</v>
          </cell>
          <cell r="E1120" t="str">
            <v>DESCRIPCION</v>
          </cell>
          <cell r="F1120" t="str">
            <v>UN</v>
          </cell>
          <cell r="G1120" t="str">
            <v>CANT</v>
          </cell>
          <cell r="H1120" t="str">
            <v>V/UNIT.</v>
          </cell>
          <cell r="I1120" t="str">
            <v>V/TOTAL</v>
          </cell>
          <cell r="K1120" t="str">
            <v>CANT TOTAL</v>
          </cell>
          <cell r="L1120" t="str">
            <v>Vr TOTAL</v>
          </cell>
          <cell r="Y1120" t="str">
            <v>CANT.</v>
          </cell>
          <cell r="Z1120" t="str">
            <v>V/TOTAL</v>
          </cell>
        </row>
        <row r="1121">
          <cell r="E1121" t="str">
            <v>MATERIALES</v>
          </cell>
          <cell r="I1121">
            <v>320681</v>
          </cell>
          <cell r="L1121">
            <v>1924086</v>
          </cell>
          <cell r="Z1121" t="e">
            <v>#N/A</v>
          </cell>
        </row>
        <row r="1122">
          <cell r="D1122" t="str">
            <v>MA06TR</v>
          </cell>
          <cell r="E1122" t="str">
            <v>Ladrillo Tolete Recocido</v>
          </cell>
          <cell r="F1122" t="str">
            <v>Un</v>
          </cell>
          <cell r="G1122">
            <v>760</v>
          </cell>
          <cell r="H1122">
            <v>220</v>
          </cell>
          <cell r="I1122">
            <v>167200</v>
          </cell>
          <cell r="J1122">
            <v>0</v>
          </cell>
          <cell r="K1122">
            <v>4560</v>
          </cell>
          <cell r="L1122">
            <v>1003200</v>
          </cell>
          <cell r="Y1122" t="e">
            <v>#N/A</v>
          </cell>
          <cell r="Z1122" t="e">
            <v>#N/A</v>
          </cell>
        </row>
        <row r="1123">
          <cell r="D1123" t="str">
            <v>MA02AS</v>
          </cell>
          <cell r="E1123" t="str">
            <v>Arena Semilavada</v>
          </cell>
          <cell r="F1123" t="str">
            <v>M3</v>
          </cell>
          <cell r="G1123">
            <v>2.0911999999999997</v>
          </cell>
          <cell r="H1123">
            <v>19500</v>
          </cell>
          <cell r="I1123">
            <v>40778</v>
          </cell>
          <cell r="J1123">
            <v>0</v>
          </cell>
          <cell r="K1123">
            <v>12.547199999999998</v>
          </cell>
          <cell r="L1123">
            <v>244670.39999999997</v>
          </cell>
          <cell r="Y1123" t="e">
            <v>#N/A</v>
          </cell>
          <cell r="Z1123" t="e">
            <v>#N/A</v>
          </cell>
        </row>
        <row r="1124">
          <cell r="D1124" t="str">
            <v>MA03CG</v>
          </cell>
          <cell r="E1124" t="str">
            <v>Cemento Gris</v>
          </cell>
          <cell r="F1124" t="str">
            <v>Kg</v>
          </cell>
          <cell r="G1124">
            <v>292.87349999999998</v>
          </cell>
          <cell r="H1124">
            <v>190</v>
          </cell>
          <cell r="I1124">
            <v>55646</v>
          </cell>
          <cell r="J1124">
            <v>0</v>
          </cell>
          <cell r="K1124">
            <v>1757.241</v>
          </cell>
          <cell r="L1124">
            <v>333875.78999999998</v>
          </cell>
          <cell r="Y1124" t="e">
            <v>#N/A</v>
          </cell>
          <cell r="Z1124" t="e">
            <v>#N/A</v>
          </cell>
        </row>
        <row r="1125">
          <cell r="D1125" t="str">
            <v>MA01H6</v>
          </cell>
          <cell r="E1125" t="str">
            <v>Acero PDR60 N. 6</v>
          </cell>
          <cell r="F1125" t="str">
            <v>Kg</v>
          </cell>
          <cell r="G1125">
            <v>14</v>
          </cell>
          <cell r="H1125">
            <v>2150</v>
          </cell>
          <cell r="I1125">
            <v>30100</v>
          </cell>
          <cell r="J1125">
            <v>0</v>
          </cell>
          <cell r="K1125">
            <v>84</v>
          </cell>
          <cell r="L1125">
            <v>180600</v>
          </cell>
          <cell r="Y1125" t="e">
            <v>#N/A</v>
          </cell>
          <cell r="Z1125" t="e">
            <v>#N/A</v>
          </cell>
        </row>
        <row r="1126">
          <cell r="D1126" t="str">
            <v>MA26GE16NT</v>
          </cell>
          <cell r="E1126" t="str">
            <v>Geotextil 1600 NT</v>
          </cell>
          <cell r="F1126" t="str">
            <v>m2</v>
          </cell>
          <cell r="G1126">
            <v>8.9239999999999995</v>
          </cell>
          <cell r="H1126">
            <v>2150</v>
          </cell>
          <cell r="I1126">
            <v>19187</v>
          </cell>
          <cell r="J1126">
            <v>0</v>
          </cell>
          <cell r="K1126">
            <v>53.543999999999997</v>
          </cell>
          <cell r="L1126">
            <v>115119.59999999999</v>
          </cell>
          <cell r="Y1126" t="e">
            <v>#N/A</v>
          </cell>
          <cell r="Z1126" t="e">
            <v>#N/A</v>
          </cell>
        </row>
        <row r="1127">
          <cell r="D1127" t="str">
            <v>MA27T</v>
          </cell>
          <cell r="E1127" t="str">
            <v>Toxement</v>
          </cell>
          <cell r="F1127" t="str">
            <v>kg</v>
          </cell>
          <cell r="G1127">
            <v>4.2</v>
          </cell>
          <cell r="H1127">
            <v>1850</v>
          </cell>
          <cell r="I1127">
            <v>7770</v>
          </cell>
          <cell r="J1127">
            <v>0</v>
          </cell>
          <cell r="K1127">
            <v>25.200000000000003</v>
          </cell>
          <cell r="L1127">
            <v>46620.000000000007</v>
          </cell>
          <cell r="Y1127" t="e">
            <v>#N/A</v>
          </cell>
          <cell r="Z1127" t="e">
            <v>#N/A</v>
          </cell>
        </row>
        <row r="1129">
          <cell r="E1129" t="str">
            <v>MANO DE OBRA</v>
          </cell>
          <cell r="I1129">
            <v>65000</v>
          </cell>
          <cell r="J1129">
            <v>0</v>
          </cell>
          <cell r="L1129">
            <v>390000</v>
          </cell>
          <cell r="Z1129" t="e">
            <v>#N/A</v>
          </cell>
        </row>
        <row r="1130">
          <cell r="D1130" t="str">
            <v>MOANPM37</v>
          </cell>
          <cell r="E1130" t="str">
            <v>Pozo Inspeccion Mamposteria e=0.37</v>
          </cell>
          <cell r="F1130" t="str">
            <v>Ml</v>
          </cell>
          <cell r="G1130">
            <v>1</v>
          </cell>
          <cell r="H1130">
            <v>65000</v>
          </cell>
          <cell r="I1130">
            <v>65000</v>
          </cell>
          <cell r="J1130">
            <v>0</v>
          </cell>
          <cell r="K1130">
            <v>6</v>
          </cell>
          <cell r="L1130">
            <v>390000</v>
          </cell>
          <cell r="Y1130" t="e">
            <v>#N/A</v>
          </cell>
          <cell r="Z1130" t="e">
            <v>#N/A</v>
          </cell>
        </row>
        <row r="1132">
          <cell r="E1132" t="str">
            <v>VARIOS</v>
          </cell>
          <cell r="I1132">
            <v>500</v>
          </cell>
          <cell r="L1132">
            <v>3000</v>
          </cell>
          <cell r="Z1132" t="e">
            <v>#N/A</v>
          </cell>
        </row>
        <row r="1133">
          <cell r="D1133" t="str">
            <v>TC07H350</v>
          </cell>
          <cell r="E1133" t="str">
            <v>Herramienta</v>
          </cell>
          <cell r="F1133" t="str">
            <v>Gb</v>
          </cell>
          <cell r="G1133">
            <v>1</v>
          </cell>
          <cell r="H1133">
            <v>500</v>
          </cell>
          <cell r="I1133">
            <v>500</v>
          </cell>
          <cell r="J1133">
            <v>0</v>
          </cell>
          <cell r="K1133">
            <v>6</v>
          </cell>
          <cell r="L1133">
            <v>3000</v>
          </cell>
          <cell r="Y1133" t="e">
            <v>#N/A</v>
          </cell>
          <cell r="Z1133" t="e">
            <v>#N/A</v>
          </cell>
        </row>
        <row r="1134">
          <cell r="D1134" t="str">
            <v/>
          </cell>
        </row>
        <row r="1135">
          <cell r="E1135" t="str">
            <v>SUBTOTAL</v>
          </cell>
          <cell r="I1135">
            <v>386181</v>
          </cell>
          <cell r="L1135">
            <v>2317086</v>
          </cell>
          <cell r="Z1135" t="e">
            <v>#N/A</v>
          </cell>
        </row>
        <row r="1136">
          <cell r="E1136" t="str">
            <v>A.I.U</v>
          </cell>
          <cell r="I1136">
            <v>0</v>
          </cell>
          <cell r="L1136">
            <v>0</v>
          </cell>
          <cell r="Z1136">
            <v>0</v>
          </cell>
        </row>
        <row r="1137">
          <cell r="D1137" t="str">
            <v>AIUAADMON</v>
          </cell>
          <cell r="E1137" t="str">
            <v>Admon</v>
          </cell>
          <cell r="F1137">
            <v>0</v>
          </cell>
          <cell r="I1137">
            <v>0</v>
          </cell>
          <cell r="L1137">
            <v>0</v>
          </cell>
          <cell r="Z1137">
            <v>0</v>
          </cell>
        </row>
        <row r="1138">
          <cell r="D1138" t="str">
            <v>AIUAIMPRE</v>
          </cell>
          <cell r="E1138" t="str">
            <v>Imprevistos</v>
          </cell>
          <cell r="F1138">
            <v>0</v>
          </cell>
          <cell r="I1138">
            <v>0</v>
          </cell>
          <cell r="J1138">
            <v>0</v>
          </cell>
          <cell r="L1138">
            <v>0</v>
          </cell>
          <cell r="Z1138">
            <v>0</v>
          </cell>
        </row>
        <row r="1139">
          <cell r="D1139" t="str">
            <v>AIUAUTILI</v>
          </cell>
          <cell r="E1139" t="str">
            <v>Utilidad</v>
          </cell>
          <cell r="F1139">
            <v>0</v>
          </cell>
          <cell r="I1139">
            <v>0</v>
          </cell>
          <cell r="J1139">
            <v>0</v>
          </cell>
          <cell r="L1139">
            <v>0</v>
          </cell>
          <cell r="Z1139">
            <v>0</v>
          </cell>
        </row>
        <row r="1140">
          <cell r="D1140" t="str">
            <v>AIUAIVAUTI</v>
          </cell>
          <cell r="E1140" t="str">
            <v>IVA utilidad</v>
          </cell>
          <cell r="F1140">
            <v>0</v>
          </cell>
          <cell r="I1140">
            <v>0</v>
          </cell>
          <cell r="J1140">
            <v>0</v>
          </cell>
          <cell r="L1140">
            <v>0</v>
          </cell>
          <cell r="Z1140">
            <v>0</v>
          </cell>
        </row>
        <row r="1142">
          <cell r="E1142" t="str">
            <v>ITEM</v>
          </cell>
        </row>
        <row r="1143">
          <cell r="D1143" t="str">
            <v>ANPOBA</v>
          </cell>
          <cell r="E1143" t="str">
            <v xml:space="preserve">Pozo Base </v>
          </cell>
          <cell r="G1143" t="str">
            <v>UN.</v>
          </cell>
          <cell r="H1143" t="str">
            <v>Un</v>
          </cell>
          <cell r="I1143" t="e">
            <v>#N/A</v>
          </cell>
          <cell r="K1143">
            <v>0</v>
          </cell>
          <cell r="L1143" t="e">
            <v>#N/A</v>
          </cell>
          <cell r="N1143" t="e">
            <v>#N/A</v>
          </cell>
          <cell r="O1143">
            <v>16000</v>
          </cell>
          <cell r="P1143">
            <v>500</v>
          </cell>
          <cell r="Q1143" t="e">
            <v>#N/A</v>
          </cell>
          <cell r="X1143" t="e">
            <v>#N/A</v>
          </cell>
          <cell r="Y1143" t="str">
            <v>Un</v>
          </cell>
          <cell r="Z1143" t="e">
            <v>#VALUE!</v>
          </cell>
          <cell r="AA1143" t="e">
            <v>#VALUE!</v>
          </cell>
          <cell r="AB1143" t="e">
            <v>#VALUE!</v>
          </cell>
          <cell r="AC1143" t="e">
            <v>#VALUE!</v>
          </cell>
        </row>
        <row r="1145">
          <cell r="D1145" t="str">
            <v>CODIGO</v>
          </cell>
          <cell r="E1145" t="str">
            <v>DESCRIPCION</v>
          </cell>
          <cell r="F1145" t="str">
            <v>UN</v>
          </cell>
          <cell r="G1145" t="str">
            <v>CANT</v>
          </cell>
          <cell r="H1145" t="str">
            <v>V/UNIT.</v>
          </cell>
          <cell r="I1145" t="str">
            <v>V/TOTAL</v>
          </cell>
          <cell r="K1145" t="str">
            <v>CANT TOTAL</v>
          </cell>
          <cell r="L1145" t="str">
            <v>Vr TOTAL</v>
          </cell>
          <cell r="Y1145" t="str">
            <v>CANT.</v>
          </cell>
          <cell r="Z1145" t="str">
            <v>V/TOTAL</v>
          </cell>
        </row>
        <row r="1146">
          <cell r="E1146" t="str">
            <v>MATERIALES</v>
          </cell>
          <cell r="I1146" t="e">
            <v>#N/A</v>
          </cell>
          <cell r="L1146" t="e">
            <v>#N/A</v>
          </cell>
          <cell r="Z1146" t="e">
            <v>#VALUE!</v>
          </cell>
        </row>
        <row r="1147">
          <cell r="D1147" t="str">
            <v>MA03CG</v>
          </cell>
          <cell r="E1147" t="str">
            <v>Cemento Gris</v>
          </cell>
          <cell r="F1147" t="str">
            <v>Kg</v>
          </cell>
          <cell r="G1147">
            <v>225</v>
          </cell>
          <cell r="H1147">
            <v>190</v>
          </cell>
          <cell r="I1147">
            <v>42750</v>
          </cell>
          <cell r="J1147">
            <v>0</v>
          </cell>
          <cell r="K1147">
            <v>0</v>
          </cell>
          <cell r="L1147">
            <v>0</v>
          </cell>
          <cell r="Y1147" t="e">
            <v>#VALUE!</v>
          </cell>
          <cell r="Z1147" t="e">
            <v>#VALUE!</v>
          </cell>
        </row>
        <row r="1148">
          <cell r="D1148" t="str">
            <v>MA02ALR</v>
          </cell>
          <cell r="E1148" t="str">
            <v>Arena Lavada Rio</v>
          </cell>
          <cell r="F1148" t="str">
            <v>M3</v>
          </cell>
          <cell r="G1148">
            <v>0.71</v>
          </cell>
          <cell r="H1148">
            <v>45000</v>
          </cell>
          <cell r="I1148">
            <v>31950</v>
          </cell>
          <cell r="J1148">
            <v>0</v>
          </cell>
          <cell r="K1148">
            <v>0</v>
          </cell>
          <cell r="L1148">
            <v>0</v>
          </cell>
          <cell r="Y1148" t="e">
            <v>#VALUE!</v>
          </cell>
          <cell r="Z1148" t="e">
            <v>#VALUE!</v>
          </cell>
        </row>
        <row r="1149">
          <cell r="D1149" t="str">
            <v>MA02GCR</v>
          </cell>
          <cell r="E1149" t="e">
            <v>#N/A</v>
          </cell>
          <cell r="F1149" t="e">
            <v>#N/A</v>
          </cell>
          <cell r="G1149">
            <v>0.7</v>
          </cell>
          <cell r="H1149" t="e">
            <v>#N/A</v>
          </cell>
          <cell r="I1149" t="e">
            <v>#N/A</v>
          </cell>
          <cell r="J1149" t="e">
            <v>#N/A</v>
          </cell>
          <cell r="K1149">
            <v>0</v>
          </cell>
          <cell r="L1149" t="e">
            <v>#N/A</v>
          </cell>
          <cell r="Y1149" t="e">
            <v>#VALUE!</v>
          </cell>
          <cell r="Z1149" t="e">
            <v>#VALUE!</v>
          </cell>
        </row>
        <row r="1150">
          <cell r="D1150" t="str">
            <v>MA01H3</v>
          </cell>
          <cell r="E1150" t="str">
            <v>Acero PDR60 N. 3</v>
          </cell>
          <cell r="F1150" t="str">
            <v>Kg</v>
          </cell>
          <cell r="G1150">
            <v>35</v>
          </cell>
          <cell r="H1150">
            <v>2150</v>
          </cell>
          <cell r="I1150">
            <v>75250</v>
          </cell>
          <cell r="J1150">
            <v>0</v>
          </cell>
          <cell r="K1150">
            <v>0</v>
          </cell>
          <cell r="L1150">
            <v>0</v>
          </cell>
          <cell r="Y1150" t="e">
            <v>#VALUE!</v>
          </cell>
          <cell r="Z1150" t="e">
            <v>#VALUE!</v>
          </cell>
        </row>
        <row r="1151">
          <cell r="D1151" t="str">
            <v>MA01H4</v>
          </cell>
          <cell r="E1151" t="str">
            <v>Acero PDR60 N. 4</v>
          </cell>
          <cell r="F1151" t="str">
            <v>Kg</v>
          </cell>
          <cell r="G1151">
            <v>45</v>
          </cell>
          <cell r="H1151">
            <v>2150</v>
          </cell>
          <cell r="I1151">
            <v>96750</v>
          </cell>
          <cell r="J1151">
            <v>0</v>
          </cell>
          <cell r="K1151">
            <v>0</v>
          </cell>
          <cell r="L1151">
            <v>0</v>
          </cell>
          <cell r="Y1151" t="e">
            <v>#VALUE!</v>
          </cell>
          <cell r="Z1151" t="e">
            <v>#VALUE!</v>
          </cell>
        </row>
        <row r="1152">
          <cell r="D1152" t="str">
            <v>MA01H5</v>
          </cell>
          <cell r="E1152" t="str">
            <v>Acero PDR60 N. 5</v>
          </cell>
          <cell r="F1152" t="str">
            <v>Kg</v>
          </cell>
          <cell r="G1152">
            <v>20</v>
          </cell>
          <cell r="H1152">
            <v>2150</v>
          </cell>
          <cell r="I1152">
            <v>43000</v>
          </cell>
          <cell r="J1152">
            <v>0</v>
          </cell>
          <cell r="K1152">
            <v>0</v>
          </cell>
          <cell r="L1152">
            <v>0</v>
          </cell>
          <cell r="Y1152" t="e">
            <v>#VALUE!</v>
          </cell>
          <cell r="Z1152" t="e">
            <v>#VALUE!</v>
          </cell>
        </row>
        <row r="1154">
          <cell r="E1154" t="str">
            <v>MANO DE OBRA</v>
          </cell>
          <cell r="I1154">
            <v>16000</v>
          </cell>
          <cell r="J1154">
            <v>0</v>
          </cell>
          <cell r="L1154">
            <v>0</v>
          </cell>
          <cell r="Z1154" t="e">
            <v>#VALUE!</v>
          </cell>
        </row>
        <row r="1155">
          <cell r="D1155" t="str">
            <v>MOANPB</v>
          </cell>
          <cell r="E1155" t="str">
            <v>Base</v>
          </cell>
          <cell r="F1155" t="str">
            <v>Un</v>
          </cell>
          <cell r="G1155">
            <v>1</v>
          </cell>
          <cell r="H1155">
            <v>16000</v>
          </cell>
          <cell r="I1155">
            <v>16000</v>
          </cell>
          <cell r="J1155">
            <v>0</v>
          </cell>
          <cell r="K1155">
            <v>0</v>
          </cell>
          <cell r="L1155">
            <v>0</v>
          </cell>
          <cell r="Y1155" t="e">
            <v>#VALUE!</v>
          </cell>
          <cell r="Z1155" t="e">
            <v>#VALUE!</v>
          </cell>
        </row>
        <row r="1157">
          <cell r="E1157" t="str">
            <v>VARIOS</v>
          </cell>
          <cell r="I1157">
            <v>500</v>
          </cell>
          <cell r="L1157">
            <v>0</v>
          </cell>
          <cell r="Z1157" t="e">
            <v>#VALUE!</v>
          </cell>
        </row>
        <row r="1158">
          <cell r="D1158" t="str">
            <v>TC07H350</v>
          </cell>
          <cell r="E1158" t="str">
            <v>Herramienta</v>
          </cell>
          <cell r="F1158" t="str">
            <v>Gb</v>
          </cell>
          <cell r="G1158">
            <v>1</v>
          </cell>
          <cell r="H1158">
            <v>500</v>
          </cell>
          <cell r="I1158">
            <v>500</v>
          </cell>
          <cell r="J1158">
            <v>0</v>
          </cell>
          <cell r="K1158">
            <v>0</v>
          </cell>
          <cell r="L1158">
            <v>0</v>
          </cell>
          <cell r="Y1158" t="e">
            <v>#VALUE!</v>
          </cell>
          <cell r="Z1158" t="e">
            <v>#VALUE!</v>
          </cell>
        </row>
        <row r="1159">
          <cell r="D1159" t="str">
            <v/>
          </cell>
        </row>
        <row r="1160">
          <cell r="E1160" t="str">
            <v>SUBTOTAL</v>
          </cell>
          <cell r="I1160" t="e">
            <v>#N/A</v>
          </cell>
          <cell r="L1160" t="e">
            <v>#N/A</v>
          </cell>
          <cell r="Z1160" t="e">
            <v>#VALUE!</v>
          </cell>
        </row>
        <row r="1161">
          <cell r="E1161" t="str">
            <v>A.I.U</v>
          </cell>
          <cell r="I1161" t="e">
            <v>#N/A</v>
          </cell>
          <cell r="L1161" t="e">
            <v>#N/A</v>
          </cell>
          <cell r="Z1161" t="e">
            <v>#N/A</v>
          </cell>
        </row>
        <row r="1162">
          <cell r="D1162" t="str">
            <v>AIUAADMON</v>
          </cell>
          <cell r="E1162" t="str">
            <v>Admon</v>
          </cell>
          <cell r="F1162">
            <v>0</v>
          </cell>
          <cell r="I1162" t="e">
            <v>#N/A</v>
          </cell>
          <cell r="L1162" t="e">
            <v>#N/A</v>
          </cell>
          <cell r="Z1162" t="e">
            <v>#N/A</v>
          </cell>
        </row>
        <row r="1163">
          <cell r="D1163" t="str">
            <v>AIUAIMPRE</v>
          </cell>
          <cell r="E1163" t="str">
            <v>Imprevistos</v>
          </cell>
          <cell r="F1163">
            <v>0</v>
          </cell>
          <cell r="I1163" t="e">
            <v>#N/A</v>
          </cell>
          <cell r="J1163">
            <v>0</v>
          </cell>
          <cell r="L1163" t="e">
            <v>#N/A</v>
          </cell>
          <cell r="Z1163" t="e">
            <v>#N/A</v>
          </cell>
        </row>
        <row r="1164">
          <cell r="D1164" t="str">
            <v>AIUAUTILI</v>
          </cell>
          <cell r="E1164" t="str">
            <v>Utilidad</v>
          </cell>
          <cell r="F1164">
            <v>0</v>
          </cell>
          <cell r="I1164" t="e">
            <v>#N/A</v>
          </cell>
          <cell r="J1164">
            <v>0</v>
          </cell>
          <cell r="L1164" t="e">
            <v>#N/A</v>
          </cell>
          <cell r="Z1164" t="e">
            <v>#N/A</v>
          </cell>
        </row>
        <row r="1165">
          <cell r="D1165" t="str">
            <v>AIUAIVAUTI</v>
          </cell>
          <cell r="E1165" t="str">
            <v>IVA utilidad</v>
          </cell>
          <cell r="F1165">
            <v>0</v>
          </cell>
          <cell r="I1165" t="e">
            <v>#N/A</v>
          </cell>
          <cell r="J1165">
            <v>0</v>
          </cell>
          <cell r="L1165" t="e">
            <v>#N/A</v>
          </cell>
          <cell r="Z1165" t="e">
            <v>#N/A</v>
          </cell>
        </row>
        <row r="1167">
          <cell r="E1167" t="str">
            <v>ITEM</v>
          </cell>
        </row>
        <row r="1168">
          <cell r="D1168" t="str">
            <v>ANPOBACA</v>
          </cell>
          <cell r="E1168" t="str">
            <v>Base y Cañuela</v>
          </cell>
          <cell r="G1168" t="str">
            <v>UN.</v>
          </cell>
          <cell r="H1168" t="str">
            <v>Un</v>
          </cell>
          <cell r="I1168">
            <v>202081</v>
          </cell>
          <cell r="K1168">
            <v>100</v>
          </cell>
          <cell r="L1168">
            <v>20208100</v>
          </cell>
          <cell r="N1168">
            <v>172631</v>
          </cell>
          <cell r="O1168">
            <v>28500</v>
          </cell>
          <cell r="P1168">
            <v>950</v>
          </cell>
          <cell r="Q1168">
            <v>0</v>
          </cell>
          <cell r="X1168">
            <v>20208100</v>
          </cell>
          <cell r="Y1168" t="str">
            <v>Un</v>
          </cell>
          <cell r="Z1168" t="e">
            <v>#N/A</v>
          </cell>
          <cell r="AA1168" t="e">
            <v>#N/A</v>
          </cell>
          <cell r="AB1168" t="e">
            <v>#N/A</v>
          </cell>
          <cell r="AC1168" t="e">
            <v>#N/A</v>
          </cell>
        </row>
        <row r="1170">
          <cell r="D1170" t="str">
            <v>CODIGO</v>
          </cell>
          <cell r="E1170" t="str">
            <v>DESCRIPCION</v>
          </cell>
          <cell r="F1170" t="str">
            <v>UN</v>
          </cell>
          <cell r="G1170" t="str">
            <v>CANT</v>
          </cell>
          <cell r="H1170" t="str">
            <v>V/UNIT.</v>
          </cell>
          <cell r="I1170" t="str">
            <v>V/TOTAL</v>
          </cell>
          <cell r="K1170" t="str">
            <v>CANT TOTAL</v>
          </cell>
          <cell r="L1170" t="str">
            <v>Vr TOTAL</v>
          </cell>
          <cell r="Y1170" t="str">
            <v>CANT.</v>
          </cell>
          <cell r="Z1170" t="str">
            <v>V/TOTAL</v>
          </cell>
        </row>
        <row r="1171">
          <cell r="E1171" t="str">
            <v>MATERIALES</v>
          </cell>
          <cell r="I1171">
            <v>172631</v>
          </cell>
          <cell r="L1171">
            <v>17263100</v>
          </cell>
          <cell r="Z1171" t="e">
            <v>#N/A</v>
          </cell>
        </row>
        <row r="1172">
          <cell r="D1172" t="str">
            <v>MA04C4I</v>
          </cell>
          <cell r="E1172" t="str">
            <v>Concreto 4000 psi Impermeabilizado</v>
          </cell>
          <cell r="F1172" t="str">
            <v>M3</v>
          </cell>
          <cell r="G1172">
            <v>0.75</v>
          </cell>
          <cell r="H1172">
            <v>230175</v>
          </cell>
          <cell r="I1172">
            <v>172631</v>
          </cell>
          <cell r="J1172">
            <v>0</v>
          </cell>
          <cell r="K1172">
            <v>75</v>
          </cell>
          <cell r="L1172">
            <v>17263125</v>
          </cell>
          <cell r="Y1172" t="e">
            <v>#N/A</v>
          </cell>
          <cell r="Z1172" t="e">
            <v>#N/A</v>
          </cell>
        </row>
        <row r="1173">
          <cell r="I1173">
            <v>0</v>
          </cell>
          <cell r="J1173">
            <v>0</v>
          </cell>
          <cell r="K1173">
            <v>0</v>
          </cell>
          <cell r="L1173">
            <v>0</v>
          </cell>
          <cell r="Y1173">
            <v>0</v>
          </cell>
          <cell r="Z1173">
            <v>0</v>
          </cell>
        </row>
        <row r="1174">
          <cell r="I1174">
            <v>0</v>
          </cell>
          <cell r="J1174">
            <v>0</v>
          </cell>
          <cell r="K1174">
            <v>0</v>
          </cell>
          <cell r="L1174">
            <v>0</v>
          </cell>
          <cell r="Y1174">
            <v>0</v>
          </cell>
          <cell r="Z1174">
            <v>0</v>
          </cell>
        </row>
        <row r="1175">
          <cell r="I1175">
            <v>0</v>
          </cell>
          <cell r="J1175">
            <v>0</v>
          </cell>
          <cell r="K1175">
            <v>0</v>
          </cell>
          <cell r="L1175">
            <v>0</v>
          </cell>
          <cell r="Y1175">
            <v>0</v>
          </cell>
          <cell r="Z1175">
            <v>0</v>
          </cell>
        </row>
        <row r="1177">
          <cell r="E1177" t="str">
            <v>MANO DE OBRA</v>
          </cell>
          <cell r="I1177">
            <v>28500</v>
          </cell>
          <cell r="J1177">
            <v>0</v>
          </cell>
          <cell r="L1177">
            <v>2850000</v>
          </cell>
          <cell r="Z1177" t="e">
            <v>#N/A</v>
          </cell>
        </row>
        <row r="1178">
          <cell r="D1178" t="str">
            <v>MOANPB</v>
          </cell>
          <cell r="E1178" t="str">
            <v>Base</v>
          </cell>
          <cell r="F1178" t="str">
            <v>Un</v>
          </cell>
          <cell r="G1178">
            <v>1</v>
          </cell>
          <cell r="H1178">
            <v>16000</v>
          </cell>
          <cell r="I1178">
            <v>16000</v>
          </cell>
          <cell r="J1178">
            <v>0</v>
          </cell>
          <cell r="K1178">
            <v>100</v>
          </cell>
          <cell r="L1178">
            <v>1600000</v>
          </cell>
          <cell r="Y1178" t="e">
            <v>#N/A</v>
          </cell>
          <cell r="Z1178" t="e">
            <v>#N/A</v>
          </cell>
        </row>
        <row r="1179">
          <cell r="D1179" t="str">
            <v>MOANPC</v>
          </cell>
          <cell r="E1179" t="str">
            <v>Canuela</v>
          </cell>
          <cell r="F1179" t="str">
            <v>Un</v>
          </cell>
          <cell r="G1179">
            <v>1</v>
          </cell>
          <cell r="H1179">
            <v>12500</v>
          </cell>
          <cell r="I1179">
            <v>12500</v>
          </cell>
          <cell r="J1179">
            <v>0</v>
          </cell>
          <cell r="K1179">
            <v>0</v>
          </cell>
          <cell r="L1179">
            <v>0</v>
          </cell>
          <cell r="Y1179" t="e">
            <v>#N/A</v>
          </cell>
          <cell r="Z1179" t="e">
            <v>#N/A</v>
          </cell>
        </row>
        <row r="1180">
          <cell r="E1180" t="str">
            <v>VARIOS</v>
          </cell>
          <cell r="I1180">
            <v>950</v>
          </cell>
          <cell r="L1180">
            <v>95000</v>
          </cell>
          <cell r="Z1180" t="e">
            <v>#N/A</v>
          </cell>
        </row>
        <row r="1181">
          <cell r="D1181" t="str">
            <v>TC07H350</v>
          </cell>
          <cell r="E1181" t="str">
            <v>Herramienta</v>
          </cell>
          <cell r="F1181" t="str">
            <v>Gb</v>
          </cell>
          <cell r="G1181">
            <v>1</v>
          </cell>
          <cell r="H1181">
            <v>500</v>
          </cell>
          <cell r="I1181">
            <v>500</v>
          </cell>
          <cell r="J1181">
            <v>0</v>
          </cell>
          <cell r="K1181">
            <v>100</v>
          </cell>
          <cell r="L1181">
            <v>50000</v>
          </cell>
          <cell r="Y1181" t="e">
            <v>#N/A</v>
          </cell>
          <cell r="Z1181" t="e">
            <v>#N/A</v>
          </cell>
        </row>
        <row r="1182">
          <cell r="D1182" t="str">
            <v>AL07VCG</v>
          </cell>
          <cell r="E1182" t="str">
            <v>Vibrador para concretos a Gasolina</v>
          </cell>
          <cell r="F1182" t="str">
            <v>Hr</v>
          </cell>
          <cell r="G1182">
            <v>0.01</v>
          </cell>
          <cell r="H1182">
            <v>45000</v>
          </cell>
          <cell r="I1182">
            <v>450</v>
          </cell>
          <cell r="J1182">
            <v>0</v>
          </cell>
          <cell r="K1182">
            <v>1</v>
          </cell>
          <cell r="L1182">
            <v>45000</v>
          </cell>
          <cell r="Y1182" t="e">
            <v>#N/A</v>
          </cell>
          <cell r="Z1182" t="e">
            <v>#N/A</v>
          </cell>
        </row>
        <row r="1183">
          <cell r="E1183" t="str">
            <v>SUBTOTAL</v>
          </cell>
          <cell r="I1183">
            <v>202081</v>
          </cell>
          <cell r="L1183">
            <v>20208100</v>
          </cell>
          <cell r="Z1183" t="e">
            <v>#N/A</v>
          </cell>
        </row>
        <row r="1184">
          <cell r="E1184" t="str">
            <v>A.I.U</v>
          </cell>
          <cell r="I1184">
            <v>0</v>
          </cell>
          <cell r="L1184">
            <v>0</v>
          </cell>
          <cell r="Z1184">
            <v>0</v>
          </cell>
        </row>
        <row r="1185">
          <cell r="D1185" t="str">
            <v>AIUAADMON</v>
          </cell>
          <cell r="E1185" t="str">
            <v>Admon</v>
          </cell>
          <cell r="F1185">
            <v>0</v>
          </cell>
          <cell r="I1185">
            <v>0</v>
          </cell>
          <cell r="L1185">
            <v>0</v>
          </cell>
          <cell r="Z1185">
            <v>0</v>
          </cell>
        </row>
        <row r="1186">
          <cell r="D1186" t="str">
            <v>AIUAIMPRE</v>
          </cell>
          <cell r="E1186" t="str">
            <v>Imprevistos</v>
          </cell>
          <cell r="F1186">
            <v>0</v>
          </cell>
          <cell r="I1186">
            <v>0</v>
          </cell>
          <cell r="J1186">
            <v>0</v>
          </cell>
          <cell r="L1186">
            <v>0</v>
          </cell>
          <cell r="Z1186">
            <v>0</v>
          </cell>
        </row>
        <row r="1187">
          <cell r="D1187" t="str">
            <v>AIUAUTILI</v>
          </cell>
          <cell r="E1187" t="str">
            <v>Utilidad</v>
          </cell>
          <cell r="F1187">
            <v>0</v>
          </cell>
          <cell r="I1187">
            <v>0</v>
          </cell>
          <cell r="J1187">
            <v>0</v>
          </cell>
          <cell r="L1187">
            <v>0</v>
          </cell>
          <cell r="Z1187">
            <v>0</v>
          </cell>
        </row>
        <row r="1188">
          <cell r="D1188" t="str">
            <v>AIUAIVAUTI</v>
          </cell>
          <cell r="E1188" t="str">
            <v>IVA utilidad</v>
          </cell>
          <cell r="F1188">
            <v>0</v>
          </cell>
          <cell r="I1188">
            <v>0</v>
          </cell>
          <cell r="J1188">
            <v>0</v>
          </cell>
          <cell r="L1188">
            <v>0</v>
          </cell>
          <cell r="Z1188">
            <v>0</v>
          </cell>
        </row>
        <row r="1190">
          <cell r="E1190" t="str">
            <v>ITEM</v>
          </cell>
        </row>
        <row r="1191">
          <cell r="D1191" t="str">
            <v>ANPOCA</v>
          </cell>
          <cell r="E1191" t="str">
            <v>Pozo Cañuela</v>
          </cell>
          <cell r="G1191" t="str">
            <v>UN.</v>
          </cell>
          <cell r="H1191" t="str">
            <v>Un</v>
          </cell>
          <cell r="I1191" t="e">
            <v>#N/A</v>
          </cell>
          <cell r="K1191">
            <v>0</v>
          </cell>
          <cell r="L1191" t="e">
            <v>#N/A</v>
          </cell>
          <cell r="N1191" t="e">
            <v>#N/A</v>
          </cell>
          <cell r="O1191">
            <v>12500</v>
          </cell>
          <cell r="P1191">
            <v>350</v>
          </cell>
          <cell r="Q1191" t="e">
            <v>#N/A</v>
          </cell>
          <cell r="X1191" t="e">
            <v>#N/A</v>
          </cell>
          <cell r="Y1191" t="str">
            <v>Un</v>
          </cell>
          <cell r="Z1191" t="e">
            <v>#VALUE!</v>
          </cell>
          <cell r="AA1191" t="e">
            <v>#VALUE!</v>
          </cell>
          <cell r="AB1191" t="e">
            <v>#VALUE!</v>
          </cell>
          <cell r="AC1191" t="e">
            <v>#VALUE!</v>
          </cell>
        </row>
        <row r="1193">
          <cell r="D1193" t="str">
            <v>CODIGO</v>
          </cell>
          <cell r="E1193" t="str">
            <v>DESCRIPCION</v>
          </cell>
          <cell r="F1193" t="str">
            <v>UN</v>
          </cell>
          <cell r="G1193" t="str">
            <v>CANT</v>
          </cell>
          <cell r="H1193" t="str">
            <v>V/UNIT.</v>
          </cell>
          <cell r="I1193" t="str">
            <v>V/TOTAL</v>
          </cell>
          <cell r="K1193" t="str">
            <v>CANT TOTAL</v>
          </cell>
          <cell r="L1193" t="str">
            <v>Vr TOTAL</v>
          </cell>
          <cell r="Y1193" t="str">
            <v>CANT.</v>
          </cell>
          <cell r="Z1193" t="str">
            <v>V/TOTAL</v>
          </cell>
        </row>
        <row r="1194">
          <cell r="E1194" t="str">
            <v>MATERIALES</v>
          </cell>
          <cell r="I1194" t="e">
            <v>#N/A</v>
          </cell>
          <cell r="L1194" t="e">
            <v>#N/A</v>
          </cell>
          <cell r="Z1194" t="e">
            <v>#VALUE!</v>
          </cell>
        </row>
        <row r="1195">
          <cell r="D1195" t="str">
            <v>MA03CG</v>
          </cell>
          <cell r="E1195" t="str">
            <v>Cemento Gris</v>
          </cell>
          <cell r="F1195" t="str">
            <v>Kg</v>
          </cell>
          <cell r="G1195">
            <v>33.6</v>
          </cell>
          <cell r="H1195">
            <v>190</v>
          </cell>
          <cell r="I1195">
            <v>6384</v>
          </cell>
          <cell r="J1195">
            <v>0</v>
          </cell>
          <cell r="K1195">
            <v>0</v>
          </cell>
          <cell r="L1195">
            <v>0</v>
          </cell>
          <cell r="Y1195" t="e">
            <v>#VALUE!</v>
          </cell>
          <cell r="Z1195" t="e">
            <v>#VALUE!</v>
          </cell>
        </row>
        <row r="1196">
          <cell r="D1196" t="str">
            <v>MA02ALR</v>
          </cell>
          <cell r="E1196" t="str">
            <v>Arena Lavada Rio</v>
          </cell>
          <cell r="F1196" t="str">
            <v>M3</v>
          </cell>
          <cell r="G1196">
            <v>0.05</v>
          </cell>
          <cell r="H1196">
            <v>45000</v>
          </cell>
          <cell r="I1196">
            <v>2250</v>
          </cell>
          <cell r="J1196">
            <v>0</v>
          </cell>
          <cell r="K1196">
            <v>0</v>
          </cell>
          <cell r="L1196">
            <v>0</v>
          </cell>
          <cell r="Y1196" t="e">
            <v>#VALUE!</v>
          </cell>
          <cell r="Z1196" t="e">
            <v>#VALUE!</v>
          </cell>
        </row>
        <row r="1197">
          <cell r="D1197" t="str">
            <v>MA02GCR</v>
          </cell>
          <cell r="E1197" t="e">
            <v>#N/A</v>
          </cell>
          <cell r="F1197" t="e">
            <v>#N/A</v>
          </cell>
          <cell r="G1197">
            <v>0.11</v>
          </cell>
          <cell r="H1197" t="e">
            <v>#N/A</v>
          </cell>
          <cell r="I1197" t="e">
            <v>#N/A</v>
          </cell>
          <cell r="J1197" t="e">
            <v>#N/A</v>
          </cell>
          <cell r="K1197">
            <v>0</v>
          </cell>
          <cell r="L1197" t="e">
            <v>#N/A</v>
          </cell>
          <cell r="Y1197" t="e">
            <v>#VALUE!</v>
          </cell>
          <cell r="Z1197" t="e">
            <v>#VALUE!</v>
          </cell>
        </row>
        <row r="1199">
          <cell r="E1199" t="str">
            <v>MANO DE OBRA</v>
          </cell>
          <cell r="I1199">
            <v>12500</v>
          </cell>
          <cell r="J1199">
            <v>0</v>
          </cell>
          <cell r="L1199">
            <v>0</v>
          </cell>
          <cell r="Z1199" t="e">
            <v>#VALUE!</v>
          </cell>
        </row>
        <row r="1200">
          <cell r="D1200" t="str">
            <v>MOANPC</v>
          </cell>
          <cell r="E1200" t="str">
            <v>Canuela</v>
          </cell>
          <cell r="F1200" t="str">
            <v>Un</v>
          </cell>
          <cell r="G1200">
            <v>1</v>
          </cell>
          <cell r="H1200">
            <v>12500</v>
          </cell>
          <cell r="I1200">
            <v>12500</v>
          </cell>
          <cell r="J1200">
            <v>0</v>
          </cell>
          <cell r="K1200">
            <v>0</v>
          </cell>
          <cell r="L1200">
            <v>0</v>
          </cell>
          <cell r="Y1200" t="e">
            <v>#VALUE!</v>
          </cell>
          <cell r="Z1200" t="e">
            <v>#VALUE!</v>
          </cell>
        </row>
        <row r="1202">
          <cell r="E1202" t="str">
            <v>VARIOS</v>
          </cell>
          <cell r="I1202">
            <v>350</v>
          </cell>
          <cell r="L1202">
            <v>0</v>
          </cell>
          <cell r="Z1202" t="e">
            <v>#VALUE!</v>
          </cell>
        </row>
        <row r="1203">
          <cell r="D1203" t="str">
            <v>TC07H150</v>
          </cell>
          <cell r="E1203" t="str">
            <v>Herramienta</v>
          </cell>
          <cell r="F1203" t="str">
            <v>Gb</v>
          </cell>
          <cell r="G1203">
            <v>1</v>
          </cell>
          <cell r="H1203">
            <v>350</v>
          </cell>
          <cell r="I1203">
            <v>350</v>
          </cell>
          <cell r="J1203">
            <v>0</v>
          </cell>
          <cell r="K1203">
            <v>0</v>
          </cell>
          <cell r="L1203">
            <v>0</v>
          </cell>
          <cell r="Y1203" t="e">
            <v>#VALUE!</v>
          </cell>
          <cell r="Z1203" t="e">
            <v>#VALUE!</v>
          </cell>
        </row>
        <row r="1204">
          <cell r="D1204" t="str">
            <v/>
          </cell>
        </row>
        <row r="1205">
          <cell r="E1205" t="str">
            <v>SUBTOTAL</v>
          </cell>
          <cell r="I1205" t="e">
            <v>#N/A</v>
          </cell>
          <cell r="L1205" t="e">
            <v>#N/A</v>
          </cell>
          <cell r="Z1205" t="e">
            <v>#VALUE!</v>
          </cell>
        </row>
        <row r="1206">
          <cell r="E1206" t="str">
            <v>A.I.U</v>
          </cell>
          <cell r="I1206" t="e">
            <v>#N/A</v>
          </cell>
          <cell r="L1206" t="e">
            <v>#N/A</v>
          </cell>
          <cell r="Z1206" t="e">
            <v>#N/A</v>
          </cell>
        </row>
        <row r="1207">
          <cell r="D1207" t="str">
            <v>AIUAADMON</v>
          </cell>
          <cell r="E1207" t="str">
            <v>Admon</v>
          </cell>
          <cell r="F1207">
            <v>0</v>
          </cell>
          <cell r="I1207" t="e">
            <v>#N/A</v>
          </cell>
          <cell r="L1207" t="e">
            <v>#N/A</v>
          </cell>
          <cell r="Z1207" t="e">
            <v>#N/A</v>
          </cell>
        </row>
        <row r="1208">
          <cell r="D1208" t="str">
            <v>AIUAIMPRE</v>
          </cell>
          <cell r="E1208" t="str">
            <v>Imprevistos</v>
          </cell>
          <cell r="F1208">
            <v>0</v>
          </cell>
          <cell r="I1208" t="e">
            <v>#N/A</v>
          </cell>
          <cell r="J1208">
            <v>0</v>
          </cell>
          <cell r="L1208" t="e">
            <v>#N/A</v>
          </cell>
          <cell r="Z1208" t="e">
            <v>#N/A</v>
          </cell>
        </row>
        <row r="1209">
          <cell r="D1209" t="str">
            <v>AIUAUTILI</v>
          </cell>
          <cell r="E1209" t="str">
            <v>Utilidad</v>
          </cell>
          <cell r="F1209">
            <v>0</v>
          </cell>
          <cell r="I1209" t="e">
            <v>#N/A</v>
          </cell>
          <cell r="J1209">
            <v>0</v>
          </cell>
          <cell r="L1209" t="e">
            <v>#N/A</v>
          </cell>
          <cell r="Z1209" t="e">
            <v>#N/A</v>
          </cell>
        </row>
        <row r="1210">
          <cell r="D1210" t="str">
            <v>AIUAIVAUTI</v>
          </cell>
          <cell r="E1210" t="str">
            <v>IVA utilidad</v>
          </cell>
          <cell r="F1210">
            <v>0</v>
          </cell>
          <cell r="I1210" t="e">
            <v>#N/A</v>
          </cell>
          <cell r="J1210">
            <v>0</v>
          </cell>
          <cell r="L1210" t="e">
            <v>#N/A</v>
          </cell>
          <cell r="Z1210" t="e">
            <v>#N/A</v>
          </cell>
        </row>
        <row r="1212">
          <cell r="E1212" t="str">
            <v>ITEM</v>
          </cell>
        </row>
        <row r="1213">
          <cell r="D1213" t="str">
            <v>ANPOITA</v>
          </cell>
          <cell r="E1213" t="str">
            <v>Inst. Placa Prefabricada Tapa Pozos y Camaras</v>
          </cell>
          <cell r="G1213" t="str">
            <v>UN.</v>
          </cell>
          <cell r="H1213" t="str">
            <v>Un</v>
          </cell>
          <cell r="I1213">
            <v>87605</v>
          </cell>
          <cell r="K1213">
            <v>102</v>
          </cell>
          <cell r="L1213">
            <v>8935710</v>
          </cell>
          <cell r="N1213">
            <v>8605</v>
          </cell>
          <cell r="O1213">
            <v>60000</v>
          </cell>
          <cell r="P1213">
            <v>19000</v>
          </cell>
          <cell r="Q1213">
            <v>0</v>
          </cell>
          <cell r="X1213">
            <v>8935710</v>
          </cell>
          <cell r="Y1213" t="str">
            <v>Un</v>
          </cell>
          <cell r="Z1213" t="e">
            <v>#N/A</v>
          </cell>
          <cell r="AA1213" t="e">
            <v>#N/A</v>
          </cell>
          <cell r="AB1213" t="e">
            <v>#N/A</v>
          </cell>
          <cell r="AC1213" t="e">
            <v>#N/A</v>
          </cell>
        </row>
        <row r="1215">
          <cell r="D1215" t="str">
            <v>CODIGO</v>
          </cell>
          <cell r="E1215" t="str">
            <v>DESCRIPCION</v>
          </cell>
          <cell r="F1215" t="str">
            <v>UN</v>
          </cell>
          <cell r="G1215" t="str">
            <v>CANT</v>
          </cell>
          <cell r="H1215" t="str">
            <v>V/UNIT.</v>
          </cell>
          <cell r="I1215" t="str">
            <v>V/TOTAL</v>
          </cell>
          <cell r="K1215" t="str">
            <v>CANT TOTAL</v>
          </cell>
          <cell r="L1215" t="str">
            <v>Vr TOTAL</v>
          </cell>
          <cell r="Y1215" t="str">
            <v>CANT.</v>
          </cell>
          <cell r="Z1215" t="str">
            <v>V/TOTAL</v>
          </cell>
        </row>
        <row r="1216">
          <cell r="E1216" t="str">
            <v>MATERIALES</v>
          </cell>
          <cell r="I1216">
            <v>8605</v>
          </cell>
          <cell r="L1216">
            <v>877710</v>
          </cell>
          <cell r="Z1216" t="e">
            <v>#N/A</v>
          </cell>
        </row>
        <row r="1217">
          <cell r="D1217" t="str">
            <v>MA26GE16NT</v>
          </cell>
          <cell r="E1217" t="str">
            <v>Geotextil 1600 NT</v>
          </cell>
          <cell r="F1217" t="str">
            <v>m2</v>
          </cell>
          <cell r="G1217">
            <v>1.5</v>
          </cell>
          <cell r="H1217">
            <v>2150</v>
          </cell>
          <cell r="I1217">
            <v>3225</v>
          </cell>
          <cell r="J1217">
            <v>0</v>
          </cell>
          <cell r="K1217">
            <v>153</v>
          </cell>
          <cell r="L1217">
            <v>328950</v>
          </cell>
          <cell r="Y1217" t="e">
            <v>#N/A</v>
          </cell>
          <cell r="Z1217" t="e">
            <v>#N/A</v>
          </cell>
        </row>
        <row r="1218">
          <cell r="D1218" t="str">
            <v>MA02ALR</v>
          </cell>
          <cell r="E1218" t="str">
            <v>Arena Lavada Rio</v>
          </cell>
          <cell r="F1218" t="str">
            <v>M3</v>
          </cell>
          <cell r="G1218">
            <v>0.09</v>
          </cell>
          <cell r="H1218">
            <v>45000</v>
          </cell>
          <cell r="I1218">
            <v>4050</v>
          </cell>
          <cell r="J1218">
            <v>0</v>
          </cell>
          <cell r="K1218">
            <v>9.18</v>
          </cell>
          <cell r="L1218">
            <v>413100</v>
          </cell>
          <cell r="Y1218" t="e">
            <v>#N/A</v>
          </cell>
          <cell r="Z1218" t="e">
            <v>#N/A</v>
          </cell>
        </row>
        <row r="1219">
          <cell r="D1219" t="str">
            <v>MA03CG</v>
          </cell>
          <cell r="E1219" t="str">
            <v>Cemento Gris</v>
          </cell>
          <cell r="F1219" t="str">
            <v>Kg</v>
          </cell>
          <cell r="G1219">
            <v>7</v>
          </cell>
          <cell r="H1219">
            <v>190</v>
          </cell>
          <cell r="I1219">
            <v>1330</v>
          </cell>
          <cell r="J1219">
            <v>0</v>
          </cell>
          <cell r="K1219">
            <v>714</v>
          </cell>
          <cell r="L1219">
            <v>135660</v>
          </cell>
          <cell r="Y1219" t="e">
            <v>#N/A</v>
          </cell>
          <cell r="Z1219" t="e">
            <v>#N/A</v>
          </cell>
        </row>
        <row r="1220">
          <cell r="I1220">
            <v>0</v>
          </cell>
          <cell r="J1220">
            <v>0</v>
          </cell>
          <cell r="K1220">
            <v>0</v>
          </cell>
          <cell r="L1220">
            <v>0</v>
          </cell>
          <cell r="Y1220">
            <v>0</v>
          </cell>
          <cell r="Z1220">
            <v>0</v>
          </cell>
        </row>
        <row r="1222">
          <cell r="E1222" t="str">
            <v>MANO DE OBRA</v>
          </cell>
          <cell r="I1222">
            <v>60000</v>
          </cell>
          <cell r="J1222">
            <v>0</v>
          </cell>
          <cell r="L1222">
            <v>6120000</v>
          </cell>
          <cell r="Z1222" t="e">
            <v>#N/A</v>
          </cell>
        </row>
        <row r="1223">
          <cell r="D1223" t="str">
            <v>MOANPT</v>
          </cell>
          <cell r="E1223" t="str">
            <v>Tapa</v>
          </cell>
          <cell r="F1223" t="str">
            <v>Un</v>
          </cell>
          <cell r="G1223">
            <v>1</v>
          </cell>
          <cell r="H1223">
            <v>60000</v>
          </cell>
          <cell r="I1223">
            <v>60000</v>
          </cell>
          <cell r="J1223">
            <v>0</v>
          </cell>
          <cell r="K1223">
            <v>102</v>
          </cell>
          <cell r="L1223">
            <v>6120000</v>
          </cell>
          <cell r="Y1223" t="e">
            <v>#N/A</v>
          </cell>
          <cell r="Z1223" t="e">
            <v>#N/A</v>
          </cell>
        </row>
        <row r="1225">
          <cell r="E1225" t="str">
            <v>VARIOS</v>
          </cell>
          <cell r="I1225">
            <v>19000</v>
          </cell>
          <cell r="L1225">
            <v>1938000</v>
          </cell>
          <cell r="Z1225" t="e">
            <v>#N/A</v>
          </cell>
        </row>
        <row r="1226">
          <cell r="D1226" t="str">
            <v>AL04RETRLL</v>
          </cell>
          <cell r="E1226" t="str">
            <v xml:space="preserve">Retro Llanta </v>
          </cell>
          <cell r="F1226" t="str">
            <v>Hr</v>
          </cell>
          <cell r="G1226">
            <v>0.5</v>
          </cell>
          <cell r="H1226">
            <v>38000</v>
          </cell>
          <cell r="I1226">
            <v>19000</v>
          </cell>
          <cell r="J1226">
            <v>0</v>
          </cell>
          <cell r="K1226">
            <v>51</v>
          </cell>
          <cell r="L1226">
            <v>1938000</v>
          </cell>
          <cell r="Y1226" t="e">
            <v>#N/A</v>
          </cell>
          <cell r="Z1226" t="e">
            <v>#N/A</v>
          </cell>
        </row>
        <row r="1227">
          <cell r="D1227" t="str">
            <v/>
          </cell>
        </row>
        <row r="1228">
          <cell r="E1228" t="str">
            <v>SUBTOTAL</v>
          </cell>
          <cell r="I1228">
            <v>87605</v>
          </cell>
          <cell r="L1228">
            <v>8935710</v>
          </cell>
          <cell r="Z1228" t="e">
            <v>#N/A</v>
          </cell>
        </row>
        <row r="1229">
          <cell r="E1229" t="str">
            <v>A.I.U</v>
          </cell>
          <cell r="I1229">
            <v>0</v>
          </cell>
          <cell r="L1229">
            <v>0</v>
          </cell>
          <cell r="Z1229">
            <v>0</v>
          </cell>
        </row>
        <row r="1230">
          <cell r="D1230" t="str">
            <v>AIUAADMON</v>
          </cell>
          <cell r="E1230" t="str">
            <v>Admon</v>
          </cell>
          <cell r="F1230">
            <v>0</v>
          </cell>
          <cell r="I1230">
            <v>0</v>
          </cell>
          <cell r="L1230">
            <v>0</v>
          </cell>
          <cell r="Z1230">
            <v>0</v>
          </cell>
        </row>
        <row r="1231">
          <cell r="D1231" t="str">
            <v>AIUAIMPRE</v>
          </cell>
          <cell r="E1231" t="str">
            <v>Imprevistos</v>
          </cell>
          <cell r="F1231">
            <v>0</v>
          </cell>
          <cell r="I1231">
            <v>0</v>
          </cell>
          <cell r="J1231">
            <v>0</v>
          </cell>
          <cell r="L1231">
            <v>0</v>
          </cell>
          <cell r="Z1231">
            <v>0</v>
          </cell>
        </row>
        <row r="1232">
          <cell r="D1232" t="str">
            <v>AIUAUTILI</v>
          </cell>
          <cell r="E1232" t="str">
            <v>Utilidad</v>
          </cell>
          <cell r="F1232">
            <v>0</v>
          </cell>
          <cell r="I1232">
            <v>0</v>
          </cell>
          <cell r="J1232">
            <v>0</v>
          </cell>
          <cell r="L1232">
            <v>0</v>
          </cell>
          <cell r="Z1232">
            <v>0</v>
          </cell>
        </row>
        <row r="1233">
          <cell r="D1233" t="str">
            <v>AIUAIVAUTI</v>
          </cell>
          <cell r="E1233" t="str">
            <v>IVA utilidad</v>
          </cell>
          <cell r="F1233">
            <v>0</v>
          </cell>
          <cell r="I1233">
            <v>0</v>
          </cell>
          <cell r="J1233">
            <v>0</v>
          </cell>
          <cell r="L1233">
            <v>0</v>
          </cell>
          <cell r="Z1233">
            <v>0</v>
          </cell>
        </row>
        <row r="1235">
          <cell r="E1235" t="str">
            <v>ITEM</v>
          </cell>
        </row>
        <row r="1236">
          <cell r="D1236" t="str">
            <v>ANPOSTA</v>
          </cell>
          <cell r="E1236" t="str">
            <v>Sumin. Placa Prefabricada Tapa Pozos y Camaras</v>
          </cell>
          <cell r="G1236" t="str">
            <v>UN.</v>
          </cell>
          <cell r="H1236" t="str">
            <v>Un</v>
          </cell>
          <cell r="I1236">
            <v>465000</v>
          </cell>
          <cell r="K1236">
            <v>101</v>
          </cell>
          <cell r="L1236">
            <v>46965000</v>
          </cell>
          <cell r="N1236">
            <v>465000</v>
          </cell>
          <cell r="O1236">
            <v>0</v>
          </cell>
          <cell r="P1236">
            <v>0</v>
          </cell>
          <cell r="Q1236">
            <v>0</v>
          </cell>
          <cell r="X1236">
            <v>46965000</v>
          </cell>
          <cell r="Y1236" t="str">
            <v>Un</v>
          </cell>
          <cell r="Z1236" t="e">
            <v>#N/A</v>
          </cell>
          <cell r="AA1236" t="e">
            <v>#N/A</v>
          </cell>
          <cell r="AB1236">
            <v>0</v>
          </cell>
          <cell r="AC1236">
            <v>0</v>
          </cell>
        </row>
        <row r="1238">
          <cell r="D1238" t="str">
            <v>CODIGO</v>
          </cell>
          <cell r="E1238" t="str">
            <v>DESCRIPCION</v>
          </cell>
          <cell r="F1238" t="str">
            <v>UN</v>
          </cell>
          <cell r="G1238" t="str">
            <v>CANT</v>
          </cell>
          <cell r="H1238" t="str">
            <v>V/UNIT.</v>
          </cell>
          <cell r="I1238" t="str">
            <v>V/TOTAL</v>
          </cell>
          <cell r="K1238" t="str">
            <v>CANT TOTAL</v>
          </cell>
          <cell r="L1238" t="str">
            <v>Vr TOTAL</v>
          </cell>
          <cell r="Y1238" t="str">
            <v>CANT.</v>
          </cell>
          <cell r="Z1238" t="str">
            <v>V/TOTAL</v>
          </cell>
        </row>
        <row r="1239">
          <cell r="E1239" t="str">
            <v>MATERIALES</v>
          </cell>
          <cell r="I1239">
            <v>465000</v>
          </cell>
          <cell r="L1239">
            <v>46965000</v>
          </cell>
          <cell r="Z1239" t="e">
            <v>#N/A</v>
          </cell>
        </row>
        <row r="1240">
          <cell r="D1240" t="str">
            <v>MA05PLPOIN</v>
          </cell>
          <cell r="E1240" t="str">
            <v>Placa Prefabricada Pozo de Inspeccion e=0.25</v>
          </cell>
          <cell r="F1240" t="str">
            <v>Un</v>
          </cell>
          <cell r="G1240">
            <v>1</v>
          </cell>
          <cell r="H1240">
            <v>465000</v>
          </cell>
          <cell r="I1240">
            <v>465000</v>
          </cell>
          <cell r="J1240">
            <v>0</v>
          </cell>
          <cell r="K1240">
            <v>101</v>
          </cell>
          <cell r="L1240">
            <v>46965000</v>
          </cell>
          <cell r="Y1240" t="e">
            <v>#N/A</v>
          </cell>
          <cell r="Z1240" t="e">
            <v>#N/A</v>
          </cell>
        </row>
        <row r="1245">
          <cell r="E1245" t="str">
            <v>MANO DE OBRA</v>
          </cell>
          <cell r="I1245">
            <v>0</v>
          </cell>
          <cell r="J1245">
            <v>0</v>
          </cell>
          <cell r="L1245">
            <v>0</v>
          </cell>
          <cell r="Z1245">
            <v>0</v>
          </cell>
        </row>
        <row r="1246">
          <cell r="I1246">
            <v>0</v>
          </cell>
          <cell r="J1246">
            <v>0</v>
          </cell>
          <cell r="K1246">
            <v>0</v>
          </cell>
          <cell r="L1246">
            <v>0</v>
          </cell>
          <cell r="Y1246">
            <v>0</v>
          </cell>
          <cell r="Z1246">
            <v>0</v>
          </cell>
        </row>
        <row r="1248">
          <cell r="E1248" t="str">
            <v>VARIOS</v>
          </cell>
          <cell r="I1248">
            <v>0</v>
          </cell>
          <cell r="L1248">
            <v>0</v>
          </cell>
          <cell r="Z1248">
            <v>0</v>
          </cell>
        </row>
        <row r="1249">
          <cell r="I1249">
            <v>0</v>
          </cell>
          <cell r="J1249">
            <v>0</v>
          </cell>
          <cell r="K1249">
            <v>0</v>
          </cell>
          <cell r="L1249">
            <v>0</v>
          </cell>
          <cell r="Y1249">
            <v>0</v>
          </cell>
          <cell r="Z1249">
            <v>0</v>
          </cell>
        </row>
        <row r="1250">
          <cell r="D1250" t="str">
            <v/>
          </cell>
        </row>
        <row r="1251">
          <cell r="E1251" t="str">
            <v>SUBTOTAL</v>
          </cell>
          <cell r="I1251">
            <v>465000</v>
          </cell>
          <cell r="L1251">
            <v>46965000</v>
          </cell>
          <cell r="Z1251" t="e">
            <v>#N/A</v>
          </cell>
        </row>
        <row r="1252">
          <cell r="E1252" t="str">
            <v>A.I.U</v>
          </cell>
          <cell r="I1252">
            <v>0</v>
          </cell>
          <cell r="L1252">
            <v>0</v>
          </cell>
          <cell r="Z1252">
            <v>0</v>
          </cell>
        </row>
        <row r="1253">
          <cell r="D1253" t="str">
            <v>AIUAADMON</v>
          </cell>
          <cell r="E1253" t="str">
            <v>Admon</v>
          </cell>
          <cell r="F1253">
            <v>0</v>
          </cell>
          <cell r="I1253">
            <v>0</v>
          </cell>
          <cell r="L1253">
            <v>0</v>
          </cell>
          <cell r="Z1253">
            <v>0</v>
          </cell>
        </row>
        <row r="1254">
          <cell r="D1254" t="str">
            <v>AIUAIMPRE</v>
          </cell>
          <cell r="E1254" t="str">
            <v>Imprevistos</v>
          </cell>
          <cell r="F1254">
            <v>0</v>
          </cell>
          <cell r="I1254">
            <v>0</v>
          </cell>
          <cell r="J1254">
            <v>0</v>
          </cell>
          <cell r="L1254">
            <v>0</v>
          </cell>
          <cell r="Z1254">
            <v>0</v>
          </cell>
        </row>
        <row r="1255">
          <cell r="D1255" t="str">
            <v>AIUAUTILI</v>
          </cell>
          <cell r="E1255" t="str">
            <v>Utilidad</v>
          </cell>
          <cell r="F1255">
            <v>0</v>
          </cell>
          <cell r="I1255">
            <v>0</v>
          </cell>
          <cell r="J1255">
            <v>0</v>
          </cell>
          <cell r="L1255">
            <v>0</v>
          </cell>
          <cell r="Z1255">
            <v>0</v>
          </cell>
        </row>
        <row r="1256">
          <cell r="D1256" t="str">
            <v>AIUAIVAUTI</v>
          </cell>
          <cell r="E1256" t="str">
            <v>IVA utilidad</v>
          </cell>
          <cell r="F1256">
            <v>0</v>
          </cell>
          <cell r="I1256">
            <v>0</v>
          </cell>
          <cell r="J1256">
            <v>0</v>
          </cell>
          <cell r="L1256">
            <v>0</v>
          </cell>
          <cell r="Z1256">
            <v>0</v>
          </cell>
        </row>
        <row r="1258">
          <cell r="E1258" t="str">
            <v>ITEM</v>
          </cell>
        </row>
        <row r="1259">
          <cell r="D1259" t="str">
            <v>ANCCB12</v>
          </cell>
          <cell r="E1259" t="str">
            <v>Camara Caida Bajante 12"</v>
          </cell>
          <cell r="G1259" t="str">
            <v>UN.</v>
          </cell>
          <cell r="H1259" t="str">
            <v>Un</v>
          </cell>
          <cell r="I1259">
            <v>121919</v>
          </cell>
          <cell r="K1259">
            <v>8</v>
          </cell>
          <cell r="L1259">
            <v>975352</v>
          </cell>
          <cell r="N1259">
            <v>91069</v>
          </cell>
          <cell r="O1259">
            <v>30000</v>
          </cell>
          <cell r="P1259">
            <v>850</v>
          </cell>
          <cell r="Q1259">
            <v>0</v>
          </cell>
          <cell r="X1259">
            <v>975352</v>
          </cell>
          <cell r="Y1259" t="str">
            <v>Un</v>
          </cell>
          <cell r="Z1259" t="e">
            <v>#N/A</v>
          </cell>
          <cell r="AA1259" t="e">
            <v>#N/A</v>
          </cell>
          <cell r="AB1259" t="e">
            <v>#N/A</v>
          </cell>
          <cell r="AC1259" t="e">
            <v>#N/A</v>
          </cell>
        </row>
        <row r="1261">
          <cell r="D1261" t="str">
            <v>CODIGO</v>
          </cell>
          <cell r="E1261" t="str">
            <v>DESCRIPCION</v>
          </cell>
          <cell r="F1261" t="str">
            <v>UN</v>
          </cell>
          <cell r="G1261" t="str">
            <v>CANT</v>
          </cell>
          <cell r="H1261" t="str">
            <v>V/UNIT.</v>
          </cell>
          <cell r="I1261" t="str">
            <v>V/TOTAL</v>
          </cell>
          <cell r="K1261" t="str">
            <v>CANT TOTAL</v>
          </cell>
          <cell r="L1261" t="str">
            <v>Vr TOTAL</v>
          </cell>
          <cell r="Y1261" t="str">
            <v>CANT.</v>
          </cell>
          <cell r="Z1261" t="str">
            <v>V/TOTAL</v>
          </cell>
        </row>
        <row r="1262">
          <cell r="E1262" t="str">
            <v>MATERIALES</v>
          </cell>
          <cell r="I1262">
            <v>91069</v>
          </cell>
          <cell r="L1262">
            <v>728552</v>
          </cell>
          <cell r="Z1262" t="e">
            <v>#N/A</v>
          </cell>
        </row>
        <row r="1263">
          <cell r="D1263" t="str">
            <v>MA46CSC112</v>
          </cell>
          <cell r="E1263" t="str">
            <v>Tuberia concreto TCS-CL1 12</v>
          </cell>
          <cell r="F1263" t="str">
            <v>ml</v>
          </cell>
          <cell r="G1263">
            <v>1</v>
          </cell>
          <cell r="H1263">
            <v>21716.36</v>
          </cell>
          <cell r="I1263">
            <v>21716</v>
          </cell>
          <cell r="J1263">
            <v>0</v>
          </cell>
          <cell r="K1263">
            <v>8</v>
          </cell>
          <cell r="L1263">
            <v>173730.88</v>
          </cell>
          <cell r="Y1263" t="e">
            <v>#N/A</v>
          </cell>
          <cell r="Z1263" t="e">
            <v>#N/A</v>
          </cell>
        </row>
        <row r="1264">
          <cell r="D1264" t="str">
            <v>MA04C3</v>
          </cell>
          <cell r="E1264" t="str">
            <v xml:space="preserve">Concreto 3000 psi </v>
          </cell>
          <cell r="F1264" t="str">
            <v>M3</v>
          </cell>
          <cell r="G1264">
            <v>0.34</v>
          </cell>
          <cell r="H1264">
            <v>202575</v>
          </cell>
          <cell r="I1264">
            <v>68876</v>
          </cell>
          <cell r="J1264">
            <v>0</v>
          </cell>
          <cell r="K1264">
            <v>2.72</v>
          </cell>
          <cell r="L1264">
            <v>551004</v>
          </cell>
          <cell r="Y1264" t="e">
            <v>#N/A</v>
          </cell>
          <cell r="Z1264" t="e">
            <v>#N/A</v>
          </cell>
        </row>
        <row r="1265">
          <cell r="D1265" t="str">
            <v>MA01A3</v>
          </cell>
          <cell r="E1265" t="str">
            <v>Acero A-3</v>
          </cell>
          <cell r="F1265" t="str">
            <v>Kg</v>
          </cell>
          <cell r="G1265">
            <v>0.34</v>
          </cell>
          <cell r="H1265">
            <v>1404</v>
          </cell>
          <cell r="I1265">
            <v>477</v>
          </cell>
          <cell r="J1265">
            <v>0</v>
          </cell>
          <cell r="K1265">
            <v>2.72</v>
          </cell>
          <cell r="L1265">
            <v>3818.88</v>
          </cell>
          <cell r="Y1265" t="e">
            <v>#N/A</v>
          </cell>
          <cell r="Z1265" t="e">
            <v>#N/A</v>
          </cell>
        </row>
        <row r="1266">
          <cell r="I1266">
            <v>0</v>
          </cell>
          <cell r="J1266">
            <v>0</v>
          </cell>
          <cell r="K1266">
            <v>0</v>
          </cell>
          <cell r="L1266">
            <v>0</v>
          </cell>
          <cell r="Y1266">
            <v>0</v>
          </cell>
          <cell r="Z1266">
            <v>0</v>
          </cell>
        </row>
        <row r="1267">
          <cell r="I1267">
            <v>0</v>
          </cell>
          <cell r="J1267">
            <v>0</v>
          </cell>
          <cell r="K1267">
            <v>0</v>
          </cell>
          <cell r="L1267">
            <v>0</v>
          </cell>
          <cell r="Y1267">
            <v>0</v>
          </cell>
          <cell r="Z1267">
            <v>0</v>
          </cell>
        </row>
        <row r="1268">
          <cell r="I1268">
            <v>0</v>
          </cell>
          <cell r="J1268">
            <v>0</v>
          </cell>
          <cell r="K1268">
            <v>0</v>
          </cell>
          <cell r="L1268">
            <v>0</v>
          </cell>
          <cell r="Y1268">
            <v>0</v>
          </cell>
          <cell r="Z1268">
            <v>0</v>
          </cell>
        </row>
        <row r="1269">
          <cell r="E1269" t="str">
            <v>MANO DE OBRA</v>
          </cell>
          <cell r="I1269">
            <v>30000</v>
          </cell>
          <cell r="J1269">
            <v>0</v>
          </cell>
          <cell r="L1269">
            <v>240000</v>
          </cell>
          <cell r="Z1269" t="e">
            <v>#N/A</v>
          </cell>
        </row>
        <row r="1270">
          <cell r="D1270" t="str">
            <v>MOANCCB</v>
          </cell>
          <cell r="E1270" t="str">
            <v>Camara Caida Bajante Tuberia</v>
          </cell>
          <cell r="F1270" t="str">
            <v>m3</v>
          </cell>
          <cell r="G1270">
            <v>1.2</v>
          </cell>
          <cell r="H1270">
            <v>25000</v>
          </cell>
          <cell r="I1270">
            <v>30000</v>
          </cell>
          <cell r="J1270">
            <v>0</v>
          </cell>
          <cell r="K1270">
            <v>9.6</v>
          </cell>
          <cell r="L1270">
            <v>240000</v>
          </cell>
          <cell r="Y1270" t="e">
            <v>#N/A</v>
          </cell>
          <cell r="Z1270" t="e">
            <v>#N/A</v>
          </cell>
        </row>
        <row r="1272">
          <cell r="E1272" t="str">
            <v>VARIOS</v>
          </cell>
          <cell r="I1272">
            <v>850</v>
          </cell>
          <cell r="L1272">
            <v>6800</v>
          </cell>
          <cell r="Z1272" t="e">
            <v>#N/A</v>
          </cell>
        </row>
        <row r="1273">
          <cell r="D1273" t="str">
            <v>TC07H800</v>
          </cell>
          <cell r="E1273" t="str">
            <v>Herramienta Menor</v>
          </cell>
          <cell r="F1273" t="str">
            <v>Gb</v>
          </cell>
          <cell r="G1273">
            <v>0.5</v>
          </cell>
          <cell r="H1273">
            <v>800</v>
          </cell>
          <cell r="I1273">
            <v>400</v>
          </cell>
          <cell r="J1273">
            <v>0</v>
          </cell>
          <cell r="K1273">
            <v>4</v>
          </cell>
          <cell r="L1273">
            <v>3200</v>
          </cell>
          <cell r="Y1273" t="e">
            <v>#N/A</v>
          </cell>
          <cell r="Z1273" t="e">
            <v>#N/A</v>
          </cell>
        </row>
        <row r="1274">
          <cell r="D1274" t="str">
            <v>AL07VCG</v>
          </cell>
          <cell r="E1274" t="str">
            <v>Vibrador para concretos a Gasolina</v>
          </cell>
          <cell r="F1274" t="str">
            <v>Hr</v>
          </cell>
          <cell r="G1274">
            <v>0.01</v>
          </cell>
          <cell r="H1274">
            <v>45000</v>
          </cell>
          <cell r="I1274">
            <v>450</v>
          </cell>
          <cell r="J1274">
            <v>0</v>
          </cell>
          <cell r="K1274">
            <v>0.08</v>
          </cell>
          <cell r="L1274">
            <v>3600</v>
          </cell>
          <cell r="Y1274" t="e">
            <v>#N/A</v>
          </cell>
          <cell r="Z1274" t="e">
            <v>#N/A</v>
          </cell>
        </row>
        <row r="1275">
          <cell r="E1275" t="str">
            <v>SUBTOTAL</v>
          </cell>
          <cell r="I1275">
            <v>121919</v>
          </cell>
          <cell r="L1275">
            <v>975352</v>
          </cell>
          <cell r="Z1275" t="e">
            <v>#N/A</v>
          </cell>
        </row>
        <row r="1276">
          <cell r="E1276" t="str">
            <v>A.I.U</v>
          </cell>
          <cell r="I1276">
            <v>0</v>
          </cell>
          <cell r="L1276">
            <v>0</v>
          </cell>
          <cell r="Z1276">
            <v>0</v>
          </cell>
        </row>
        <row r="1277">
          <cell r="D1277" t="str">
            <v>AIUAADMON</v>
          </cell>
          <cell r="E1277" t="str">
            <v>Admon</v>
          </cell>
          <cell r="F1277">
            <v>0</v>
          </cell>
          <cell r="I1277">
            <v>0</v>
          </cell>
          <cell r="L1277">
            <v>0</v>
          </cell>
          <cell r="Z1277">
            <v>0</v>
          </cell>
        </row>
        <row r="1278">
          <cell r="D1278" t="str">
            <v>AIUAIMPRE</v>
          </cell>
          <cell r="E1278" t="str">
            <v>Imprevistos</v>
          </cell>
          <cell r="F1278">
            <v>0</v>
          </cell>
          <cell r="I1278">
            <v>0</v>
          </cell>
          <cell r="J1278">
            <v>0</v>
          </cell>
          <cell r="L1278">
            <v>0</v>
          </cell>
          <cell r="Z1278">
            <v>0</v>
          </cell>
        </row>
        <row r="1279">
          <cell r="D1279" t="str">
            <v>AIUAUTILI</v>
          </cell>
          <cell r="E1279" t="str">
            <v>Utilidad</v>
          </cell>
          <cell r="F1279">
            <v>0</v>
          </cell>
          <cell r="I1279">
            <v>0</v>
          </cell>
          <cell r="J1279">
            <v>0</v>
          </cell>
          <cell r="L1279">
            <v>0</v>
          </cell>
          <cell r="Z1279">
            <v>0</v>
          </cell>
        </row>
        <row r="1280">
          <cell r="D1280" t="str">
            <v>AIUAIVAUTI</v>
          </cell>
          <cell r="E1280" t="str">
            <v>IVA utilidad</v>
          </cell>
          <cell r="F1280">
            <v>0</v>
          </cell>
          <cell r="I1280">
            <v>0</v>
          </cell>
          <cell r="J1280">
            <v>0</v>
          </cell>
          <cell r="L1280">
            <v>0</v>
          </cell>
          <cell r="Z1280">
            <v>0</v>
          </cell>
        </row>
        <row r="1282">
          <cell r="E1282" t="str">
            <v>ITEM</v>
          </cell>
        </row>
        <row r="1283">
          <cell r="D1283" t="str">
            <v>ANCCB16</v>
          </cell>
          <cell r="E1283" t="str">
            <v>Camara Caida Bajante 16"</v>
          </cell>
          <cell r="G1283" t="str">
            <v>UN.</v>
          </cell>
          <cell r="H1283" t="str">
            <v>Un</v>
          </cell>
          <cell r="I1283">
            <v>164964</v>
          </cell>
          <cell r="K1283">
            <v>3</v>
          </cell>
          <cell r="L1283">
            <v>494892</v>
          </cell>
          <cell r="N1283">
            <v>129114</v>
          </cell>
          <cell r="O1283">
            <v>35000</v>
          </cell>
          <cell r="P1283">
            <v>850</v>
          </cell>
          <cell r="Q1283">
            <v>0</v>
          </cell>
          <cell r="X1283">
            <v>494892</v>
          </cell>
          <cell r="Y1283" t="str">
            <v>Un</v>
          </cell>
          <cell r="Z1283" t="e">
            <v>#N/A</v>
          </cell>
          <cell r="AA1283" t="e">
            <v>#N/A</v>
          </cell>
          <cell r="AB1283" t="e">
            <v>#N/A</v>
          </cell>
          <cell r="AC1283" t="e">
            <v>#N/A</v>
          </cell>
        </row>
        <row r="1285">
          <cell r="D1285" t="str">
            <v>CODIGO</v>
          </cell>
          <cell r="E1285" t="str">
            <v>DESCRIPCION</v>
          </cell>
          <cell r="F1285" t="str">
            <v>UN</v>
          </cell>
          <cell r="G1285" t="str">
            <v>CANT</v>
          </cell>
          <cell r="H1285" t="str">
            <v>V/UNIT.</v>
          </cell>
          <cell r="I1285" t="str">
            <v>V/TOTAL</v>
          </cell>
          <cell r="K1285" t="str">
            <v>CANT TOTAL</v>
          </cell>
          <cell r="L1285" t="str">
            <v>Vr TOTAL</v>
          </cell>
          <cell r="Y1285" t="str">
            <v>CANT.</v>
          </cell>
          <cell r="Z1285" t="str">
            <v>V/TOTAL</v>
          </cell>
        </row>
        <row r="1286">
          <cell r="E1286" t="str">
            <v>MATERIALES</v>
          </cell>
          <cell r="I1286">
            <v>129114</v>
          </cell>
          <cell r="L1286">
            <v>387342</v>
          </cell>
          <cell r="Z1286" t="e">
            <v>#N/A</v>
          </cell>
        </row>
        <row r="1287">
          <cell r="D1287" t="str">
            <v>MA46CSC116</v>
          </cell>
          <cell r="E1287" t="str">
            <v>Tuberia concreto TCS-CL1 16</v>
          </cell>
          <cell r="F1287" t="str">
            <v>ml</v>
          </cell>
          <cell r="G1287">
            <v>1</v>
          </cell>
          <cell r="H1287">
            <v>47522.3</v>
          </cell>
          <cell r="I1287">
            <v>47522</v>
          </cell>
          <cell r="J1287">
            <v>0</v>
          </cell>
          <cell r="K1287">
            <v>3</v>
          </cell>
          <cell r="L1287">
            <v>142566.90000000002</v>
          </cell>
          <cell r="Y1287" t="e">
            <v>#N/A</v>
          </cell>
          <cell r="Z1287" t="e">
            <v>#N/A</v>
          </cell>
        </row>
        <row r="1288">
          <cell r="D1288" t="str">
            <v>MA04C3</v>
          </cell>
          <cell r="E1288" t="str">
            <v xml:space="preserve">Concreto 3000 psi </v>
          </cell>
          <cell r="F1288" t="str">
            <v>M3</v>
          </cell>
          <cell r="G1288">
            <v>0.4</v>
          </cell>
          <cell r="H1288">
            <v>202575</v>
          </cell>
          <cell r="I1288">
            <v>81030</v>
          </cell>
          <cell r="J1288">
            <v>0</v>
          </cell>
          <cell r="K1288">
            <v>1.2000000000000002</v>
          </cell>
          <cell r="L1288">
            <v>243090.00000000003</v>
          </cell>
          <cell r="Y1288" t="e">
            <v>#N/A</v>
          </cell>
          <cell r="Z1288" t="e">
            <v>#N/A</v>
          </cell>
        </row>
        <row r="1289">
          <cell r="D1289" t="str">
            <v>MA01A3</v>
          </cell>
          <cell r="E1289" t="str">
            <v>Acero A-3</v>
          </cell>
          <cell r="F1289" t="str">
            <v>Kg</v>
          </cell>
          <cell r="G1289">
            <v>0.4</v>
          </cell>
          <cell r="H1289">
            <v>1404</v>
          </cell>
          <cell r="I1289">
            <v>562</v>
          </cell>
          <cell r="J1289">
            <v>0</v>
          </cell>
          <cell r="K1289">
            <v>1.2000000000000002</v>
          </cell>
          <cell r="L1289">
            <v>1684.8000000000002</v>
          </cell>
          <cell r="Y1289" t="e">
            <v>#N/A</v>
          </cell>
          <cell r="Z1289" t="e">
            <v>#N/A</v>
          </cell>
        </row>
        <row r="1290">
          <cell r="I1290">
            <v>0</v>
          </cell>
          <cell r="J1290">
            <v>0</v>
          </cell>
          <cell r="K1290">
            <v>0</v>
          </cell>
          <cell r="L1290">
            <v>0</v>
          </cell>
          <cell r="Y1290">
            <v>0</v>
          </cell>
          <cell r="Z1290">
            <v>0</v>
          </cell>
        </row>
        <row r="1291">
          <cell r="I1291">
            <v>0</v>
          </cell>
          <cell r="J1291">
            <v>0</v>
          </cell>
          <cell r="K1291">
            <v>0</v>
          </cell>
          <cell r="L1291">
            <v>0</v>
          </cell>
          <cell r="Y1291">
            <v>0</v>
          </cell>
          <cell r="Z1291">
            <v>0</v>
          </cell>
        </row>
        <row r="1292">
          <cell r="I1292">
            <v>0</v>
          </cell>
          <cell r="J1292">
            <v>0</v>
          </cell>
          <cell r="K1292">
            <v>0</v>
          </cell>
          <cell r="L1292">
            <v>0</v>
          </cell>
          <cell r="Y1292">
            <v>0</v>
          </cell>
          <cell r="Z1292">
            <v>0</v>
          </cell>
        </row>
        <row r="1293">
          <cell r="E1293" t="str">
            <v>MANO DE OBRA</v>
          </cell>
          <cell r="I1293">
            <v>35000</v>
          </cell>
          <cell r="J1293">
            <v>0</v>
          </cell>
          <cell r="L1293">
            <v>105000</v>
          </cell>
          <cell r="Z1293" t="e">
            <v>#N/A</v>
          </cell>
        </row>
        <row r="1294">
          <cell r="D1294" t="str">
            <v>MOANCCB</v>
          </cell>
          <cell r="E1294" t="str">
            <v>Camara Caida Bajante Tuberia</v>
          </cell>
          <cell r="F1294" t="str">
            <v>m3</v>
          </cell>
          <cell r="G1294">
            <v>1.4</v>
          </cell>
          <cell r="H1294">
            <v>25000</v>
          </cell>
          <cell r="I1294">
            <v>35000</v>
          </cell>
          <cell r="J1294">
            <v>0</v>
          </cell>
          <cell r="K1294">
            <v>4.1999999999999993</v>
          </cell>
          <cell r="L1294">
            <v>104999.99999999999</v>
          </cell>
          <cell r="Y1294" t="e">
            <v>#N/A</v>
          </cell>
          <cell r="Z1294" t="e">
            <v>#N/A</v>
          </cell>
        </row>
        <row r="1296">
          <cell r="E1296" t="str">
            <v>VARIOS</v>
          </cell>
          <cell r="I1296">
            <v>850</v>
          </cell>
          <cell r="L1296">
            <v>2550</v>
          </cell>
          <cell r="Z1296" t="e">
            <v>#N/A</v>
          </cell>
        </row>
        <row r="1297">
          <cell r="D1297" t="str">
            <v>TC07H800</v>
          </cell>
          <cell r="E1297" t="str">
            <v>Herramienta Menor</v>
          </cell>
          <cell r="F1297" t="str">
            <v>Gb</v>
          </cell>
          <cell r="G1297">
            <v>0.5</v>
          </cell>
          <cell r="H1297">
            <v>800</v>
          </cell>
          <cell r="I1297">
            <v>400</v>
          </cell>
          <cell r="J1297">
            <v>0</v>
          </cell>
          <cell r="K1297">
            <v>1.5</v>
          </cell>
          <cell r="L1297">
            <v>1200</v>
          </cell>
          <cell r="Y1297" t="e">
            <v>#N/A</v>
          </cell>
          <cell r="Z1297" t="e">
            <v>#N/A</v>
          </cell>
        </row>
        <row r="1298">
          <cell r="D1298" t="str">
            <v>AL07VCG</v>
          </cell>
          <cell r="E1298" t="str">
            <v>Vibrador para concretos a Gasolina</v>
          </cell>
          <cell r="F1298" t="str">
            <v>Hr</v>
          </cell>
          <cell r="G1298">
            <v>0.01</v>
          </cell>
          <cell r="H1298">
            <v>45000</v>
          </cell>
          <cell r="I1298">
            <v>450</v>
          </cell>
          <cell r="J1298">
            <v>0</v>
          </cell>
          <cell r="K1298">
            <v>0.03</v>
          </cell>
          <cell r="L1298">
            <v>1350</v>
          </cell>
          <cell r="Y1298" t="e">
            <v>#N/A</v>
          </cell>
          <cell r="Z1298" t="e">
            <v>#N/A</v>
          </cell>
        </row>
        <row r="1299">
          <cell r="E1299" t="str">
            <v>SUBTOTAL</v>
          </cell>
          <cell r="I1299">
            <v>164964</v>
          </cell>
          <cell r="L1299">
            <v>494892</v>
          </cell>
          <cell r="Z1299" t="e">
            <v>#N/A</v>
          </cell>
        </row>
        <row r="1300">
          <cell r="E1300" t="str">
            <v>A.I.U</v>
          </cell>
          <cell r="I1300">
            <v>0</v>
          </cell>
          <cell r="L1300">
            <v>0</v>
          </cell>
          <cell r="Z1300">
            <v>0</v>
          </cell>
        </row>
        <row r="1301">
          <cell r="D1301" t="str">
            <v>AIUAADMON</v>
          </cell>
          <cell r="E1301" t="str">
            <v>Admon</v>
          </cell>
          <cell r="F1301">
            <v>0</v>
          </cell>
          <cell r="I1301">
            <v>0</v>
          </cell>
          <cell r="L1301">
            <v>0</v>
          </cell>
          <cell r="Z1301">
            <v>0</v>
          </cell>
        </row>
        <row r="1302">
          <cell r="D1302" t="str">
            <v>AIUAIMPRE</v>
          </cell>
          <cell r="E1302" t="str">
            <v>Imprevistos</v>
          </cell>
          <cell r="F1302">
            <v>0</v>
          </cell>
          <cell r="I1302">
            <v>0</v>
          </cell>
          <cell r="J1302">
            <v>0</v>
          </cell>
          <cell r="L1302">
            <v>0</v>
          </cell>
          <cell r="Z1302">
            <v>0</v>
          </cell>
        </row>
        <row r="1303">
          <cell r="D1303" t="str">
            <v>AIUAUTILI</v>
          </cell>
          <cell r="E1303" t="str">
            <v>Utilidad</v>
          </cell>
          <cell r="F1303">
            <v>0</v>
          </cell>
          <cell r="I1303">
            <v>0</v>
          </cell>
          <cell r="J1303">
            <v>0</v>
          </cell>
          <cell r="L1303">
            <v>0</v>
          </cell>
          <cell r="Z1303">
            <v>0</v>
          </cell>
        </row>
        <row r="1304">
          <cell r="D1304" t="str">
            <v>AIUAIVAUTI</v>
          </cell>
          <cell r="E1304" t="str">
            <v>IVA utilidad</v>
          </cell>
          <cell r="F1304">
            <v>0</v>
          </cell>
          <cell r="I1304">
            <v>0</v>
          </cell>
          <cell r="J1304">
            <v>0</v>
          </cell>
          <cell r="L1304">
            <v>0</v>
          </cell>
          <cell r="Z1304">
            <v>0</v>
          </cell>
        </row>
        <row r="1306">
          <cell r="E1306" t="str">
            <v>ITEM</v>
          </cell>
        </row>
        <row r="1307">
          <cell r="D1307" t="str">
            <v>ANSU110</v>
          </cell>
          <cell r="E1307" t="str">
            <v>Sumidero Tipo SL-100</v>
          </cell>
          <cell r="G1307" t="str">
            <v>UN.</v>
          </cell>
          <cell r="H1307" t="str">
            <v>Un</v>
          </cell>
          <cell r="I1307">
            <v>783662</v>
          </cell>
          <cell r="K1307">
            <v>80</v>
          </cell>
          <cell r="L1307">
            <v>62692960</v>
          </cell>
          <cell r="N1307">
            <v>617862</v>
          </cell>
          <cell r="O1307">
            <v>165000</v>
          </cell>
          <cell r="P1307">
            <v>800</v>
          </cell>
          <cell r="Q1307">
            <v>0</v>
          </cell>
          <cell r="X1307">
            <v>62692960</v>
          </cell>
          <cell r="Y1307" t="str">
            <v>Un</v>
          </cell>
          <cell r="Z1307" t="e">
            <v>#VALUE!</v>
          </cell>
          <cell r="AA1307" t="e">
            <v>#N/A</v>
          </cell>
          <cell r="AB1307" t="e">
            <v>#VALUE!</v>
          </cell>
          <cell r="AC1307" t="e">
            <v>#VALUE!</v>
          </cell>
        </row>
        <row r="1309">
          <cell r="D1309" t="str">
            <v>CODIGO</v>
          </cell>
          <cell r="E1309" t="str">
            <v>DESCRIPCION</v>
          </cell>
          <cell r="F1309" t="str">
            <v>UN</v>
          </cell>
          <cell r="G1309" t="str">
            <v>CANT</v>
          </cell>
          <cell r="H1309" t="str">
            <v>V/UNIT.</v>
          </cell>
          <cell r="I1309" t="str">
            <v>V/TOTAL</v>
          </cell>
          <cell r="K1309" t="str">
            <v>CANT TOTAL</v>
          </cell>
          <cell r="L1309" t="str">
            <v>Vr TOTAL</v>
          </cell>
          <cell r="Y1309" t="str">
            <v>CANT.</v>
          </cell>
          <cell r="Z1309" t="str">
            <v>V/TOTAL</v>
          </cell>
        </row>
        <row r="1310">
          <cell r="E1310" t="str">
            <v>MATERIALES</v>
          </cell>
          <cell r="I1310">
            <v>617862</v>
          </cell>
          <cell r="L1310">
            <v>49428960</v>
          </cell>
          <cell r="Z1310" t="e">
            <v>#N/A</v>
          </cell>
        </row>
        <row r="1311">
          <cell r="D1311" t="str">
            <v>MA04C35</v>
          </cell>
          <cell r="E1311" t="str">
            <v xml:space="preserve">Concreto 3500 psi </v>
          </cell>
          <cell r="F1311" t="str">
            <v>M3</v>
          </cell>
          <cell r="G1311">
            <v>2</v>
          </cell>
          <cell r="H1311">
            <v>215775</v>
          </cell>
          <cell r="I1311">
            <v>431550</v>
          </cell>
          <cell r="J1311">
            <v>0</v>
          </cell>
          <cell r="K1311">
            <v>160</v>
          </cell>
          <cell r="L1311">
            <v>34524000</v>
          </cell>
          <cell r="Y1311" t="e">
            <v>#N/A</v>
          </cell>
          <cell r="Z1311" t="e">
            <v>#N/A</v>
          </cell>
        </row>
        <row r="1312">
          <cell r="D1312" t="str">
            <v>MA05SUMT10</v>
          </cell>
          <cell r="E1312" t="str">
            <v>Marco y Tapa para Sumidero SL-100</v>
          </cell>
          <cell r="F1312" t="str">
            <v>Un</v>
          </cell>
          <cell r="G1312">
            <v>1</v>
          </cell>
          <cell r="H1312">
            <v>110000</v>
          </cell>
          <cell r="I1312">
            <v>110000</v>
          </cell>
          <cell r="J1312">
            <v>0</v>
          </cell>
          <cell r="K1312">
            <v>80</v>
          </cell>
          <cell r="L1312">
            <v>8800000</v>
          </cell>
          <cell r="Y1312" t="e">
            <v>#N/A</v>
          </cell>
          <cell r="Z1312" t="e">
            <v>#N/A</v>
          </cell>
        </row>
        <row r="1313">
          <cell r="D1313" t="str">
            <v>MA25TB20</v>
          </cell>
          <cell r="E1313" t="str">
            <v>Tabla Burra 20 cm</v>
          </cell>
          <cell r="F1313" t="str">
            <v>Un</v>
          </cell>
          <cell r="G1313">
            <v>6</v>
          </cell>
          <cell r="H1313">
            <v>6380</v>
          </cell>
          <cell r="I1313">
            <v>38280</v>
          </cell>
          <cell r="J1313">
            <v>0</v>
          </cell>
          <cell r="K1313">
            <v>480</v>
          </cell>
          <cell r="L1313">
            <v>3062400</v>
          </cell>
          <cell r="Y1313" t="e">
            <v>#VALUE!</v>
          </cell>
          <cell r="Z1313" t="e">
            <v>#VALUE!</v>
          </cell>
        </row>
        <row r="1314">
          <cell r="D1314" t="str">
            <v>MA25DURM</v>
          </cell>
          <cell r="E1314" t="str">
            <v>Durmiente</v>
          </cell>
          <cell r="F1314" t="str">
            <v>Un</v>
          </cell>
          <cell r="G1314">
            <v>4</v>
          </cell>
          <cell r="H1314">
            <v>2000</v>
          </cell>
          <cell r="I1314">
            <v>8000</v>
          </cell>
          <cell r="J1314">
            <v>0</v>
          </cell>
          <cell r="K1314">
            <v>320</v>
          </cell>
          <cell r="L1314">
            <v>640000</v>
          </cell>
          <cell r="Y1314" t="e">
            <v>#VALUE!</v>
          </cell>
          <cell r="Z1314" t="e">
            <v>#VALUE!</v>
          </cell>
        </row>
        <row r="1315">
          <cell r="D1315" t="str">
            <v>MA25VC6</v>
          </cell>
          <cell r="E1315" t="str">
            <v>Vara de Corredor 6 ml</v>
          </cell>
          <cell r="F1315" t="str">
            <v>Un</v>
          </cell>
          <cell r="G1315">
            <v>4</v>
          </cell>
          <cell r="H1315">
            <v>6900</v>
          </cell>
          <cell r="I1315">
            <v>27600</v>
          </cell>
          <cell r="J1315">
            <v>0</v>
          </cell>
          <cell r="K1315">
            <v>320</v>
          </cell>
          <cell r="L1315">
            <v>2208000</v>
          </cell>
          <cell r="Y1315" t="e">
            <v>#VALUE!</v>
          </cell>
          <cell r="Z1315" t="e">
            <v>#VALUE!</v>
          </cell>
        </row>
        <row r="1316">
          <cell r="D1316" t="str">
            <v>MA19PC25</v>
          </cell>
          <cell r="E1316" t="str">
            <v>Puntilla con cabeza 2,5"</v>
          </cell>
          <cell r="F1316" t="str">
            <v>Lb</v>
          </cell>
          <cell r="G1316">
            <v>2</v>
          </cell>
          <cell r="H1316">
            <v>1216</v>
          </cell>
          <cell r="I1316">
            <v>2432</v>
          </cell>
          <cell r="J1316">
            <v>0</v>
          </cell>
          <cell r="K1316">
            <v>160</v>
          </cell>
          <cell r="L1316">
            <v>194560</v>
          </cell>
          <cell r="Y1316" t="e">
            <v>#N/A</v>
          </cell>
          <cell r="Z1316" t="e">
            <v>#N/A</v>
          </cell>
        </row>
        <row r="1317">
          <cell r="E1317" t="str">
            <v>MANO DE OBRA</v>
          </cell>
          <cell r="I1317">
            <v>165000</v>
          </cell>
          <cell r="L1317">
            <v>13200000</v>
          </cell>
          <cell r="Z1317" t="e">
            <v>#VALUE!</v>
          </cell>
        </row>
        <row r="1318">
          <cell r="D1318" t="str">
            <v>MOANSU</v>
          </cell>
          <cell r="E1318" t="str">
            <v>Sumidero concreto</v>
          </cell>
          <cell r="F1318" t="str">
            <v>UN</v>
          </cell>
          <cell r="G1318">
            <v>1</v>
          </cell>
          <cell r="H1318">
            <v>165000</v>
          </cell>
          <cell r="I1318">
            <v>165000</v>
          </cell>
          <cell r="J1318">
            <v>0</v>
          </cell>
          <cell r="K1318">
            <v>80</v>
          </cell>
          <cell r="L1318">
            <v>13200000</v>
          </cell>
          <cell r="Y1318" t="e">
            <v>#VALUE!</v>
          </cell>
          <cell r="Z1318" t="e">
            <v>#VALUE!</v>
          </cell>
        </row>
        <row r="1320">
          <cell r="E1320" t="str">
            <v>VARIOS</v>
          </cell>
          <cell r="I1320">
            <v>800</v>
          </cell>
          <cell r="L1320">
            <v>64000</v>
          </cell>
          <cell r="Z1320" t="e">
            <v>#VALUE!</v>
          </cell>
        </row>
        <row r="1321">
          <cell r="D1321" t="str">
            <v>TC07H800</v>
          </cell>
          <cell r="E1321" t="str">
            <v>Herramienta Menor</v>
          </cell>
          <cell r="F1321" t="str">
            <v>Gb</v>
          </cell>
          <cell r="G1321">
            <v>1</v>
          </cell>
          <cell r="H1321">
            <v>800</v>
          </cell>
          <cell r="I1321">
            <v>800</v>
          </cell>
          <cell r="J1321">
            <v>0</v>
          </cell>
          <cell r="K1321">
            <v>80</v>
          </cell>
          <cell r="L1321">
            <v>64000</v>
          </cell>
          <cell r="Y1321" t="e">
            <v>#VALUE!</v>
          </cell>
          <cell r="Z1321" t="e">
            <v>#VALUE!</v>
          </cell>
        </row>
        <row r="1323">
          <cell r="E1323" t="str">
            <v>SUBTOTAL</v>
          </cell>
          <cell r="I1323">
            <v>783662</v>
          </cell>
          <cell r="L1323">
            <v>62692960</v>
          </cell>
          <cell r="Z1323" t="e">
            <v>#VALUE!</v>
          </cell>
        </row>
        <row r="1324">
          <cell r="E1324" t="str">
            <v>A.I.U</v>
          </cell>
          <cell r="I1324">
            <v>0</v>
          </cell>
          <cell r="L1324">
            <v>0</v>
          </cell>
          <cell r="Z1324">
            <v>0</v>
          </cell>
        </row>
        <row r="1325">
          <cell r="D1325" t="str">
            <v>AIUAADMON</v>
          </cell>
          <cell r="E1325" t="str">
            <v>Admon</v>
          </cell>
          <cell r="F1325">
            <v>0</v>
          </cell>
          <cell r="I1325">
            <v>0</v>
          </cell>
          <cell r="J1325">
            <v>0</v>
          </cell>
          <cell r="L1325">
            <v>0</v>
          </cell>
          <cell r="Z1325">
            <v>0</v>
          </cell>
        </row>
        <row r="1326">
          <cell r="D1326" t="str">
            <v>AIUAIMPRE</v>
          </cell>
          <cell r="E1326" t="str">
            <v>Imprevistos</v>
          </cell>
          <cell r="F1326">
            <v>0</v>
          </cell>
          <cell r="I1326">
            <v>0</v>
          </cell>
          <cell r="J1326">
            <v>0</v>
          </cell>
          <cell r="L1326">
            <v>0</v>
          </cell>
          <cell r="Z1326">
            <v>0</v>
          </cell>
        </row>
        <row r="1327">
          <cell r="D1327" t="str">
            <v>AIUAUTILI</v>
          </cell>
          <cell r="E1327" t="str">
            <v>Utilidad</v>
          </cell>
          <cell r="F1327">
            <v>0</v>
          </cell>
          <cell r="I1327">
            <v>0</v>
          </cell>
          <cell r="J1327">
            <v>0</v>
          </cell>
          <cell r="L1327">
            <v>0</v>
          </cell>
          <cell r="Z1327">
            <v>0</v>
          </cell>
        </row>
        <row r="1328">
          <cell r="D1328" t="str">
            <v>AIUAIVAUTI</v>
          </cell>
          <cell r="E1328" t="str">
            <v>IVA utilidad</v>
          </cell>
          <cell r="F1328">
            <v>0</v>
          </cell>
          <cell r="I1328">
            <v>0</v>
          </cell>
          <cell r="J1328">
            <v>0</v>
          </cell>
          <cell r="L1328">
            <v>0</v>
          </cell>
          <cell r="Z1328">
            <v>0</v>
          </cell>
        </row>
        <row r="1330">
          <cell r="E1330" t="str">
            <v>ITEM</v>
          </cell>
        </row>
        <row r="1331">
          <cell r="D1331" t="str">
            <v>ANSU150</v>
          </cell>
          <cell r="E1331" t="str">
            <v>Sumidero Tipo SL-150</v>
          </cell>
          <cell r="G1331" t="str">
            <v>UN.</v>
          </cell>
          <cell r="H1331" t="str">
            <v>Un</v>
          </cell>
          <cell r="I1331">
            <v>930106</v>
          </cell>
          <cell r="K1331">
            <v>39</v>
          </cell>
          <cell r="L1331">
            <v>36274134</v>
          </cell>
          <cell r="N1331">
            <v>681806</v>
          </cell>
          <cell r="O1331">
            <v>247500</v>
          </cell>
          <cell r="P1331">
            <v>800</v>
          </cell>
          <cell r="Q1331">
            <v>0</v>
          </cell>
          <cell r="X1331">
            <v>36274134</v>
          </cell>
          <cell r="Y1331" t="str">
            <v>Un</v>
          </cell>
          <cell r="Z1331" t="e">
            <v>#N/A</v>
          </cell>
          <cell r="AA1331" t="e">
            <v>#N/A</v>
          </cell>
          <cell r="AB1331" t="e">
            <v>#N/A</v>
          </cell>
          <cell r="AC1331" t="e">
            <v>#N/A</v>
          </cell>
        </row>
        <row r="1333">
          <cell r="D1333" t="str">
            <v>CODIGO</v>
          </cell>
          <cell r="E1333" t="str">
            <v>DESCRIPCION</v>
          </cell>
          <cell r="F1333" t="str">
            <v>UN</v>
          </cell>
          <cell r="G1333" t="str">
            <v>CANT</v>
          </cell>
          <cell r="H1333" t="str">
            <v>V/UNIT.</v>
          </cell>
          <cell r="I1333" t="str">
            <v>V/TOTAL</v>
          </cell>
          <cell r="K1333" t="str">
            <v>CANT TOTAL</v>
          </cell>
          <cell r="L1333" t="str">
            <v>Vr TOTAL</v>
          </cell>
          <cell r="Y1333" t="str">
            <v>CANT.</v>
          </cell>
          <cell r="Z1333" t="str">
            <v>V/TOTAL</v>
          </cell>
        </row>
        <row r="1334">
          <cell r="E1334" t="str">
            <v>MATERIALES</v>
          </cell>
          <cell r="I1334">
            <v>681806</v>
          </cell>
          <cell r="L1334">
            <v>26590434</v>
          </cell>
          <cell r="Z1334" t="e">
            <v>#N/A</v>
          </cell>
        </row>
        <row r="1335">
          <cell r="D1335" t="str">
            <v>MA04C35</v>
          </cell>
          <cell r="E1335" t="str">
            <v xml:space="preserve">Concreto 3500 psi </v>
          </cell>
          <cell r="F1335" t="str">
            <v>M3</v>
          </cell>
          <cell r="G1335">
            <v>2.25</v>
          </cell>
          <cell r="H1335">
            <v>215775</v>
          </cell>
          <cell r="I1335">
            <v>485494</v>
          </cell>
          <cell r="J1335">
            <v>0</v>
          </cell>
          <cell r="K1335">
            <v>87.75</v>
          </cell>
          <cell r="L1335">
            <v>18934256.25</v>
          </cell>
          <cell r="Y1335" t="e">
            <v>#N/A</v>
          </cell>
          <cell r="Z1335" t="e">
            <v>#N/A</v>
          </cell>
        </row>
        <row r="1336">
          <cell r="D1336" t="str">
            <v>MA05SUMT15</v>
          </cell>
          <cell r="E1336" t="str">
            <v>Marco y Tapa para Sumidero SL-150</v>
          </cell>
          <cell r="F1336" t="str">
            <v>Un</v>
          </cell>
          <cell r="G1336">
            <v>1</v>
          </cell>
          <cell r="H1336">
            <v>120000</v>
          </cell>
          <cell r="I1336">
            <v>120000</v>
          </cell>
          <cell r="J1336">
            <v>0</v>
          </cell>
          <cell r="K1336">
            <v>39</v>
          </cell>
          <cell r="L1336">
            <v>4680000</v>
          </cell>
          <cell r="Y1336" t="e">
            <v>#N/A</v>
          </cell>
          <cell r="Z1336" t="e">
            <v>#N/A</v>
          </cell>
        </row>
        <row r="1337">
          <cell r="D1337" t="str">
            <v>MA25TB20</v>
          </cell>
          <cell r="E1337" t="str">
            <v>Tabla Burra 20 cm</v>
          </cell>
          <cell r="F1337" t="str">
            <v>Un</v>
          </cell>
          <cell r="G1337">
            <v>6</v>
          </cell>
          <cell r="H1337">
            <v>6380</v>
          </cell>
          <cell r="I1337">
            <v>38280</v>
          </cell>
          <cell r="J1337">
            <v>0</v>
          </cell>
          <cell r="K1337">
            <v>234</v>
          </cell>
          <cell r="L1337">
            <v>1492920</v>
          </cell>
          <cell r="Y1337" t="e">
            <v>#N/A</v>
          </cell>
          <cell r="Z1337" t="e">
            <v>#N/A</v>
          </cell>
        </row>
        <row r="1338">
          <cell r="D1338" t="str">
            <v>MA25DURM</v>
          </cell>
          <cell r="E1338" t="str">
            <v>Durmiente</v>
          </cell>
          <cell r="F1338" t="str">
            <v>Un</v>
          </cell>
          <cell r="G1338">
            <v>4</v>
          </cell>
          <cell r="H1338">
            <v>2000</v>
          </cell>
          <cell r="I1338">
            <v>8000</v>
          </cell>
          <cell r="J1338">
            <v>0</v>
          </cell>
          <cell r="K1338">
            <v>156</v>
          </cell>
          <cell r="L1338">
            <v>312000</v>
          </cell>
          <cell r="Y1338" t="e">
            <v>#N/A</v>
          </cell>
          <cell r="Z1338" t="e">
            <v>#N/A</v>
          </cell>
        </row>
        <row r="1339">
          <cell r="D1339" t="str">
            <v>MA25VC6</v>
          </cell>
          <cell r="E1339" t="str">
            <v>Vara de Corredor 6 ml</v>
          </cell>
          <cell r="F1339" t="str">
            <v>Un</v>
          </cell>
          <cell r="G1339">
            <v>4</v>
          </cell>
          <cell r="H1339">
            <v>6900</v>
          </cell>
          <cell r="I1339">
            <v>27600</v>
          </cell>
          <cell r="J1339">
            <v>0</v>
          </cell>
          <cell r="K1339">
            <v>156</v>
          </cell>
          <cell r="L1339">
            <v>1076400</v>
          </cell>
          <cell r="Y1339" t="e">
            <v>#N/A</v>
          </cell>
          <cell r="Z1339" t="e">
            <v>#N/A</v>
          </cell>
        </row>
        <row r="1340">
          <cell r="D1340" t="str">
            <v>MA19PC25</v>
          </cell>
          <cell r="E1340" t="str">
            <v>Puntilla con cabeza 2,5"</v>
          </cell>
          <cell r="F1340" t="str">
            <v>Lb</v>
          </cell>
          <cell r="G1340">
            <v>2</v>
          </cell>
          <cell r="H1340">
            <v>1216</v>
          </cell>
          <cell r="I1340">
            <v>2432</v>
          </cell>
          <cell r="J1340">
            <v>0</v>
          </cell>
          <cell r="K1340">
            <v>78</v>
          </cell>
          <cell r="L1340">
            <v>94848</v>
          </cell>
          <cell r="Y1340" t="e">
            <v>#N/A</v>
          </cell>
          <cell r="Z1340" t="e">
            <v>#N/A</v>
          </cell>
        </row>
        <row r="1341">
          <cell r="E1341" t="str">
            <v>MANO DE OBRA</v>
          </cell>
          <cell r="I1341">
            <v>247500</v>
          </cell>
          <cell r="L1341">
            <v>9652500</v>
          </cell>
          <cell r="Z1341" t="e">
            <v>#N/A</v>
          </cell>
        </row>
        <row r="1342">
          <cell r="D1342" t="str">
            <v>MOANSU</v>
          </cell>
          <cell r="E1342" t="str">
            <v>Sumidero concreto</v>
          </cell>
          <cell r="F1342" t="str">
            <v>UN</v>
          </cell>
          <cell r="G1342">
            <v>1.5</v>
          </cell>
          <cell r="H1342">
            <v>165000</v>
          </cell>
          <cell r="I1342">
            <v>247500</v>
          </cell>
          <cell r="J1342">
            <v>0</v>
          </cell>
          <cell r="K1342">
            <v>58.5</v>
          </cell>
          <cell r="L1342">
            <v>9652500</v>
          </cell>
          <cell r="Y1342" t="e">
            <v>#N/A</v>
          </cell>
          <cell r="Z1342" t="e">
            <v>#N/A</v>
          </cell>
        </row>
        <row r="1344">
          <cell r="E1344" t="str">
            <v>VARIOS</v>
          </cell>
          <cell r="I1344">
            <v>800</v>
          </cell>
          <cell r="L1344">
            <v>31200</v>
          </cell>
          <cell r="Z1344" t="e">
            <v>#N/A</v>
          </cell>
        </row>
        <row r="1345">
          <cell r="D1345" t="str">
            <v>TC07H800</v>
          </cell>
          <cell r="E1345" t="str">
            <v>Herramienta Menor</v>
          </cell>
          <cell r="F1345" t="str">
            <v>Gb</v>
          </cell>
          <cell r="G1345">
            <v>1</v>
          </cell>
          <cell r="H1345">
            <v>800</v>
          </cell>
          <cell r="I1345">
            <v>800</v>
          </cell>
          <cell r="J1345">
            <v>0</v>
          </cell>
          <cell r="K1345">
            <v>39</v>
          </cell>
          <cell r="L1345">
            <v>31200</v>
          </cell>
          <cell r="Y1345" t="e">
            <v>#N/A</v>
          </cell>
          <cell r="Z1345" t="e">
            <v>#N/A</v>
          </cell>
        </row>
        <row r="1347">
          <cell r="E1347" t="str">
            <v>SUBTOTAL</v>
          </cell>
          <cell r="I1347">
            <v>930106</v>
          </cell>
          <cell r="L1347">
            <v>36274134</v>
          </cell>
          <cell r="Z1347" t="e">
            <v>#N/A</v>
          </cell>
        </row>
        <row r="1348">
          <cell r="E1348" t="str">
            <v>A.I.U</v>
          </cell>
          <cell r="I1348">
            <v>0</v>
          </cell>
          <cell r="L1348">
            <v>0</v>
          </cell>
          <cell r="Z1348">
            <v>0</v>
          </cell>
        </row>
        <row r="1349">
          <cell r="D1349" t="str">
            <v>AIUAADMON</v>
          </cell>
          <cell r="E1349" t="str">
            <v>Admon</v>
          </cell>
          <cell r="F1349">
            <v>0</v>
          </cell>
          <cell r="I1349">
            <v>0</v>
          </cell>
          <cell r="J1349">
            <v>0</v>
          </cell>
          <cell r="L1349">
            <v>0</v>
          </cell>
          <cell r="Z1349">
            <v>0</v>
          </cell>
        </row>
        <row r="1350">
          <cell r="D1350" t="str">
            <v>AIUAIMPRE</v>
          </cell>
          <cell r="E1350" t="str">
            <v>Imprevistos</v>
          </cell>
          <cell r="F1350">
            <v>0</v>
          </cell>
          <cell r="I1350">
            <v>0</v>
          </cell>
          <cell r="J1350">
            <v>0</v>
          </cell>
          <cell r="L1350">
            <v>0</v>
          </cell>
          <cell r="Z1350">
            <v>0</v>
          </cell>
        </row>
        <row r="1351">
          <cell r="D1351" t="str">
            <v>AIUAUTILI</v>
          </cell>
          <cell r="E1351" t="str">
            <v>Utilidad</v>
          </cell>
          <cell r="F1351">
            <v>0</v>
          </cell>
          <cell r="I1351">
            <v>0</v>
          </cell>
          <cell r="J1351">
            <v>0</v>
          </cell>
          <cell r="L1351">
            <v>0</v>
          </cell>
          <cell r="Z1351">
            <v>0</v>
          </cell>
        </row>
        <row r="1352">
          <cell r="D1352" t="str">
            <v>AIUAIVAUTI</v>
          </cell>
          <cell r="E1352" t="str">
            <v>IVA utilidad</v>
          </cell>
          <cell r="F1352">
            <v>0</v>
          </cell>
          <cell r="I1352">
            <v>0</v>
          </cell>
          <cell r="J1352">
            <v>0</v>
          </cell>
          <cell r="L1352">
            <v>0</v>
          </cell>
          <cell r="Z1352">
            <v>0</v>
          </cell>
        </row>
        <row r="1354">
          <cell r="E1354" t="str">
            <v>ITEM</v>
          </cell>
        </row>
        <row r="1355">
          <cell r="D1355" t="str">
            <v>ANSURE</v>
          </cell>
          <cell r="E1355" t="str">
            <v>Rejilla para sumidero CR- area 0.32x0.7 (dos y tres apoy)</v>
          </cell>
          <cell r="G1355" t="str">
            <v>UN.</v>
          </cell>
          <cell r="H1355" t="str">
            <v>Un</v>
          </cell>
          <cell r="I1355">
            <v>82000</v>
          </cell>
          <cell r="K1355">
            <v>145</v>
          </cell>
          <cell r="L1355">
            <v>11890000</v>
          </cell>
          <cell r="N1355">
            <v>82000</v>
          </cell>
          <cell r="O1355">
            <v>0</v>
          </cell>
          <cell r="P1355">
            <v>0</v>
          </cell>
          <cell r="Q1355">
            <v>0</v>
          </cell>
          <cell r="X1355">
            <v>11890000</v>
          </cell>
          <cell r="Y1355" t="str">
            <v>Un</v>
          </cell>
          <cell r="Z1355" t="e">
            <v>#N/A</v>
          </cell>
          <cell r="AA1355" t="e">
            <v>#N/A</v>
          </cell>
          <cell r="AB1355">
            <v>0</v>
          </cell>
          <cell r="AC1355">
            <v>0</v>
          </cell>
        </row>
        <row r="1357">
          <cell r="D1357" t="str">
            <v>CODIGO</v>
          </cell>
          <cell r="E1357" t="str">
            <v>DESCRIPCION</v>
          </cell>
          <cell r="F1357" t="str">
            <v>UN</v>
          </cell>
          <cell r="G1357" t="str">
            <v>CANT</v>
          </cell>
          <cell r="H1357" t="str">
            <v>V/UNIT.</v>
          </cell>
          <cell r="I1357" t="str">
            <v>V/TOTAL</v>
          </cell>
          <cell r="K1357" t="str">
            <v>CANT TOTAL</v>
          </cell>
          <cell r="L1357" t="str">
            <v>Vr TOTAL</v>
          </cell>
          <cell r="Y1357" t="str">
            <v>CANT.</v>
          </cell>
          <cell r="Z1357" t="str">
            <v>V/TOTAL</v>
          </cell>
        </row>
        <row r="1358">
          <cell r="E1358" t="str">
            <v>MATERIALES</v>
          </cell>
          <cell r="I1358">
            <v>82000</v>
          </cell>
          <cell r="L1358">
            <v>11890000</v>
          </cell>
          <cell r="Z1358" t="e">
            <v>#N/A</v>
          </cell>
        </row>
        <row r="1359">
          <cell r="D1359" t="str">
            <v>MA05SURE</v>
          </cell>
          <cell r="E1359" t="str">
            <v>Rejilla para Sumidero CR Area 0.32x0.70 (dos y tes Apoyos)</v>
          </cell>
          <cell r="F1359" t="str">
            <v>Un</v>
          </cell>
          <cell r="G1359">
            <v>1</v>
          </cell>
          <cell r="H1359">
            <v>82000</v>
          </cell>
          <cell r="I1359">
            <v>82000</v>
          </cell>
          <cell r="J1359">
            <v>0</v>
          </cell>
          <cell r="K1359">
            <v>145</v>
          </cell>
          <cell r="L1359">
            <v>11890000</v>
          </cell>
          <cell r="Y1359" t="e">
            <v>#N/A</v>
          </cell>
          <cell r="Z1359" t="e">
            <v>#N/A</v>
          </cell>
        </row>
        <row r="1360">
          <cell r="I1360">
            <v>0</v>
          </cell>
          <cell r="J1360">
            <v>0</v>
          </cell>
          <cell r="K1360">
            <v>0</v>
          </cell>
          <cell r="L1360">
            <v>0</v>
          </cell>
          <cell r="Y1360">
            <v>0</v>
          </cell>
          <cell r="Z1360">
            <v>0</v>
          </cell>
        </row>
        <row r="1361">
          <cell r="I1361">
            <v>0</v>
          </cell>
          <cell r="J1361">
            <v>0</v>
          </cell>
          <cell r="K1361">
            <v>0</v>
          </cell>
          <cell r="L1361">
            <v>0</v>
          </cell>
          <cell r="Y1361">
            <v>0</v>
          </cell>
          <cell r="Z1361">
            <v>0</v>
          </cell>
        </row>
        <row r="1362">
          <cell r="I1362">
            <v>0</v>
          </cell>
          <cell r="J1362">
            <v>0</v>
          </cell>
          <cell r="K1362">
            <v>0</v>
          </cell>
          <cell r="L1362">
            <v>0</v>
          </cell>
          <cell r="Y1362">
            <v>0</v>
          </cell>
          <cell r="Z1362">
            <v>0</v>
          </cell>
        </row>
        <row r="1363">
          <cell r="E1363" t="str">
            <v>MANO DE OBRA</v>
          </cell>
          <cell r="I1363">
            <v>0</v>
          </cell>
          <cell r="L1363">
            <v>0</v>
          </cell>
          <cell r="Z1363">
            <v>0</v>
          </cell>
        </row>
        <row r="1364">
          <cell r="I1364">
            <v>0</v>
          </cell>
          <cell r="J1364">
            <v>0</v>
          </cell>
          <cell r="K1364">
            <v>0</v>
          </cell>
          <cell r="L1364">
            <v>0</v>
          </cell>
          <cell r="Y1364">
            <v>0</v>
          </cell>
          <cell r="Z1364">
            <v>0</v>
          </cell>
        </row>
        <row r="1366">
          <cell r="E1366" t="str">
            <v>VARIOS</v>
          </cell>
          <cell r="I1366">
            <v>0</v>
          </cell>
          <cell r="L1366">
            <v>0</v>
          </cell>
          <cell r="Z1366">
            <v>0</v>
          </cell>
        </row>
        <row r="1367">
          <cell r="I1367">
            <v>0</v>
          </cell>
          <cell r="J1367">
            <v>0</v>
          </cell>
          <cell r="K1367">
            <v>0</v>
          </cell>
          <cell r="L1367">
            <v>0</v>
          </cell>
          <cell r="Y1367">
            <v>0</v>
          </cell>
          <cell r="Z1367">
            <v>0</v>
          </cell>
        </row>
        <row r="1369">
          <cell r="E1369" t="str">
            <v>SUBTOTAL</v>
          </cell>
          <cell r="I1369">
            <v>82000</v>
          </cell>
          <cell r="L1369">
            <v>11890000</v>
          </cell>
          <cell r="Z1369" t="e">
            <v>#N/A</v>
          </cell>
        </row>
        <row r="1370">
          <cell r="E1370" t="str">
            <v>A.I.U</v>
          </cell>
          <cell r="I1370">
            <v>0</v>
          </cell>
          <cell r="L1370">
            <v>0</v>
          </cell>
          <cell r="Z1370">
            <v>0</v>
          </cell>
        </row>
        <row r="1371">
          <cell r="D1371" t="str">
            <v>AIUAADMON</v>
          </cell>
          <cell r="E1371" t="str">
            <v>Admon</v>
          </cell>
          <cell r="F1371">
            <v>0</v>
          </cell>
          <cell r="I1371">
            <v>0</v>
          </cell>
          <cell r="J1371">
            <v>0</v>
          </cell>
          <cell r="L1371">
            <v>0</v>
          </cell>
          <cell r="Z1371">
            <v>0</v>
          </cell>
        </row>
        <row r="1372">
          <cell r="D1372" t="str">
            <v>AIUAIMPRE</v>
          </cell>
          <cell r="E1372" t="str">
            <v>Imprevistos</v>
          </cell>
          <cell r="F1372">
            <v>0</v>
          </cell>
          <cell r="I1372">
            <v>0</v>
          </cell>
          <cell r="J1372">
            <v>0</v>
          </cell>
          <cell r="L1372">
            <v>0</v>
          </cell>
          <cell r="Z1372">
            <v>0</v>
          </cell>
        </row>
        <row r="1373">
          <cell r="D1373" t="str">
            <v>AIUAUTILI</v>
          </cell>
          <cell r="E1373" t="str">
            <v>Utilidad</v>
          </cell>
          <cell r="F1373">
            <v>0</v>
          </cell>
          <cell r="I1373">
            <v>0</v>
          </cell>
          <cell r="J1373">
            <v>0</v>
          </cell>
          <cell r="L1373">
            <v>0</v>
          </cell>
          <cell r="Z1373">
            <v>0</v>
          </cell>
        </row>
        <row r="1374">
          <cell r="D1374" t="str">
            <v>AIUAIVAUTI</v>
          </cell>
          <cell r="E1374" t="str">
            <v>IVA utilidad</v>
          </cell>
          <cell r="F1374">
            <v>0</v>
          </cell>
          <cell r="I1374">
            <v>0</v>
          </cell>
          <cell r="J1374">
            <v>0</v>
          </cell>
          <cell r="L1374">
            <v>0</v>
          </cell>
          <cell r="Z1374">
            <v>0</v>
          </cell>
        </row>
        <row r="1376">
          <cell r="E1376" t="str">
            <v>ITEM</v>
          </cell>
        </row>
        <row r="1377">
          <cell r="D1377" t="str">
            <v>RACVLA</v>
          </cell>
          <cell r="E1377" t="str">
            <v>Cruce Vias Ladrillo (Carc. de Protec. Tuberia 12¨)</v>
          </cell>
          <cell r="G1377" t="str">
            <v>UN.</v>
          </cell>
          <cell r="H1377" t="str">
            <v>Ml</v>
          </cell>
          <cell r="I1377">
            <v>81696</v>
          </cell>
          <cell r="K1377">
            <v>384</v>
          </cell>
          <cell r="L1377">
            <v>31371264</v>
          </cell>
          <cell r="N1377">
            <v>51696</v>
          </cell>
          <cell r="O1377">
            <v>29500</v>
          </cell>
          <cell r="P1377">
            <v>500</v>
          </cell>
          <cell r="Q1377">
            <v>0</v>
          </cell>
          <cell r="X1377">
            <v>31371264</v>
          </cell>
          <cell r="Y1377" t="str">
            <v>Ml</v>
          </cell>
          <cell r="Z1377" t="e">
            <v>#VALUE!</v>
          </cell>
          <cell r="AA1377" t="e">
            <v>#VALUE!</v>
          </cell>
          <cell r="AB1377" t="e">
            <v>#VALUE!</v>
          </cell>
          <cell r="AC1377" t="e">
            <v>#VALUE!</v>
          </cell>
        </row>
        <row r="1379">
          <cell r="D1379" t="str">
            <v>CODIGO</v>
          </cell>
          <cell r="E1379" t="str">
            <v>DESCRIPCION</v>
          </cell>
          <cell r="F1379" t="str">
            <v>UN</v>
          </cell>
          <cell r="G1379" t="str">
            <v>CANT</v>
          </cell>
          <cell r="H1379" t="str">
            <v>V/UNIT.</v>
          </cell>
          <cell r="I1379" t="str">
            <v>V/TOTAL</v>
          </cell>
          <cell r="K1379" t="str">
            <v>CANT TOTAL</v>
          </cell>
          <cell r="L1379" t="str">
            <v>Vr TOTAL</v>
          </cell>
          <cell r="Y1379" t="str">
            <v>CANT.</v>
          </cell>
          <cell r="Z1379" t="str">
            <v>V/TOTAL</v>
          </cell>
        </row>
        <row r="1380">
          <cell r="E1380" t="str">
            <v>MATERIALES</v>
          </cell>
          <cell r="I1380">
            <v>51696</v>
          </cell>
          <cell r="L1380">
            <v>19851264</v>
          </cell>
          <cell r="Z1380" t="e">
            <v>#VALUE!</v>
          </cell>
        </row>
        <row r="1381">
          <cell r="D1381" t="str">
            <v>MA06TR</v>
          </cell>
          <cell r="E1381" t="str">
            <v>Ladrillo Tolete Recocido</v>
          </cell>
          <cell r="F1381" t="str">
            <v>Un</v>
          </cell>
          <cell r="G1381">
            <v>90</v>
          </cell>
          <cell r="H1381">
            <v>220</v>
          </cell>
          <cell r="I1381">
            <v>19800</v>
          </cell>
          <cell r="J1381">
            <v>0</v>
          </cell>
          <cell r="K1381">
            <v>34560</v>
          </cell>
          <cell r="L1381">
            <v>7603200</v>
          </cell>
          <cell r="Y1381" t="e">
            <v>#VALUE!</v>
          </cell>
          <cell r="Z1381" t="e">
            <v>#VALUE!</v>
          </cell>
        </row>
        <row r="1382">
          <cell r="D1382" t="str">
            <v>MA02AS</v>
          </cell>
          <cell r="E1382" t="str">
            <v>Arena Semilavada</v>
          </cell>
          <cell r="F1382" t="str">
            <v>M3</v>
          </cell>
          <cell r="G1382">
            <v>0.65</v>
          </cell>
          <cell r="H1382">
            <v>19500</v>
          </cell>
          <cell r="I1382">
            <v>12675</v>
          </cell>
          <cell r="J1382">
            <v>0</v>
          </cell>
          <cell r="K1382">
            <v>249.60000000000002</v>
          </cell>
          <cell r="L1382">
            <v>4867200</v>
          </cell>
          <cell r="Y1382" t="e">
            <v>#VALUE!</v>
          </cell>
          <cell r="Z1382" t="e">
            <v>#VALUE!</v>
          </cell>
        </row>
        <row r="1383">
          <cell r="D1383" t="str">
            <v>MA03CG</v>
          </cell>
          <cell r="E1383" t="str">
            <v>Cemento Gris</v>
          </cell>
          <cell r="F1383" t="str">
            <v>Kg</v>
          </cell>
          <cell r="G1383">
            <v>12</v>
          </cell>
          <cell r="H1383">
            <v>190</v>
          </cell>
          <cell r="I1383">
            <v>2280</v>
          </cell>
          <cell r="J1383">
            <v>0</v>
          </cell>
          <cell r="K1383">
            <v>4608</v>
          </cell>
          <cell r="L1383">
            <v>875520</v>
          </cell>
          <cell r="Y1383" t="e">
            <v>#VALUE!</v>
          </cell>
          <cell r="Z1383" t="e">
            <v>#VALUE!</v>
          </cell>
        </row>
        <row r="1384">
          <cell r="D1384" t="str">
            <v>MA04C3</v>
          </cell>
          <cell r="E1384" t="str">
            <v xml:space="preserve">Concreto 3000 psi </v>
          </cell>
          <cell r="F1384" t="str">
            <v>M3</v>
          </cell>
          <cell r="G1384">
            <v>0.08</v>
          </cell>
          <cell r="H1384">
            <v>202575</v>
          </cell>
          <cell r="I1384">
            <v>16206</v>
          </cell>
          <cell r="J1384">
            <v>0</v>
          </cell>
          <cell r="K1384">
            <v>30.72</v>
          </cell>
          <cell r="L1384">
            <v>6223104</v>
          </cell>
          <cell r="Y1384" t="e">
            <v>#VALUE!</v>
          </cell>
          <cell r="Z1384" t="e">
            <v>#VALUE!</v>
          </cell>
        </row>
        <row r="1385">
          <cell r="D1385" t="str">
            <v>HS17POL</v>
          </cell>
          <cell r="E1385" t="str">
            <v>Polietileno</v>
          </cell>
          <cell r="F1385" t="str">
            <v>Kg</v>
          </cell>
          <cell r="G1385">
            <v>0.3</v>
          </cell>
          <cell r="H1385">
            <v>2450</v>
          </cell>
          <cell r="I1385">
            <v>735</v>
          </cell>
          <cell r="J1385">
            <v>0</v>
          </cell>
          <cell r="K1385">
            <v>115.19999999999999</v>
          </cell>
          <cell r="L1385">
            <v>282240</v>
          </cell>
          <cell r="Y1385" t="e">
            <v>#VALUE!</v>
          </cell>
          <cell r="Z1385" t="e">
            <v>#VALUE!</v>
          </cell>
        </row>
        <row r="1387">
          <cell r="E1387" t="str">
            <v>MANO DE OBRA</v>
          </cell>
          <cell r="I1387">
            <v>29500</v>
          </cell>
          <cell r="L1387">
            <v>11328000</v>
          </cell>
          <cell r="Z1387" t="e">
            <v>#VALUE!</v>
          </cell>
        </row>
        <row r="1388">
          <cell r="D1388" t="str">
            <v>MORACVLA</v>
          </cell>
          <cell r="E1388" t="str">
            <v>Cruce Vias en Ladrillo</v>
          </cell>
          <cell r="F1388" t="str">
            <v>ml</v>
          </cell>
          <cell r="G1388">
            <v>1</v>
          </cell>
          <cell r="H1388">
            <v>29500</v>
          </cell>
          <cell r="I1388">
            <v>29500</v>
          </cell>
          <cell r="J1388">
            <v>0</v>
          </cell>
          <cell r="K1388">
            <v>384</v>
          </cell>
          <cell r="L1388">
            <v>11328000</v>
          </cell>
          <cell r="Y1388" t="e">
            <v>#VALUE!</v>
          </cell>
          <cell r="Z1388" t="e">
            <v>#VALUE!</v>
          </cell>
        </row>
        <row r="1390">
          <cell r="E1390" t="str">
            <v>VARIOS</v>
          </cell>
          <cell r="I1390">
            <v>500</v>
          </cell>
          <cell r="L1390">
            <v>192000</v>
          </cell>
          <cell r="Z1390" t="e">
            <v>#VALUE!</v>
          </cell>
        </row>
        <row r="1391">
          <cell r="D1391" t="str">
            <v>TC07H350</v>
          </cell>
          <cell r="E1391" t="str">
            <v>Herramienta</v>
          </cell>
          <cell r="F1391" t="str">
            <v>Gb</v>
          </cell>
          <cell r="G1391">
            <v>1</v>
          </cell>
          <cell r="H1391">
            <v>500</v>
          </cell>
          <cell r="I1391">
            <v>500</v>
          </cell>
          <cell r="J1391">
            <v>0</v>
          </cell>
          <cell r="K1391">
            <v>384</v>
          </cell>
          <cell r="L1391">
            <v>192000</v>
          </cell>
          <cell r="Y1391" t="e">
            <v>#VALUE!</v>
          </cell>
          <cell r="Z1391" t="e">
            <v>#VALUE!</v>
          </cell>
        </row>
        <row r="1393">
          <cell r="E1393" t="str">
            <v>SUBTOTAL</v>
          </cell>
          <cell r="I1393">
            <v>81696</v>
          </cell>
          <cell r="L1393">
            <v>31371264</v>
          </cell>
          <cell r="Z1393" t="e">
            <v>#VALUE!</v>
          </cell>
        </row>
        <row r="1394">
          <cell r="E1394" t="str">
            <v>A.I.U</v>
          </cell>
          <cell r="I1394">
            <v>0</v>
          </cell>
          <cell r="L1394">
            <v>0</v>
          </cell>
          <cell r="Z1394">
            <v>0</v>
          </cell>
        </row>
        <row r="1395">
          <cell r="D1395" t="str">
            <v>AIUAADMON</v>
          </cell>
          <cell r="E1395" t="str">
            <v>Admon</v>
          </cell>
          <cell r="F1395">
            <v>0</v>
          </cell>
          <cell r="I1395">
            <v>0</v>
          </cell>
          <cell r="J1395">
            <v>0</v>
          </cell>
          <cell r="L1395">
            <v>0</v>
          </cell>
          <cell r="Z1395">
            <v>0</v>
          </cell>
        </row>
        <row r="1396">
          <cell r="D1396" t="str">
            <v>AIUAIMPRE</v>
          </cell>
          <cell r="E1396" t="str">
            <v>Imprevistos</v>
          </cell>
          <cell r="F1396">
            <v>0</v>
          </cell>
          <cell r="I1396">
            <v>0</v>
          </cell>
          <cell r="J1396">
            <v>0</v>
          </cell>
          <cell r="L1396">
            <v>0</v>
          </cell>
          <cell r="Z1396">
            <v>0</v>
          </cell>
        </row>
        <row r="1397">
          <cell r="D1397" t="str">
            <v>AIUAUTILI</v>
          </cell>
          <cell r="E1397" t="str">
            <v>Utilidad</v>
          </cell>
          <cell r="F1397">
            <v>0</v>
          </cell>
          <cell r="I1397">
            <v>0</v>
          </cell>
          <cell r="J1397">
            <v>0</v>
          </cell>
          <cell r="L1397">
            <v>0</v>
          </cell>
          <cell r="Z1397">
            <v>0</v>
          </cell>
        </row>
        <row r="1398">
          <cell r="D1398" t="str">
            <v>AIUAIVAUTI</v>
          </cell>
          <cell r="E1398" t="str">
            <v>IVA utilidad</v>
          </cell>
          <cell r="F1398">
            <v>0</v>
          </cell>
          <cell r="I1398">
            <v>0</v>
          </cell>
          <cell r="J1398">
            <v>0</v>
          </cell>
          <cell r="L1398">
            <v>0</v>
          </cell>
          <cell r="Z1398">
            <v>0</v>
          </cell>
        </row>
        <row r="1400">
          <cell r="E1400" t="str">
            <v>ITEM</v>
          </cell>
        </row>
        <row r="1401">
          <cell r="D1401" t="str">
            <v>RACP16</v>
          </cell>
          <cell r="E1401" t="str">
            <v>Cruce Vias Ladrillo (Carc. de Protec. Tuberia 16¨)</v>
          </cell>
          <cell r="G1401" t="str">
            <v>UN.</v>
          </cell>
          <cell r="H1401" t="str">
            <v>Ml</v>
          </cell>
          <cell r="I1401">
            <v>91045.2</v>
          </cell>
          <cell r="K1401">
            <v>96</v>
          </cell>
          <cell r="L1401">
            <v>8740339.1999999993</v>
          </cell>
          <cell r="N1401">
            <v>61045.2</v>
          </cell>
          <cell r="O1401">
            <v>29500</v>
          </cell>
          <cell r="P1401">
            <v>500</v>
          </cell>
          <cell r="Q1401">
            <v>0</v>
          </cell>
          <cell r="X1401">
            <v>8740339.1999999993</v>
          </cell>
          <cell r="Y1401" t="str">
            <v>Ml</v>
          </cell>
          <cell r="Z1401" t="e">
            <v>#N/A</v>
          </cell>
          <cell r="AA1401" t="e">
            <v>#N/A</v>
          </cell>
          <cell r="AB1401" t="e">
            <v>#N/A</v>
          </cell>
          <cell r="AC1401" t="e">
            <v>#N/A</v>
          </cell>
        </row>
        <row r="1403">
          <cell r="D1403" t="str">
            <v>CODIGO</v>
          </cell>
          <cell r="E1403" t="str">
            <v>DESCRIPCION</v>
          </cell>
          <cell r="F1403" t="str">
            <v>UN</v>
          </cell>
          <cell r="G1403" t="str">
            <v>CANT</v>
          </cell>
          <cell r="H1403" t="str">
            <v>V/UNIT.</v>
          </cell>
          <cell r="I1403" t="str">
            <v>V/TOTAL</v>
          </cell>
          <cell r="K1403" t="str">
            <v>CANT TOTAL</v>
          </cell>
          <cell r="L1403" t="str">
            <v>Vr TOTAL</v>
          </cell>
          <cell r="Y1403" t="str">
            <v>CANT.</v>
          </cell>
          <cell r="Z1403" t="str">
            <v>V/TOTAL</v>
          </cell>
        </row>
        <row r="1404">
          <cell r="E1404" t="str">
            <v>MATERIALES</v>
          </cell>
          <cell r="I1404">
            <v>61045.2</v>
          </cell>
          <cell r="L1404">
            <v>5860339.1999999993</v>
          </cell>
          <cell r="Z1404" t="e">
            <v>#N/A</v>
          </cell>
        </row>
        <row r="1405">
          <cell r="D1405" t="str">
            <v>MA06TR</v>
          </cell>
          <cell r="E1405" t="str">
            <v>Ladrillo Tolete Recocido</v>
          </cell>
          <cell r="F1405" t="str">
            <v>Un</v>
          </cell>
          <cell r="G1405">
            <v>103.49999999999999</v>
          </cell>
          <cell r="H1405">
            <v>220</v>
          </cell>
          <cell r="I1405">
            <v>22769.999999999996</v>
          </cell>
          <cell r="J1405">
            <v>0</v>
          </cell>
          <cell r="K1405">
            <v>9935.9999999999982</v>
          </cell>
          <cell r="L1405">
            <v>2185919.9999999995</v>
          </cell>
          <cell r="Y1405" t="e">
            <v>#N/A</v>
          </cell>
          <cell r="Z1405" t="e">
            <v>#N/A</v>
          </cell>
        </row>
        <row r="1406">
          <cell r="D1406" t="str">
            <v>MA02AS</v>
          </cell>
          <cell r="E1406" t="str">
            <v>Arena Semilavada</v>
          </cell>
          <cell r="F1406" t="str">
            <v>M3</v>
          </cell>
          <cell r="G1406">
            <v>0.78</v>
          </cell>
          <cell r="H1406">
            <v>19500</v>
          </cell>
          <cell r="I1406">
            <v>15210</v>
          </cell>
          <cell r="J1406">
            <v>0</v>
          </cell>
          <cell r="K1406">
            <v>74.88</v>
          </cell>
          <cell r="L1406">
            <v>1460160</v>
          </cell>
          <cell r="Y1406" t="e">
            <v>#N/A</v>
          </cell>
          <cell r="Z1406" t="e">
            <v>#N/A</v>
          </cell>
        </row>
        <row r="1407">
          <cell r="D1407" t="str">
            <v>MA03CG</v>
          </cell>
          <cell r="E1407" t="str">
            <v>Cemento Gris</v>
          </cell>
          <cell r="F1407" t="str">
            <v>Kg</v>
          </cell>
          <cell r="G1407">
            <v>14.399999999999999</v>
          </cell>
          <cell r="H1407">
            <v>190</v>
          </cell>
          <cell r="I1407">
            <v>2735.9999999999995</v>
          </cell>
          <cell r="J1407">
            <v>0</v>
          </cell>
          <cell r="K1407">
            <v>1382.3999999999999</v>
          </cell>
          <cell r="L1407">
            <v>262656</v>
          </cell>
          <cell r="Y1407" t="e">
            <v>#N/A</v>
          </cell>
          <cell r="Z1407" t="e">
            <v>#N/A</v>
          </cell>
        </row>
        <row r="1408">
          <cell r="D1408" t="str">
            <v>MA04C3</v>
          </cell>
          <cell r="E1408" t="str">
            <v xml:space="preserve">Concreto 3000 psi </v>
          </cell>
          <cell r="F1408" t="str">
            <v>M3</v>
          </cell>
          <cell r="G1408">
            <v>9.6000000000000002E-2</v>
          </cell>
          <cell r="H1408">
            <v>202575</v>
          </cell>
          <cell r="I1408">
            <v>19447.2</v>
          </cell>
          <cell r="J1408">
            <v>0</v>
          </cell>
          <cell r="K1408">
            <v>9.2160000000000011</v>
          </cell>
          <cell r="L1408">
            <v>1866931.2000000002</v>
          </cell>
          <cell r="Y1408" t="e">
            <v>#N/A</v>
          </cell>
          <cell r="Z1408" t="e">
            <v>#N/A</v>
          </cell>
        </row>
        <row r="1409">
          <cell r="D1409" t="str">
            <v>HS17POL</v>
          </cell>
          <cell r="E1409" t="str">
            <v>Polietileno</v>
          </cell>
          <cell r="F1409" t="str">
            <v>Kg</v>
          </cell>
          <cell r="G1409">
            <v>0.36</v>
          </cell>
          <cell r="H1409">
            <v>2450</v>
          </cell>
          <cell r="I1409">
            <v>882</v>
          </cell>
          <cell r="J1409">
            <v>0</v>
          </cell>
          <cell r="K1409">
            <v>34.56</v>
          </cell>
          <cell r="L1409">
            <v>84672</v>
          </cell>
          <cell r="Y1409" t="e">
            <v>#N/A</v>
          </cell>
          <cell r="Z1409" t="e">
            <v>#N/A</v>
          </cell>
        </row>
        <row r="1411">
          <cell r="E1411" t="str">
            <v>MANO DE OBRA</v>
          </cell>
          <cell r="I1411">
            <v>29500</v>
          </cell>
          <cell r="L1411">
            <v>2832000</v>
          </cell>
          <cell r="Z1411" t="e">
            <v>#N/A</v>
          </cell>
        </row>
        <row r="1412">
          <cell r="D1412" t="str">
            <v>MORACVLA</v>
          </cell>
          <cell r="E1412" t="str">
            <v>Cruce Vias en Ladrillo</v>
          </cell>
          <cell r="F1412" t="str">
            <v>ml</v>
          </cell>
          <cell r="G1412">
            <v>1</v>
          </cell>
          <cell r="H1412">
            <v>29500</v>
          </cell>
          <cell r="I1412">
            <v>29500</v>
          </cell>
          <cell r="J1412">
            <v>0</v>
          </cell>
          <cell r="K1412">
            <v>96</v>
          </cell>
          <cell r="L1412">
            <v>2832000</v>
          </cell>
          <cell r="Y1412" t="e">
            <v>#N/A</v>
          </cell>
          <cell r="Z1412" t="e">
            <v>#N/A</v>
          </cell>
        </row>
        <row r="1414">
          <cell r="E1414" t="str">
            <v>VARIOS</v>
          </cell>
          <cell r="I1414">
            <v>500</v>
          </cell>
          <cell r="L1414">
            <v>48000</v>
          </cell>
          <cell r="Z1414" t="e">
            <v>#N/A</v>
          </cell>
        </row>
        <row r="1415">
          <cell r="D1415" t="str">
            <v>TC07H350</v>
          </cell>
          <cell r="E1415" t="str">
            <v>Herramienta</v>
          </cell>
          <cell r="F1415" t="str">
            <v>Gb</v>
          </cell>
          <cell r="G1415">
            <v>1</v>
          </cell>
          <cell r="H1415">
            <v>500</v>
          </cell>
          <cell r="I1415">
            <v>500</v>
          </cell>
          <cell r="J1415">
            <v>0</v>
          </cell>
          <cell r="K1415">
            <v>96</v>
          </cell>
          <cell r="L1415">
            <v>48000</v>
          </cell>
          <cell r="Y1415" t="e">
            <v>#N/A</v>
          </cell>
          <cell r="Z1415" t="e">
            <v>#N/A</v>
          </cell>
        </row>
        <row r="1417">
          <cell r="E1417" t="str">
            <v>SUBTOTAL</v>
          </cell>
          <cell r="I1417">
            <v>91045.2</v>
          </cell>
          <cell r="L1417">
            <v>8740339.1999999993</v>
          </cell>
          <cell r="Z1417" t="e">
            <v>#N/A</v>
          </cell>
        </row>
        <row r="1418">
          <cell r="E1418" t="str">
            <v>A.I.U</v>
          </cell>
          <cell r="I1418">
            <v>0</v>
          </cell>
          <cell r="L1418">
            <v>0</v>
          </cell>
          <cell r="Z1418">
            <v>0</v>
          </cell>
        </row>
        <row r="1419">
          <cell r="D1419" t="str">
            <v>AIUAADMON</v>
          </cell>
          <cell r="E1419" t="str">
            <v>Admon</v>
          </cell>
          <cell r="F1419">
            <v>0</v>
          </cell>
          <cell r="I1419">
            <v>0</v>
          </cell>
          <cell r="J1419">
            <v>0</v>
          </cell>
          <cell r="L1419">
            <v>0</v>
          </cell>
          <cell r="Z1419">
            <v>0</v>
          </cell>
        </row>
        <row r="1420">
          <cell r="D1420" t="str">
            <v>AIUAIMPRE</v>
          </cell>
          <cell r="E1420" t="str">
            <v>Imprevistos</v>
          </cell>
          <cell r="F1420">
            <v>0</v>
          </cell>
          <cell r="I1420">
            <v>0</v>
          </cell>
          <cell r="J1420">
            <v>0</v>
          </cell>
          <cell r="L1420">
            <v>0</v>
          </cell>
          <cell r="Z1420">
            <v>0</v>
          </cell>
        </row>
        <row r="1421">
          <cell r="D1421" t="str">
            <v>AIUAUTILI</v>
          </cell>
          <cell r="E1421" t="str">
            <v>Utilidad</v>
          </cell>
          <cell r="F1421">
            <v>0</v>
          </cell>
          <cell r="I1421">
            <v>0</v>
          </cell>
          <cell r="J1421">
            <v>0</v>
          </cell>
          <cell r="L1421">
            <v>0</v>
          </cell>
          <cell r="Z1421">
            <v>0</v>
          </cell>
        </row>
        <row r="1422">
          <cell r="D1422" t="str">
            <v>AIUAIVAUTI</v>
          </cell>
          <cell r="E1422" t="str">
            <v>IVA utilidad</v>
          </cell>
          <cell r="F1422">
            <v>0</v>
          </cell>
          <cell r="I1422">
            <v>0</v>
          </cell>
          <cell r="J1422">
            <v>0</v>
          </cell>
          <cell r="L1422">
            <v>0</v>
          </cell>
          <cell r="Z1422">
            <v>0</v>
          </cell>
        </row>
        <row r="1424">
          <cell r="E1424" t="str">
            <v>ITEM</v>
          </cell>
        </row>
        <row r="1425">
          <cell r="D1425" t="str">
            <v>VIRC</v>
          </cell>
          <cell r="E1425" t="str">
            <v>Recebo Común Compacto</v>
          </cell>
          <cell r="G1425" t="str">
            <v>UN.</v>
          </cell>
          <cell r="H1425" t="str">
            <v>M3</v>
          </cell>
          <cell r="I1425">
            <v>31150</v>
          </cell>
          <cell r="K1425">
            <v>0</v>
          </cell>
          <cell r="L1425">
            <v>0</v>
          </cell>
          <cell r="N1425">
            <v>25910</v>
          </cell>
          <cell r="O1425">
            <v>200</v>
          </cell>
          <cell r="P1425">
            <v>5040</v>
          </cell>
          <cell r="Q1425">
            <v>0</v>
          </cell>
          <cell r="X1425">
            <v>0</v>
          </cell>
          <cell r="Y1425" t="str">
            <v>M3</v>
          </cell>
          <cell r="Z1425" t="e">
            <v>#VALUE!</v>
          </cell>
          <cell r="AA1425" t="e">
            <v>#VALUE!</v>
          </cell>
          <cell r="AB1425" t="e">
            <v>#VALUE!</v>
          </cell>
          <cell r="AC1425" t="e">
            <v>#VALUE!</v>
          </cell>
        </row>
        <row r="1427">
          <cell r="D1427" t="str">
            <v>CODIGO</v>
          </cell>
          <cell r="E1427" t="str">
            <v>DESCRIPCION</v>
          </cell>
          <cell r="F1427" t="str">
            <v>UN</v>
          </cell>
          <cell r="G1427" t="str">
            <v>CANT</v>
          </cell>
          <cell r="H1427" t="str">
            <v>V/UNIT.</v>
          </cell>
          <cell r="I1427" t="str">
            <v>V/TOTAL</v>
          </cell>
          <cell r="K1427" t="str">
            <v>CANT TOTAL</v>
          </cell>
          <cell r="L1427" t="str">
            <v>Vr TOTAL</v>
          </cell>
          <cell r="Y1427" t="str">
            <v>CANT.</v>
          </cell>
          <cell r="Z1427" t="str">
            <v>V/TOTAL</v>
          </cell>
        </row>
        <row r="1428">
          <cell r="E1428" t="str">
            <v>MATERIALES</v>
          </cell>
          <cell r="I1428">
            <v>25910</v>
          </cell>
          <cell r="L1428">
            <v>0</v>
          </cell>
          <cell r="Z1428" t="e">
            <v>#VALUE!</v>
          </cell>
        </row>
        <row r="1429">
          <cell r="D1429" t="str">
            <v>MA02RMC</v>
          </cell>
          <cell r="E1429" t="str">
            <v>Recebo en Cantera</v>
          </cell>
          <cell r="F1429" t="str">
            <v>M3</v>
          </cell>
          <cell r="G1429">
            <v>1.3</v>
          </cell>
          <cell r="H1429">
            <v>6000</v>
          </cell>
          <cell r="I1429">
            <v>7800</v>
          </cell>
          <cell r="J1429">
            <v>0</v>
          </cell>
          <cell r="K1429">
            <v>0</v>
          </cell>
          <cell r="L1429">
            <v>0</v>
          </cell>
          <cell r="Y1429" t="e">
            <v>#VALUE!</v>
          </cell>
          <cell r="Z1429" t="e">
            <v>#VALUE!</v>
          </cell>
        </row>
        <row r="1430">
          <cell r="D1430" t="str">
            <v>TC09TR</v>
          </cell>
          <cell r="E1430" t="str">
            <v>Transporte Recebo</v>
          </cell>
          <cell r="F1430" t="str">
            <v>Vj</v>
          </cell>
          <cell r="G1430">
            <v>0.21</v>
          </cell>
          <cell r="H1430">
            <v>81000</v>
          </cell>
          <cell r="I1430">
            <v>17010</v>
          </cell>
          <cell r="J1430">
            <v>0</v>
          </cell>
          <cell r="K1430">
            <v>0</v>
          </cell>
          <cell r="L1430">
            <v>0</v>
          </cell>
          <cell r="Y1430" t="e">
            <v>#VALUE!</v>
          </cell>
          <cell r="Z1430" t="e">
            <v>#VALUE!</v>
          </cell>
        </row>
        <row r="1431">
          <cell r="D1431" t="str">
            <v>TC16AGUA</v>
          </cell>
          <cell r="E1431" t="str">
            <v>Agua</v>
          </cell>
          <cell r="F1431" t="str">
            <v>M3</v>
          </cell>
          <cell r="G1431">
            <v>0.11</v>
          </cell>
          <cell r="H1431">
            <v>10000</v>
          </cell>
          <cell r="I1431">
            <v>1100</v>
          </cell>
          <cell r="J1431">
            <v>0</v>
          </cell>
          <cell r="K1431">
            <v>0</v>
          </cell>
          <cell r="L1431">
            <v>0</v>
          </cell>
          <cell r="Y1431" t="e">
            <v>#VALUE!</v>
          </cell>
          <cell r="Z1431" t="e">
            <v>#VALUE!</v>
          </cell>
        </row>
        <row r="1433">
          <cell r="E1433" t="str">
            <v>MANO DE OBRA</v>
          </cell>
          <cell r="I1433">
            <v>200</v>
          </cell>
          <cell r="L1433">
            <v>0</v>
          </cell>
          <cell r="Z1433" t="e">
            <v>#VALUE!</v>
          </cell>
        </row>
        <row r="1434">
          <cell r="D1434" t="str">
            <v>MOVIARC</v>
          </cell>
          <cell r="E1434" t="str">
            <v>Ayudante Recebo Compacto</v>
          </cell>
          <cell r="F1434" t="str">
            <v>M3</v>
          </cell>
          <cell r="G1434">
            <v>1</v>
          </cell>
          <cell r="H1434">
            <v>200</v>
          </cell>
          <cell r="I1434">
            <v>200</v>
          </cell>
          <cell r="J1434">
            <v>0</v>
          </cell>
          <cell r="K1434">
            <v>0</v>
          </cell>
          <cell r="L1434">
            <v>0</v>
          </cell>
          <cell r="Y1434" t="e">
            <v>#VALUE!</v>
          </cell>
          <cell r="Z1434" t="e">
            <v>#VALUE!</v>
          </cell>
        </row>
        <row r="1436">
          <cell r="E1436" t="str">
            <v>VARIOS</v>
          </cell>
          <cell r="I1436">
            <v>5040</v>
          </cell>
          <cell r="L1436">
            <v>0</v>
          </cell>
          <cell r="Z1436" t="e">
            <v>#VALUE!</v>
          </cell>
        </row>
        <row r="1437">
          <cell r="D1437" t="str">
            <v>AL04MOTO</v>
          </cell>
          <cell r="E1437" t="str">
            <v>Motoniveladora</v>
          </cell>
          <cell r="F1437" t="str">
            <v>Hr</v>
          </cell>
          <cell r="G1437">
            <v>0.08</v>
          </cell>
          <cell r="H1437">
            <v>38000</v>
          </cell>
          <cell r="I1437">
            <v>3040</v>
          </cell>
          <cell r="J1437">
            <v>0</v>
          </cell>
          <cell r="K1437">
            <v>0</v>
          </cell>
          <cell r="L1437">
            <v>0</v>
          </cell>
          <cell r="Y1437" t="e">
            <v>#VALUE!</v>
          </cell>
          <cell r="Z1437" t="e">
            <v>#VALUE!</v>
          </cell>
        </row>
        <row r="1438">
          <cell r="D1438" t="str">
            <v>AL04CILI</v>
          </cell>
          <cell r="E1438" t="str">
            <v>Cilindro</v>
          </cell>
          <cell r="F1438" t="str">
            <v>Hr</v>
          </cell>
          <cell r="G1438">
            <v>0.06</v>
          </cell>
          <cell r="H1438">
            <v>25000</v>
          </cell>
          <cell r="I1438">
            <v>1500</v>
          </cell>
          <cell r="J1438">
            <v>0</v>
          </cell>
          <cell r="K1438">
            <v>0</v>
          </cell>
          <cell r="L1438">
            <v>0</v>
          </cell>
          <cell r="Y1438" t="e">
            <v>#VALUE!</v>
          </cell>
          <cell r="Z1438" t="e">
            <v>#VALUE!</v>
          </cell>
        </row>
        <row r="1439">
          <cell r="D1439" t="str">
            <v>AL04DENS</v>
          </cell>
          <cell r="E1439" t="str">
            <v>Densidades</v>
          </cell>
          <cell r="F1439" t="str">
            <v>Un</v>
          </cell>
          <cell r="G1439">
            <v>0.02</v>
          </cell>
          <cell r="H1439">
            <v>25000</v>
          </cell>
          <cell r="I1439">
            <v>500</v>
          </cell>
          <cell r="J1439">
            <v>0</v>
          </cell>
          <cell r="K1439">
            <v>0</v>
          </cell>
          <cell r="L1439">
            <v>0</v>
          </cell>
          <cell r="Y1439" t="e">
            <v>#VALUE!</v>
          </cell>
          <cell r="Z1439" t="e">
            <v>#VALUE!</v>
          </cell>
        </row>
        <row r="1440">
          <cell r="E1440" t="str">
            <v>SUBTOTAL</v>
          </cell>
          <cell r="I1440">
            <v>31150</v>
          </cell>
          <cell r="L1440">
            <v>0</v>
          </cell>
          <cell r="Z1440" t="e">
            <v>#VALUE!</v>
          </cell>
        </row>
        <row r="1441">
          <cell r="E1441" t="str">
            <v>A.I.U</v>
          </cell>
          <cell r="I1441">
            <v>0</v>
          </cell>
          <cell r="L1441">
            <v>0</v>
          </cell>
          <cell r="Z1441">
            <v>0</v>
          </cell>
        </row>
        <row r="1442">
          <cell r="D1442" t="str">
            <v>AIUAADMON</v>
          </cell>
          <cell r="E1442" t="str">
            <v>Admon</v>
          </cell>
          <cell r="F1442">
            <v>0</v>
          </cell>
          <cell r="I1442">
            <v>0</v>
          </cell>
          <cell r="J1442">
            <v>0</v>
          </cell>
          <cell r="L1442">
            <v>0</v>
          </cell>
          <cell r="Z1442">
            <v>0</v>
          </cell>
        </row>
        <row r="1443">
          <cell r="D1443" t="str">
            <v>AIUAIMPRE</v>
          </cell>
          <cell r="E1443" t="str">
            <v>Imprevistos</v>
          </cell>
          <cell r="F1443">
            <v>0</v>
          </cell>
          <cell r="I1443">
            <v>0</v>
          </cell>
          <cell r="J1443">
            <v>0</v>
          </cell>
          <cell r="L1443">
            <v>0</v>
          </cell>
          <cell r="Z1443">
            <v>0</v>
          </cell>
        </row>
        <row r="1444">
          <cell r="D1444" t="str">
            <v>AIUAUTILI</v>
          </cell>
          <cell r="E1444" t="str">
            <v>Utilidad</v>
          </cell>
          <cell r="F1444">
            <v>0</v>
          </cell>
          <cell r="I1444">
            <v>0</v>
          </cell>
          <cell r="J1444">
            <v>0</v>
          </cell>
          <cell r="L1444">
            <v>0</v>
          </cell>
          <cell r="Z1444">
            <v>0</v>
          </cell>
        </row>
        <row r="1445">
          <cell r="D1445" t="str">
            <v>AIUAIVAUTI</v>
          </cell>
          <cell r="E1445" t="str">
            <v>IVA utilidad</v>
          </cell>
          <cell r="F1445">
            <v>0</v>
          </cell>
          <cell r="I1445">
            <v>0</v>
          </cell>
          <cell r="J1445">
            <v>0</v>
          </cell>
          <cell r="L1445">
            <v>0</v>
          </cell>
          <cell r="Z1445">
            <v>0</v>
          </cell>
        </row>
        <row r="1447">
          <cell r="E1447" t="str">
            <v>ITEM</v>
          </cell>
        </row>
        <row r="1448">
          <cell r="D1448" t="str">
            <v>VIDPAS</v>
          </cell>
          <cell r="E1448" t="str">
            <v>Demolición pavimento Asfaltico</v>
          </cell>
          <cell r="G1448" t="str">
            <v>UN.</v>
          </cell>
          <cell r="H1448" t="str">
            <v>M3</v>
          </cell>
          <cell r="I1448">
            <v>28250</v>
          </cell>
          <cell r="K1448">
            <v>202</v>
          </cell>
          <cell r="L1448">
            <v>5706500</v>
          </cell>
          <cell r="N1448">
            <v>0</v>
          </cell>
          <cell r="O1448">
            <v>16000</v>
          </cell>
          <cell r="P1448">
            <v>12250</v>
          </cell>
          <cell r="Q1448">
            <v>0</v>
          </cell>
          <cell r="X1448">
            <v>5706500</v>
          </cell>
          <cell r="Y1448" t="str">
            <v>M3</v>
          </cell>
          <cell r="Z1448" t="e">
            <v>#N/A</v>
          </cell>
          <cell r="AA1448">
            <v>0</v>
          </cell>
          <cell r="AB1448" t="e">
            <v>#N/A</v>
          </cell>
          <cell r="AC1448" t="e">
            <v>#N/A</v>
          </cell>
        </row>
        <row r="1450">
          <cell r="D1450" t="str">
            <v>CODIGO</v>
          </cell>
          <cell r="E1450" t="str">
            <v>DESCRIPCION</v>
          </cell>
          <cell r="F1450" t="str">
            <v>UN</v>
          </cell>
          <cell r="G1450" t="str">
            <v>CANT</v>
          </cell>
          <cell r="H1450" t="str">
            <v>V/UNIT.</v>
          </cell>
          <cell r="I1450" t="str">
            <v>V/TOTAL</v>
          </cell>
          <cell r="K1450" t="str">
            <v>CANT TOTAL</v>
          </cell>
          <cell r="L1450" t="str">
            <v>Vr TOTAL</v>
          </cell>
          <cell r="Y1450" t="str">
            <v>CANT.</v>
          </cell>
          <cell r="Z1450" t="str">
            <v>V/TOTAL</v>
          </cell>
        </row>
        <row r="1451">
          <cell r="E1451" t="str">
            <v>MATERIALES</v>
          </cell>
          <cell r="I1451">
            <v>0</v>
          </cell>
          <cell r="L1451">
            <v>0</v>
          </cell>
          <cell r="Z1451">
            <v>0</v>
          </cell>
        </row>
        <row r="1452">
          <cell r="I1452">
            <v>0</v>
          </cell>
          <cell r="J1452">
            <v>0</v>
          </cell>
          <cell r="K1452">
            <v>0</v>
          </cell>
          <cell r="L1452">
            <v>0</v>
          </cell>
          <cell r="Y1452">
            <v>0</v>
          </cell>
          <cell r="Z1452">
            <v>0</v>
          </cell>
        </row>
        <row r="1453">
          <cell r="I1453">
            <v>0</v>
          </cell>
          <cell r="J1453">
            <v>0</v>
          </cell>
          <cell r="K1453">
            <v>0</v>
          </cell>
          <cell r="L1453">
            <v>0</v>
          </cell>
          <cell r="Y1453">
            <v>0</v>
          </cell>
          <cell r="Z1453">
            <v>0</v>
          </cell>
        </row>
        <row r="1454">
          <cell r="I1454">
            <v>0</v>
          </cell>
          <cell r="J1454">
            <v>0</v>
          </cell>
          <cell r="K1454">
            <v>0</v>
          </cell>
          <cell r="L1454">
            <v>0</v>
          </cell>
          <cell r="Y1454">
            <v>0</v>
          </cell>
          <cell r="Z1454">
            <v>0</v>
          </cell>
        </row>
        <row r="1456">
          <cell r="E1456" t="str">
            <v>MANO DE OBRA</v>
          </cell>
          <cell r="I1456">
            <v>16000</v>
          </cell>
          <cell r="L1456">
            <v>3232000</v>
          </cell>
          <cell r="Z1456" t="e">
            <v>#N/A</v>
          </cell>
        </row>
        <row r="1457">
          <cell r="D1457" t="str">
            <v>MOVIDPAS</v>
          </cell>
          <cell r="E1457" t="str">
            <v>Demolición Pavimento Asfaltico</v>
          </cell>
          <cell r="F1457" t="str">
            <v>M3</v>
          </cell>
          <cell r="G1457">
            <v>1</v>
          </cell>
          <cell r="H1457">
            <v>16000</v>
          </cell>
          <cell r="I1457">
            <v>16000</v>
          </cell>
          <cell r="J1457">
            <v>0</v>
          </cell>
          <cell r="K1457">
            <v>202</v>
          </cell>
          <cell r="L1457">
            <v>3232000</v>
          </cell>
          <cell r="Y1457" t="e">
            <v>#N/A</v>
          </cell>
          <cell r="Z1457" t="e">
            <v>#N/A</v>
          </cell>
        </row>
        <row r="1459">
          <cell r="E1459" t="str">
            <v>VARIOS</v>
          </cell>
          <cell r="I1459">
            <v>12250</v>
          </cell>
          <cell r="L1459">
            <v>2474500</v>
          </cell>
          <cell r="Z1459" t="e">
            <v>#N/A</v>
          </cell>
        </row>
        <row r="1460">
          <cell r="D1460" t="str">
            <v>AL04COMP</v>
          </cell>
          <cell r="E1460" t="str">
            <v>Compresor</v>
          </cell>
          <cell r="F1460" t="str">
            <v>Hr</v>
          </cell>
          <cell r="G1460">
            <v>0.28999999999999998</v>
          </cell>
          <cell r="H1460">
            <v>40000</v>
          </cell>
          <cell r="I1460">
            <v>11600</v>
          </cell>
          <cell r="J1460">
            <v>0</v>
          </cell>
          <cell r="K1460">
            <v>58.58</v>
          </cell>
          <cell r="L1460">
            <v>2343200</v>
          </cell>
          <cell r="Y1460" t="e">
            <v>#N/A</v>
          </cell>
          <cell r="Z1460" t="e">
            <v>#N/A</v>
          </cell>
        </row>
        <row r="1461">
          <cell r="D1461" t="str">
            <v>TC07H650</v>
          </cell>
          <cell r="E1461" t="str">
            <v>Herramienta</v>
          </cell>
          <cell r="F1461" t="str">
            <v>Gb</v>
          </cell>
          <cell r="G1461">
            <v>1</v>
          </cell>
          <cell r="H1461">
            <v>650</v>
          </cell>
          <cell r="I1461">
            <v>650</v>
          </cell>
          <cell r="J1461">
            <v>0</v>
          </cell>
          <cell r="K1461">
            <v>202</v>
          </cell>
          <cell r="L1461">
            <v>131300</v>
          </cell>
          <cell r="Y1461" t="e">
            <v>#N/A</v>
          </cell>
          <cell r="Z1461" t="e">
            <v>#N/A</v>
          </cell>
        </row>
        <row r="1462">
          <cell r="I1462">
            <v>0</v>
          </cell>
          <cell r="J1462">
            <v>0</v>
          </cell>
          <cell r="K1462">
            <v>0</v>
          </cell>
          <cell r="L1462">
            <v>0</v>
          </cell>
          <cell r="Y1462">
            <v>0</v>
          </cell>
          <cell r="Z1462">
            <v>0</v>
          </cell>
        </row>
        <row r="1463">
          <cell r="E1463" t="str">
            <v>SUBTOTAL</v>
          </cell>
          <cell r="I1463">
            <v>28250</v>
          </cell>
          <cell r="L1463">
            <v>5706500</v>
          </cell>
          <cell r="Z1463" t="e">
            <v>#N/A</v>
          </cell>
        </row>
        <row r="1464">
          <cell r="E1464" t="str">
            <v>A.I.U</v>
          </cell>
          <cell r="I1464">
            <v>0</v>
          </cell>
          <cell r="L1464">
            <v>0</v>
          </cell>
          <cell r="Z1464">
            <v>0</v>
          </cell>
        </row>
        <row r="1465">
          <cell r="D1465" t="str">
            <v>AIUAADMON</v>
          </cell>
          <cell r="E1465" t="str">
            <v>Admon</v>
          </cell>
          <cell r="F1465">
            <v>0</v>
          </cell>
          <cell r="I1465">
            <v>0</v>
          </cell>
          <cell r="J1465">
            <v>0</v>
          </cell>
          <cell r="L1465">
            <v>0</v>
          </cell>
          <cell r="Z1465">
            <v>0</v>
          </cell>
        </row>
        <row r="1466">
          <cell r="D1466" t="str">
            <v>AIUAIMPRE</v>
          </cell>
          <cell r="E1466" t="str">
            <v>Imprevistos</v>
          </cell>
          <cell r="F1466">
            <v>0</v>
          </cell>
          <cell r="I1466">
            <v>0</v>
          </cell>
          <cell r="J1466">
            <v>0</v>
          </cell>
          <cell r="L1466">
            <v>0</v>
          </cell>
          <cell r="Z1466">
            <v>0</v>
          </cell>
        </row>
        <row r="1467">
          <cell r="D1467" t="str">
            <v>AIUAUTILI</v>
          </cell>
          <cell r="E1467" t="str">
            <v>Utilidad</v>
          </cell>
          <cell r="F1467">
            <v>0</v>
          </cell>
          <cell r="I1467">
            <v>0</v>
          </cell>
          <cell r="J1467">
            <v>0</v>
          </cell>
          <cell r="L1467">
            <v>0</v>
          </cell>
          <cell r="Z1467">
            <v>0</v>
          </cell>
        </row>
        <row r="1468">
          <cell r="D1468" t="str">
            <v>AIUAIVAUTI</v>
          </cell>
          <cell r="E1468" t="str">
            <v>IVA utilidad</v>
          </cell>
          <cell r="F1468">
            <v>0</v>
          </cell>
          <cell r="I1468">
            <v>0</v>
          </cell>
          <cell r="J1468">
            <v>0</v>
          </cell>
          <cell r="L1468">
            <v>0</v>
          </cell>
          <cell r="Z1468">
            <v>0</v>
          </cell>
        </row>
        <row r="1470">
          <cell r="E1470" t="str">
            <v>ITEM</v>
          </cell>
        </row>
        <row r="1471">
          <cell r="D1471" t="str">
            <v>VIDPCO</v>
          </cell>
          <cell r="E1471" t="str">
            <v>Demolición pavimento Concreto</v>
          </cell>
          <cell r="G1471" t="str">
            <v>UN.</v>
          </cell>
          <cell r="H1471" t="str">
            <v>M3</v>
          </cell>
          <cell r="I1471">
            <v>28750</v>
          </cell>
          <cell r="K1471">
            <v>302</v>
          </cell>
          <cell r="L1471">
            <v>8682500</v>
          </cell>
          <cell r="N1471">
            <v>0</v>
          </cell>
          <cell r="O1471">
            <v>16500</v>
          </cell>
          <cell r="P1471">
            <v>12250</v>
          </cell>
          <cell r="Q1471">
            <v>0</v>
          </cell>
          <cell r="X1471">
            <v>8682500</v>
          </cell>
          <cell r="Y1471" t="str">
            <v>M3</v>
          </cell>
          <cell r="Z1471" t="e">
            <v>#N/A</v>
          </cell>
          <cell r="AA1471">
            <v>0</v>
          </cell>
          <cell r="AB1471" t="e">
            <v>#N/A</v>
          </cell>
          <cell r="AC1471" t="e">
            <v>#N/A</v>
          </cell>
        </row>
        <row r="1473">
          <cell r="D1473" t="str">
            <v>CODIGO</v>
          </cell>
          <cell r="E1473" t="str">
            <v>DESCRIPCION</v>
          </cell>
          <cell r="F1473" t="str">
            <v>UN</v>
          </cell>
          <cell r="G1473" t="str">
            <v>CANT</v>
          </cell>
          <cell r="H1473" t="str">
            <v>V/UNIT.</v>
          </cell>
          <cell r="I1473" t="str">
            <v>V/TOTAL</v>
          </cell>
          <cell r="K1473" t="str">
            <v>CANT TOTAL</v>
          </cell>
          <cell r="L1473" t="str">
            <v>Vr TOTAL</v>
          </cell>
          <cell r="Y1473" t="str">
            <v>CANT.</v>
          </cell>
          <cell r="Z1473" t="str">
            <v>V/TOTAL</v>
          </cell>
        </row>
        <row r="1474">
          <cell r="E1474" t="str">
            <v>MATERIALES</v>
          </cell>
          <cell r="I1474">
            <v>0</v>
          </cell>
          <cell r="L1474">
            <v>0</v>
          </cell>
          <cell r="Z1474">
            <v>0</v>
          </cell>
        </row>
        <row r="1475">
          <cell r="I1475">
            <v>0</v>
          </cell>
          <cell r="J1475">
            <v>0</v>
          </cell>
          <cell r="K1475">
            <v>0</v>
          </cell>
          <cell r="L1475">
            <v>0</v>
          </cell>
          <cell r="Y1475">
            <v>0</v>
          </cell>
          <cell r="Z1475">
            <v>0</v>
          </cell>
        </row>
        <row r="1476">
          <cell r="I1476">
            <v>0</v>
          </cell>
          <cell r="J1476">
            <v>0</v>
          </cell>
          <cell r="K1476">
            <v>0</v>
          </cell>
          <cell r="L1476">
            <v>0</v>
          </cell>
          <cell r="Y1476">
            <v>0</v>
          </cell>
          <cell r="Z1476">
            <v>0</v>
          </cell>
        </row>
        <row r="1477">
          <cell r="I1477">
            <v>0</v>
          </cell>
          <cell r="J1477">
            <v>0</v>
          </cell>
          <cell r="K1477">
            <v>0</v>
          </cell>
          <cell r="L1477">
            <v>0</v>
          </cell>
          <cell r="Y1477">
            <v>0</v>
          </cell>
          <cell r="Z1477">
            <v>0</v>
          </cell>
        </row>
        <row r="1479">
          <cell r="E1479" t="str">
            <v>MANO DE OBRA</v>
          </cell>
          <cell r="I1479">
            <v>16500</v>
          </cell>
          <cell r="L1479">
            <v>4983000</v>
          </cell>
          <cell r="Z1479" t="e">
            <v>#N/A</v>
          </cell>
        </row>
        <row r="1480">
          <cell r="D1480" t="str">
            <v>MOVIDPCO</v>
          </cell>
          <cell r="E1480" t="str">
            <v xml:space="preserve">Demolición Pavimento Concreto </v>
          </cell>
          <cell r="F1480" t="str">
            <v>M3</v>
          </cell>
          <cell r="G1480">
            <v>1</v>
          </cell>
          <cell r="H1480">
            <v>16500</v>
          </cell>
          <cell r="I1480">
            <v>16500</v>
          </cell>
          <cell r="J1480">
            <v>0</v>
          </cell>
          <cell r="K1480">
            <v>302</v>
          </cell>
          <cell r="L1480">
            <v>4983000</v>
          </cell>
          <cell r="Y1480" t="e">
            <v>#N/A</v>
          </cell>
          <cell r="Z1480" t="e">
            <v>#N/A</v>
          </cell>
        </row>
        <row r="1482">
          <cell r="E1482" t="str">
            <v>VARIOS</v>
          </cell>
          <cell r="I1482">
            <v>12250</v>
          </cell>
          <cell r="L1482">
            <v>3699500</v>
          </cell>
          <cell r="Z1482" t="e">
            <v>#N/A</v>
          </cell>
        </row>
        <row r="1483">
          <cell r="D1483" t="str">
            <v>AL04COMP</v>
          </cell>
          <cell r="E1483" t="str">
            <v>Compresor</v>
          </cell>
          <cell r="F1483" t="str">
            <v>Hr</v>
          </cell>
          <cell r="G1483">
            <v>0.28999999999999998</v>
          </cell>
          <cell r="H1483">
            <v>40000</v>
          </cell>
          <cell r="I1483">
            <v>11600</v>
          </cell>
          <cell r="J1483">
            <v>0</v>
          </cell>
          <cell r="K1483">
            <v>87.58</v>
          </cell>
          <cell r="L1483">
            <v>3503200</v>
          </cell>
          <cell r="Y1483" t="e">
            <v>#N/A</v>
          </cell>
          <cell r="Z1483" t="e">
            <v>#N/A</v>
          </cell>
        </row>
        <row r="1484">
          <cell r="D1484" t="str">
            <v>TC07H650</v>
          </cell>
          <cell r="E1484" t="str">
            <v>Herramienta</v>
          </cell>
          <cell r="F1484" t="str">
            <v>Gb</v>
          </cell>
          <cell r="G1484">
            <v>1</v>
          </cell>
          <cell r="H1484">
            <v>650</v>
          </cell>
          <cell r="I1484">
            <v>650</v>
          </cell>
          <cell r="J1484">
            <v>0</v>
          </cell>
          <cell r="K1484">
            <v>302</v>
          </cell>
          <cell r="L1484">
            <v>196300</v>
          </cell>
          <cell r="Y1484" t="e">
            <v>#N/A</v>
          </cell>
          <cell r="Z1484" t="e">
            <v>#N/A</v>
          </cell>
        </row>
        <row r="1485">
          <cell r="I1485">
            <v>0</v>
          </cell>
          <cell r="J1485">
            <v>0</v>
          </cell>
          <cell r="K1485">
            <v>0</v>
          </cell>
          <cell r="L1485">
            <v>0</v>
          </cell>
          <cell r="Y1485">
            <v>0</v>
          </cell>
          <cell r="Z1485">
            <v>0</v>
          </cell>
        </row>
        <row r="1486">
          <cell r="E1486" t="str">
            <v>SUBTOTAL</v>
          </cell>
          <cell r="I1486">
            <v>28750</v>
          </cell>
          <cell r="L1486">
            <v>8682500</v>
          </cell>
          <cell r="Z1486" t="e">
            <v>#N/A</v>
          </cell>
        </row>
        <row r="1487">
          <cell r="E1487" t="str">
            <v>A.I.U</v>
          </cell>
          <cell r="I1487">
            <v>0</v>
          </cell>
          <cell r="L1487">
            <v>0</v>
          </cell>
          <cell r="Z1487">
            <v>0</v>
          </cell>
        </row>
        <row r="1488">
          <cell r="D1488" t="str">
            <v>AIUAADMON</v>
          </cell>
          <cell r="E1488" t="str">
            <v>Admon</v>
          </cell>
          <cell r="F1488">
            <v>0</v>
          </cell>
          <cell r="I1488">
            <v>0</v>
          </cell>
          <cell r="J1488">
            <v>0</v>
          </cell>
          <cell r="L1488">
            <v>0</v>
          </cell>
          <cell r="Z1488">
            <v>0</v>
          </cell>
        </row>
        <row r="1489">
          <cell r="D1489" t="str">
            <v>AIUAIMPRE</v>
          </cell>
          <cell r="E1489" t="str">
            <v>Imprevistos</v>
          </cell>
          <cell r="F1489">
            <v>0</v>
          </cell>
          <cell r="I1489">
            <v>0</v>
          </cell>
          <cell r="J1489">
            <v>0</v>
          </cell>
          <cell r="L1489">
            <v>0</v>
          </cell>
          <cell r="Z1489">
            <v>0</v>
          </cell>
        </row>
        <row r="1490">
          <cell r="D1490" t="str">
            <v>AIUAUTILI</v>
          </cell>
          <cell r="E1490" t="str">
            <v>Utilidad</v>
          </cell>
          <cell r="F1490">
            <v>0</v>
          </cell>
          <cell r="I1490">
            <v>0</v>
          </cell>
          <cell r="J1490">
            <v>0</v>
          </cell>
          <cell r="L1490">
            <v>0</v>
          </cell>
          <cell r="Z1490">
            <v>0</v>
          </cell>
        </row>
        <row r="1491">
          <cell r="D1491" t="str">
            <v>AIUAIVAUTI</v>
          </cell>
          <cell r="E1491" t="str">
            <v>IVA utilidad</v>
          </cell>
          <cell r="F1491">
            <v>0</v>
          </cell>
          <cell r="I1491">
            <v>0</v>
          </cell>
          <cell r="J1491">
            <v>0</v>
          </cell>
          <cell r="L1491">
            <v>0</v>
          </cell>
          <cell r="Z1491">
            <v>0</v>
          </cell>
        </row>
        <row r="1493">
          <cell r="E1493" t="str">
            <v>ITEM</v>
          </cell>
        </row>
        <row r="1494">
          <cell r="D1494" t="str">
            <v>VIDSAR</v>
          </cell>
          <cell r="E1494" t="str">
            <v>Demolición Sardineles</v>
          </cell>
          <cell r="G1494" t="str">
            <v>UN.</v>
          </cell>
          <cell r="H1494" t="str">
            <v>Ml</v>
          </cell>
          <cell r="I1494">
            <v>2930</v>
          </cell>
          <cell r="K1494">
            <v>419</v>
          </cell>
          <cell r="L1494">
            <v>1227670</v>
          </cell>
          <cell r="N1494">
            <v>0</v>
          </cell>
          <cell r="O1494">
            <v>1800</v>
          </cell>
          <cell r="P1494">
            <v>1130</v>
          </cell>
          <cell r="Q1494">
            <v>0</v>
          </cell>
          <cell r="X1494">
            <v>1227670</v>
          </cell>
          <cell r="Y1494" t="str">
            <v>Ml</v>
          </cell>
          <cell r="Z1494" t="e">
            <v>#N/A</v>
          </cell>
          <cell r="AA1494">
            <v>0</v>
          </cell>
          <cell r="AB1494" t="e">
            <v>#N/A</v>
          </cell>
          <cell r="AC1494" t="e">
            <v>#N/A</v>
          </cell>
        </row>
        <row r="1496">
          <cell r="D1496" t="str">
            <v>CODIGO</v>
          </cell>
          <cell r="E1496" t="str">
            <v>DESCRIPCION</v>
          </cell>
          <cell r="F1496" t="str">
            <v>UN</v>
          </cell>
          <cell r="G1496" t="str">
            <v>CANT</v>
          </cell>
          <cell r="H1496" t="str">
            <v>V/UNIT.</v>
          </cell>
          <cell r="I1496" t="str">
            <v>V/TOTAL</v>
          </cell>
          <cell r="K1496" t="str">
            <v>CANT TOTAL</v>
          </cell>
          <cell r="L1496" t="str">
            <v>Vr TOTAL</v>
          </cell>
          <cell r="Y1496" t="str">
            <v>CANT.</v>
          </cell>
          <cell r="Z1496" t="str">
            <v>V/TOTAL</v>
          </cell>
        </row>
        <row r="1497">
          <cell r="E1497" t="str">
            <v>MATERIALES</v>
          </cell>
          <cell r="I1497">
            <v>0</v>
          </cell>
          <cell r="L1497">
            <v>0</v>
          </cell>
          <cell r="Z1497">
            <v>0</v>
          </cell>
        </row>
        <row r="1498">
          <cell r="I1498">
            <v>0</v>
          </cell>
          <cell r="J1498">
            <v>0</v>
          </cell>
          <cell r="K1498">
            <v>0</v>
          </cell>
          <cell r="L1498">
            <v>0</v>
          </cell>
          <cell r="Y1498">
            <v>0</v>
          </cell>
          <cell r="Z1498">
            <v>0</v>
          </cell>
        </row>
        <row r="1499">
          <cell r="I1499">
            <v>0</v>
          </cell>
          <cell r="J1499">
            <v>0</v>
          </cell>
          <cell r="K1499">
            <v>0</v>
          </cell>
          <cell r="L1499">
            <v>0</v>
          </cell>
          <cell r="Y1499">
            <v>0</v>
          </cell>
          <cell r="Z1499">
            <v>0</v>
          </cell>
        </row>
        <row r="1500">
          <cell r="I1500">
            <v>0</v>
          </cell>
          <cell r="J1500">
            <v>0</v>
          </cell>
          <cell r="K1500">
            <v>0</v>
          </cell>
          <cell r="L1500">
            <v>0</v>
          </cell>
          <cell r="Y1500">
            <v>0</v>
          </cell>
          <cell r="Z1500">
            <v>0</v>
          </cell>
        </row>
        <row r="1502">
          <cell r="E1502" t="str">
            <v>MANO DE OBRA</v>
          </cell>
          <cell r="I1502">
            <v>1800</v>
          </cell>
          <cell r="L1502">
            <v>754200</v>
          </cell>
          <cell r="Z1502" t="e">
            <v>#N/A</v>
          </cell>
        </row>
        <row r="1503">
          <cell r="D1503" t="str">
            <v>MOVIDSAR</v>
          </cell>
          <cell r="E1503" t="str">
            <v xml:space="preserve">Demolición Sardineles Concreto </v>
          </cell>
          <cell r="F1503" t="str">
            <v>Ml</v>
          </cell>
          <cell r="G1503">
            <v>1</v>
          </cell>
          <cell r="H1503">
            <v>1800</v>
          </cell>
          <cell r="I1503">
            <v>1800</v>
          </cell>
          <cell r="J1503">
            <v>0</v>
          </cell>
          <cell r="K1503">
            <v>419</v>
          </cell>
          <cell r="L1503">
            <v>754200</v>
          </cell>
          <cell r="Y1503" t="e">
            <v>#N/A</v>
          </cell>
          <cell r="Z1503" t="e">
            <v>#N/A</v>
          </cell>
        </row>
        <row r="1505">
          <cell r="E1505" t="str">
            <v>VARIOS</v>
          </cell>
          <cell r="I1505">
            <v>1130</v>
          </cell>
          <cell r="L1505">
            <v>473470</v>
          </cell>
          <cell r="Z1505" t="e">
            <v>#N/A</v>
          </cell>
        </row>
        <row r="1506">
          <cell r="D1506" t="str">
            <v>AL04COMP</v>
          </cell>
          <cell r="E1506" t="str">
            <v>Compresor</v>
          </cell>
          <cell r="F1506" t="str">
            <v>Hr</v>
          </cell>
          <cell r="G1506">
            <v>1.2E-2</v>
          </cell>
          <cell r="H1506">
            <v>40000</v>
          </cell>
          <cell r="I1506">
            <v>480</v>
          </cell>
          <cell r="J1506">
            <v>0</v>
          </cell>
          <cell r="K1506">
            <v>5.0280000000000005</v>
          </cell>
          <cell r="L1506">
            <v>201120.00000000003</v>
          </cell>
          <cell r="Y1506" t="e">
            <v>#N/A</v>
          </cell>
          <cell r="Z1506" t="e">
            <v>#N/A</v>
          </cell>
        </row>
        <row r="1507">
          <cell r="D1507" t="str">
            <v>TC07H650</v>
          </cell>
          <cell r="E1507" t="str">
            <v>Herramienta</v>
          </cell>
          <cell r="F1507" t="str">
            <v>Gb</v>
          </cell>
          <cell r="G1507">
            <v>1</v>
          </cell>
          <cell r="H1507">
            <v>650</v>
          </cell>
          <cell r="I1507">
            <v>650</v>
          </cell>
          <cell r="J1507">
            <v>0</v>
          </cell>
          <cell r="K1507">
            <v>419</v>
          </cell>
          <cell r="L1507">
            <v>272350</v>
          </cell>
          <cell r="Y1507" t="e">
            <v>#N/A</v>
          </cell>
          <cell r="Z1507" t="e">
            <v>#N/A</v>
          </cell>
        </row>
        <row r="1508">
          <cell r="I1508">
            <v>0</v>
          </cell>
          <cell r="J1508">
            <v>0</v>
          </cell>
          <cell r="K1508">
            <v>0</v>
          </cell>
          <cell r="L1508">
            <v>0</v>
          </cell>
          <cell r="Y1508">
            <v>0</v>
          </cell>
          <cell r="Z1508">
            <v>0</v>
          </cell>
        </row>
        <row r="1509">
          <cell r="E1509" t="str">
            <v>SUBTOTAL</v>
          </cell>
          <cell r="I1509">
            <v>2930</v>
          </cell>
          <cell r="L1509">
            <v>1227670</v>
          </cell>
          <cell r="Z1509" t="e">
            <v>#N/A</v>
          </cell>
        </row>
        <row r="1510">
          <cell r="E1510" t="str">
            <v>A.I.U</v>
          </cell>
          <cell r="I1510">
            <v>0</v>
          </cell>
          <cell r="L1510">
            <v>0</v>
          </cell>
          <cell r="Z1510">
            <v>0</v>
          </cell>
        </row>
        <row r="1511">
          <cell r="D1511" t="str">
            <v>AIUAADMON</v>
          </cell>
          <cell r="E1511" t="str">
            <v>Admon</v>
          </cell>
          <cell r="F1511">
            <v>0</v>
          </cell>
          <cell r="I1511">
            <v>0</v>
          </cell>
          <cell r="J1511">
            <v>0</v>
          </cell>
          <cell r="L1511">
            <v>0</v>
          </cell>
          <cell r="Z1511">
            <v>0</v>
          </cell>
        </row>
        <row r="1512">
          <cell r="D1512" t="str">
            <v>AIUAIMPRE</v>
          </cell>
          <cell r="E1512" t="str">
            <v>Imprevistos</v>
          </cell>
          <cell r="F1512">
            <v>0</v>
          </cell>
          <cell r="I1512">
            <v>0</v>
          </cell>
          <cell r="J1512">
            <v>0</v>
          </cell>
          <cell r="L1512">
            <v>0</v>
          </cell>
          <cell r="Z1512">
            <v>0</v>
          </cell>
        </row>
        <row r="1513">
          <cell r="D1513" t="str">
            <v>AIUAUTILI</v>
          </cell>
          <cell r="E1513" t="str">
            <v>Utilidad</v>
          </cell>
          <cell r="F1513">
            <v>0</v>
          </cell>
          <cell r="I1513">
            <v>0</v>
          </cell>
          <cell r="J1513">
            <v>0</v>
          </cell>
          <cell r="L1513">
            <v>0</v>
          </cell>
          <cell r="Z1513">
            <v>0</v>
          </cell>
        </row>
        <row r="1514">
          <cell r="D1514" t="str">
            <v>AIUAIVAUTI</v>
          </cell>
          <cell r="E1514" t="str">
            <v>IVA utilidad</v>
          </cell>
          <cell r="F1514">
            <v>0</v>
          </cell>
          <cell r="I1514">
            <v>0</v>
          </cell>
          <cell r="J1514">
            <v>0</v>
          </cell>
          <cell r="L1514">
            <v>0</v>
          </cell>
          <cell r="Z1514">
            <v>0</v>
          </cell>
        </row>
        <row r="1516">
          <cell r="E1516" t="str">
            <v>ITEM</v>
          </cell>
        </row>
        <row r="1517">
          <cell r="D1517" t="str">
            <v>VIDRAA</v>
          </cell>
          <cell r="E1517" t="str">
            <v>Demolición y Retiro Andenes en Adoquin</v>
          </cell>
          <cell r="G1517" t="str">
            <v>UN.</v>
          </cell>
          <cell r="H1517" t="str">
            <v>M2</v>
          </cell>
          <cell r="I1517">
            <v>18250</v>
          </cell>
          <cell r="K1517">
            <v>273</v>
          </cell>
          <cell r="L1517">
            <v>4982250</v>
          </cell>
          <cell r="N1517">
            <v>0</v>
          </cell>
          <cell r="O1517">
            <v>3800</v>
          </cell>
          <cell r="P1517">
            <v>14450</v>
          </cell>
          <cell r="Q1517">
            <v>0</v>
          </cell>
          <cell r="X1517">
            <v>4982250</v>
          </cell>
          <cell r="Y1517" t="str">
            <v>M2</v>
          </cell>
          <cell r="Z1517" t="e">
            <v>#N/A</v>
          </cell>
          <cell r="AA1517">
            <v>0</v>
          </cell>
          <cell r="AB1517" t="e">
            <v>#N/A</v>
          </cell>
          <cell r="AC1517" t="e">
            <v>#N/A</v>
          </cell>
        </row>
        <row r="1519">
          <cell r="D1519" t="str">
            <v>CODIGO</v>
          </cell>
          <cell r="E1519" t="str">
            <v>DESCRIPCION</v>
          </cell>
          <cell r="F1519" t="str">
            <v>UN</v>
          </cell>
          <cell r="G1519" t="str">
            <v>CANT</v>
          </cell>
          <cell r="H1519" t="str">
            <v>V/UNIT.</v>
          </cell>
          <cell r="I1519" t="str">
            <v>V/TOTAL</v>
          </cell>
          <cell r="K1519" t="str">
            <v>CANT TOTAL</v>
          </cell>
          <cell r="L1519" t="str">
            <v>Vr TOTAL</v>
          </cell>
          <cell r="Y1519" t="str">
            <v>CANT.</v>
          </cell>
          <cell r="Z1519" t="str">
            <v>V/TOTAL</v>
          </cell>
        </row>
        <row r="1520">
          <cell r="E1520" t="str">
            <v>MATERIALES</v>
          </cell>
          <cell r="I1520">
            <v>0</v>
          </cell>
          <cell r="L1520">
            <v>0</v>
          </cell>
          <cell r="Z1520">
            <v>0</v>
          </cell>
        </row>
        <row r="1521">
          <cell r="I1521">
            <v>0</v>
          </cell>
          <cell r="J1521">
            <v>0</v>
          </cell>
          <cell r="K1521">
            <v>0</v>
          </cell>
          <cell r="L1521">
            <v>0</v>
          </cell>
          <cell r="Y1521">
            <v>0</v>
          </cell>
          <cell r="Z1521">
            <v>0</v>
          </cell>
        </row>
        <row r="1522">
          <cell r="I1522">
            <v>0</v>
          </cell>
          <cell r="J1522">
            <v>0</v>
          </cell>
          <cell r="K1522">
            <v>0</v>
          </cell>
          <cell r="L1522">
            <v>0</v>
          </cell>
          <cell r="Y1522">
            <v>0</v>
          </cell>
          <cell r="Z1522">
            <v>0</v>
          </cell>
        </row>
        <row r="1523">
          <cell r="I1523">
            <v>0</v>
          </cell>
          <cell r="J1523">
            <v>0</v>
          </cell>
          <cell r="K1523">
            <v>0</v>
          </cell>
          <cell r="L1523">
            <v>0</v>
          </cell>
          <cell r="Y1523">
            <v>0</v>
          </cell>
          <cell r="Z1523">
            <v>0</v>
          </cell>
        </row>
        <row r="1525">
          <cell r="E1525" t="str">
            <v>MANO DE OBRA</v>
          </cell>
          <cell r="I1525">
            <v>3800</v>
          </cell>
          <cell r="L1525">
            <v>1037400</v>
          </cell>
          <cell r="Z1525" t="e">
            <v>#N/A</v>
          </cell>
        </row>
        <row r="1526">
          <cell r="D1526" t="str">
            <v>MOVIDRAA</v>
          </cell>
          <cell r="E1526" t="str">
            <v>Demolición Andenes Adoquin</v>
          </cell>
          <cell r="F1526" t="str">
            <v>M2</v>
          </cell>
          <cell r="G1526">
            <v>1</v>
          </cell>
          <cell r="H1526">
            <v>3800</v>
          </cell>
          <cell r="I1526">
            <v>3800</v>
          </cell>
          <cell r="J1526">
            <v>0</v>
          </cell>
          <cell r="K1526">
            <v>273</v>
          </cell>
          <cell r="L1526">
            <v>1037400</v>
          </cell>
          <cell r="Y1526" t="e">
            <v>#N/A</v>
          </cell>
          <cell r="Z1526" t="e">
            <v>#N/A</v>
          </cell>
        </row>
        <row r="1528">
          <cell r="E1528" t="str">
            <v>VARIOS</v>
          </cell>
          <cell r="I1528">
            <v>14450</v>
          </cell>
          <cell r="L1528">
            <v>3944850</v>
          </cell>
          <cell r="Z1528" t="e">
            <v>#N/A</v>
          </cell>
        </row>
        <row r="1529">
          <cell r="D1529" t="str">
            <v>TC60V</v>
          </cell>
          <cell r="E1529" t="str">
            <v>Volqueta</v>
          </cell>
          <cell r="F1529" t="str">
            <v>Vj</v>
          </cell>
          <cell r="G1529">
            <v>0.23</v>
          </cell>
          <cell r="H1529">
            <v>60000</v>
          </cell>
          <cell r="I1529">
            <v>13800</v>
          </cell>
          <cell r="J1529">
            <v>0</v>
          </cell>
          <cell r="K1529">
            <v>62.790000000000006</v>
          </cell>
          <cell r="L1529">
            <v>3767400.0000000005</v>
          </cell>
          <cell r="Y1529" t="e">
            <v>#N/A</v>
          </cell>
          <cell r="Z1529" t="e">
            <v>#N/A</v>
          </cell>
        </row>
        <row r="1530">
          <cell r="D1530" t="str">
            <v>TC07H650</v>
          </cell>
          <cell r="E1530" t="str">
            <v>Herramienta</v>
          </cell>
          <cell r="F1530" t="str">
            <v>Gb</v>
          </cell>
          <cell r="G1530">
            <v>1</v>
          </cell>
          <cell r="H1530">
            <v>650</v>
          </cell>
          <cell r="I1530">
            <v>650</v>
          </cell>
          <cell r="J1530">
            <v>0</v>
          </cell>
          <cell r="K1530">
            <v>273</v>
          </cell>
          <cell r="L1530">
            <v>177450</v>
          </cell>
          <cell r="Y1530" t="e">
            <v>#N/A</v>
          </cell>
          <cell r="Z1530" t="e">
            <v>#N/A</v>
          </cell>
        </row>
        <row r="1531">
          <cell r="I1531">
            <v>0</v>
          </cell>
          <cell r="J1531">
            <v>0</v>
          </cell>
          <cell r="K1531">
            <v>0</v>
          </cell>
          <cell r="L1531">
            <v>0</v>
          </cell>
          <cell r="Y1531">
            <v>0</v>
          </cell>
          <cell r="Z1531">
            <v>0</v>
          </cell>
        </row>
        <row r="1532">
          <cell r="E1532" t="str">
            <v>SUBTOTAL</v>
          </cell>
          <cell r="I1532">
            <v>18250</v>
          </cell>
          <cell r="L1532">
            <v>4982250</v>
          </cell>
          <cell r="Z1532" t="e">
            <v>#N/A</v>
          </cell>
        </row>
        <row r="1533">
          <cell r="E1533" t="str">
            <v>A.I.U</v>
          </cell>
          <cell r="I1533">
            <v>0</v>
          </cell>
          <cell r="L1533">
            <v>0</v>
          </cell>
          <cell r="Z1533">
            <v>0</v>
          </cell>
        </row>
        <row r="1534">
          <cell r="D1534" t="str">
            <v>AIUAADMON</v>
          </cell>
          <cell r="E1534" t="str">
            <v>Admon</v>
          </cell>
          <cell r="F1534">
            <v>0</v>
          </cell>
          <cell r="I1534">
            <v>0</v>
          </cell>
          <cell r="J1534">
            <v>0</v>
          </cell>
          <cell r="L1534">
            <v>0</v>
          </cell>
          <cell r="Z1534">
            <v>0</v>
          </cell>
        </row>
        <row r="1535">
          <cell r="D1535" t="str">
            <v>AIUAIMPRE</v>
          </cell>
          <cell r="E1535" t="str">
            <v>Imprevistos</v>
          </cell>
          <cell r="F1535">
            <v>0</v>
          </cell>
          <cell r="I1535">
            <v>0</v>
          </cell>
          <cell r="J1535">
            <v>0</v>
          </cell>
          <cell r="L1535">
            <v>0</v>
          </cell>
          <cell r="Z1535">
            <v>0</v>
          </cell>
        </row>
        <row r="1536">
          <cell r="D1536" t="str">
            <v>AIUAUTILI</v>
          </cell>
          <cell r="E1536" t="str">
            <v>Utilidad</v>
          </cell>
          <cell r="F1536">
            <v>0</v>
          </cell>
          <cell r="I1536">
            <v>0</v>
          </cell>
          <cell r="J1536">
            <v>0</v>
          </cell>
          <cell r="L1536">
            <v>0</v>
          </cell>
          <cell r="Z1536">
            <v>0</v>
          </cell>
        </row>
        <row r="1537">
          <cell r="D1537" t="str">
            <v>AIUAIVAUTI</v>
          </cell>
          <cell r="E1537" t="str">
            <v>IVA utilidad</v>
          </cell>
          <cell r="F1537">
            <v>0</v>
          </cell>
          <cell r="I1537">
            <v>0</v>
          </cell>
          <cell r="J1537">
            <v>0</v>
          </cell>
          <cell r="L1537">
            <v>0</v>
          </cell>
          <cell r="Z1537">
            <v>0</v>
          </cell>
        </row>
        <row r="1539">
          <cell r="E1539" t="str">
            <v>ITEM</v>
          </cell>
        </row>
        <row r="1540">
          <cell r="D1540" t="str">
            <v>VIPR43</v>
          </cell>
          <cell r="E1540" t="str">
            <v>pavimento Rgido MR-43</v>
          </cell>
          <cell r="G1540" t="str">
            <v>UN.</v>
          </cell>
          <cell r="H1540" t="str">
            <v>M3</v>
          </cell>
          <cell r="I1540">
            <v>246195.75</v>
          </cell>
          <cell r="K1540">
            <v>302</v>
          </cell>
          <cell r="L1540">
            <v>74351116.5</v>
          </cell>
          <cell r="N1540">
            <v>236415.75</v>
          </cell>
          <cell r="O1540">
            <v>4200</v>
          </cell>
          <cell r="P1540">
            <v>5580</v>
          </cell>
          <cell r="Q1540">
            <v>0</v>
          </cell>
          <cell r="X1540">
            <v>74351116.5</v>
          </cell>
          <cell r="Y1540" t="str">
            <v>M3</v>
          </cell>
          <cell r="Z1540" t="e">
            <v>#N/A</v>
          </cell>
          <cell r="AA1540" t="e">
            <v>#N/A</v>
          </cell>
          <cell r="AB1540" t="e">
            <v>#N/A</v>
          </cell>
          <cell r="AC1540" t="e">
            <v>#N/A</v>
          </cell>
        </row>
        <row r="1542">
          <cell r="D1542" t="str">
            <v>CODIGO</v>
          </cell>
          <cell r="E1542" t="str">
            <v>DESCRIPCION</v>
          </cell>
          <cell r="F1542" t="str">
            <v>UN</v>
          </cell>
          <cell r="G1542" t="str">
            <v>CANT</v>
          </cell>
          <cell r="H1542" t="str">
            <v>V/UNIT.</v>
          </cell>
          <cell r="I1542" t="str">
            <v>V/TOTAL</v>
          </cell>
          <cell r="K1542" t="str">
            <v>CANT TOTAL</v>
          </cell>
          <cell r="L1542" t="str">
            <v>Vr TOTAL</v>
          </cell>
          <cell r="Y1542" t="str">
            <v>CANT.</v>
          </cell>
          <cell r="Z1542" t="str">
            <v>V/TOTAL</v>
          </cell>
        </row>
        <row r="1543">
          <cell r="E1543" t="str">
            <v>MATERIALES</v>
          </cell>
          <cell r="I1543">
            <v>236415.75</v>
          </cell>
          <cell r="L1543">
            <v>71397556.5</v>
          </cell>
          <cell r="Z1543" t="e">
            <v>#N/A</v>
          </cell>
        </row>
        <row r="1544">
          <cell r="D1544" t="str">
            <v>MA04CRMR43</v>
          </cell>
          <cell r="E1544" t="str">
            <v>Concreto Rigido MR-43</v>
          </cell>
          <cell r="F1544" t="str">
            <v>M3</v>
          </cell>
          <cell r="G1544">
            <v>1.01</v>
          </cell>
          <cell r="H1544">
            <v>234075</v>
          </cell>
          <cell r="I1544">
            <v>236415.75</v>
          </cell>
          <cell r="J1544">
            <v>0</v>
          </cell>
          <cell r="K1544">
            <v>305.02</v>
          </cell>
          <cell r="L1544">
            <v>71397556.5</v>
          </cell>
          <cell r="Y1544" t="e">
            <v>#N/A</v>
          </cell>
          <cell r="Z1544" t="e">
            <v>#N/A</v>
          </cell>
        </row>
        <row r="1545">
          <cell r="I1545">
            <v>0</v>
          </cell>
          <cell r="J1545">
            <v>0</v>
          </cell>
          <cell r="K1545">
            <v>0</v>
          </cell>
          <cell r="L1545">
            <v>0</v>
          </cell>
          <cell r="Y1545">
            <v>0</v>
          </cell>
          <cell r="Z1545">
            <v>0</v>
          </cell>
        </row>
        <row r="1546">
          <cell r="I1546">
            <v>0</v>
          </cell>
          <cell r="J1546">
            <v>0</v>
          </cell>
          <cell r="K1546">
            <v>0</v>
          </cell>
          <cell r="L1546">
            <v>0</v>
          </cell>
          <cell r="Y1546">
            <v>0</v>
          </cell>
          <cell r="Z1546">
            <v>0</v>
          </cell>
        </row>
        <row r="1548">
          <cell r="E1548" t="str">
            <v>MANO DE OBRA</v>
          </cell>
          <cell r="I1548">
            <v>4200</v>
          </cell>
          <cell r="L1548">
            <v>1268400</v>
          </cell>
          <cell r="Z1548" t="e">
            <v>#N/A</v>
          </cell>
        </row>
        <row r="1549">
          <cell r="D1549" t="str">
            <v>MOVIPR</v>
          </cell>
          <cell r="E1549" t="str">
            <v>Pavimento Rigido</v>
          </cell>
          <cell r="F1549" t="str">
            <v>M2</v>
          </cell>
          <cell r="G1549">
            <v>1</v>
          </cell>
          <cell r="H1549">
            <v>4200</v>
          </cell>
          <cell r="I1549">
            <v>4200</v>
          </cell>
          <cell r="J1549">
            <v>0</v>
          </cell>
          <cell r="K1549">
            <v>302</v>
          </cell>
          <cell r="L1549">
            <v>1268400</v>
          </cell>
          <cell r="Y1549" t="e">
            <v>#N/A</v>
          </cell>
          <cell r="Z1549" t="e">
            <v>#N/A</v>
          </cell>
        </row>
        <row r="1551">
          <cell r="E1551" t="str">
            <v>VARIOS</v>
          </cell>
          <cell r="I1551">
            <v>5580</v>
          </cell>
          <cell r="L1551">
            <v>1685160</v>
          </cell>
          <cell r="Z1551" t="e">
            <v>#N/A</v>
          </cell>
        </row>
        <row r="1552">
          <cell r="D1552" t="str">
            <v>TC07H600</v>
          </cell>
          <cell r="E1552" t="str">
            <v>Herramienta y Varios</v>
          </cell>
          <cell r="F1552" t="str">
            <v>Gb</v>
          </cell>
          <cell r="G1552">
            <v>1</v>
          </cell>
          <cell r="H1552">
            <v>600</v>
          </cell>
          <cell r="I1552">
            <v>600</v>
          </cell>
          <cell r="J1552">
            <v>0</v>
          </cell>
          <cell r="K1552">
            <v>302</v>
          </cell>
          <cell r="L1552">
            <v>181200</v>
          </cell>
          <cell r="Y1552" t="e">
            <v>#N/A</v>
          </cell>
          <cell r="Z1552" t="e">
            <v>#N/A</v>
          </cell>
        </row>
        <row r="1553">
          <cell r="D1553" t="str">
            <v>AL04AFOR</v>
          </cell>
          <cell r="E1553" t="str">
            <v>Alquiler Formaleta</v>
          </cell>
          <cell r="F1553" t="str">
            <v>Ml</v>
          </cell>
          <cell r="G1553">
            <v>1</v>
          </cell>
          <cell r="H1553">
            <v>480</v>
          </cell>
          <cell r="I1553">
            <v>480</v>
          </cell>
          <cell r="J1553">
            <v>0</v>
          </cell>
          <cell r="K1553">
            <v>302</v>
          </cell>
          <cell r="L1553">
            <v>144960</v>
          </cell>
          <cell r="Y1553" t="e">
            <v>#N/A</v>
          </cell>
          <cell r="Z1553" t="e">
            <v>#N/A</v>
          </cell>
        </row>
        <row r="1554">
          <cell r="D1554" t="str">
            <v>AL07RVI</v>
          </cell>
          <cell r="E1554" t="str">
            <v>Regla Vibratoria</v>
          </cell>
          <cell r="F1554" t="str">
            <v>Hr</v>
          </cell>
          <cell r="G1554">
            <v>0.1</v>
          </cell>
          <cell r="H1554">
            <v>45000</v>
          </cell>
          <cell r="I1554">
            <v>4500</v>
          </cell>
          <cell r="J1554">
            <v>0</v>
          </cell>
          <cell r="K1554">
            <v>30.200000000000003</v>
          </cell>
          <cell r="L1554">
            <v>1359000.0000000002</v>
          </cell>
          <cell r="Y1554" t="e">
            <v>#N/A</v>
          </cell>
          <cell r="Z1554" t="e">
            <v>#N/A</v>
          </cell>
        </row>
        <row r="1555">
          <cell r="E1555" t="str">
            <v>SUBTOTAL</v>
          </cell>
          <cell r="I1555">
            <v>246195.75</v>
          </cell>
          <cell r="L1555">
            <v>74351116.5</v>
          </cell>
          <cell r="Z1555" t="e">
            <v>#N/A</v>
          </cell>
        </row>
        <row r="1556">
          <cell r="E1556" t="str">
            <v>A.I.U</v>
          </cell>
          <cell r="I1556">
            <v>0</v>
          </cell>
          <cell r="L1556">
            <v>0</v>
          </cell>
          <cell r="Z1556">
            <v>0</v>
          </cell>
        </row>
        <row r="1557">
          <cell r="D1557" t="str">
            <v>AIUAADMON</v>
          </cell>
          <cell r="E1557" t="str">
            <v>Admon</v>
          </cell>
          <cell r="F1557">
            <v>0</v>
          </cell>
          <cell r="I1557">
            <v>0</v>
          </cell>
          <cell r="J1557">
            <v>0</v>
          </cell>
          <cell r="L1557">
            <v>0</v>
          </cell>
          <cell r="Z1557">
            <v>0</v>
          </cell>
        </row>
        <row r="1558">
          <cell r="D1558" t="str">
            <v>AIUAIMPRE</v>
          </cell>
          <cell r="E1558" t="str">
            <v>Imprevistos</v>
          </cell>
          <cell r="F1558">
            <v>0</v>
          </cell>
          <cell r="I1558">
            <v>0</v>
          </cell>
          <cell r="J1558">
            <v>0</v>
          </cell>
          <cell r="L1558">
            <v>0</v>
          </cell>
          <cell r="Z1558">
            <v>0</v>
          </cell>
        </row>
        <row r="1559">
          <cell r="D1559" t="str">
            <v>AIUAUTILI</v>
          </cell>
          <cell r="E1559" t="str">
            <v>Utilidad</v>
          </cell>
          <cell r="F1559">
            <v>0</v>
          </cell>
          <cell r="I1559">
            <v>0</v>
          </cell>
          <cell r="J1559">
            <v>0</v>
          </cell>
          <cell r="L1559">
            <v>0</v>
          </cell>
          <cell r="Z1559">
            <v>0</v>
          </cell>
        </row>
        <row r="1560">
          <cell r="D1560" t="str">
            <v>AIUAIVAUTI</v>
          </cell>
          <cell r="E1560" t="str">
            <v>IVA utilidad</v>
          </cell>
          <cell r="F1560">
            <v>0</v>
          </cell>
          <cell r="I1560">
            <v>0</v>
          </cell>
          <cell r="J1560">
            <v>0</v>
          </cell>
          <cell r="L1560">
            <v>0</v>
          </cell>
          <cell r="Z1560">
            <v>0</v>
          </cell>
        </row>
        <row r="1562">
          <cell r="E1562" t="str">
            <v>ITEM</v>
          </cell>
        </row>
        <row r="1563">
          <cell r="D1563" t="str">
            <v>VIBG400</v>
          </cell>
          <cell r="E1563" t="str">
            <v>Sub Base Granular B-400</v>
          </cell>
          <cell r="G1563" t="str">
            <v>UN.</v>
          </cell>
          <cell r="H1563" t="str">
            <v>M3</v>
          </cell>
          <cell r="I1563">
            <v>37700</v>
          </cell>
          <cell r="K1563">
            <v>326</v>
          </cell>
          <cell r="L1563">
            <v>12290200</v>
          </cell>
          <cell r="N1563">
            <v>32460</v>
          </cell>
          <cell r="O1563">
            <v>200</v>
          </cell>
          <cell r="P1563">
            <v>5040</v>
          </cell>
          <cell r="Q1563">
            <v>0</v>
          </cell>
          <cell r="X1563">
            <v>12290200</v>
          </cell>
          <cell r="Y1563" t="str">
            <v>M3</v>
          </cell>
          <cell r="Z1563" t="e">
            <v>#VALUE!</v>
          </cell>
          <cell r="AA1563" t="e">
            <v>#VALUE!</v>
          </cell>
          <cell r="AB1563" t="e">
            <v>#VALUE!</v>
          </cell>
          <cell r="AC1563" t="e">
            <v>#VALUE!</v>
          </cell>
        </row>
        <row r="1565">
          <cell r="D1565" t="str">
            <v>CODIGO</v>
          </cell>
          <cell r="E1565" t="str">
            <v>DESCRIPCION</v>
          </cell>
          <cell r="F1565" t="str">
            <v>UN</v>
          </cell>
          <cell r="G1565" t="str">
            <v>CANT</v>
          </cell>
          <cell r="H1565" t="str">
            <v>V/UNIT.</v>
          </cell>
          <cell r="I1565" t="str">
            <v>V/TOTAL</v>
          </cell>
          <cell r="K1565" t="str">
            <v>CANT TOTAL</v>
          </cell>
          <cell r="L1565" t="str">
            <v>Vr TOTAL</v>
          </cell>
          <cell r="Y1565" t="str">
            <v>CANT.</v>
          </cell>
          <cell r="Z1565" t="str">
            <v>V/TOTAL</v>
          </cell>
        </row>
        <row r="1566">
          <cell r="E1566" t="str">
            <v>MATERIALES</v>
          </cell>
          <cell r="I1566">
            <v>32460</v>
          </cell>
          <cell r="L1566">
            <v>10581960</v>
          </cell>
          <cell r="Z1566" t="e">
            <v>#VALUE!</v>
          </cell>
        </row>
        <row r="1567">
          <cell r="D1567" t="str">
            <v>MA02BG400</v>
          </cell>
          <cell r="E1567" t="str">
            <v>SubBase Granular B-400</v>
          </cell>
          <cell r="F1567" t="str">
            <v>M3</v>
          </cell>
          <cell r="G1567">
            <v>1.28</v>
          </cell>
          <cell r="H1567">
            <v>11000</v>
          </cell>
          <cell r="I1567">
            <v>14080</v>
          </cell>
          <cell r="J1567">
            <v>0</v>
          </cell>
          <cell r="K1567">
            <v>417.28000000000003</v>
          </cell>
          <cell r="L1567">
            <v>4590080</v>
          </cell>
          <cell r="Y1567" t="e">
            <v>#VALUE!</v>
          </cell>
          <cell r="Z1567" t="e">
            <v>#VALUE!</v>
          </cell>
        </row>
        <row r="1568">
          <cell r="D1568" t="str">
            <v>TC09TR</v>
          </cell>
          <cell r="E1568" t="str">
            <v>Transporte Recebo</v>
          </cell>
          <cell r="F1568" t="str">
            <v>Vj</v>
          </cell>
          <cell r="G1568">
            <v>0.21333333333333335</v>
          </cell>
          <cell r="H1568">
            <v>81000</v>
          </cell>
          <cell r="I1568">
            <v>17280</v>
          </cell>
          <cell r="J1568">
            <v>0</v>
          </cell>
          <cell r="K1568">
            <v>69.546666666666667</v>
          </cell>
          <cell r="L1568">
            <v>5633280</v>
          </cell>
          <cell r="Y1568" t="e">
            <v>#VALUE!</v>
          </cell>
          <cell r="Z1568" t="e">
            <v>#VALUE!</v>
          </cell>
        </row>
        <row r="1569">
          <cell r="D1569" t="str">
            <v>TC16AGUA</v>
          </cell>
          <cell r="E1569" t="str">
            <v>Agua</v>
          </cell>
          <cell r="F1569" t="str">
            <v>M3</v>
          </cell>
          <cell r="G1569">
            <v>0.11</v>
          </cell>
          <cell r="H1569">
            <v>10000</v>
          </cell>
          <cell r="I1569">
            <v>1100</v>
          </cell>
          <cell r="J1569">
            <v>0</v>
          </cell>
          <cell r="K1569">
            <v>35.86</v>
          </cell>
          <cell r="L1569">
            <v>358600</v>
          </cell>
          <cell r="Y1569" t="e">
            <v>#VALUE!</v>
          </cell>
          <cell r="Z1569" t="e">
            <v>#VALUE!</v>
          </cell>
        </row>
        <row r="1571">
          <cell r="E1571" t="str">
            <v>MANO DE OBRA</v>
          </cell>
          <cell r="I1571">
            <v>200</v>
          </cell>
          <cell r="L1571">
            <v>65200</v>
          </cell>
          <cell r="Z1571" t="e">
            <v>#VALUE!</v>
          </cell>
        </row>
        <row r="1572">
          <cell r="D1572" t="str">
            <v>MOVIARC</v>
          </cell>
          <cell r="E1572" t="str">
            <v>Ayudante Recebo Compacto</v>
          </cell>
          <cell r="F1572" t="str">
            <v>M3</v>
          </cell>
          <cell r="G1572">
            <v>1</v>
          </cell>
          <cell r="H1572">
            <v>200</v>
          </cell>
          <cell r="I1572">
            <v>200</v>
          </cell>
          <cell r="J1572">
            <v>0</v>
          </cell>
          <cell r="K1572">
            <v>326</v>
          </cell>
          <cell r="L1572">
            <v>65200</v>
          </cell>
          <cell r="Y1572" t="e">
            <v>#VALUE!</v>
          </cell>
          <cell r="Z1572" t="e">
            <v>#VALUE!</v>
          </cell>
        </row>
        <row r="1574">
          <cell r="E1574" t="str">
            <v>VARIOS</v>
          </cell>
          <cell r="I1574">
            <v>5040</v>
          </cell>
          <cell r="L1574">
            <v>1643040</v>
          </cell>
          <cell r="Z1574" t="e">
            <v>#VALUE!</v>
          </cell>
        </row>
        <row r="1575">
          <cell r="D1575" t="str">
            <v>AL04MOTO</v>
          </cell>
          <cell r="E1575" t="str">
            <v>Motoniveladora</v>
          </cell>
          <cell r="F1575" t="str">
            <v>Hr</v>
          </cell>
          <cell r="G1575">
            <v>0.08</v>
          </cell>
          <cell r="H1575">
            <v>38000</v>
          </cell>
          <cell r="I1575">
            <v>3040</v>
          </cell>
          <cell r="J1575">
            <v>0</v>
          </cell>
          <cell r="K1575">
            <v>26.080000000000002</v>
          </cell>
          <cell r="L1575">
            <v>991040.00000000012</v>
          </cell>
          <cell r="Y1575" t="e">
            <v>#VALUE!</v>
          </cell>
          <cell r="Z1575" t="e">
            <v>#VALUE!</v>
          </cell>
        </row>
        <row r="1576">
          <cell r="D1576" t="str">
            <v>AL04CILI</v>
          </cell>
          <cell r="E1576" t="str">
            <v>Cilindro</v>
          </cell>
          <cell r="F1576" t="str">
            <v>Hr</v>
          </cell>
          <cell r="G1576">
            <v>0.06</v>
          </cell>
          <cell r="H1576">
            <v>25000</v>
          </cell>
          <cell r="I1576">
            <v>1500</v>
          </cell>
          <cell r="J1576">
            <v>0</v>
          </cell>
          <cell r="K1576">
            <v>19.559999999999999</v>
          </cell>
          <cell r="L1576">
            <v>488999.99999999994</v>
          </cell>
          <cell r="Y1576" t="e">
            <v>#VALUE!</v>
          </cell>
          <cell r="Z1576" t="e">
            <v>#VALUE!</v>
          </cell>
        </row>
        <row r="1577">
          <cell r="D1577" t="str">
            <v>AL04DENS</v>
          </cell>
          <cell r="E1577" t="str">
            <v>Densidades</v>
          </cell>
          <cell r="F1577" t="str">
            <v>Un</v>
          </cell>
          <cell r="G1577">
            <v>0.02</v>
          </cell>
          <cell r="H1577">
            <v>25000</v>
          </cell>
          <cell r="I1577">
            <v>500</v>
          </cell>
          <cell r="J1577">
            <v>0</v>
          </cell>
          <cell r="K1577">
            <v>6.5200000000000005</v>
          </cell>
          <cell r="L1577">
            <v>163000</v>
          </cell>
          <cell r="Y1577" t="e">
            <v>#VALUE!</v>
          </cell>
          <cell r="Z1577" t="e">
            <v>#VALUE!</v>
          </cell>
        </row>
        <row r="1578">
          <cell r="E1578" t="str">
            <v>SUBTOTAL</v>
          </cell>
          <cell r="I1578">
            <v>37700</v>
          </cell>
          <cell r="L1578">
            <v>12290200</v>
          </cell>
          <cell r="Z1578" t="e">
            <v>#VALUE!</v>
          </cell>
        </row>
        <row r="1579">
          <cell r="E1579" t="str">
            <v>A.I.U</v>
          </cell>
          <cell r="I1579">
            <v>0</v>
          </cell>
          <cell r="L1579">
            <v>0</v>
          </cell>
          <cell r="Z1579">
            <v>0</v>
          </cell>
        </row>
        <row r="1580">
          <cell r="D1580" t="str">
            <v>AIUAADMON</v>
          </cell>
          <cell r="E1580" t="str">
            <v>Admon</v>
          </cell>
          <cell r="F1580">
            <v>0</v>
          </cell>
          <cell r="I1580">
            <v>0</v>
          </cell>
          <cell r="J1580">
            <v>0</v>
          </cell>
          <cell r="L1580">
            <v>0</v>
          </cell>
          <cell r="Z1580">
            <v>0</v>
          </cell>
        </row>
        <row r="1581">
          <cell r="D1581" t="str">
            <v>AIUAIMPRE</v>
          </cell>
          <cell r="E1581" t="str">
            <v>Imprevistos</v>
          </cell>
          <cell r="F1581">
            <v>0</v>
          </cell>
          <cell r="I1581">
            <v>0</v>
          </cell>
          <cell r="J1581">
            <v>0</v>
          </cell>
          <cell r="L1581">
            <v>0</v>
          </cell>
          <cell r="Z1581">
            <v>0</v>
          </cell>
        </row>
        <row r="1582">
          <cell r="D1582" t="str">
            <v>AIUAUTILI</v>
          </cell>
          <cell r="E1582" t="str">
            <v>Utilidad</v>
          </cell>
          <cell r="F1582">
            <v>0</v>
          </cell>
          <cell r="I1582">
            <v>0</v>
          </cell>
          <cell r="J1582">
            <v>0</v>
          </cell>
          <cell r="L1582">
            <v>0</v>
          </cell>
          <cell r="Z1582">
            <v>0</v>
          </cell>
        </row>
        <row r="1583">
          <cell r="D1583" t="str">
            <v>AIUAIVAUTI</v>
          </cell>
          <cell r="E1583" t="str">
            <v>IVA utilidad</v>
          </cell>
          <cell r="F1583">
            <v>0</v>
          </cell>
          <cell r="I1583">
            <v>0</v>
          </cell>
          <cell r="J1583">
            <v>0</v>
          </cell>
          <cell r="L1583">
            <v>0</v>
          </cell>
          <cell r="Z1583">
            <v>0</v>
          </cell>
        </row>
        <row r="1585">
          <cell r="E1585" t="str">
            <v>ITEM</v>
          </cell>
        </row>
        <row r="1586">
          <cell r="D1586" t="str">
            <v>VIBG600</v>
          </cell>
          <cell r="E1586" t="str">
            <v>Base Granular B-600</v>
          </cell>
          <cell r="G1586" t="str">
            <v>UN.</v>
          </cell>
          <cell r="H1586" t="str">
            <v>M3</v>
          </cell>
          <cell r="I1586">
            <v>45287.199999999997</v>
          </cell>
          <cell r="K1586">
            <v>562</v>
          </cell>
          <cell r="L1586">
            <v>25451406.399999999</v>
          </cell>
          <cell r="N1586">
            <v>39167.199999999997</v>
          </cell>
          <cell r="O1586">
            <v>200</v>
          </cell>
          <cell r="P1586">
            <v>5920</v>
          </cell>
          <cell r="Q1586">
            <v>0</v>
          </cell>
          <cell r="X1586">
            <v>25451406.399999999</v>
          </cell>
          <cell r="Z1586" t="e">
            <v>#VALUE!</v>
          </cell>
          <cell r="AA1586" t="e">
            <v>#VALUE!</v>
          </cell>
          <cell r="AB1586" t="e">
            <v>#VALUE!</v>
          </cell>
          <cell r="AC1586" t="e">
            <v>#VALUE!</v>
          </cell>
        </row>
        <row r="1588">
          <cell r="D1588" t="str">
            <v>CODIGO</v>
          </cell>
          <cell r="E1588" t="str">
            <v>DESCRIPCION</v>
          </cell>
          <cell r="F1588" t="str">
            <v>UN</v>
          </cell>
          <cell r="G1588" t="str">
            <v>CANT</v>
          </cell>
          <cell r="H1588" t="str">
            <v>V/UNIT.</v>
          </cell>
          <cell r="I1588" t="str">
            <v>V/TOTAL</v>
          </cell>
          <cell r="K1588" t="str">
            <v>CANT TOTAL</v>
          </cell>
          <cell r="L1588" t="str">
            <v>Vr TOTAL</v>
          </cell>
          <cell r="Y1588" t="str">
            <v>CANT.</v>
          </cell>
          <cell r="Z1588" t="str">
            <v>V/TOTAL</v>
          </cell>
        </row>
        <row r="1589">
          <cell r="E1589" t="str">
            <v>MATERIALES</v>
          </cell>
          <cell r="I1589">
            <v>39167.199999999997</v>
          </cell>
          <cell r="L1589">
            <v>22011966.399999999</v>
          </cell>
          <cell r="Z1589" t="e">
            <v>#VALUE!</v>
          </cell>
        </row>
        <row r="1590">
          <cell r="D1590" t="str">
            <v>MA02BG600</v>
          </cell>
          <cell r="E1590" t="str">
            <v>Base Granular B-600</v>
          </cell>
          <cell r="F1590" t="str">
            <v>M3</v>
          </cell>
          <cell r="G1590">
            <v>1.28</v>
          </cell>
          <cell r="H1590">
            <v>16240</v>
          </cell>
          <cell r="I1590">
            <v>20787.2</v>
          </cell>
          <cell r="J1590">
            <v>0</v>
          </cell>
          <cell r="K1590">
            <v>719.36</v>
          </cell>
          <cell r="L1590">
            <v>11682406.4</v>
          </cell>
          <cell r="Y1590" t="e">
            <v>#VALUE!</v>
          </cell>
          <cell r="Z1590" t="e">
            <v>#VALUE!</v>
          </cell>
        </row>
        <row r="1591">
          <cell r="D1591" t="str">
            <v>TC09TR</v>
          </cell>
          <cell r="E1591" t="str">
            <v>Transporte Recebo</v>
          </cell>
          <cell r="F1591" t="str">
            <v>Vj</v>
          </cell>
          <cell r="G1591">
            <v>0.21333333333333335</v>
          </cell>
          <cell r="H1591">
            <v>81000</v>
          </cell>
          <cell r="I1591">
            <v>17280</v>
          </cell>
          <cell r="J1591">
            <v>0</v>
          </cell>
          <cell r="K1591">
            <v>119.89333333333335</v>
          </cell>
          <cell r="L1591">
            <v>9711360.0000000019</v>
          </cell>
          <cell r="Y1591" t="e">
            <v>#VALUE!</v>
          </cell>
          <cell r="Z1591" t="e">
            <v>#VALUE!</v>
          </cell>
        </row>
        <row r="1592">
          <cell r="D1592" t="str">
            <v>TC16AGUA</v>
          </cell>
          <cell r="E1592" t="str">
            <v>Agua</v>
          </cell>
          <cell r="F1592" t="str">
            <v>M3</v>
          </cell>
          <cell r="G1592">
            <v>0.11</v>
          </cell>
          <cell r="H1592">
            <v>10000</v>
          </cell>
          <cell r="I1592">
            <v>1100</v>
          </cell>
          <cell r="J1592">
            <v>0</v>
          </cell>
          <cell r="K1592">
            <v>61.82</v>
          </cell>
          <cell r="L1592">
            <v>618200</v>
          </cell>
          <cell r="Y1592" t="e">
            <v>#VALUE!</v>
          </cell>
          <cell r="Z1592" t="e">
            <v>#VALUE!</v>
          </cell>
        </row>
        <row r="1594">
          <cell r="E1594" t="str">
            <v>MANO DE OBRA</v>
          </cell>
          <cell r="I1594">
            <v>200</v>
          </cell>
          <cell r="L1594">
            <v>112400</v>
          </cell>
          <cell r="Z1594" t="e">
            <v>#VALUE!</v>
          </cell>
        </row>
        <row r="1595">
          <cell r="D1595" t="str">
            <v>MOVIARC</v>
          </cell>
          <cell r="E1595" t="str">
            <v>Ayudante Recebo Compacto</v>
          </cell>
          <cell r="F1595" t="str">
            <v>M3</v>
          </cell>
          <cell r="G1595">
            <v>1</v>
          </cell>
          <cell r="H1595">
            <v>200</v>
          </cell>
          <cell r="I1595">
            <v>200</v>
          </cell>
          <cell r="J1595">
            <v>0</v>
          </cell>
          <cell r="K1595">
            <v>562</v>
          </cell>
          <cell r="L1595">
            <v>112400</v>
          </cell>
          <cell r="Y1595" t="e">
            <v>#VALUE!</v>
          </cell>
          <cell r="Z1595" t="e">
            <v>#VALUE!</v>
          </cell>
        </row>
        <row r="1597">
          <cell r="E1597" t="str">
            <v>VARIOS</v>
          </cell>
          <cell r="I1597">
            <v>5920</v>
          </cell>
          <cell r="L1597">
            <v>3327040</v>
          </cell>
          <cell r="Z1597" t="e">
            <v>#VALUE!</v>
          </cell>
        </row>
        <row r="1598">
          <cell r="D1598" t="str">
            <v>AL04MOTO</v>
          </cell>
          <cell r="E1598" t="str">
            <v>Motoniveladora</v>
          </cell>
          <cell r="F1598" t="str">
            <v>Hr</v>
          </cell>
          <cell r="G1598">
            <v>0.09</v>
          </cell>
          <cell r="H1598">
            <v>38000</v>
          </cell>
          <cell r="I1598">
            <v>3420</v>
          </cell>
          <cell r="J1598">
            <v>0</v>
          </cell>
          <cell r="K1598">
            <v>50.58</v>
          </cell>
          <cell r="L1598">
            <v>1922040</v>
          </cell>
          <cell r="Y1598" t="e">
            <v>#VALUE!</v>
          </cell>
          <cell r="Z1598" t="e">
            <v>#VALUE!</v>
          </cell>
        </row>
        <row r="1599">
          <cell r="D1599" t="str">
            <v>AL04CILI</v>
          </cell>
          <cell r="E1599" t="str">
            <v>Cilindro</v>
          </cell>
          <cell r="F1599" t="str">
            <v>Hr</v>
          </cell>
          <cell r="G1599">
            <v>7.0000000000000007E-2</v>
          </cell>
          <cell r="H1599">
            <v>25000</v>
          </cell>
          <cell r="I1599">
            <v>1750</v>
          </cell>
          <cell r="J1599">
            <v>0</v>
          </cell>
          <cell r="K1599">
            <v>39.340000000000003</v>
          </cell>
          <cell r="L1599">
            <v>983500.00000000012</v>
          </cell>
          <cell r="Y1599" t="e">
            <v>#VALUE!</v>
          </cell>
          <cell r="Z1599" t="e">
            <v>#VALUE!</v>
          </cell>
        </row>
        <row r="1600">
          <cell r="D1600" t="str">
            <v>AL04DENS</v>
          </cell>
          <cell r="E1600" t="str">
            <v>Densidades</v>
          </cell>
          <cell r="F1600" t="str">
            <v>Un</v>
          </cell>
          <cell r="G1600">
            <v>0.03</v>
          </cell>
          <cell r="H1600">
            <v>25000</v>
          </cell>
          <cell r="I1600">
            <v>750</v>
          </cell>
          <cell r="J1600">
            <v>0</v>
          </cell>
          <cell r="K1600">
            <v>16.86</v>
          </cell>
          <cell r="L1600">
            <v>421500</v>
          </cell>
          <cell r="Y1600" t="e">
            <v>#VALUE!</v>
          </cell>
          <cell r="Z1600" t="e">
            <v>#VALUE!</v>
          </cell>
        </row>
        <row r="1601">
          <cell r="E1601" t="str">
            <v>SUBTOTAL</v>
          </cell>
          <cell r="I1601">
            <v>45287.199999999997</v>
          </cell>
          <cell r="L1601">
            <v>25451406.399999999</v>
          </cell>
          <cell r="Z1601" t="e">
            <v>#VALUE!</v>
          </cell>
        </row>
        <row r="1602">
          <cell r="E1602" t="str">
            <v>A.I.U</v>
          </cell>
          <cell r="I1602">
            <v>0</v>
          </cell>
          <cell r="L1602">
            <v>0</v>
          </cell>
          <cell r="Z1602">
            <v>0</v>
          </cell>
        </row>
        <row r="1603">
          <cell r="D1603" t="str">
            <v>AIUAADMON</v>
          </cell>
          <cell r="E1603" t="str">
            <v>Admon</v>
          </cell>
          <cell r="F1603">
            <v>0</v>
          </cell>
          <cell r="I1603">
            <v>0</v>
          </cell>
          <cell r="J1603">
            <v>0</v>
          </cell>
          <cell r="L1603">
            <v>0</v>
          </cell>
          <cell r="Z1603">
            <v>0</v>
          </cell>
        </row>
        <row r="1604">
          <cell r="D1604" t="str">
            <v>AIUAIMPRE</v>
          </cell>
          <cell r="E1604" t="str">
            <v>Imprevistos</v>
          </cell>
          <cell r="F1604">
            <v>0</v>
          </cell>
          <cell r="I1604">
            <v>0</v>
          </cell>
          <cell r="J1604">
            <v>0</v>
          </cell>
          <cell r="L1604">
            <v>0</v>
          </cell>
          <cell r="Z1604">
            <v>0</v>
          </cell>
        </row>
        <row r="1605">
          <cell r="D1605" t="str">
            <v>AIUAUTILI</v>
          </cell>
          <cell r="E1605" t="str">
            <v>Utilidad</v>
          </cell>
          <cell r="F1605">
            <v>0</v>
          </cell>
          <cell r="I1605">
            <v>0</v>
          </cell>
          <cell r="J1605">
            <v>0</v>
          </cell>
          <cell r="L1605">
            <v>0</v>
          </cell>
          <cell r="Z1605">
            <v>0</v>
          </cell>
        </row>
        <row r="1606">
          <cell r="D1606" t="str">
            <v>AIUAIVAUTI</v>
          </cell>
          <cell r="E1606" t="str">
            <v>IVA utilidad</v>
          </cell>
          <cell r="F1606">
            <v>0</v>
          </cell>
          <cell r="I1606">
            <v>0</v>
          </cell>
          <cell r="J1606">
            <v>0</v>
          </cell>
          <cell r="L1606">
            <v>0</v>
          </cell>
          <cell r="Z1606">
            <v>0</v>
          </cell>
        </row>
        <row r="1608">
          <cell r="E1608" t="str">
            <v>ITEM</v>
          </cell>
        </row>
        <row r="1609">
          <cell r="D1609" t="str">
            <v>VIAA</v>
          </cell>
          <cell r="E1609" t="str">
            <v>Construccion Andenes en Adoquin</v>
          </cell>
          <cell r="G1609" t="str">
            <v>UN.</v>
          </cell>
          <cell r="H1609" t="str">
            <v>M2</v>
          </cell>
          <cell r="I1609">
            <v>26014.5</v>
          </cell>
          <cell r="K1609">
            <v>273</v>
          </cell>
          <cell r="L1609">
            <v>7101958.5</v>
          </cell>
          <cell r="N1609">
            <v>19164.5</v>
          </cell>
          <cell r="O1609">
            <v>5200</v>
          </cell>
          <cell r="P1609">
            <v>1650</v>
          </cell>
          <cell r="Q1609">
            <v>0</v>
          </cell>
          <cell r="X1609">
            <v>7101958.5</v>
          </cell>
          <cell r="Z1609" t="e">
            <v>#N/A</v>
          </cell>
          <cell r="AA1609" t="e">
            <v>#N/A</v>
          </cell>
          <cell r="AB1609" t="e">
            <v>#N/A</v>
          </cell>
          <cell r="AC1609" t="e">
            <v>#N/A</v>
          </cell>
        </row>
        <row r="1611">
          <cell r="D1611" t="str">
            <v>CODIGO</v>
          </cell>
          <cell r="E1611" t="str">
            <v>DESCRIPCION</v>
          </cell>
          <cell r="F1611" t="str">
            <v>UN</v>
          </cell>
          <cell r="G1611" t="str">
            <v>CANT</v>
          </cell>
          <cell r="H1611" t="str">
            <v>V/UNIT.</v>
          </cell>
          <cell r="I1611" t="str">
            <v>V/TOTAL</v>
          </cell>
          <cell r="K1611" t="str">
            <v>CANT TOTAL</v>
          </cell>
          <cell r="L1611" t="str">
            <v>Vr TOTAL</v>
          </cell>
          <cell r="Y1611" t="str">
            <v>CANT.</v>
          </cell>
          <cell r="Z1611" t="str">
            <v>V/TOTAL</v>
          </cell>
        </row>
        <row r="1612">
          <cell r="E1612" t="str">
            <v>MATERIALES</v>
          </cell>
          <cell r="I1612">
            <v>19164.5</v>
          </cell>
          <cell r="L1612">
            <v>5231908.5</v>
          </cell>
          <cell r="Z1612" t="e">
            <v>#N/A</v>
          </cell>
        </row>
        <row r="1613">
          <cell r="D1613" t="str">
            <v>MA06TAM</v>
          </cell>
          <cell r="E1613" t="str">
            <v>Ladrillo Tolete Adoquin</v>
          </cell>
          <cell r="F1613" t="str">
            <v>m2</v>
          </cell>
          <cell r="G1613">
            <v>1</v>
          </cell>
          <cell r="H1613">
            <v>16480</v>
          </cell>
          <cell r="I1613">
            <v>16480</v>
          </cell>
          <cell r="J1613">
            <v>0</v>
          </cell>
          <cell r="K1613">
            <v>273</v>
          </cell>
          <cell r="L1613">
            <v>4499040</v>
          </cell>
          <cell r="Y1613" t="e">
            <v>#N/A</v>
          </cell>
          <cell r="Z1613" t="e">
            <v>#N/A</v>
          </cell>
        </row>
        <row r="1614">
          <cell r="D1614" t="str">
            <v>MA02AL</v>
          </cell>
          <cell r="E1614" t="str">
            <v xml:space="preserve">Arena Lavada </v>
          </cell>
          <cell r="F1614" t="str">
            <v>M3</v>
          </cell>
          <cell r="G1614">
            <v>0.05</v>
          </cell>
          <cell r="H1614">
            <v>25000</v>
          </cell>
          <cell r="I1614">
            <v>1250</v>
          </cell>
          <cell r="J1614">
            <v>0</v>
          </cell>
          <cell r="K1614">
            <v>13.65</v>
          </cell>
          <cell r="L1614">
            <v>341250</v>
          </cell>
          <cell r="Y1614" t="e">
            <v>#N/A</v>
          </cell>
          <cell r="Z1614" t="e">
            <v>#N/A</v>
          </cell>
        </row>
        <row r="1615">
          <cell r="D1615" t="str">
            <v>MA03CG</v>
          </cell>
          <cell r="E1615" t="str">
            <v>Cemento Gris</v>
          </cell>
          <cell r="F1615" t="str">
            <v>Kg</v>
          </cell>
          <cell r="G1615">
            <v>7.55</v>
          </cell>
          <cell r="H1615">
            <v>190</v>
          </cell>
          <cell r="I1615">
            <v>1434.5</v>
          </cell>
          <cell r="J1615">
            <v>0</v>
          </cell>
          <cell r="K1615">
            <v>2061.15</v>
          </cell>
          <cell r="L1615">
            <v>391618.5</v>
          </cell>
          <cell r="Y1615" t="e">
            <v>#N/A</v>
          </cell>
          <cell r="Z1615" t="e">
            <v>#N/A</v>
          </cell>
        </row>
        <row r="1617">
          <cell r="E1617" t="str">
            <v>MANO DE OBRA</v>
          </cell>
          <cell r="I1617">
            <v>5200</v>
          </cell>
          <cell r="L1617">
            <v>1419600</v>
          </cell>
          <cell r="Z1617" t="e">
            <v>#N/A</v>
          </cell>
        </row>
        <row r="1618">
          <cell r="D1618" t="str">
            <v>MOVIAA</v>
          </cell>
          <cell r="E1618" t="str">
            <v>Andenes Adoquin</v>
          </cell>
          <cell r="F1618" t="str">
            <v>m2</v>
          </cell>
          <cell r="G1618">
            <v>1</v>
          </cell>
          <cell r="H1618">
            <v>5200</v>
          </cell>
          <cell r="I1618">
            <v>5200</v>
          </cell>
          <cell r="J1618">
            <v>0</v>
          </cell>
          <cell r="K1618">
            <v>273</v>
          </cell>
          <cell r="L1618">
            <v>1419600</v>
          </cell>
          <cell r="Y1618" t="e">
            <v>#N/A</v>
          </cell>
          <cell r="Z1618" t="e">
            <v>#N/A</v>
          </cell>
        </row>
        <row r="1620">
          <cell r="E1620" t="str">
            <v>VARIOS</v>
          </cell>
          <cell r="I1620">
            <v>1650</v>
          </cell>
          <cell r="L1620">
            <v>450450</v>
          </cell>
          <cell r="Z1620" t="e">
            <v>#N/A</v>
          </cell>
        </row>
        <row r="1621">
          <cell r="D1621" t="str">
            <v>AL04PV</v>
          </cell>
          <cell r="E1621" t="str">
            <v>Plancha Vibradora</v>
          </cell>
          <cell r="F1621" t="str">
            <v>Dia</v>
          </cell>
          <cell r="G1621">
            <v>0.08</v>
          </cell>
          <cell r="H1621">
            <v>12500</v>
          </cell>
          <cell r="I1621">
            <v>1000</v>
          </cell>
          <cell r="J1621">
            <v>0</v>
          </cell>
          <cell r="K1621">
            <v>21.84</v>
          </cell>
          <cell r="L1621">
            <v>273000</v>
          </cell>
          <cell r="Y1621" t="e">
            <v>#N/A</v>
          </cell>
          <cell r="Z1621" t="e">
            <v>#N/A</v>
          </cell>
        </row>
        <row r="1622">
          <cell r="D1622" t="str">
            <v>TC07H650</v>
          </cell>
          <cell r="E1622" t="str">
            <v>Herramienta</v>
          </cell>
          <cell r="F1622" t="str">
            <v>Gb</v>
          </cell>
          <cell r="G1622">
            <v>1</v>
          </cell>
          <cell r="H1622">
            <v>650</v>
          </cell>
          <cell r="I1622">
            <v>650</v>
          </cell>
          <cell r="J1622">
            <v>0</v>
          </cell>
          <cell r="K1622">
            <v>273</v>
          </cell>
          <cell r="L1622">
            <v>177450</v>
          </cell>
          <cell r="Y1622" t="e">
            <v>#N/A</v>
          </cell>
          <cell r="Z1622" t="e">
            <v>#N/A</v>
          </cell>
        </row>
        <row r="1624">
          <cell r="E1624" t="str">
            <v>SUBTOTAL</v>
          </cell>
          <cell r="I1624">
            <v>26014.5</v>
          </cell>
          <cell r="L1624">
            <v>7101958.5</v>
          </cell>
          <cell r="Z1624" t="e">
            <v>#N/A</v>
          </cell>
        </row>
        <row r="1625">
          <cell r="E1625" t="str">
            <v>A.I.U</v>
          </cell>
          <cell r="I1625">
            <v>0</v>
          </cell>
          <cell r="L1625">
            <v>0</v>
          </cell>
          <cell r="Z1625">
            <v>0</v>
          </cell>
        </row>
        <row r="1626">
          <cell r="D1626" t="str">
            <v>AIUAADMON</v>
          </cell>
          <cell r="E1626" t="str">
            <v>Admon</v>
          </cell>
          <cell r="F1626">
            <v>0</v>
          </cell>
          <cell r="I1626">
            <v>0</v>
          </cell>
          <cell r="J1626">
            <v>0</v>
          </cell>
          <cell r="L1626">
            <v>0</v>
          </cell>
          <cell r="Z1626">
            <v>0</v>
          </cell>
        </row>
        <row r="1627">
          <cell r="D1627" t="str">
            <v>AIUAIMPRE</v>
          </cell>
          <cell r="E1627" t="str">
            <v>Imprevistos</v>
          </cell>
          <cell r="F1627">
            <v>0</v>
          </cell>
          <cell r="I1627">
            <v>0</v>
          </cell>
          <cell r="J1627">
            <v>0</v>
          </cell>
          <cell r="L1627">
            <v>0</v>
          </cell>
          <cell r="Z1627">
            <v>0</v>
          </cell>
        </row>
        <row r="1628">
          <cell r="D1628" t="str">
            <v>AIUAUTILI</v>
          </cell>
          <cell r="E1628" t="str">
            <v>Utilidad</v>
          </cell>
          <cell r="F1628">
            <v>0</v>
          </cell>
          <cell r="I1628">
            <v>0</v>
          </cell>
          <cell r="J1628">
            <v>0</v>
          </cell>
          <cell r="L1628">
            <v>0</v>
          </cell>
          <cell r="Z1628">
            <v>0</v>
          </cell>
        </row>
        <row r="1629">
          <cell r="D1629" t="str">
            <v>AIUAIVAUTI</v>
          </cell>
          <cell r="E1629" t="str">
            <v>IVA utilidad</v>
          </cell>
          <cell r="F1629">
            <v>0</v>
          </cell>
          <cell r="I1629">
            <v>0</v>
          </cell>
          <cell r="J1629">
            <v>0</v>
          </cell>
          <cell r="L1629">
            <v>0</v>
          </cell>
          <cell r="Z1629">
            <v>0</v>
          </cell>
        </row>
        <row r="1631">
          <cell r="E1631" t="str">
            <v>ITEM</v>
          </cell>
        </row>
        <row r="1632">
          <cell r="D1632" t="str">
            <v>VIAND</v>
          </cell>
          <cell r="E1632" t="str">
            <v>Andenes</v>
          </cell>
          <cell r="G1632" t="str">
            <v>UN.</v>
          </cell>
          <cell r="H1632" t="str">
            <v>M2</v>
          </cell>
          <cell r="I1632">
            <v>30342.9</v>
          </cell>
          <cell r="K1632">
            <v>0</v>
          </cell>
          <cell r="L1632">
            <v>0</v>
          </cell>
          <cell r="N1632">
            <v>24447.9</v>
          </cell>
          <cell r="O1632">
            <v>3545</v>
          </cell>
          <cell r="P1632">
            <v>2350</v>
          </cell>
          <cell r="Q1632">
            <v>0</v>
          </cell>
          <cell r="X1632">
            <v>0</v>
          </cell>
          <cell r="Z1632" t="e">
            <v>#VALUE!</v>
          </cell>
          <cell r="AA1632" t="e">
            <v>#VALUE!</v>
          </cell>
          <cell r="AB1632" t="e">
            <v>#VALUE!</v>
          </cell>
          <cell r="AC1632" t="e">
            <v>#VALUE!</v>
          </cell>
        </row>
        <row r="1634">
          <cell r="D1634" t="str">
            <v>CODIGO</v>
          </cell>
          <cell r="E1634" t="str">
            <v>DESCRIPCION</v>
          </cell>
          <cell r="F1634" t="str">
            <v>UN</v>
          </cell>
          <cell r="G1634" t="str">
            <v>CANT</v>
          </cell>
          <cell r="H1634" t="str">
            <v>V/UNIT.</v>
          </cell>
          <cell r="I1634" t="str">
            <v>V/TOTAL</v>
          </cell>
          <cell r="K1634" t="str">
            <v>CANT TOTAL</v>
          </cell>
          <cell r="L1634" t="str">
            <v>Vr TOTAL</v>
          </cell>
          <cell r="Y1634" t="str">
            <v>CANT.</v>
          </cell>
          <cell r="Z1634" t="str">
            <v>V/TOTAL</v>
          </cell>
        </row>
        <row r="1635">
          <cell r="E1635" t="str">
            <v>MATERIALES</v>
          </cell>
          <cell r="I1635">
            <v>24447.9</v>
          </cell>
          <cell r="L1635">
            <v>0</v>
          </cell>
          <cell r="Z1635" t="e">
            <v>#VALUE!</v>
          </cell>
        </row>
        <row r="1636">
          <cell r="D1636" t="str">
            <v>MA04C3</v>
          </cell>
          <cell r="E1636" t="str">
            <v xml:space="preserve">Concreto 3000 psi </v>
          </cell>
          <cell r="F1636" t="str">
            <v>M3</v>
          </cell>
          <cell r="G1636">
            <v>0.1</v>
          </cell>
          <cell r="H1636">
            <v>202575</v>
          </cell>
          <cell r="I1636">
            <v>20257.5</v>
          </cell>
          <cell r="J1636">
            <v>0</v>
          </cell>
          <cell r="K1636">
            <v>0</v>
          </cell>
          <cell r="L1636">
            <v>0</v>
          </cell>
          <cell r="Y1636" t="e">
            <v>#VALUE!</v>
          </cell>
          <cell r="Z1636" t="e">
            <v>#VALUE!</v>
          </cell>
        </row>
        <row r="1637">
          <cell r="D1637" t="str">
            <v>MA02RMC</v>
          </cell>
          <cell r="E1637" t="str">
            <v>Recebo en Cantera</v>
          </cell>
          <cell r="F1637" t="str">
            <v>M3</v>
          </cell>
          <cell r="G1637">
            <v>0.18</v>
          </cell>
          <cell r="H1637">
            <v>6000</v>
          </cell>
          <cell r="I1637">
            <v>1080</v>
          </cell>
          <cell r="J1637">
            <v>0</v>
          </cell>
          <cell r="K1637">
            <v>0</v>
          </cell>
          <cell r="L1637">
            <v>0</v>
          </cell>
          <cell r="Y1637" t="e">
            <v>#VALUE!</v>
          </cell>
          <cell r="Z1637" t="e">
            <v>#VALUE!</v>
          </cell>
        </row>
        <row r="1638">
          <cell r="D1638" t="str">
            <v>TC09TR</v>
          </cell>
          <cell r="E1638" t="str">
            <v>Transporte Recebo</v>
          </cell>
          <cell r="F1638" t="str">
            <v>Vj</v>
          </cell>
          <cell r="G1638">
            <v>3.8399999999999997E-2</v>
          </cell>
          <cell r="H1638">
            <v>81000</v>
          </cell>
          <cell r="I1638">
            <v>3110.3999999999996</v>
          </cell>
          <cell r="J1638">
            <v>0</v>
          </cell>
          <cell r="K1638">
            <v>0</v>
          </cell>
          <cell r="L1638">
            <v>0</v>
          </cell>
          <cell r="Y1638" t="e">
            <v>#VALUE!</v>
          </cell>
          <cell r="Z1638" t="e">
            <v>#VALUE!</v>
          </cell>
        </row>
        <row r="1640">
          <cell r="E1640" t="str">
            <v>MANO DE OBRA</v>
          </cell>
          <cell r="I1640">
            <v>3545</v>
          </cell>
          <cell r="L1640">
            <v>0</v>
          </cell>
          <cell r="Z1640" t="e">
            <v>#VALUE!</v>
          </cell>
        </row>
        <row r="1641">
          <cell r="D1641" t="str">
            <v>MOVIA</v>
          </cell>
          <cell r="E1641" t="str">
            <v>Andenes</v>
          </cell>
          <cell r="F1641" t="str">
            <v>m3</v>
          </cell>
          <cell r="G1641">
            <v>0.1</v>
          </cell>
          <cell r="H1641">
            <v>35450</v>
          </cell>
          <cell r="I1641">
            <v>3545</v>
          </cell>
          <cell r="J1641">
            <v>0</v>
          </cell>
          <cell r="K1641">
            <v>0</v>
          </cell>
          <cell r="L1641">
            <v>0</v>
          </cell>
          <cell r="Y1641" t="e">
            <v>#VALUE!</v>
          </cell>
          <cell r="Z1641" t="e">
            <v>#VALUE!</v>
          </cell>
        </row>
        <row r="1643">
          <cell r="E1643" t="str">
            <v>VARIOS</v>
          </cell>
          <cell r="I1643">
            <v>2350</v>
          </cell>
          <cell r="L1643">
            <v>0</v>
          </cell>
          <cell r="Z1643" t="e">
            <v>#VALUE!</v>
          </cell>
        </row>
        <row r="1644">
          <cell r="D1644" t="str">
            <v>TC07H125</v>
          </cell>
          <cell r="E1644" t="str">
            <v>Herramienta</v>
          </cell>
          <cell r="F1644" t="str">
            <v>Gb</v>
          </cell>
          <cell r="G1644">
            <v>1</v>
          </cell>
          <cell r="H1644">
            <v>400</v>
          </cell>
          <cell r="I1644">
            <v>400</v>
          </cell>
          <cell r="J1644">
            <v>0</v>
          </cell>
          <cell r="K1644">
            <v>0</v>
          </cell>
          <cell r="L1644">
            <v>0</v>
          </cell>
          <cell r="Y1644" t="e">
            <v>#VALUE!</v>
          </cell>
          <cell r="Z1644" t="e">
            <v>#VALUE!</v>
          </cell>
        </row>
        <row r="1645">
          <cell r="D1645" t="str">
            <v>AL04BENIT</v>
          </cell>
          <cell r="E1645" t="str">
            <v>Benitin</v>
          </cell>
          <cell r="F1645" t="str">
            <v>Dia</v>
          </cell>
          <cell r="G1645">
            <v>1.2999999999999999E-2</v>
          </cell>
          <cell r="H1645">
            <v>150000</v>
          </cell>
          <cell r="I1645">
            <v>1950</v>
          </cell>
          <cell r="J1645">
            <v>0</v>
          </cell>
          <cell r="K1645">
            <v>0</v>
          </cell>
          <cell r="L1645">
            <v>0</v>
          </cell>
          <cell r="Y1645" t="e">
            <v>#VALUE!</v>
          </cell>
          <cell r="Z1645" t="e">
            <v>#VALUE!</v>
          </cell>
        </row>
        <row r="1647">
          <cell r="E1647" t="str">
            <v>SUBTOTAL</v>
          </cell>
          <cell r="I1647">
            <v>30342.9</v>
          </cell>
          <cell r="L1647">
            <v>0</v>
          </cell>
          <cell r="Z1647" t="e">
            <v>#VALUE!</v>
          </cell>
        </row>
        <row r="1648">
          <cell r="E1648" t="str">
            <v>A.I.U</v>
          </cell>
          <cell r="I1648">
            <v>0</v>
          </cell>
          <cell r="L1648">
            <v>0</v>
          </cell>
          <cell r="Z1648">
            <v>0</v>
          </cell>
        </row>
        <row r="1649">
          <cell r="D1649" t="str">
            <v>AIUAADMON</v>
          </cell>
          <cell r="E1649" t="str">
            <v>Admon</v>
          </cell>
          <cell r="F1649">
            <v>0</v>
          </cell>
          <cell r="I1649">
            <v>0</v>
          </cell>
          <cell r="J1649">
            <v>0</v>
          </cell>
          <cell r="L1649">
            <v>0</v>
          </cell>
          <cell r="Z1649">
            <v>0</v>
          </cell>
        </row>
        <row r="1650">
          <cell r="D1650" t="str">
            <v>AIUAIMPRE</v>
          </cell>
          <cell r="E1650" t="str">
            <v>Imprevistos</v>
          </cell>
          <cell r="F1650">
            <v>0</v>
          </cell>
          <cell r="I1650">
            <v>0</v>
          </cell>
          <cell r="J1650">
            <v>0</v>
          </cell>
          <cell r="L1650">
            <v>0</v>
          </cell>
          <cell r="Z1650">
            <v>0</v>
          </cell>
        </row>
        <row r="1651">
          <cell r="D1651" t="str">
            <v>AIUAUTILI</v>
          </cell>
          <cell r="E1651" t="str">
            <v>Utilidad</v>
          </cell>
          <cell r="F1651">
            <v>0</v>
          </cell>
          <cell r="I1651">
            <v>0</v>
          </cell>
          <cell r="J1651">
            <v>0</v>
          </cell>
          <cell r="L1651">
            <v>0</v>
          </cell>
          <cell r="Z1651">
            <v>0</v>
          </cell>
        </row>
        <row r="1652">
          <cell r="D1652" t="str">
            <v>AIUAIVAUTI</v>
          </cell>
          <cell r="E1652" t="str">
            <v>IVA utilidad</v>
          </cell>
          <cell r="F1652">
            <v>0</v>
          </cell>
          <cell r="I1652">
            <v>0</v>
          </cell>
          <cell r="J1652">
            <v>0</v>
          </cell>
          <cell r="L1652">
            <v>0</v>
          </cell>
          <cell r="Z1652">
            <v>0</v>
          </cell>
        </row>
        <row r="1654">
          <cell r="E1654" t="str">
            <v>ITEM</v>
          </cell>
        </row>
        <row r="1655">
          <cell r="D1655" t="str">
            <v>VIANDS</v>
          </cell>
          <cell r="E1655" t="str">
            <v>Separador</v>
          </cell>
          <cell r="G1655" t="str">
            <v>UN.</v>
          </cell>
          <cell r="H1655" t="str">
            <v>M2</v>
          </cell>
          <cell r="I1655">
            <v>30342.9</v>
          </cell>
          <cell r="K1655">
            <v>0</v>
          </cell>
          <cell r="L1655">
            <v>0</v>
          </cell>
          <cell r="N1655">
            <v>24447.9</v>
          </cell>
          <cell r="O1655">
            <v>3545</v>
          </cell>
          <cell r="P1655">
            <v>2350</v>
          </cell>
          <cell r="Q1655">
            <v>0</v>
          </cell>
          <cell r="X1655">
            <v>0</v>
          </cell>
          <cell r="Z1655" t="e">
            <v>#VALUE!</v>
          </cell>
          <cell r="AA1655" t="e">
            <v>#VALUE!</v>
          </cell>
          <cell r="AB1655" t="e">
            <v>#VALUE!</v>
          </cell>
          <cell r="AC1655" t="e">
            <v>#VALUE!</v>
          </cell>
        </row>
        <row r="1657">
          <cell r="D1657" t="str">
            <v>CODIGO</v>
          </cell>
          <cell r="E1657" t="str">
            <v>DESCRIPCION</v>
          </cell>
          <cell r="F1657" t="str">
            <v>UN</v>
          </cell>
          <cell r="G1657" t="str">
            <v>CANT</v>
          </cell>
          <cell r="H1657" t="str">
            <v>V/UNIT.</v>
          </cell>
          <cell r="I1657" t="str">
            <v>V/TOTAL</v>
          </cell>
          <cell r="K1657" t="str">
            <v>CANT TOTAL</v>
          </cell>
          <cell r="L1657" t="str">
            <v>Vr TOTAL</v>
          </cell>
          <cell r="Y1657" t="str">
            <v>CANT.</v>
          </cell>
          <cell r="Z1657" t="str">
            <v>V/TOTAL</v>
          </cell>
        </row>
        <row r="1658">
          <cell r="E1658" t="str">
            <v>MATERIALES</v>
          </cell>
          <cell r="I1658">
            <v>24447.9</v>
          </cell>
          <cell r="L1658">
            <v>0</v>
          </cell>
          <cell r="Z1658" t="e">
            <v>#VALUE!</v>
          </cell>
        </row>
        <row r="1659">
          <cell r="D1659" t="str">
            <v>MA04C3</v>
          </cell>
          <cell r="E1659" t="str">
            <v xml:space="preserve">Concreto 3000 psi </v>
          </cell>
          <cell r="F1659" t="str">
            <v>M3</v>
          </cell>
          <cell r="G1659">
            <v>0.1</v>
          </cell>
          <cell r="H1659">
            <v>202575</v>
          </cell>
          <cell r="I1659">
            <v>20257.5</v>
          </cell>
          <cell r="J1659">
            <v>0</v>
          </cell>
          <cell r="K1659">
            <v>0</v>
          </cell>
          <cell r="L1659">
            <v>0</v>
          </cell>
          <cell r="Y1659" t="e">
            <v>#VALUE!</v>
          </cell>
          <cell r="Z1659" t="e">
            <v>#VALUE!</v>
          </cell>
        </row>
        <row r="1660">
          <cell r="D1660" t="str">
            <v>MA02RMC</v>
          </cell>
          <cell r="E1660" t="str">
            <v>Recebo en Cantera</v>
          </cell>
          <cell r="F1660" t="str">
            <v>M3</v>
          </cell>
          <cell r="G1660">
            <v>0.18</v>
          </cell>
          <cell r="H1660">
            <v>6000</v>
          </cell>
          <cell r="I1660">
            <v>1080</v>
          </cell>
          <cell r="J1660">
            <v>0</v>
          </cell>
          <cell r="K1660">
            <v>0</v>
          </cell>
          <cell r="L1660">
            <v>0</v>
          </cell>
          <cell r="Y1660" t="e">
            <v>#VALUE!</v>
          </cell>
          <cell r="Z1660" t="e">
            <v>#VALUE!</v>
          </cell>
        </row>
        <row r="1661">
          <cell r="D1661" t="str">
            <v>TC09TR</v>
          </cell>
          <cell r="E1661" t="str">
            <v>Transporte Recebo</v>
          </cell>
          <cell r="F1661" t="str">
            <v>Vj</v>
          </cell>
          <cell r="G1661">
            <v>3.8399999999999997E-2</v>
          </cell>
          <cell r="H1661">
            <v>81000</v>
          </cell>
          <cell r="I1661">
            <v>3110.3999999999996</v>
          </cell>
          <cell r="J1661">
            <v>0</v>
          </cell>
          <cell r="K1661">
            <v>0</v>
          </cell>
          <cell r="L1661">
            <v>0</v>
          </cell>
          <cell r="Y1661" t="e">
            <v>#VALUE!</v>
          </cell>
          <cell r="Z1661" t="e">
            <v>#VALUE!</v>
          </cell>
        </row>
        <row r="1663">
          <cell r="E1663" t="str">
            <v>MANO DE OBRA</v>
          </cell>
          <cell r="I1663">
            <v>3545</v>
          </cell>
          <cell r="L1663">
            <v>0</v>
          </cell>
          <cell r="Z1663" t="e">
            <v>#VALUE!</v>
          </cell>
        </row>
        <row r="1664">
          <cell r="D1664" t="str">
            <v>MOVIA</v>
          </cell>
          <cell r="E1664" t="str">
            <v>Andenes</v>
          </cell>
          <cell r="F1664" t="str">
            <v>m3</v>
          </cell>
          <cell r="G1664">
            <v>0.1</v>
          </cell>
          <cell r="H1664">
            <v>35450</v>
          </cell>
          <cell r="I1664">
            <v>3545</v>
          </cell>
          <cell r="J1664">
            <v>0</v>
          </cell>
          <cell r="K1664">
            <v>0</v>
          </cell>
          <cell r="L1664">
            <v>0</v>
          </cell>
          <cell r="Y1664" t="e">
            <v>#VALUE!</v>
          </cell>
          <cell r="Z1664" t="e">
            <v>#VALUE!</v>
          </cell>
        </row>
        <row r="1666">
          <cell r="E1666" t="str">
            <v>VARIOS</v>
          </cell>
          <cell r="I1666">
            <v>2350</v>
          </cell>
          <cell r="L1666">
            <v>0</v>
          </cell>
          <cell r="Z1666" t="e">
            <v>#VALUE!</v>
          </cell>
        </row>
        <row r="1667">
          <cell r="D1667" t="str">
            <v>TC07H125</v>
          </cell>
          <cell r="E1667" t="str">
            <v>Herramienta</v>
          </cell>
          <cell r="F1667" t="str">
            <v>Gb</v>
          </cell>
          <cell r="G1667">
            <v>1</v>
          </cell>
          <cell r="H1667">
            <v>400</v>
          </cell>
          <cell r="I1667">
            <v>400</v>
          </cell>
          <cell r="J1667">
            <v>0</v>
          </cell>
          <cell r="K1667">
            <v>0</v>
          </cell>
          <cell r="L1667">
            <v>0</v>
          </cell>
          <cell r="Y1667" t="e">
            <v>#VALUE!</v>
          </cell>
          <cell r="Z1667" t="e">
            <v>#VALUE!</v>
          </cell>
        </row>
        <row r="1668">
          <cell r="D1668" t="str">
            <v>AL04BENIT</v>
          </cell>
          <cell r="E1668" t="str">
            <v>Benitin</v>
          </cell>
          <cell r="F1668" t="str">
            <v>Dia</v>
          </cell>
          <cell r="G1668">
            <v>1.2999999999999999E-2</v>
          </cell>
          <cell r="H1668">
            <v>150000</v>
          </cell>
          <cell r="I1668">
            <v>1950</v>
          </cell>
          <cell r="J1668">
            <v>0</v>
          </cell>
          <cell r="K1668">
            <v>0</v>
          </cell>
          <cell r="L1668">
            <v>0</v>
          </cell>
          <cell r="Y1668" t="e">
            <v>#VALUE!</v>
          </cell>
          <cell r="Z1668" t="e">
            <v>#VALUE!</v>
          </cell>
        </row>
        <row r="1670">
          <cell r="E1670" t="str">
            <v>SUBTOTAL</v>
          </cell>
          <cell r="I1670">
            <v>30342.9</v>
          </cell>
          <cell r="L1670">
            <v>0</v>
          </cell>
          <cell r="Z1670" t="e">
            <v>#VALUE!</v>
          </cell>
        </row>
        <row r="1671">
          <cell r="E1671" t="str">
            <v>A.I.U</v>
          </cell>
          <cell r="I1671">
            <v>0</v>
          </cell>
          <cell r="L1671">
            <v>0</v>
          </cell>
          <cell r="Z1671">
            <v>0</v>
          </cell>
        </row>
        <row r="1672">
          <cell r="D1672" t="str">
            <v>AIUAADMON</v>
          </cell>
          <cell r="E1672" t="str">
            <v>Admon</v>
          </cell>
          <cell r="F1672">
            <v>0</v>
          </cell>
          <cell r="I1672">
            <v>0</v>
          </cell>
          <cell r="J1672">
            <v>0</v>
          </cell>
          <cell r="L1672">
            <v>0</v>
          </cell>
          <cell r="Z1672">
            <v>0</v>
          </cell>
        </row>
        <row r="1673">
          <cell r="D1673" t="str">
            <v>AIUAIMPRE</v>
          </cell>
          <cell r="E1673" t="str">
            <v>Imprevistos</v>
          </cell>
          <cell r="F1673">
            <v>0</v>
          </cell>
          <cell r="I1673">
            <v>0</v>
          </cell>
          <cell r="J1673">
            <v>0</v>
          </cell>
          <cell r="L1673">
            <v>0</v>
          </cell>
          <cell r="Z1673">
            <v>0</v>
          </cell>
        </row>
        <row r="1674">
          <cell r="D1674" t="str">
            <v>AIUAUTILI</v>
          </cell>
          <cell r="E1674" t="str">
            <v>Utilidad</v>
          </cell>
          <cell r="F1674">
            <v>0</v>
          </cell>
          <cell r="I1674">
            <v>0</v>
          </cell>
          <cell r="J1674">
            <v>0</v>
          </cell>
          <cell r="L1674">
            <v>0</v>
          </cell>
          <cell r="Z1674">
            <v>0</v>
          </cell>
        </row>
        <row r="1675">
          <cell r="D1675" t="str">
            <v>AIUAIVAUTI</v>
          </cell>
          <cell r="E1675" t="str">
            <v>IVA utilidad</v>
          </cell>
          <cell r="F1675">
            <v>0</v>
          </cell>
          <cell r="I1675">
            <v>0</v>
          </cell>
          <cell r="J1675">
            <v>0</v>
          </cell>
          <cell r="L1675">
            <v>0</v>
          </cell>
          <cell r="Z1675">
            <v>0</v>
          </cell>
        </row>
        <row r="1677">
          <cell r="E1677" t="str">
            <v>ITEM</v>
          </cell>
        </row>
        <row r="1678">
          <cell r="D1678" t="str">
            <v>VISARP</v>
          </cell>
          <cell r="E1678" t="str">
            <v>Sardinel Concreto H=0,50</v>
          </cell>
          <cell r="G1678" t="str">
            <v>UN.</v>
          </cell>
          <cell r="H1678" t="str">
            <v>Ml</v>
          </cell>
          <cell r="I1678">
            <v>21744</v>
          </cell>
          <cell r="K1678">
            <v>156</v>
          </cell>
          <cell r="L1678">
            <v>3392064</v>
          </cell>
          <cell r="N1678">
            <v>18166</v>
          </cell>
          <cell r="O1678">
            <v>2650</v>
          </cell>
          <cell r="P1678">
            <v>928</v>
          </cell>
          <cell r="Q1678">
            <v>0</v>
          </cell>
          <cell r="X1678">
            <v>3392064</v>
          </cell>
          <cell r="Z1678" t="e">
            <v>#N/A</v>
          </cell>
          <cell r="AA1678" t="e">
            <v>#N/A</v>
          </cell>
          <cell r="AB1678" t="e">
            <v>#N/A</v>
          </cell>
          <cell r="AC1678" t="e">
            <v>#N/A</v>
          </cell>
        </row>
        <row r="1680">
          <cell r="D1680" t="str">
            <v>CODIGO</v>
          </cell>
          <cell r="E1680" t="str">
            <v>DESCRIPCION</v>
          </cell>
          <cell r="F1680" t="str">
            <v>UN</v>
          </cell>
          <cell r="G1680" t="str">
            <v>CANT</v>
          </cell>
          <cell r="H1680" t="str">
            <v>V/UNIT.</v>
          </cell>
          <cell r="I1680" t="str">
            <v>V/TOTAL</v>
          </cell>
          <cell r="K1680" t="str">
            <v>CANT TOTAL</v>
          </cell>
          <cell r="L1680" t="str">
            <v>Vr TOTAL</v>
          </cell>
          <cell r="Y1680" t="str">
            <v>CANT.</v>
          </cell>
          <cell r="Z1680" t="str">
            <v>V/TOTAL</v>
          </cell>
        </row>
        <row r="1681">
          <cell r="E1681" t="str">
            <v>MATERIALES</v>
          </cell>
          <cell r="I1681">
            <v>18166</v>
          </cell>
          <cell r="L1681">
            <v>2833896</v>
          </cell>
          <cell r="Z1681" t="e">
            <v>#N/A</v>
          </cell>
        </row>
        <row r="1682">
          <cell r="D1682" t="str">
            <v>MA04C3</v>
          </cell>
          <cell r="E1682" t="str">
            <v xml:space="preserve">Concreto 3000 psi </v>
          </cell>
          <cell r="F1682" t="str">
            <v>M3</v>
          </cell>
          <cell r="G1682">
            <v>8.7999999999999995E-2</v>
          </cell>
          <cell r="H1682">
            <v>202575</v>
          </cell>
          <cell r="I1682">
            <v>17827</v>
          </cell>
          <cell r="J1682">
            <v>0</v>
          </cell>
          <cell r="K1682">
            <v>13.728</v>
          </cell>
          <cell r="L1682">
            <v>2780949.6</v>
          </cell>
          <cell r="Y1682" t="e">
            <v>#N/A</v>
          </cell>
          <cell r="Z1682" t="e">
            <v>#N/A</v>
          </cell>
        </row>
        <row r="1683">
          <cell r="D1683" t="str">
            <v>MA02RMC</v>
          </cell>
          <cell r="E1683" t="str">
            <v>Recebo en Cantera</v>
          </cell>
          <cell r="F1683" t="str">
            <v>M3</v>
          </cell>
          <cell r="G1683">
            <v>1.6E-2</v>
          </cell>
          <cell r="H1683">
            <v>6000</v>
          </cell>
          <cell r="I1683">
            <v>96</v>
          </cell>
          <cell r="J1683">
            <v>0</v>
          </cell>
          <cell r="K1683">
            <v>2.496</v>
          </cell>
          <cell r="L1683">
            <v>14976</v>
          </cell>
          <cell r="Y1683" t="e">
            <v>#N/A</v>
          </cell>
          <cell r="Z1683" t="e">
            <v>#N/A</v>
          </cell>
        </row>
        <row r="1684">
          <cell r="D1684" t="str">
            <v>TC09TR</v>
          </cell>
          <cell r="E1684" t="str">
            <v>Transporte Recebo</v>
          </cell>
          <cell r="F1684" t="str">
            <v>Vj</v>
          </cell>
          <cell r="G1684">
            <v>3.0000000000000001E-3</v>
          </cell>
          <cell r="H1684">
            <v>81000</v>
          </cell>
          <cell r="I1684">
            <v>243</v>
          </cell>
          <cell r="J1684">
            <v>0</v>
          </cell>
          <cell r="K1684">
            <v>0.46800000000000003</v>
          </cell>
          <cell r="L1684">
            <v>37908</v>
          </cell>
          <cell r="Y1684" t="e">
            <v>#N/A</v>
          </cell>
          <cell r="Z1684" t="e">
            <v>#N/A</v>
          </cell>
        </row>
        <row r="1686">
          <cell r="E1686" t="str">
            <v>MANO DE OBRA</v>
          </cell>
          <cell r="I1686">
            <v>2650</v>
          </cell>
          <cell r="L1686">
            <v>413400</v>
          </cell>
          <cell r="Z1686" t="e">
            <v>#N/A</v>
          </cell>
        </row>
        <row r="1687">
          <cell r="D1687" t="str">
            <v>MOVIS</v>
          </cell>
          <cell r="E1687" t="str">
            <v>Sardineles</v>
          </cell>
          <cell r="F1687" t="str">
            <v>ml</v>
          </cell>
          <cell r="G1687">
            <v>1</v>
          </cell>
          <cell r="H1687">
            <v>2650</v>
          </cell>
          <cell r="I1687">
            <v>2650</v>
          </cell>
          <cell r="J1687">
            <v>0</v>
          </cell>
          <cell r="K1687">
            <v>156</v>
          </cell>
          <cell r="L1687">
            <v>413400</v>
          </cell>
          <cell r="Y1687" t="e">
            <v>#N/A</v>
          </cell>
          <cell r="Z1687" t="e">
            <v>#N/A</v>
          </cell>
        </row>
        <row r="1689">
          <cell r="E1689" t="str">
            <v>VARIOS</v>
          </cell>
          <cell r="I1689">
            <v>928</v>
          </cell>
          <cell r="L1689">
            <v>144768</v>
          </cell>
          <cell r="Z1689" t="e">
            <v>#N/A</v>
          </cell>
        </row>
        <row r="1690">
          <cell r="D1690" t="str">
            <v>TC07H125</v>
          </cell>
          <cell r="E1690" t="str">
            <v>Herramienta</v>
          </cell>
          <cell r="F1690" t="str">
            <v>Gb</v>
          </cell>
          <cell r="G1690">
            <v>1</v>
          </cell>
          <cell r="H1690">
            <v>400</v>
          </cell>
          <cell r="I1690">
            <v>400</v>
          </cell>
          <cell r="J1690">
            <v>0</v>
          </cell>
          <cell r="K1690">
            <v>156</v>
          </cell>
          <cell r="L1690">
            <v>62400</v>
          </cell>
          <cell r="Y1690" t="e">
            <v>#N/A</v>
          </cell>
          <cell r="Z1690" t="e">
            <v>#N/A</v>
          </cell>
        </row>
        <row r="1691">
          <cell r="D1691" t="str">
            <v>AL04AFOR</v>
          </cell>
          <cell r="E1691" t="str">
            <v>Alquiler Formaleta</v>
          </cell>
          <cell r="F1691" t="str">
            <v>Ml</v>
          </cell>
          <cell r="G1691">
            <v>1.1000000000000001</v>
          </cell>
          <cell r="H1691">
            <v>480</v>
          </cell>
          <cell r="I1691">
            <v>528</v>
          </cell>
          <cell r="J1691">
            <v>0</v>
          </cell>
          <cell r="K1691">
            <v>171.60000000000002</v>
          </cell>
          <cell r="L1691">
            <v>82368.000000000015</v>
          </cell>
          <cell r="Y1691" t="e">
            <v>#N/A</v>
          </cell>
          <cell r="Z1691" t="e">
            <v>#N/A</v>
          </cell>
        </row>
        <row r="1693">
          <cell r="E1693" t="str">
            <v>SUBTOTAL</v>
          </cell>
          <cell r="I1693">
            <v>21744</v>
          </cell>
          <cell r="L1693">
            <v>3392064</v>
          </cell>
          <cell r="Z1693" t="e">
            <v>#N/A</v>
          </cell>
        </row>
        <row r="1694">
          <cell r="E1694" t="str">
            <v>A.I.U</v>
          </cell>
          <cell r="I1694">
            <v>0</v>
          </cell>
          <cell r="L1694">
            <v>0</v>
          </cell>
          <cell r="Z1694">
            <v>0</v>
          </cell>
        </row>
        <row r="1695">
          <cell r="D1695" t="str">
            <v>AIUAADMON</v>
          </cell>
          <cell r="E1695" t="str">
            <v>Admon</v>
          </cell>
          <cell r="F1695">
            <v>0</v>
          </cell>
          <cell r="I1695">
            <v>0</v>
          </cell>
          <cell r="J1695">
            <v>0</v>
          </cell>
          <cell r="L1695">
            <v>0</v>
          </cell>
          <cell r="Z1695">
            <v>0</v>
          </cell>
        </row>
        <row r="1696">
          <cell r="D1696" t="str">
            <v>AIUAIMPRE</v>
          </cell>
          <cell r="E1696" t="str">
            <v>Imprevistos</v>
          </cell>
          <cell r="F1696">
            <v>0</v>
          </cell>
          <cell r="I1696">
            <v>0</v>
          </cell>
          <cell r="J1696">
            <v>0</v>
          </cell>
          <cell r="L1696">
            <v>0</v>
          </cell>
          <cell r="Z1696">
            <v>0</v>
          </cell>
        </row>
        <row r="1697">
          <cell r="D1697" t="str">
            <v>AIUAUTILI</v>
          </cell>
          <cell r="E1697" t="str">
            <v>Utilidad</v>
          </cell>
          <cell r="F1697">
            <v>0</v>
          </cell>
          <cell r="I1697">
            <v>0</v>
          </cell>
          <cell r="J1697">
            <v>0</v>
          </cell>
          <cell r="L1697">
            <v>0</v>
          </cell>
          <cell r="Z1697">
            <v>0</v>
          </cell>
        </row>
        <row r="1698">
          <cell r="D1698" t="str">
            <v>AIUAIVAUTI</v>
          </cell>
          <cell r="E1698" t="str">
            <v>IVA utilidad</v>
          </cell>
          <cell r="F1698">
            <v>0</v>
          </cell>
          <cell r="I1698">
            <v>0</v>
          </cell>
          <cell r="J1698">
            <v>0</v>
          </cell>
          <cell r="L1698">
            <v>0</v>
          </cell>
          <cell r="Z1698">
            <v>0</v>
          </cell>
        </row>
        <row r="1700">
          <cell r="E1700" t="str">
            <v>ITEM</v>
          </cell>
        </row>
        <row r="1701">
          <cell r="D1701" t="str">
            <v>VISAR</v>
          </cell>
          <cell r="E1701" t="str">
            <v>Sardinel</v>
          </cell>
          <cell r="G1701" t="str">
            <v>UN.</v>
          </cell>
          <cell r="H1701" t="str">
            <v>Ml</v>
          </cell>
          <cell r="I1701">
            <v>29585.8</v>
          </cell>
          <cell r="K1701">
            <v>0</v>
          </cell>
          <cell r="L1701">
            <v>0</v>
          </cell>
          <cell r="N1701">
            <v>26007.8</v>
          </cell>
          <cell r="O1701">
            <v>2650</v>
          </cell>
          <cell r="P1701">
            <v>928</v>
          </cell>
          <cell r="Q1701">
            <v>0</v>
          </cell>
          <cell r="X1701">
            <v>0</v>
          </cell>
          <cell r="Z1701" t="e">
            <v>#VALUE!</v>
          </cell>
          <cell r="AA1701" t="e">
            <v>#VALUE!</v>
          </cell>
          <cell r="AB1701" t="e">
            <v>#VALUE!</v>
          </cell>
          <cell r="AC1701" t="e">
            <v>#VALUE!</v>
          </cell>
        </row>
        <row r="1703">
          <cell r="D1703" t="str">
            <v>CODIGO</v>
          </cell>
          <cell r="E1703" t="str">
            <v>DESCRIPCION</v>
          </cell>
          <cell r="F1703" t="str">
            <v>UN</v>
          </cell>
          <cell r="G1703" t="str">
            <v>CANT</v>
          </cell>
          <cell r="H1703" t="str">
            <v>V/UNIT.</v>
          </cell>
          <cell r="I1703" t="str">
            <v>V/TOTAL</v>
          </cell>
          <cell r="K1703" t="str">
            <v>CANT TOTAL</v>
          </cell>
          <cell r="L1703" t="str">
            <v>Vr TOTAL</v>
          </cell>
          <cell r="Y1703" t="str">
            <v>CANT.</v>
          </cell>
          <cell r="Z1703" t="str">
            <v>V/TOTAL</v>
          </cell>
        </row>
        <row r="1704">
          <cell r="E1704" t="str">
            <v>MATERIALES</v>
          </cell>
          <cell r="I1704">
            <v>26007.8</v>
          </cell>
          <cell r="L1704">
            <v>0</v>
          </cell>
          <cell r="Z1704" t="e">
            <v>#VALUE!</v>
          </cell>
        </row>
        <row r="1705">
          <cell r="D1705" t="str">
            <v>MA04C3</v>
          </cell>
          <cell r="E1705" t="str">
            <v xml:space="preserve">Concreto 3000 psi </v>
          </cell>
          <cell r="F1705" t="str">
            <v>M3</v>
          </cell>
          <cell r="G1705">
            <v>0.11</v>
          </cell>
          <cell r="H1705">
            <v>202575</v>
          </cell>
          <cell r="I1705">
            <v>22283</v>
          </cell>
          <cell r="J1705">
            <v>0</v>
          </cell>
          <cell r="K1705">
            <v>0</v>
          </cell>
          <cell r="L1705">
            <v>0</v>
          </cell>
          <cell r="Y1705" t="e">
            <v>#VALUE!</v>
          </cell>
          <cell r="Z1705" t="e">
            <v>#VALUE!</v>
          </cell>
        </row>
        <row r="1706">
          <cell r="D1706" t="str">
            <v>MA02RMC</v>
          </cell>
          <cell r="E1706" t="str">
            <v>Recebo en Cantera</v>
          </cell>
          <cell r="F1706" t="str">
            <v>M3</v>
          </cell>
          <cell r="G1706">
            <v>0.16</v>
          </cell>
          <cell r="H1706">
            <v>6000</v>
          </cell>
          <cell r="I1706">
            <v>960</v>
          </cell>
          <cell r="J1706">
            <v>0</v>
          </cell>
          <cell r="K1706">
            <v>0</v>
          </cell>
          <cell r="L1706">
            <v>0</v>
          </cell>
          <cell r="Y1706" t="e">
            <v>#VALUE!</v>
          </cell>
          <cell r="Z1706" t="e">
            <v>#VALUE!</v>
          </cell>
        </row>
        <row r="1707">
          <cell r="D1707" t="str">
            <v>TC09TR</v>
          </cell>
          <cell r="E1707" t="str">
            <v>Transporte Recebo</v>
          </cell>
          <cell r="F1707" t="str">
            <v>Vj</v>
          </cell>
          <cell r="G1707">
            <v>3.4133333333333335E-2</v>
          </cell>
          <cell r="H1707">
            <v>81000</v>
          </cell>
          <cell r="I1707">
            <v>2764.8</v>
          </cell>
          <cell r="J1707">
            <v>0</v>
          </cell>
          <cell r="K1707">
            <v>0</v>
          </cell>
          <cell r="L1707">
            <v>0</v>
          </cell>
          <cell r="Y1707" t="e">
            <v>#VALUE!</v>
          </cell>
          <cell r="Z1707" t="e">
            <v>#VALUE!</v>
          </cell>
        </row>
        <row r="1709">
          <cell r="E1709" t="str">
            <v>MANO DE OBRA</v>
          </cell>
          <cell r="I1709">
            <v>2650</v>
          </cell>
          <cell r="L1709">
            <v>0</v>
          </cell>
          <cell r="Z1709" t="e">
            <v>#VALUE!</v>
          </cell>
        </row>
        <row r="1710">
          <cell r="D1710" t="str">
            <v>MOVIS</v>
          </cell>
          <cell r="E1710" t="str">
            <v>Sardineles</v>
          </cell>
          <cell r="F1710" t="str">
            <v>ml</v>
          </cell>
          <cell r="G1710">
            <v>1</v>
          </cell>
          <cell r="H1710">
            <v>2650</v>
          </cell>
          <cell r="I1710">
            <v>2650</v>
          </cell>
          <cell r="J1710">
            <v>0</v>
          </cell>
          <cell r="K1710">
            <v>0</v>
          </cell>
          <cell r="L1710">
            <v>0</v>
          </cell>
          <cell r="Y1710" t="e">
            <v>#VALUE!</v>
          </cell>
          <cell r="Z1710" t="e">
            <v>#VALUE!</v>
          </cell>
        </row>
        <row r="1712">
          <cell r="E1712" t="str">
            <v>VARIOS</v>
          </cell>
          <cell r="I1712">
            <v>928</v>
          </cell>
          <cell r="L1712">
            <v>0</v>
          </cell>
          <cell r="Z1712" t="e">
            <v>#VALUE!</v>
          </cell>
        </row>
        <row r="1713">
          <cell r="D1713" t="str">
            <v>TC07H125</v>
          </cell>
          <cell r="E1713" t="str">
            <v>Herramienta</v>
          </cell>
          <cell r="F1713" t="str">
            <v>Gb</v>
          </cell>
          <cell r="G1713">
            <v>1</v>
          </cell>
          <cell r="H1713">
            <v>400</v>
          </cell>
          <cell r="I1713">
            <v>400</v>
          </cell>
          <cell r="J1713">
            <v>0</v>
          </cell>
          <cell r="K1713">
            <v>0</v>
          </cell>
          <cell r="L1713">
            <v>0</v>
          </cell>
          <cell r="Y1713" t="e">
            <v>#VALUE!</v>
          </cell>
          <cell r="Z1713" t="e">
            <v>#VALUE!</v>
          </cell>
        </row>
        <row r="1714">
          <cell r="D1714" t="str">
            <v>AL04AFOR</v>
          </cell>
          <cell r="E1714" t="str">
            <v>Alquiler Formaleta</v>
          </cell>
          <cell r="F1714" t="str">
            <v>Ml</v>
          </cell>
          <cell r="G1714">
            <v>1.1000000000000001</v>
          </cell>
          <cell r="H1714">
            <v>480</v>
          </cell>
          <cell r="I1714">
            <v>528</v>
          </cell>
          <cell r="J1714">
            <v>0</v>
          </cell>
          <cell r="K1714">
            <v>0</v>
          </cell>
          <cell r="L1714">
            <v>0</v>
          </cell>
          <cell r="Y1714" t="e">
            <v>#VALUE!</v>
          </cell>
          <cell r="Z1714" t="e">
            <v>#VALUE!</v>
          </cell>
        </row>
        <row r="1716">
          <cell r="E1716" t="str">
            <v>SUBTOTAL</v>
          </cell>
          <cell r="I1716">
            <v>29585.8</v>
          </cell>
          <cell r="L1716">
            <v>0</v>
          </cell>
          <cell r="Z1716" t="e">
            <v>#VALUE!</v>
          </cell>
        </row>
        <row r="1717">
          <cell r="E1717" t="str">
            <v>A.I.U</v>
          </cell>
          <cell r="I1717">
            <v>0</v>
          </cell>
          <cell r="L1717">
            <v>0</v>
          </cell>
          <cell r="Z1717">
            <v>0</v>
          </cell>
        </row>
        <row r="1718">
          <cell r="D1718" t="str">
            <v>AIUAADMON</v>
          </cell>
          <cell r="E1718" t="str">
            <v>Admon</v>
          </cell>
          <cell r="F1718">
            <v>0</v>
          </cell>
          <cell r="I1718">
            <v>0</v>
          </cell>
          <cell r="J1718">
            <v>0</v>
          </cell>
          <cell r="L1718">
            <v>0</v>
          </cell>
          <cell r="Z1718">
            <v>0</v>
          </cell>
        </row>
        <row r="1719">
          <cell r="D1719" t="str">
            <v>AIUAIMPRE</v>
          </cell>
          <cell r="E1719" t="str">
            <v>Imprevistos</v>
          </cell>
          <cell r="F1719">
            <v>0</v>
          </cell>
          <cell r="I1719">
            <v>0</v>
          </cell>
          <cell r="J1719">
            <v>0</v>
          </cell>
          <cell r="L1719">
            <v>0</v>
          </cell>
          <cell r="Z1719">
            <v>0</v>
          </cell>
        </row>
        <row r="1720">
          <cell r="D1720" t="str">
            <v>AIUAUTILI</v>
          </cell>
          <cell r="E1720" t="str">
            <v>Utilidad</v>
          </cell>
          <cell r="F1720">
            <v>0</v>
          </cell>
          <cell r="I1720">
            <v>0</v>
          </cell>
          <cell r="J1720">
            <v>0</v>
          </cell>
          <cell r="L1720">
            <v>0</v>
          </cell>
          <cell r="Z1720">
            <v>0</v>
          </cell>
        </row>
        <row r="1721">
          <cell r="D1721" t="str">
            <v>AIUAIVAUTI</v>
          </cell>
          <cell r="E1721" t="str">
            <v>IVA utilidad</v>
          </cell>
          <cell r="F1721">
            <v>0</v>
          </cell>
          <cell r="I1721">
            <v>0</v>
          </cell>
          <cell r="J1721">
            <v>0</v>
          </cell>
          <cell r="L1721">
            <v>0</v>
          </cell>
          <cell r="Z1721">
            <v>0</v>
          </cell>
        </row>
        <row r="1723">
          <cell r="E1723" t="str">
            <v>ITEM</v>
          </cell>
        </row>
        <row r="1724">
          <cell r="D1724" t="str">
            <v>VIGEOT</v>
          </cell>
          <cell r="E1724" t="str">
            <v>Geotextil Tejido 1400</v>
          </cell>
          <cell r="G1724" t="str">
            <v>UN.</v>
          </cell>
          <cell r="H1724" t="str">
            <v>M3</v>
          </cell>
          <cell r="I1724">
            <v>2967.5</v>
          </cell>
          <cell r="K1724">
            <v>0</v>
          </cell>
          <cell r="L1724">
            <v>0</v>
          </cell>
          <cell r="N1724">
            <v>2587.5</v>
          </cell>
          <cell r="O1724">
            <v>380</v>
          </cell>
          <cell r="P1724">
            <v>0</v>
          </cell>
          <cell r="Q1724">
            <v>0</v>
          </cell>
          <cell r="X1724">
            <v>0</v>
          </cell>
          <cell r="Z1724" t="e">
            <v>#VALUE!</v>
          </cell>
          <cell r="AA1724" t="e">
            <v>#VALUE!</v>
          </cell>
          <cell r="AB1724" t="e">
            <v>#VALUE!</v>
          </cell>
          <cell r="AC1724">
            <v>0</v>
          </cell>
        </row>
        <row r="1726">
          <cell r="D1726" t="str">
            <v>CODIGO</v>
          </cell>
          <cell r="E1726" t="str">
            <v>DESCRIPCION</v>
          </cell>
          <cell r="F1726" t="str">
            <v>UN</v>
          </cell>
          <cell r="G1726" t="str">
            <v>CANT</v>
          </cell>
          <cell r="H1726" t="str">
            <v>V/UNIT.</v>
          </cell>
          <cell r="I1726" t="str">
            <v>V/TOTAL</v>
          </cell>
          <cell r="K1726" t="str">
            <v>CANT TOTAL</v>
          </cell>
          <cell r="L1726" t="str">
            <v>Vr TOTAL</v>
          </cell>
          <cell r="Y1726" t="str">
            <v>CANT.</v>
          </cell>
          <cell r="Z1726" t="str">
            <v>V/TOTAL</v>
          </cell>
        </row>
        <row r="1727">
          <cell r="E1727" t="str">
            <v>MATERIALES</v>
          </cell>
          <cell r="I1727">
            <v>2587.5</v>
          </cell>
          <cell r="L1727">
            <v>0</v>
          </cell>
          <cell r="Z1727" t="e">
            <v>#VALUE!</v>
          </cell>
        </row>
        <row r="1728">
          <cell r="D1728" t="str">
            <v>MA26GEOT</v>
          </cell>
          <cell r="E1728" t="str">
            <v>Geotextil 1400</v>
          </cell>
          <cell r="F1728" t="str">
            <v>m2</v>
          </cell>
          <cell r="G1728">
            <v>1.1499999999999999</v>
          </cell>
          <cell r="H1728">
            <v>2250</v>
          </cell>
          <cell r="I1728">
            <v>2587.5</v>
          </cell>
          <cell r="J1728">
            <v>0</v>
          </cell>
          <cell r="K1728">
            <v>0</v>
          </cell>
          <cell r="L1728">
            <v>0</v>
          </cell>
          <cell r="Y1728" t="e">
            <v>#VALUE!</v>
          </cell>
          <cell r="Z1728" t="e">
            <v>#VALUE!</v>
          </cell>
        </row>
        <row r="1730">
          <cell r="E1730" t="str">
            <v>MANO DE OBRA</v>
          </cell>
          <cell r="I1730">
            <v>380</v>
          </cell>
          <cell r="L1730">
            <v>0</v>
          </cell>
          <cell r="Z1730" t="e">
            <v>#VALUE!</v>
          </cell>
        </row>
        <row r="1731">
          <cell r="D1731" t="str">
            <v>MOVIIGEOT</v>
          </cell>
          <cell r="E1731" t="str">
            <v>Instalacion Geotextil</v>
          </cell>
          <cell r="F1731" t="str">
            <v>m2</v>
          </cell>
          <cell r="G1731">
            <v>1</v>
          </cell>
          <cell r="H1731">
            <v>380</v>
          </cell>
          <cell r="I1731">
            <v>380</v>
          </cell>
          <cell r="J1731">
            <v>0</v>
          </cell>
          <cell r="K1731">
            <v>0</v>
          </cell>
          <cell r="L1731">
            <v>0</v>
          </cell>
          <cell r="Y1731" t="e">
            <v>#VALUE!</v>
          </cell>
          <cell r="Z1731" t="e">
            <v>#VALUE!</v>
          </cell>
        </row>
        <row r="1732">
          <cell r="I1732">
            <v>0</v>
          </cell>
          <cell r="J1732">
            <v>0</v>
          </cell>
          <cell r="K1732">
            <v>0</v>
          </cell>
          <cell r="L1732">
            <v>0</v>
          </cell>
        </row>
        <row r="1733">
          <cell r="E1733" t="str">
            <v>VARIOS</v>
          </cell>
          <cell r="I1733">
            <v>0</v>
          </cell>
          <cell r="L1733">
            <v>0</v>
          </cell>
          <cell r="Z1733">
            <v>0</v>
          </cell>
        </row>
        <row r="1734">
          <cell r="I1734">
            <v>0</v>
          </cell>
          <cell r="J1734">
            <v>0</v>
          </cell>
          <cell r="K1734">
            <v>0</v>
          </cell>
          <cell r="L1734">
            <v>0</v>
          </cell>
        </row>
        <row r="1735">
          <cell r="I1735">
            <v>0</v>
          </cell>
        </row>
        <row r="1736">
          <cell r="E1736" t="str">
            <v>SUBTOTAL</v>
          </cell>
          <cell r="I1736">
            <v>2967.5</v>
          </cell>
          <cell r="L1736">
            <v>0</v>
          </cell>
          <cell r="Z1736" t="e">
            <v>#VALUE!</v>
          </cell>
        </row>
        <row r="1737">
          <cell r="E1737" t="str">
            <v>A.I.U</v>
          </cell>
          <cell r="I1737">
            <v>0</v>
          </cell>
          <cell r="L1737">
            <v>0</v>
          </cell>
          <cell r="Z1737">
            <v>0</v>
          </cell>
        </row>
        <row r="1738">
          <cell r="D1738" t="str">
            <v>AIUAADMON</v>
          </cell>
          <cell r="E1738" t="str">
            <v>Admon</v>
          </cell>
          <cell r="F1738">
            <v>0</v>
          </cell>
          <cell r="I1738">
            <v>0</v>
          </cell>
          <cell r="J1738">
            <v>0</v>
          </cell>
          <cell r="L1738">
            <v>0</v>
          </cell>
          <cell r="Z1738">
            <v>0</v>
          </cell>
        </row>
        <row r="1739">
          <cell r="D1739" t="str">
            <v>AIUAIMPRE</v>
          </cell>
          <cell r="E1739" t="str">
            <v>Imprevistos</v>
          </cell>
          <cell r="F1739">
            <v>0</v>
          </cell>
          <cell r="I1739">
            <v>0</v>
          </cell>
          <cell r="J1739">
            <v>0</v>
          </cell>
          <cell r="L1739">
            <v>0</v>
          </cell>
          <cell r="Z1739">
            <v>0</v>
          </cell>
        </row>
        <row r="1740">
          <cell r="D1740" t="str">
            <v>AIUAUTILI</v>
          </cell>
          <cell r="E1740" t="str">
            <v>Utilidad</v>
          </cell>
          <cell r="F1740">
            <v>0</v>
          </cell>
          <cell r="I1740">
            <v>0</v>
          </cell>
          <cell r="J1740">
            <v>0</v>
          </cell>
          <cell r="L1740">
            <v>0</v>
          </cell>
          <cell r="Z1740">
            <v>0</v>
          </cell>
        </row>
        <row r="1741">
          <cell r="D1741" t="str">
            <v>AIUAIVAUTI</v>
          </cell>
          <cell r="E1741" t="str">
            <v>IVA utilidad</v>
          </cell>
          <cell r="F1741">
            <v>0</v>
          </cell>
          <cell r="I1741">
            <v>0</v>
          </cell>
          <cell r="J1741">
            <v>0</v>
          </cell>
          <cell r="L1741">
            <v>0</v>
          </cell>
          <cell r="Z1741">
            <v>0</v>
          </cell>
        </row>
        <row r="1743">
          <cell r="E1743" t="str">
            <v>ITEM</v>
          </cell>
        </row>
        <row r="1744">
          <cell r="D1744" t="str">
            <v>VI1MDC</v>
          </cell>
          <cell r="E1744" t="str">
            <v xml:space="preserve">Pavimento Flexible MDC-1 </v>
          </cell>
          <cell r="G1744" t="str">
            <v>UN.</v>
          </cell>
          <cell r="H1744" t="str">
            <v>M3</v>
          </cell>
          <cell r="I1744">
            <v>235600</v>
          </cell>
          <cell r="K1744">
            <v>127</v>
          </cell>
          <cell r="L1744">
            <v>29921200</v>
          </cell>
          <cell r="N1744">
            <v>600</v>
          </cell>
          <cell r="O1744">
            <v>0</v>
          </cell>
          <cell r="P1744">
            <v>235000</v>
          </cell>
          <cell r="Q1744">
            <v>0</v>
          </cell>
          <cell r="X1744">
            <v>29921200</v>
          </cell>
          <cell r="Z1744" t="e">
            <v>#N/A</v>
          </cell>
          <cell r="AA1744" t="e">
            <v>#N/A</v>
          </cell>
          <cell r="AB1744">
            <v>0</v>
          </cell>
          <cell r="AC1744" t="e">
            <v>#N/A</v>
          </cell>
        </row>
        <row r="1746">
          <cell r="D1746" t="str">
            <v>CODIGO</v>
          </cell>
          <cell r="E1746" t="str">
            <v>DESCRIPCION</v>
          </cell>
          <cell r="F1746" t="str">
            <v>UN</v>
          </cell>
          <cell r="G1746" t="str">
            <v>CANT</v>
          </cell>
          <cell r="H1746" t="str">
            <v>V/UNIT.</v>
          </cell>
          <cell r="I1746" t="str">
            <v>V/TOTAL</v>
          </cell>
          <cell r="K1746" t="str">
            <v>CANT TOTAL</v>
          </cell>
          <cell r="L1746" t="str">
            <v>Vr TOTAL</v>
          </cell>
          <cell r="Y1746" t="str">
            <v>CANT.</v>
          </cell>
          <cell r="Z1746" t="str">
            <v>V/TOTAL</v>
          </cell>
        </row>
        <row r="1747">
          <cell r="E1747" t="str">
            <v>MATERIALES</v>
          </cell>
          <cell r="I1747">
            <v>600</v>
          </cell>
          <cell r="L1747">
            <v>76200</v>
          </cell>
          <cell r="Z1747" t="e">
            <v>#N/A</v>
          </cell>
        </row>
        <row r="1748">
          <cell r="D1748" t="str">
            <v>TC16IMPR</v>
          </cell>
          <cell r="E1748" t="str">
            <v>Imprimación</v>
          </cell>
          <cell r="F1748" t="str">
            <v>m2</v>
          </cell>
          <cell r="G1748">
            <v>1</v>
          </cell>
          <cell r="H1748">
            <v>600</v>
          </cell>
          <cell r="I1748">
            <v>600</v>
          </cell>
          <cell r="J1748">
            <v>0</v>
          </cell>
          <cell r="K1748">
            <v>127</v>
          </cell>
          <cell r="L1748">
            <v>76200</v>
          </cell>
          <cell r="Y1748" t="e">
            <v>#N/A</v>
          </cell>
          <cell r="Z1748" t="e">
            <v>#N/A</v>
          </cell>
        </row>
        <row r="1749">
          <cell r="I1749">
            <v>0</v>
          </cell>
          <cell r="J1749">
            <v>0</v>
          </cell>
          <cell r="K1749">
            <v>0</v>
          </cell>
          <cell r="L1749">
            <v>0</v>
          </cell>
          <cell r="Y1749">
            <v>0</v>
          </cell>
          <cell r="Z1749">
            <v>0</v>
          </cell>
        </row>
        <row r="1750">
          <cell r="I1750">
            <v>0</v>
          </cell>
          <cell r="J1750">
            <v>0</v>
          </cell>
          <cell r="K1750">
            <v>0</v>
          </cell>
          <cell r="L1750">
            <v>0</v>
          </cell>
          <cell r="Y1750">
            <v>0</v>
          </cell>
          <cell r="Z1750">
            <v>0</v>
          </cell>
        </row>
        <row r="1751">
          <cell r="I1751">
            <v>0</v>
          </cell>
          <cell r="J1751">
            <v>0</v>
          </cell>
          <cell r="K1751">
            <v>0</v>
          </cell>
          <cell r="L1751">
            <v>0</v>
          </cell>
          <cell r="Y1751">
            <v>0</v>
          </cell>
          <cell r="Z1751">
            <v>0</v>
          </cell>
        </row>
        <row r="1752">
          <cell r="I1752">
            <v>0</v>
          </cell>
          <cell r="J1752">
            <v>0</v>
          </cell>
          <cell r="K1752">
            <v>0</v>
          </cell>
          <cell r="L1752">
            <v>0</v>
          </cell>
          <cell r="Y1752">
            <v>0</v>
          </cell>
          <cell r="Z1752">
            <v>0</v>
          </cell>
        </row>
        <row r="1754">
          <cell r="E1754" t="str">
            <v>MANO DE OBRA</v>
          </cell>
          <cell r="I1754">
            <v>0</v>
          </cell>
          <cell r="L1754">
            <v>0</v>
          </cell>
          <cell r="Z1754">
            <v>0</v>
          </cell>
        </row>
        <row r="1755">
          <cell r="I1755">
            <v>0</v>
          </cell>
          <cell r="J1755">
            <v>0</v>
          </cell>
          <cell r="K1755">
            <v>0</v>
          </cell>
          <cell r="L1755">
            <v>0</v>
          </cell>
          <cell r="Y1755">
            <v>0</v>
          </cell>
          <cell r="Z1755">
            <v>0</v>
          </cell>
        </row>
        <row r="1757">
          <cell r="E1757" t="str">
            <v>VARIOS</v>
          </cell>
          <cell r="I1757">
            <v>235000</v>
          </cell>
          <cell r="L1757">
            <v>29845000</v>
          </cell>
          <cell r="Z1757" t="e">
            <v>#N/A</v>
          </cell>
        </row>
        <row r="1758">
          <cell r="D1758" t="str">
            <v>TC161MDC</v>
          </cell>
          <cell r="E1758" t="str">
            <v>Base Asfaltica MDC-1</v>
          </cell>
          <cell r="F1758" t="str">
            <v>M3</v>
          </cell>
          <cell r="G1758">
            <v>1</v>
          </cell>
          <cell r="H1758">
            <v>235000</v>
          </cell>
          <cell r="I1758">
            <v>235000</v>
          </cell>
          <cell r="J1758">
            <v>0</v>
          </cell>
          <cell r="K1758">
            <v>127</v>
          </cell>
          <cell r="L1758">
            <v>29845000</v>
          </cell>
          <cell r="Y1758" t="e">
            <v>#N/A</v>
          </cell>
          <cell r="Z1758" t="e">
            <v>#N/A</v>
          </cell>
        </row>
        <row r="1761">
          <cell r="E1761" t="str">
            <v>SUBTOTAL</v>
          </cell>
          <cell r="I1761">
            <v>235600</v>
          </cell>
          <cell r="L1761">
            <v>29921200</v>
          </cell>
          <cell r="Z1761" t="e">
            <v>#N/A</v>
          </cell>
        </row>
        <row r="1762">
          <cell r="E1762" t="str">
            <v>A.I.U</v>
          </cell>
          <cell r="I1762">
            <v>0</v>
          </cell>
          <cell r="L1762">
            <v>0</v>
          </cell>
          <cell r="Z1762">
            <v>0</v>
          </cell>
        </row>
        <row r="1763">
          <cell r="D1763" t="str">
            <v>AIUAADMON</v>
          </cell>
          <cell r="E1763" t="str">
            <v>Admon</v>
          </cell>
          <cell r="F1763">
            <v>0</v>
          </cell>
          <cell r="I1763">
            <v>0</v>
          </cell>
          <cell r="J1763">
            <v>0</v>
          </cell>
          <cell r="L1763">
            <v>0</v>
          </cell>
          <cell r="Z1763">
            <v>0</v>
          </cell>
        </row>
        <row r="1764">
          <cell r="D1764" t="str">
            <v>AIUAIMPRE</v>
          </cell>
          <cell r="E1764" t="str">
            <v>Imprevistos</v>
          </cell>
          <cell r="F1764">
            <v>0</v>
          </cell>
          <cell r="I1764">
            <v>0</v>
          </cell>
          <cell r="J1764">
            <v>0</v>
          </cell>
          <cell r="L1764">
            <v>0</v>
          </cell>
          <cell r="Z1764">
            <v>0</v>
          </cell>
        </row>
        <row r="1765">
          <cell r="D1765" t="str">
            <v>AIUAUTILI</v>
          </cell>
          <cell r="E1765" t="str">
            <v>Utilidad</v>
          </cell>
          <cell r="F1765">
            <v>0</v>
          </cell>
          <cell r="I1765">
            <v>0</v>
          </cell>
          <cell r="J1765">
            <v>0</v>
          </cell>
          <cell r="L1765">
            <v>0</v>
          </cell>
          <cell r="Z1765">
            <v>0</v>
          </cell>
        </row>
        <row r="1766">
          <cell r="D1766" t="str">
            <v>AIUAIVAUTI</v>
          </cell>
          <cell r="E1766" t="str">
            <v>IVA utilidad</v>
          </cell>
          <cell r="F1766">
            <v>0</v>
          </cell>
          <cell r="I1766">
            <v>0</v>
          </cell>
          <cell r="J1766">
            <v>0</v>
          </cell>
          <cell r="L1766">
            <v>0</v>
          </cell>
          <cell r="Z1766">
            <v>0</v>
          </cell>
        </row>
        <row r="1768">
          <cell r="E1768" t="str">
            <v>ITEM</v>
          </cell>
        </row>
        <row r="1769">
          <cell r="D1769" t="str">
            <v>VI3MDC</v>
          </cell>
          <cell r="E1769" t="str">
            <v>Pavimento Flexibles MDC-3</v>
          </cell>
          <cell r="G1769" t="str">
            <v>UN.</v>
          </cell>
          <cell r="H1769" t="str">
            <v>M3</v>
          </cell>
          <cell r="I1769">
            <v>258600</v>
          </cell>
          <cell r="K1769">
            <v>75</v>
          </cell>
          <cell r="L1769">
            <v>19395000</v>
          </cell>
          <cell r="N1769">
            <v>600</v>
          </cell>
          <cell r="O1769">
            <v>0</v>
          </cell>
          <cell r="P1769">
            <v>258000</v>
          </cell>
          <cell r="Q1769">
            <v>0</v>
          </cell>
          <cell r="X1769">
            <v>19395000</v>
          </cell>
          <cell r="Z1769" t="e">
            <v>#N/A</v>
          </cell>
          <cell r="AA1769" t="e">
            <v>#N/A</v>
          </cell>
          <cell r="AB1769">
            <v>0</v>
          </cell>
          <cell r="AC1769" t="e">
            <v>#N/A</v>
          </cell>
        </row>
        <row r="1771">
          <cell r="D1771" t="str">
            <v>CODIGO</v>
          </cell>
          <cell r="E1771" t="str">
            <v>DESCRIPCION</v>
          </cell>
          <cell r="F1771" t="str">
            <v>UN</v>
          </cell>
          <cell r="G1771" t="str">
            <v>CANT</v>
          </cell>
          <cell r="H1771" t="str">
            <v>V/UNIT.</v>
          </cell>
          <cell r="I1771" t="str">
            <v>V/TOTAL</v>
          </cell>
          <cell r="K1771" t="str">
            <v>CANT TOTAL</v>
          </cell>
          <cell r="L1771" t="str">
            <v>Vr TOTAL</v>
          </cell>
          <cell r="Y1771" t="str">
            <v>CANT.</v>
          </cell>
          <cell r="Z1771" t="str">
            <v>V/TOTAL</v>
          </cell>
        </row>
        <row r="1772">
          <cell r="E1772" t="str">
            <v>MATERIALES</v>
          </cell>
          <cell r="I1772">
            <v>600</v>
          </cell>
          <cell r="L1772">
            <v>45000</v>
          </cell>
          <cell r="Z1772" t="e">
            <v>#N/A</v>
          </cell>
        </row>
        <row r="1773">
          <cell r="D1773" t="str">
            <v>TC16IMPR</v>
          </cell>
          <cell r="E1773" t="str">
            <v>Imprimación</v>
          </cell>
          <cell r="F1773" t="str">
            <v>m2</v>
          </cell>
          <cell r="G1773">
            <v>1</v>
          </cell>
          <cell r="H1773">
            <v>600</v>
          </cell>
          <cell r="I1773">
            <v>600</v>
          </cell>
          <cell r="J1773">
            <v>0</v>
          </cell>
          <cell r="K1773">
            <v>75</v>
          </cell>
          <cell r="L1773">
            <v>45000</v>
          </cell>
          <cell r="Y1773" t="e">
            <v>#N/A</v>
          </cell>
          <cell r="Z1773" t="e">
            <v>#N/A</v>
          </cell>
        </row>
        <row r="1774">
          <cell r="I1774">
            <v>0</v>
          </cell>
          <cell r="J1774">
            <v>0</v>
          </cell>
          <cell r="K1774">
            <v>0</v>
          </cell>
          <cell r="L1774">
            <v>0</v>
          </cell>
          <cell r="Y1774">
            <v>0</v>
          </cell>
          <cell r="Z1774">
            <v>0</v>
          </cell>
        </row>
        <row r="1775">
          <cell r="I1775">
            <v>0</v>
          </cell>
          <cell r="J1775">
            <v>0</v>
          </cell>
          <cell r="K1775">
            <v>0</v>
          </cell>
          <cell r="L1775">
            <v>0</v>
          </cell>
          <cell r="Y1775">
            <v>0</v>
          </cell>
          <cell r="Z1775">
            <v>0</v>
          </cell>
        </row>
        <row r="1776">
          <cell r="I1776">
            <v>0</v>
          </cell>
          <cell r="J1776">
            <v>0</v>
          </cell>
          <cell r="K1776">
            <v>0</v>
          </cell>
          <cell r="L1776">
            <v>0</v>
          </cell>
          <cell r="Y1776">
            <v>0</v>
          </cell>
          <cell r="Z1776">
            <v>0</v>
          </cell>
        </row>
        <row r="1777">
          <cell r="I1777">
            <v>0</v>
          </cell>
          <cell r="J1777">
            <v>0</v>
          </cell>
          <cell r="K1777">
            <v>0</v>
          </cell>
          <cell r="L1777">
            <v>0</v>
          </cell>
          <cell r="Y1777">
            <v>0</v>
          </cell>
          <cell r="Z1777">
            <v>0</v>
          </cell>
        </row>
        <row r="1779">
          <cell r="E1779" t="str">
            <v>MANO DE OBRA</v>
          </cell>
          <cell r="I1779">
            <v>0</v>
          </cell>
          <cell r="L1779">
            <v>0</v>
          </cell>
          <cell r="Z1779">
            <v>0</v>
          </cell>
        </row>
        <row r="1780">
          <cell r="I1780">
            <v>0</v>
          </cell>
          <cell r="J1780">
            <v>0</v>
          </cell>
          <cell r="K1780">
            <v>0</v>
          </cell>
          <cell r="L1780">
            <v>0</v>
          </cell>
          <cell r="Y1780">
            <v>0</v>
          </cell>
          <cell r="Z1780">
            <v>0</v>
          </cell>
        </row>
        <row r="1782">
          <cell r="E1782" t="str">
            <v>VARIOS</v>
          </cell>
          <cell r="I1782">
            <v>258000</v>
          </cell>
          <cell r="L1782">
            <v>19350000</v>
          </cell>
          <cell r="Z1782" t="e">
            <v>#N/A</v>
          </cell>
        </row>
        <row r="1783">
          <cell r="D1783" t="str">
            <v>TC163MDC</v>
          </cell>
          <cell r="E1783" t="str">
            <v>Rodadura Asfaltica MDC-3</v>
          </cell>
          <cell r="F1783" t="str">
            <v>M3</v>
          </cell>
          <cell r="G1783">
            <v>1</v>
          </cell>
          <cell r="H1783">
            <v>258000</v>
          </cell>
          <cell r="I1783">
            <v>258000</v>
          </cell>
          <cell r="J1783">
            <v>0</v>
          </cell>
          <cell r="K1783">
            <v>75</v>
          </cell>
          <cell r="L1783">
            <v>19350000</v>
          </cell>
          <cell r="Y1783" t="e">
            <v>#N/A</v>
          </cell>
          <cell r="Z1783" t="e">
            <v>#N/A</v>
          </cell>
        </row>
        <row r="1786">
          <cell r="E1786" t="str">
            <v>SUBTOTAL</v>
          </cell>
          <cell r="I1786">
            <v>258600</v>
          </cell>
          <cell r="L1786">
            <v>19395000</v>
          </cell>
          <cell r="Z1786" t="e">
            <v>#N/A</v>
          </cell>
        </row>
        <row r="1787">
          <cell r="E1787" t="str">
            <v>A.I.U</v>
          </cell>
          <cell r="I1787">
            <v>0</v>
          </cell>
          <cell r="L1787">
            <v>0</v>
          </cell>
          <cell r="Z1787">
            <v>0</v>
          </cell>
        </row>
        <row r="1788">
          <cell r="D1788" t="str">
            <v>AIUAADMON</v>
          </cell>
          <cell r="E1788" t="str">
            <v>Admon</v>
          </cell>
          <cell r="F1788">
            <v>0</v>
          </cell>
          <cell r="I1788">
            <v>0</v>
          </cell>
          <cell r="J1788">
            <v>0</v>
          </cell>
          <cell r="L1788">
            <v>0</v>
          </cell>
          <cell r="Z1788">
            <v>0</v>
          </cell>
        </row>
        <row r="1789">
          <cell r="D1789" t="str">
            <v>AIUAIMPRE</v>
          </cell>
          <cell r="E1789" t="str">
            <v>Imprevistos</v>
          </cell>
          <cell r="F1789">
            <v>0</v>
          </cell>
          <cell r="I1789">
            <v>0</v>
          </cell>
          <cell r="J1789">
            <v>0</v>
          </cell>
          <cell r="L1789">
            <v>0</v>
          </cell>
          <cell r="Z1789">
            <v>0</v>
          </cell>
        </row>
        <row r="1790">
          <cell r="D1790" t="str">
            <v>AIUAUTILI</v>
          </cell>
          <cell r="E1790" t="str">
            <v>Utilidad</v>
          </cell>
          <cell r="F1790">
            <v>0</v>
          </cell>
          <cell r="I1790">
            <v>0</v>
          </cell>
          <cell r="J1790">
            <v>0</v>
          </cell>
          <cell r="L1790">
            <v>0</v>
          </cell>
          <cell r="Z1790">
            <v>0</v>
          </cell>
        </row>
        <row r="1791">
          <cell r="D1791" t="str">
            <v>AIUAIVAUTI</v>
          </cell>
          <cell r="E1791" t="str">
            <v>IVA utilidad</v>
          </cell>
          <cell r="F1791">
            <v>0</v>
          </cell>
          <cell r="I1791">
            <v>0</v>
          </cell>
          <cell r="J1791">
            <v>0</v>
          </cell>
          <cell r="L1791">
            <v>0</v>
          </cell>
          <cell r="Z1791">
            <v>0</v>
          </cell>
        </row>
        <row r="1793">
          <cell r="E1793" t="str">
            <v>ITEM</v>
          </cell>
        </row>
        <row r="1794">
          <cell r="D1794" t="str">
            <v>HIH2</v>
          </cell>
          <cell r="E1794" t="str">
            <v>Hierro Figurado Nª 2</v>
          </cell>
          <cell r="G1794" t="str">
            <v>UN.</v>
          </cell>
          <cell r="H1794" t="str">
            <v>Kg</v>
          </cell>
          <cell r="I1794">
            <v>2198.5</v>
          </cell>
          <cell r="K1794">
            <v>0</v>
          </cell>
          <cell r="L1794">
            <v>0</v>
          </cell>
          <cell r="N1794">
            <v>2198.5</v>
          </cell>
          <cell r="O1794">
            <v>0</v>
          </cell>
          <cell r="P1794">
            <v>0</v>
          </cell>
          <cell r="Q1794">
            <v>0</v>
          </cell>
          <cell r="X1794">
            <v>0</v>
          </cell>
          <cell r="Z1794" t="e">
            <v>#VALUE!</v>
          </cell>
          <cell r="AA1794" t="e">
            <v>#VALUE!</v>
          </cell>
          <cell r="AB1794">
            <v>0</v>
          </cell>
          <cell r="AC1794">
            <v>0</v>
          </cell>
        </row>
        <row r="1796">
          <cell r="D1796" t="str">
            <v>CODIGO</v>
          </cell>
          <cell r="E1796" t="str">
            <v>DESCRIPCION</v>
          </cell>
          <cell r="F1796" t="str">
            <v>UN</v>
          </cell>
          <cell r="G1796" t="str">
            <v>CANT</v>
          </cell>
          <cell r="H1796" t="str">
            <v>V/UNIT.</v>
          </cell>
          <cell r="I1796" t="str">
            <v>V/TOTAL</v>
          </cell>
          <cell r="K1796" t="str">
            <v>CANT TOTAL</v>
          </cell>
          <cell r="L1796" t="str">
            <v>Vr TOTAL</v>
          </cell>
          <cell r="Y1796" t="str">
            <v>CANT.</v>
          </cell>
          <cell r="Z1796" t="str">
            <v>V/TOTAL</v>
          </cell>
        </row>
        <row r="1797">
          <cell r="E1797" t="str">
            <v>MATERIALES</v>
          </cell>
          <cell r="I1797">
            <v>2198.5</v>
          </cell>
          <cell r="L1797">
            <v>0</v>
          </cell>
          <cell r="Z1797" t="e">
            <v>#VALUE!</v>
          </cell>
        </row>
        <row r="1798">
          <cell r="D1798" t="str">
            <v>MA01H2</v>
          </cell>
          <cell r="E1798" t="str">
            <v>Acero PDR60 N. 2</v>
          </cell>
          <cell r="F1798" t="str">
            <v>Kg</v>
          </cell>
          <cell r="G1798">
            <v>1</v>
          </cell>
          <cell r="H1798">
            <v>2150</v>
          </cell>
          <cell r="I1798">
            <v>2150</v>
          </cell>
          <cell r="J1798">
            <v>0</v>
          </cell>
          <cell r="K1798">
            <v>0</v>
          </cell>
          <cell r="L1798">
            <v>0</v>
          </cell>
          <cell r="Y1798" t="e">
            <v>#VALUE!</v>
          </cell>
          <cell r="Z1798" t="e">
            <v>#VALUE!</v>
          </cell>
        </row>
        <row r="1799">
          <cell r="D1799" t="str">
            <v>MA01AN18</v>
          </cell>
          <cell r="E1799" t="str">
            <v>Alambre Negro</v>
          </cell>
          <cell r="F1799" t="str">
            <v>Kg</v>
          </cell>
          <cell r="G1799">
            <v>2.5000000000000001E-2</v>
          </cell>
          <cell r="H1799">
            <v>1940</v>
          </cell>
          <cell r="I1799">
            <v>48.5</v>
          </cell>
          <cell r="J1799">
            <v>0</v>
          </cell>
          <cell r="K1799">
            <v>0</v>
          </cell>
          <cell r="L1799">
            <v>0</v>
          </cell>
          <cell r="Y1799" t="e">
            <v>#VALUE!</v>
          </cell>
          <cell r="Z1799" t="e">
            <v>#VALUE!</v>
          </cell>
        </row>
        <row r="1801">
          <cell r="E1801" t="str">
            <v>MANO DE OBRA</v>
          </cell>
          <cell r="I1801">
            <v>0</v>
          </cell>
          <cell r="L1801">
            <v>0</v>
          </cell>
          <cell r="Z1801">
            <v>0</v>
          </cell>
        </row>
        <row r="1803">
          <cell r="E1803" t="str">
            <v>VARIOS</v>
          </cell>
          <cell r="I1803">
            <v>0</v>
          </cell>
          <cell r="L1803">
            <v>0</v>
          </cell>
          <cell r="Z1803">
            <v>0</v>
          </cell>
        </row>
        <row r="1805">
          <cell r="E1805" t="str">
            <v>SUBTOTAL</v>
          </cell>
          <cell r="I1805">
            <v>2198.5</v>
          </cell>
          <cell r="L1805">
            <v>0</v>
          </cell>
          <cell r="Z1805" t="e">
            <v>#VALUE!</v>
          </cell>
        </row>
        <row r="1806">
          <cell r="E1806" t="str">
            <v>A.I.U</v>
          </cell>
          <cell r="I1806">
            <v>0</v>
          </cell>
          <cell r="L1806">
            <v>0</v>
          </cell>
          <cell r="Z1806">
            <v>0</v>
          </cell>
        </row>
        <row r="1807">
          <cell r="D1807" t="str">
            <v>AIUAADMON</v>
          </cell>
          <cell r="E1807" t="str">
            <v>Admon</v>
          </cell>
          <cell r="F1807">
            <v>0</v>
          </cell>
          <cell r="I1807">
            <v>0</v>
          </cell>
          <cell r="J1807">
            <v>0</v>
          </cell>
          <cell r="L1807">
            <v>0</v>
          </cell>
          <cell r="Z1807">
            <v>0</v>
          </cell>
        </row>
        <row r="1808">
          <cell r="D1808" t="str">
            <v>AIUAIMPRE</v>
          </cell>
          <cell r="E1808" t="str">
            <v>Imprevistos</v>
          </cell>
          <cell r="F1808">
            <v>0</v>
          </cell>
          <cell r="I1808">
            <v>0</v>
          </cell>
          <cell r="J1808">
            <v>0</v>
          </cell>
          <cell r="L1808">
            <v>0</v>
          </cell>
          <cell r="Z1808">
            <v>0</v>
          </cell>
        </row>
        <row r="1809">
          <cell r="D1809" t="str">
            <v>AIUAUTILI</v>
          </cell>
          <cell r="E1809" t="str">
            <v>Utilidad</v>
          </cell>
          <cell r="F1809">
            <v>0</v>
          </cell>
          <cell r="I1809">
            <v>0</v>
          </cell>
          <cell r="J1809">
            <v>0</v>
          </cell>
          <cell r="L1809">
            <v>0</v>
          </cell>
          <cell r="Z1809">
            <v>0</v>
          </cell>
        </row>
        <row r="1810">
          <cell r="D1810" t="str">
            <v>AIUAIVAUTI</v>
          </cell>
          <cell r="E1810" t="str">
            <v>IVA utilidad</v>
          </cell>
          <cell r="F1810">
            <v>0</v>
          </cell>
          <cell r="I1810">
            <v>0</v>
          </cell>
          <cell r="J1810">
            <v>0</v>
          </cell>
          <cell r="L1810">
            <v>0</v>
          </cell>
          <cell r="Z1810">
            <v>0</v>
          </cell>
        </row>
        <row r="1812">
          <cell r="E1812" t="str">
            <v>ITEM</v>
          </cell>
        </row>
        <row r="1813">
          <cell r="D1813" t="str">
            <v>HIH3</v>
          </cell>
          <cell r="E1813" t="str">
            <v>Hierro Figurado Nª 3</v>
          </cell>
          <cell r="G1813" t="str">
            <v>UN.</v>
          </cell>
          <cell r="H1813" t="str">
            <v>Kg</v>
          </cell>
          <cell r="I1813">
            <v>2198.5</v>
          </cell>
          <cell r="K1813">
            <v>0</v>
          </cell>
          <cell r="L1813">
            <v>0</v>
          </cell>
          <cell r="N1813">
            <v>2198.5</v>
          </cell>
          <cell r="O1813">
            <v>0</v>
          </cell>
          <cell r="P1813">
            <v>0</v>
          </cell>
          <cell r="Q1813">
            <v>0</v>
          </cell>
          <cell r="X1813">
            <v>0</v>
          </cell>
          <cell r="Z1813" t="e">
            <v>#VALUE!</v>
          </cell>
          <cell r="AA1813" t="e">
            <v>#VALUE!</v>
          </cell>
          <cell r="AB1813">
            <v>0</v>
          </cell>
          <cell r="AC1813">
            <v>0</v>
          </cell>
        </row>
        <row r="1815">
          <cell r="D1815" t="str">
            <v>CODIGO</v>
          </cell>
          <cell r="E1815" t="str">
            <v>DESCRIPCION</v>
          </cell>
          <cell r="F1815" t="str">
            <v>UN</v>
          </cell>
          <cell r="G1815" t="str">
            <v>CANT</v>
          </cell>
          <cell r="H1815" t="str">
            <v>V/UNIT.</v>
          </cell>
          <cell r="I1815" t="str">
            <v>V/TOTAL</v>
          </cell>
          <cell r="K1815" t="str">
            <v>CANT TOTAL</v>
          </cell>
          <cell r="L1815" t="str">
            <v>Vr TOTAL</v>
          </cell>
          <cell r="Y1815" t="str">
            <v>CANT.</v>
          </cell>
          <cell r="Z1815" t="str">
            <v>V/TOTAL</v>
          </cell>
        </row>
        <row r="1816">
          <cell r="E1816" t="str">
            <v>MATERIALES</v>
          </cell>
          <cell r="I1816">
            <v>2198.5</v>
          </cell>
          <cell r="L1816">
            <v>0</v>
          </cell>
          <cell r="Z1816" t="e">
            <v>#VALUE!</v>
          </cell>
        </row>
        <row r="1817">
          <cell r="D1817" t="str">
            <v>MA01H3</v>
          </cell>
          <cell r="E1817" t="str">
            <v>Acero PDR60 N. 3</v>
          </cell>
          <cell r="F1817" t="str">
            <v>Kg</v>
          </cell>
          <cell r="G1817">
            <v>1</v>
          </cell>
          <cell r="H1817">
            <v>2150</v>
          </cell>
          <cell r="I1817">
            <v>2150</v>
          </cell>
          <cell r="J1817">
            <v>0</v>
          </cell>
          <cell r="K1817">
            <v>0</v>
          </cell>
          <cell r="L1817">
            <v>0</v>
          </cell>
          <cell r="Y1817" t="e">
            <v>#VALUE!</v>
          </cell>
          <cell r="Z1817" t="e">
            <v>#VALUE!</v>
          </cell>
        </row>
        <row r="1818">
          <cell r="D1818" t="str">
            <v>MA01AN18</v>
          </cell>
          <cell r="E1818" t="str">
            <v>Alambre Negro</v>
          </cell>
          <cell r="F1818" t="str">
            <v>Kg</v>
          </cell>
          <cell r="G1818">
            <v>2.5000000000000001E-2</v>
          </cell>
          <cell r="H1818">
            <v>1940</v>
          </cell>
          <cell r="I1818">
            <v>48.5</v>
          </cell>
          <cell r="J1818">
            <v>0</v>
          </cell>
          <cell r="K1818">
            <v>0</v>
          </cell>
          <cell r="L1818">
            <v>0</v>
          </cell>
          <cell r="Y1818" t="e">
            <v>#VALUE!</v>
          </cell>
          <cell r="Z1818" t="e">
            <v>#VALUE!</v>
          </cell>
        </row>
        <row r="1820">
          <cell r="E1820" t="str">
            <v>MANO DE OBRA</v>
          </cell>
          <cell r="I1820">
            <v>0</v>
          </cell>
          <cell r="L1820">
            <v>0</v>
          </cell>
          <cell r="Z1820">
            <v>0</v>
          </cell>
        </row>
        <row r="1822">
          <cell r="E1822" t="str">
            <v>VARIOS</v>
          </cell>
          <cell r="I1822">
            <v>0</v>
          </cell>
          <cell r="L1822">
            <v>0</v>
          </cell>
          <cell r="Z1822">
            <v>0</v>
          </cell>
        </row>
        <row r="1824">
          <cell r="E1824" t="str">
            <v>SUBTOTAL</v>
          </cell>
          <cell r="I1824">
            <v>2198.5</v>
          </cell>
          <cell r="L1824">
            <v>0</v>
          </cell>
          <cell r="Z1824" t="e">
            <v>#VALUE!</v>
          </cell>
        </row>
        <row r="1825">
          <cell r="E1825" t="str">
            <v>A.I.U</v>
          </cell>
          <cell r="I1825">
            <v>0</v>
          </cell>
          <cell r="L1825">
            <v>0</v>
          </cell>
          <cell r="Z1825">
            <v>0</v>
          </cell>
        </row>
        <row r="1826">
          <cell r="D1826" t="str">
            <v>AIUAADMON</v>
          </cell>
          <cell r="E1826" t="str">
            <v>Admon</v>
          </cell>
          <cell r="F1826">
            <v>0</v>
          </cell>
          <cell r="I1826">
            <v>0</v>
          </cell>
          <cell r="J1826">
            <v>0</v>
          </cell>
          <cell r="L1826">
            <v>0</v>
          </cell>
          <cell r="Z1826">
            <v>0</v>
          </cell>
        </row>
        <row r="1827">
          <cell r="D1827" t="str">
            <v>AIUAIMPRE</v>
          </cell>
          <cell r="E1827" t="str">
            <v>Imprevistos</v>
          </cell>
          <cell r="F1827">
            <v>0</v>
          </cell>
          <cell r="I1827">
            <v>0</v>
          </cell>
          <cell r="J1827">
            <v>0</v>
          </cell>
          <cell r="L1827">
            <v>0</v>
          </cell>
          <cell r="Z1827">
            <v>0</v>
          </cell>
        </row>
        <row r="1828">
          <cell r="D1828" t="str">
            <v>AIUAUTILI</v>
          </cell>
          <cell r="E1828" t="str">
            <v>Utilidad</v>
          </cell>
          <cell r="F1828">
            <v>0</v>
          </cell>
          <cell r="I1828">
            <v>0</v>
          </cell>
          <cell r="J1828">
            <v>0</v>
          </cell>
          <cell r="L1828">
            <v>0</v>
          </cell>
          <cell r="Z1828">
            <v>0</v>
          </cell>
        </row>
        <row r="1829">
          <cell r="D1829" t="str">
            <v>AIUAIVAUTI</v>
          </cell>
          <cell r="E1829" t="str">
            <v>IVA utilidad</v>
          </cell>
          <cell r="F1829">
            <v>0</v>
          </cell>
          <cell r="I1829">
            <v>0</v>
          </cell>
          <cell r="J1829">
            <v>0</v>
          </cell>
          <cell r="L1829">
            <v>0</v>
          </cell>
          <cell r="Z1829">
            <v>0</v>
          </cell>
        </row>
        <row r="1831">
          <cell r="E1831" t="str">
            <v>ITEM</v>
          </cell>
        </row>
        <row r="1832">
          <cell r="D1832" t="str">
            <v>HIH4</v>
          </cell>
          <cell r="E1832" t="str">
            <v>Hierro Figurado Nª 4</v>
          </cell>
          <cell r="G1832" t="str">
            <v>UN.</v>
          </cell>
          <cell r="H1832" t="str">
            <v>Kg</v>
          </cell>
          <cell r="I1832">
            <v>2198.5</v>
          </cell>
          <cell r="K1832">
            <v>68964</v>
          </cell>
          <cell r="L1832">
            <v>151617354</v>
          </cell>
          <cell r="N1832">
            <v>2198.5</v>
          </cell>
          <cell r="O1832">
            <v>0</v>
          </cell>
          <cell r="P1832">
            <v>0</v>
          </cell>
          <cell r="Q1832">
            <v>0</v>
          </cell>
          <cell r="X1832">
            <v>151617354</v>
          </cell>
          <cell r="Z1832" t="e">
            <v>#VALUE!</v>
          </cell>
          <cell r="AA1832" t="e">
            <v>#VALUE!</v>
          </cell>
          <cell r="AB1832">
            <v>0</v>
          </cell>
          <cell r="AC1832">
            <v>0</v>
          </cell>
        </row>
        <row r="1834">
          <cell r="D1834" t="str">
            <v>CODIGO</v>
          </cell>
          <cell r="E1834" t="str">
            <v>DESCRIPCION</v>
          </cell>
          <cell r="F1834" t="str">
            <v>UN</v>
          </cell>
          <cell r="G1834" t="str">
            <v>CANT</v>
          </cell>
          <cell r="H1834" t="str">
            <v>V/UNIT.</v>
          </cell>
          <cell r="I1834" t="str">
            <v>V/TOTAL</v>
          </cell>
          <cell r="K1834" t="str">
            <v>CANT TOTAL</v>
          </cell>
          <cell r="L1834" t="str">
            <v>Vr TOTAL</v>
          </cell>
          <cell r="Y1834" t="str">
            <v>CANT.</v>
          </cell>
          <cell r="Z1834" t="str">
            <v>V/TOTAL</v>
          </cell>
        </row>
        <row r="1835">
          <cell r="E1835" t="str">
            <v>MATERIALES</v>
          </cell>
          <cell r="I1835">
            <v>2198.5</v>
          </cell>
          <cell r="L1835">
            <v>151617354</v>
          </cell>
          <cell r="Z1835" t="e">
            <v>#VALUE!</v>
          </cell>
        </row>
        <row r="1836">
          <cell r="D1836" t="str">
            <v>MA01H4</v>
          </cell>
          <cell r="E1836" t="str">
            <v>Acero PDR60 N. 4</v>
          </cell>
          <cell r="F1836" t="str">
            <v>Kg</v>
          </cell>
          <cell r="G1836">
            <v>1</v>
          </cell>
          <cell r="H1836">
            <v>2150</v>
          </cell>
          <cell r="I1836">
            <v>2150</v>
          </cell>
          <cell r="J1836">
            <v>0</v>
          </cell>
          <cell r="K1836">
            <v>68964</v>
          </cell>
          <cell r="L1836">
            <v>148272600</v>
          </cell>
          <cell r="Y1836" t="e">
            <v>#VALUE!</v>
          </cell>
          <cell r="Z1836" t="e">
            <v>#VALUE!</v>
          </cell>
        </row>
        <row r="1837">
          <cell r="D1837" t="str">
            <v>MA01AN18</v>
          </cell>
          <cell r="E1837" t="str">
            <v>Alambre Negro</v>
          </cell>
          <cell r="F1837" t="str">
            <v>Kg</v>
          </cell>
          <cell r="G1837">
            <v>2.5000000000000001E-2</v>
          </cell>
          <cell r="H1837">
            <v>1940</v>
          </cell>
          <cell r="I1837">
            <v>48.5</v>
          </cell>
          <cell r="J1837">
            <v>0</v>
          </cell>
          <cell r="K1837">
            <v>1724.1000000000001</v>
          </cell>
          <cell r="L1837">
            <v>3344754.0000000005</v>
          </cell>
          <cell r="Y1837" t="e">
            <v>#VALUE!</v>
          </cell>
          <cell r="Z1837" t="e">
            <v>#VALUE!</v>
          </cell>
        </row>
        <row r="1839">
          <cell r="E1839" t="str">
            <v>MANO DE OBRA</v>
          </cell>
          <cell r="I1839">
            <v>0</v>
          </cell>
          <cell r="L1839">
            <v>0</v>
          </cell>
          <cell r="Z1839">
            <v>0</v>
          </cell>
        </row>
        <row r="1841">
          <cell r="E1841" t="str">
            <v>VARIOS</v>
          </cell>
          <cell r="I1841">
            <v>0</v>
          </cell>
          <cell r="L1841">
            <v>0</v>
          </cell>
          <cell r="Z1841">
            <v>0</v>
          </cell>
        </row>
        <row r="1843">
          <cell r="E1843" t="str">
            <v>SUBTOTAL</v>
          </cell>
          <cell r="I1843">
            <v>2198.5</v>
          </cell>
          <cell r="L1843">
            <v>151617354</v>
          </cell>
          <cell r="Z1843" t="e">
            <v>#VALUE!</v>
          </cell>
        </row>
        <row r="1844">
          <cell r="E1844" t="str">
            <v>A.I.U</v>
          </cell>
          <cell r="I1844">
            <v>0</v>
          </cell>
          <cell r="L1844">
            <v>0</v>
          </cell>
          <cell r="Z1844">
            <v>0</v>
          </cell>
        </row>
        <row r="1845">
          <cell r="D1845" t="str">
            <v>AIUAADMON</v>
          </cell>
          <cell r="E1845" t="str">
            <v>Admon</v>
          </cell>
          <cell r="F1845">
            <v>0</v>
          </cell>
          <cell r="I1845">
            <v>0</v>
          </cell>
          <cell r="J1845">
            <v>0</v>
          </cell>
          <cell r="L1845">
            <v>0</v>
          </cell>
          <cell r="Z1845">
            <v>0</v>
          </cell>
        </row>
        <row r="1846">
          <cell r="D1846" t="str">
            <v>AIUAIMPRE</v>
          </cell>
          <cell r="E1846" t="str">
            <v>Imprevistos</v>
          </cell>
          <cell r="F1846">
            <v>0</v>
          </cell>
          <cell r="I1846">
            <v>0</v>
          </cell>
          <cell r="J1846">
            <v>0</v>
          </cell>
          <cell r="L1846">
            <v>0</v>
          </cell>
          <cell r="Z1846">
            <v>0</v>
          </cell>
        </row>
        <row r="1847">
          <cell r="D1847" t="str">
            <v>AIUAUTILI</v>
          </cell>
          <cell r="E1847" t="str">
            <v>Utilidad</v>
          </cell>
          <cell r="F1847">
            <v>0</v>
          </cell>
          <cell r="I1847">
            <v>0</v>
          </cell>
          <cell r="J1847">
            <v>0</v>
          </cell>
          <cell r="L1847">
            <v>0</v>
          </cell>
          <cell r="Z1847">
            <v>0</v>
          </cell>
        </row>
        <row r="1848">
          <cell r="D1848" t="str">
            <v>AIUAIVAUTI</v>
          </cell>
          <cell r="E1848" t="str">
            <v>IVA utilidad</v>
          </cell>
          <cell r="F1848">
            <v>0</v>
          </cell>
          <cell r="I1848">
            <v>0</v>
          </cell>
          <cell r="J1848">
            <v>0</v>
          </cell>
          <cell r="L1848">
            <v>0</v>
          </cell>
          <cell r="Z1848">
            <v>0</v>
          </cell>
        </row>
        <row r="1850">
          <cell r="E1850" t="str">
            <v>ITEM</v>
          </cell>
        </row>
        <row r="1851">
          <cell r="D1851" t="str">
            <v>HIH5</v>
          </cell>
          <cell r="E1851" t="str">
            <v>Hierro Figurado Nª 5</v>
          </cell>
          <cell r="G1851" t="str">
            <v>UN.</v>
          </cell>
          <cell r="H1851" t="str">
            <v>Kg</v>
          </cell>
          <cell r="I1851">
            <v>2198.5</v>
          </cell>
          <cell r="K1851">
            <v>0</v>
          </cell>
          <cell r="L1851">
            <v>0</v>
          </cell>
          <cell r="N1851">
            <v>2198.5</v>
          </cell>
          <cell r="O1851">
            <v>0</v>
          </cell>
          <cell r="P1851">
            <v>0</v>
          </cell>
          <cell r="Q1851">
            <v>0</v>
          </cell>
          <cell r="X1851">
            <v>0</v>
          </cell>
          <cell r="Z1851" t="e">
            <v>#VALUE!</v>
          </cell>
          <cell r="AA1851" t="e">
            <v>#VALUE!</v>
          </cell>
          <cell r="AB1851">
            <v>0</v>
          </cell>
          <cell r="AC1851">
            <v>0</v>
          </cell>
        </row>
        <row r="1853">
          <cell r="D1853" t="str">
            <v>CODIGO</v>
          </cell>
          <cell r="E1853" t="str">
            <v>DESCRIPCION</v>
          </cell>
          <cell r="F1853" t="str">
            <v>UN</v>
          </cell>
          <cell r="G1853" t="str">
            <v>CANT</v>
          </cell>
          <cell r="H1853" t="str">
            <v>V/UNIT.</v>
          </cell>
          <cell r="I1853" t="str">
            <v>V/TOTAL</v>
          </cell>
          <cell r="K1853" t="str">
            <v>CANT TOTAL</v>
          </cell>
          <cell r="L1853" t="str">
            <v>Vr TOTAL</v>
          </cell>
          <cell r="Y1853" t="str">
            <v>CANT.</v>
          </cell>
          <cell r="Z1853" t="str">
            <v>V/TOTAL</v>
          </cell>
        </row>
        <row r="1854">
          <cell r="E1854" t="str">
            <v>MATERIALES</v>
          </cell>
          <cell r="I1854">
            <v>2198.5</v>
          </cell>
          <cell r="L1854">
            <v>0</v>
          </cell>
          <cell r="Z1854" t="e">
            <v>#VALUE!</v>
          </cell>
        </row>
        <row r="1855">
          <cell r="D1855" t="str">
            <v>MA01H5</v>
          </cell>
          <cell r="E1855" t="str">
            <v>Acero PDR60 N. 5</v>
          </cell>
          <cell r="F1855" t="str">
            <v>Kg</v>
          </cell>
          <cell r="G1855">
            <v>1</v>
          </cell>
          <cell r="H1855">
            <v>2150</v>
          </cell>
          <cell r="I1855">
            <v>2150</v>
          </cell>
          <cell r="J1855">
            <v>0</v>
          </cell>
          <cell r="K1855">
            <v>0</v>
          </cell>
          <cell r="L1855">
            <v>0</v>
          </cell>
          <cell r="Y1855" t="e">
            <v>#VALUE!</v>
          </cell>
          <cell r="Z1855" t="e">
            <v>#VALUE!</v>
          </cell>
        </row>
        <row r="1856">
          <cell r="D1856" t="str">
            <v>MA01AN18</v>
          </cell>
          <cell r="E1856" t="str">
            <v>Alambre Negro</v>
          </cell>
          <cell r="F1856" t="str">
            <v>Kg</v>
          </cell>
          <cell r="G1856">
            <v>2.5000000000000001E-2</v>
          </cell>
          <cell r="H1856">
            <v>1940</v>
          </cell>
          <cell r="I1856">
            <v>48.5</v>
          </cell>
          <cell r="J1856">
            <v>0</v>
          </cell>
          <cell r="K1856">
            <v>0</v>
          </cell>
          <cell r="L1856">
            <v>0</v>
          </cell>
          <cell r="Y1856" t="e">
            <v>#VALUE!</v>
          </cell>
          <cell r="Z1856" t="e">
            <v>#VALUE!</v>
          </cell>
        </row>
        <row r="1858">
          <cell r="E1858" t="str">
            <v>MANO DE OBRA</v>
          </cell>
          <cell r="I1858">
            <v>0</v>
          </cell>
          <cell r="L1858">
            <v>0</v>
          </cell>
          <cell r="Z1858">
            <v>0</v>
          </cell>
        </row>
        <row r="1860">
          <cell r="E1860" t="str">
            <v>VARIOS</v>
          </cell>
          <cell r="I1860">
            <v>0</v>
          </cell>
          <cell r="L1860">
            <v>0</v>
          </cell>
          <cell r="Z1860">
            <v>0</v>
          </cell>
        </row>
        <row r="1862">
          <cell r="E1862" t="str">
            <v>SUBTOTAL</v>
          </cell>
          <cell r="I1862">
            <v>2198.5</v>
          </cell>
          <cell r="L1862">
            <v>0</v>
          </cell>
          <cell r="Z1862" t="e">
            <v>#VALUE!</v>
          </cell>
        </row>
        <row r="1863">
          <cell r="E1863" t="str">
            <v>A.I.U</v>
          </cell>
          <cell r="I1863">
            <v>0</v>
          </cell>
          <cell r="L1863">
            <v>0</v>
          </cell>
          <cell r="Z1863">
            <v>0</v>
          </cell>
        </row>
        <row r="1864">
          <cell r="D1864" t="str">
            <v>AIUAADMON</v>
          </cell>
          <cell r="E1864" t="str">
            <v>Admon</v>
          </cell>
          <cell r="F1864">
            <v>0</v>
          </cell>
          <cell r="I1864">
            <v>0</v>
          </cell>
          <cell r="J1864">
            <v>0</v>
          </cell>
          <cell r="L1864">
            <v>0</v>
          </cell>
          <cell r="Z1864">
            <v>0</v>
          </cell>
        </row>
        <row r="1865">
          <cell r="D1865" t="str">
            <v>AIUAIMPRE</v>
          </cell>
          <cell r="E1865" t="str">
            <v>Imprevistos</v>
          </cell>
          <cell r="F1865">
            <v>0</v>
          </cell>
          <cell r="I1865">
            <v>0</v>
          </cell>
          <cell r="J1865">
            <v>0</v>
          </cell>
          <cell r="L1865">
            <v>0</v>
          </cell>
          <cell r="Z1865">
            <v>0</v>
          </cell>
        </row>
        <row r="1866">
          <cell r="D1866" t="str">
            <v>AIUAUTILI</v>
          </cell>
          <cell r="E1866" t="str">
            <v>Utilidad</v>
          </cell>
          <cell r="F1866">
            <v>0</v>
          </cell>
          <cell r="I1866">
            <v>0</v>
          </cell>
          <cell r="J1866">
            <v>0</v>
          </cell>
          <cell r="L1866">
            <v>0</v>
          </cell>
          <cell r="Z1866">
            <v>0</v>
          </cell>
        </row>
        <row r="1867">
          <cell r="D1867" t="str">
            <v>AIUAIVAUTI</v>
          </cell>
          <cell r="E1867" t="str">
            <v>IVA utilidad</v>
          </cell>
          <cell r="F1867">
            <v>0</v>
          </cell>
          <cell r="I1867">
            <v>0</v>
          </cell>
          <cell r="J1867">
            <v>0</v>
          </cell>
          <cell r="L1867">
            <v>0</v>
          </cell>
          <cell r="Z1867">
            <v>0</v>
          </cell>
        </row>
        <row r="1869">
          <cell r="E1869" t="str">
            <v>ITEM</v>
          </cell>
        </row>
        <row r="1870">
          <cell r="D1870" t="str">
            <v>HIH6</v>
          </cell>
          <cell r="E1870" t="str">
            <v>Hierro Figurado Nª 6</v>
          </cell>
          <cell r="G1870" t="str">
            <v>UN.</v>
          </cell>
          <cell r="H1870" t="str">
            <v>Kg</v>
          </cell>
          <cell r="I1870">
            <v>2198.5</v>
          </cell>
          <cell r="K1870">
            <v>0</v>
          </cell>
          <cell r="L1870">
            <v>0</v>
          </cell>
          <cell r="N1870">
            <v>2198.5</v>
          </cell>
          <cell r="O1870">
            <v>0</v>
          </cell>
          <cell r="P1870">
            <v>0</v>
          </cell>
          <cell r="Q1870">
            <v>0</v>
          </cell>
          <cell r="X1870">
            <v>0</v>
          </cell>
          <cell r="Z1870" t="e">
            <v>#VALUE!</v>
          </cell>
          <cell r="AA1870" t="e">
            <v>#VALUE!</v>
          </cell>
          <cell r="AB1870">
            <v>0</v>
          </cell>
          <cell r="AC1870">
            <v>0</v>
          </cell>
        </row>
        <row r="1872">
          <cell r="D1872" t="str">
            <v>CODIGO</v>
          </cell>
          <cell r="E1872" t="str">
            <v>DESCRIPCION</v>
          </cell>
          <cell r="F1872" t="str">
            <v>UN</v>
          </cell>
          <cell r="G1872" t="str">
            <v>CANT</v>
          </cell>
          <cell r="H1872" t="str">
            <v>V/UNIT.</v>
          </cell>
          <cell r="I1872" t="str">
            <v>V/TOTAL</v>
          </cell>
          <cell r="K1872" t="str">
            <v>CANT TOTAL</v>
          </cell>
          <cell r="L1872" t="str">
            <v>Vr TOTAL</v>
          </cell>
          <cell r="Y1872" t="str">
            <v>CANT.</v>
          </cell>
          <cell r="Z1872" t="str">
            <v>V/TOTAL</v>
          </cell>
        </row>
        <row r="1873">
          <cell r="E1873" t="str">
            <v>MATERIALES</v>
          </cell>
          <cell r="I1873">
            <v>2198.5</v>
          </cell>
          <cell r="L1873">
            <v>0</v>
          </cell>
          <cell r="Z1873" t="e">
            <v>#VALUE!</v>
          </cell>
        </row>
        <row r="1874">
          <cell r="D1874" t="str">
            <v>MA01H6</v>
          </cell>
          <cell r="E1874" t="str">
            <v>Acero PDR60 N. 6</v>
          </cell>
          <cell r="F1874" t="str">
            <v>Kg</v>
          </cell>
          <cell r="G1874">
            <v>1</v>
          </cell>
          <cell r="H1874">
            <v>2150</v>
          </cell>
          <cell r="I1874">
            <v>2150</v>
          </cell>
          <cell r="J1874">
            <v>0</v>
          </cell>
          <cell r="K1874">
            <v>0</v>
          </cell>
          <cell r="L1874">
            <v>0</v>
          </cell>
          <cell r="Y1874" t="e">
            <v>#VALUE!</v>
          </cell>
          <cell r="Z1874" t="e">
            <v>#VALUE!</v>
          </cell>
        </row>
        <row r="1875">
          <cell r="D1875" t="str">
            <v>MA01AN18</v>
          </cell>
          <cell r="E1875" t="str">
            <v>Alambre Negro</v>
          </cell>
          <cell r="F1875" t="str">
            <v>Kg</v>
          </cell>
          <cell r="G1875">
            <v>2.5000000000000001E-2</v>
          </cell>
          <cell r="H1875">
            <v>1940</v>
          </cell>
          <cell r="I1875">
            <v>48.5</v>
          </cell>
          <cell r="J1875">
            <v>0</v>
          </cell>
          <cell r="K1875">
            <v>0</v>
          </cell>
          <cell r="L1875">
            <v>0</v>
          </cell>
          <cell r="Y1875" t="e">
            <v>#VALUE!</v>
          </cell>
          <cell r="Z1875" t="e">
            <v>#VALUE!</v>
          </cell>
        </row>
        <row r="1877">
          <cell r="E1877" t="str">
            <v>MANO DE OBRA</v>
          </cell>
          <cell r="I1877">
            <v>0</v>
          </cell>
          <cell r="L1877">
            <v>0</v>
          </cell>
          <cell r="Z1877">
            <v>0</v>
          </cell>
        </row>
        <row r="1879">
          <cell r="E1879" t="str">
            <v>VARIOS</v>
          </cell>
          <cell r="I1879">
            <v>0</v>
          </cell>
          <cell r="L1879">
            <v>0</v>
          </cell>
          <cell r="Z1879">
            <v>0</v>
          </cell>
        </row>
        <row r="1881">
          <cell r="E1881" t="str">
            <v>SUBTOTAL</v>
          </cell>
          <cell r="I1881">
            <v>2198.5</v>
          </cell>
          <cell r="L1881">
            <v>0</v>
          </cell>
          <cell r="Z1881" t="e">
            <v>#VALUE!</v>
          </cell>
        </row>
        <row r="1882">
          <cell r="E1882" t="str">
            <v>A.I.U</v>
          </cell>
          <cell r="I1882">
            <v>0</v>
          </cell>
          <cell r="L1882">
            <v>0</v>
          </cell>
          <cell r="Z1882">
            <v>0</v>
          </cell>
        </row>
        <row r="1883">
          <cell r="D1883" t="str">
            <v>AIUAADMON</v>
          </cell>
          <cell r="E1883" t="str">
            <v>Admon</v>
          </cell>
          <cell r="F1883">
            <v>0</v>
          </cell>
          <cell r="I1883">
            <v>0</v>
          </cell>
          <cell r="J1883">
            <v>0</v>
          </cell>
          <cell r="L1883">
            <v>0</v>
          </cell>
          <cell r="Z1883">
            <v>0</v>
          </cell>
        </row>
        <row r="1884">
          <cell r="D1884" t="str">
            <v>AIUAIMPRE</v>
          </cell>
          <cell r="E1884" t="str">
            <v>Imprevistos</v>
          </cell>
          <cell r="F1884">
            <v>0</v>
          </cell>
          <cell r="I1884">
            <v>0</v>
          </cell>
          <cell r="J1884">
            <v>0</v>
          </cell>
          <cell r="L1884">
            <v>0</v>
          </cell>
          <cell r="Z1884">
            <v>0</v>
          </cell>
        </row>
        <row r="1885">
          <cell r="D1885" t="str">
            <v>AIUAUTILI</v>
          </cell>
          <cell r="E1885" t="str">
            <v>Utilidad</v>
          </cell>
          <cell r="F1885">
            <v>0</v>
          </cell>
          <cell r="I1885">
            <v>0</v>
          </cell>
          <cell r="J1885">
            <v>0</v>
          </cell>
          <cell r="L1885">
            <v>0</v>
          </cell>
          <cell r="Z1885">
            <v>0</v>
          </cell>
        </row>
        <row r="1886">
          <cell r="D1886" t="str">
            <v>AIUAIVAUTI</v>
          </cell>
          <cell r="E1886" t="str">
            <v>IVA utilidad</v>
          </cell>
          <cell r="F1886">
            <v>0</v>
          </cell>
          <cell r="I1886">
            <v>0</v>
          </cell>
          <cell r="J1886">
            <v>0</v>
          </cell>
          <cell r="L1886">
            <v>0</v>
          </cell>
          <cell r="Z1886">
            <v>0</v>
          </cell>
        </row>
        <row r="1888">
          <cell r="E1888" t="str">
            <v>ITEM</v>
          </cell>
        </row>
        <row r="1889">
          <cell r="D1889" t="str">
            <v>HIH7</v>
          </cell>
          <cell r="E1889" t="str">
            <v>Hierro Figurado Nª 7</v>
          </cell>
          <cell r="G1889" t="str">
            <v>UN.</v>
          </cell>
          <cell r="H1889" t="str">
            <v>Kg</v>
          </cell>
          <cell r="I1889">
            <v>2198.5</v>
          </cell>
          <cell r="K1889">
            <v>0</v>
          </cell>
          <cell r="L1889">
            <v>0</v>
          </cell>
          <cell r="N1889">
            <v>2198.5</v>
          </cell>
          <cell r="O1889">
            <v>0</v>
          </cell>
          <cell r="P1889">
            <v>0</v>
          </cell>
          <cell r="Q1889">
            <v>0</v>
          </cell>
          <cell r="X1889">
            <v>0</v>
          </cell>
          <cell r="Z1889" t="e">
            <v>#VALUE!</v>
          </cell>
          <cell r="AA1889" t="e">
            <v>#VALUE!</v>
          </cell>
          <cell r="AB1889">
            <v>0</v>
          </cell>
          <cell r="AC1889">
            <v>0</v>
          </cell>
        </row>
        <row r="1891">
          <cell r="D1891" t="str">
            <v>CODIGO</v>
          </cell>
          <cell r="E1891" t="str">
            <v>DESCRIPCION</v>
          </cell>
          <cell r="F1891" t="str">
            <v>UN</v>
          </cell>
          <cell r="G1891" t="str">
            <v>CANT</v>
          </cell>
          <cell r="H1891" t="str">
            <v>V/UNIT.</v>
          </cell>
          <cell r="I1891" t="str">
            <v>V/TOTAL</v>
          </cell>
          <cell r="K1891" t="str">
            <v>CANT TOTAL</v>
          </cell>
          <cell r="L1891" t="str">
            <v>Vr TOTAL</v>
          </cell>
          <cell r="Y1891" t="str">
            <v>CANT.</v>
          </cell>
          <cell r="Z1891" t="str">
            <v>V/TOTAL</v>
          </cell>
        </row>
        <row r="1892">
          <cell r="E1892" t="str">
            <v>MATERIALES</v>
          </cell>
          <cell r="I1892">
            <v>2198.5</v>
          </cell>
          <cell r="L1892">
            <v>0</v>
          </cell>
          <cell r="Z1892" t="e">
            <v>#VALUE!</v>
          </cell>
        </row>
        <row r="1893">
          <cell r="D1893" t="str">
            <v>MA01H7</v>
          </cell>
          <cell r="E1893" t="str">
            <v>Acero PDR60 N. 7</v>
          </cell>
          <cell r="F1893" t="str">
            <v>Kg</v>
          </cell>
          <cell r="G1893">
            <v>1</v>
          </cell>
          <cell r="H1893">
            <v>2150</v>
          </cell>
          <cell r="I1893">
            <v>2150</v>
          </cell>
          <cell r="J1893">
            <v>0</v>
          </cell>
          <cell r="K1893">
            <v>0</v>
          </cell>
          <cell r="L1893">
            <v>0</v>
          </cell>
          <cell r="Y1893" t="e">
            <v>#VALUE!</v>
          </cell>
          <cell r="Z1893" t="e">
            <v>#VALUE!</v>
          </cell>
        </row>
        <row r="1894">
          <cell r="D1894" t="str">
            <v>MA01AN18</v>
          </cell>
          <cell r="E1894" t="str">
            <v>Alambre Negro</v>
          </cell>
          <cell r="F1894" t="str">
            <v>Kg</v>
          </cell>
          <cell r="G1894">
            <v>2.5000000000000001E-2</v>
          </cell>
          <cell r="H1894">
            <v>1940</v>
          </cell>
          <cell r="I1894">
            <v>48.5</v>
          </cell>
          <cell r="J1894">
            <v>0</v>
          </cell>
          <cell r="K1894">
            <v>0</v>
          </cell>
          <cell r="L1894">
            <v>0</v>
          </cell>
          <cell r="Y1894" t="e">
            <v>#VALUE!</v>
          </cell>
          <cell r="Z1894" t="e">
            <v>#VALUE!</v>
          </cell>
        </row>
        <row r="1896">
          <cell r="E1896" t="str">
            <v>MANO DE OBRA</v>
          </cell>
          <cell r="I1896">
            <v>0</v>
          </cell>
          <cell r="L1896">
            <v>0</v>
          </cell>
          <cell r="Z1896">
            <v>0</v>
          </cell>
        </row>
        <row r="1898">
          <cell r="E1898" t="str">
            <v>VARIOS</v>
          </cell>
          <cell r="I1898">
            <v>0</v>
          </cell>
          <cell r="L1898">
            <v>0</v>
          </cell>
          <cell r="Z1898">
            <v>0</v>
          </cell>
        </row>
        <row r="1900">
          <cell r="E1900" t="str">
            <v>SUBTOTAL</v>
          </cell>
          <cell r="I1900">
            <v>2198.5</v>
          </cell>
          <cell r="L1900">
            <v>0</v>
          </cell>
          <cell r="Z1900" t="e">
            <v>#VALUE!</v>
          </cell>
        </row>
        <row r="1901">
          <cell r="E1901" t="str">
            <v>A.I.U</v>
          </cell>
          <cell r="I1901">
            <v>0</v>
          </cell>
          <cell r="L1901">
            <v>0</v>
          </cell>
          <cell r="Z1901">
            <v>0</v>
          </cell>
        </row>
        <row r="1902">
          <cell r="D1902" t="str">
            <v>AIUAADMON</v>
          </cell>
          <cell r="E1902" t="str">
            <v>Admon</v>
          </cell>
          <cell r="F1902">
            <v>0</v>
          </cell>
          <cell r="I1902">
            <v>0</v>
          </cell>
          <cell r="J1902">
            <v>0</v>
          </cell>
          <cell r="L1902">
            <v>0</v>
          </cell>
          <cell r="Z1902">
            <v>0</v>
          </cell>
        </row>
        <row r="1903">
          <cell r="D1903" t="str">
            <v>AIUAIMPRE</v>
          </cell>
          <cell r="E1903" t="str">
            <v>Imprevistos</v>
          </cell>
          <cell r="F1903">
            <v>0</v>
          </cell>
          <cell r="I1903">
            <v>0</v>
          </cell>
          <cell r="J1903">
            <v>0</v>
          </cell>
          <cell r="L1903">
            <v>0</v>
          </cell>
          <cell r="Z1903">
            <v>0</v>
          </cell>
        </row>
        <row r="1904">
          <cell r="D1904" t="str">
            <v>AIUAUTILI</v>
          </cell>
          <cell r="E1904" t="str">
            <v>Utilidad</v>
          </cell>
          <cell r="F1904">
            <v>0</v>
          </cell>
          <cell r="I1904">
            <v>0</v>
          </cell>
          <cell r="J1904">
            <v>0</v>
          </cell>
          <cell r="L1904">
            <v>0</v>
          </cell>
          <cell r="Z1904">
            <v>0</v>
          </cell>
        </row>
        <row r="1905">
          <cell r="D1905" t="str">
            <v>AIUAIVAUTI</v>
          </cell>
          <cell r="E1905" t="str">
            <v>IVA utilidad</v>
          </cell>
          <cell r="F1905">
            <v>0</v>
          </cell>
          <cell r="I1905">
            <v>0</v>
          </cell>
          <cell r="J1905">
            <v>0</v>
          </cell>
          <cell r="L1905">
            <v>0</v>
          </cell>
          <cell r="Z1905">
            <v>0</v>
          </cell>
        </row>
        <row r="1907">
          <cell r="E1907" t="str">
            <v>ITEM</v>
          </cell>
        </row>
        <row r="1908">
          <cell r="D1908" t="str">
            <v>HIH8</v>
          </cell>
          <cell r="E1908" t="str">
            <v>Hierro Figurado Nª 8</v>
          </cell>
          <cell r="G1908" t="str">
            <v>UN.</v>
          </cell>
          <cell r="H1908" t="str">
            <v>Kg</v>
          </cell>
          <cell r="I1908">
            <v>2198.5</v>
          </cell>
          <cell r="K1908">
            <v>0</v>
          </cell>
          <cell r="L1908">
            <v>0</v>
          </cell>
          <cell r="N1908">
            <v>2198.5</v>
          </cell>
          <cell r="O1908">
            <v>0</v>
          </cell>
          <cell r="P1908">
            <v>0</v>
          </cell>
          <cell r="Q1908">
            <v>0</v>
          </cell>
          <cell r="X1908">
            <v>0</v>
          </cell>
          <cell r="Z1908" t="e">
            <v>#VALUE!</v>
          </cell>
          <cell r="AA1908" t="e">
            <v>#VALUE!</v>
          </cell>
          <cell r="AB1908">
            <v>0</v>
          </cell>
          <cell r="AC1908">
            <v>0</v>
          </cell>
        </row>
        <row r="1910">
          <cell r="D1910" t="str">
            <v>CODIGO</v>
          </cell>
          <cell r="E1910" t="str">
            <v>DESCRIPCION</v>
          </cell>
          <cell r="F1910" t="str">
            <v>UN</v>
          </cell>
          <cell r="G1910" t="str">
            <v>CANT</v>
          </cell>
          <cell r="H1910" t="str">
            <v>V/UNIT.</v>
          </cell>
          <cell r="I1910" t="str">
            <v>V/TOTAL</v>
          </cell>
          <cell r="K1910" t="str">
            <v>CANT TOTAL</v>
          </cell>
          <cell r="L1910" t="str">
            <v>Vr TOTAL</v>
          </cell>
          <cell r="Y1910" t="str">
            <v>CANT.</v>
          </cell>
          <cell r="Z1910" t="str">
            <v>V/TOTAL</v>
          </cell>
        </row>
        <row r="1911">
          <cell r="E1911" t="str">
            <v>MATERIALES</v>
          </cell>
          <cell r="I1911">
            <v>2198.5</v>
          </cell>
          <cell r="L1911">
            <v>0</v>
          </cell>
          <cell r="Z1911" t="e">
            <v>#VALUE!</v>
          </cell>
        </row>
        <row r="1912">
          <cell r="D1912" t="str">
            <v>MA01H8</v>
          </cell>
          <cell r="E1912" t="str">
            <v>Acero PDR60 N. 8</v>
          </cell>
          <cell r="F1912" t="str">
            <v>Kg</v>
          </cell>
          <cell r="G1912">
            <v>1</v>
          </cell>
          <cell r="H1912">
            <v>2150</v>
          </cell>
          <cell r="I1912">
            <v>2150</v>
          </cell>
          <cell r="J1912">
            <v>0</v>
          </cell>
          <cell r="K1912">
            <v>0</v>
          </cell>
          <cell r="L1912">
            <v>0</v>
          </cell>
          <cell r="Y1912" t="e">
            <v>#VALUE!</v>
          </cell>
          <cell r="Z1912" t="e">
            <v>#VALUE!</v>
          </cell>
        </row>
        <row r="1913">
          <cell r="D1913" t="str">
            <v>MA01AN18</v>
          </cell>
          <cell r="E1913" t="str">
            <v>Alambre Negro</v>
          </cell>
          <cell r="F1913" t="str">
            <v>Kg</v>
          </cell>
          <cell r="G1913">
            <v>2.5000000000000001E-2</v>
          </cell>
          <cell r="H1913">
            <v>1940</v>
          </cell>
          <cell r="I1913">
            <v>48.5</v>
          </cell>
          <cell r="J1913">
            <v>0</v>
          </cell>
          <cell r="K1913">
            <v>0</v>
          </cell>
          <cell r="L1913">
            <v>0</v>
          </cell>
          <cell r="Y1913" t="e">
            <v>#VALUE!</v>
          </cell>
          <cell r="Z1913" t="e">
            <v>#VALUE!</v>
          </cell>
        </row>
        <row r="1915">
          <cell r="E1915" t="str">
            <v>MANO DE OBRA</v>
          </cell>
          <cell r="I1915">
            <v>0</v>
          </cell>
          <cell r="L1915">
            <v>0</v>
          </cell>
          <cell r="Z1915">
            <v>0</v>
          </cell>
        </row>
        <row r="1917">
          <cell r="E1917" t="str">
            <v>VARIOS</v>
          </cell>
          <cell r="I1917">
            <v>0</v>
          </cell>
          <cell r="L1917">
            <v>0</v>
          </cell>
          <cell r="Z1917">
            <v>0</v>
          </cell>
        </row>
        <row r="1919">
          <cell r="E1919" t="str">
            <v>SUBTOTAL</v>
          </cell>
          <cell r="I1919">
            <v>2198.5</v>
          </cell>
          <cell r="L1919">
            <v>0</v>
          </cell>
          <cell r="Z1919" t="e">
            <v>#VALUE!</v>
          </cell>
        </row>
        <row r="1920">
          <cell r="E1920" t="str">
            <v>A.I.U</v>
          </cell>
          <cell r="I1920">
            <v>0</v>
          </cell>
          <cell r="L1920">
            <v>0</v>
          </cell>
          <cell r="Z1920">
            <v>0</v>
          </cell>
        </row>
        <row r="1921">
          <cell r="D1921" t="str">
            <v>AIUAADMON</v>
          </cell>
          <cell r="E1921" t="str">
            <v>Admon</v>
          </cell>
          <cell r="F1921">
            <v>0</v>
          </cell>
          <cell r="I1921">
            <v>0</v>
          </cell>
          <cell r="J1921">
            <v>0</v>
          </cell>
          <cell r="L1921">
            <v>0</v>
          </cell>
          <cell r="Z1921">
            <v>0</v>
          </cell>
        </row>
        <row r="1922">
          <cell r="D1922" t="str">
            <v>AIUAIMPRE</v>
          </cell>
          <cell r="E1922" t="str">
            <v>Imprevistos</v>
          </cell>
          <cell r="F1922">
            <v>0</v>
          </cell>
          <cell r="I1922">
            <v>0</v>
          </cell>
          <cell r="J1922">
            <v>0</v>
          </cell>
          <cell r="L1922">
            <v>0</v>
          </cell>
          <cell r="Z1922">
            <v>0</v>
          </cell>
        </row>
        <row r="1923">
          <cell r="D1923" t="str">
            <v>AIUAUTILI</v>
          </cell>
          <cell r="E1923" t="str">
            <v>Utilidad</v>
          </cell>
          <cell r="F1923">
            <v>0</v>
          </cell>
          <cell r="I1923">
            <v>0</v>
          </cell>
          <cell r="J1923">
            <v>0</v>
          </cell>
          <cell r="L1923">
            <v>0</v>
          </cell>
          <cell r="Z1923">
            <v>0</v>
          </cell>
        </row>
        <row r="1924">
          <cell r="D1924" t="str">
            <v>AIUAIVAUTI</v>
          </cell>
          <cell r="E1924" t="str">
            <v>IVA utilidad</v>
          </cell>
          <cell r="F1924">
            <v>0</v>
          </cell>
          <cell r="I1924">
            <v>0</v>
          </cell>
          <cell r="J1924">
            <v>0</v>
          </cell>
          <cell r="L1924">
            <v>0</v>
          </cell>
          <cell r="Z1924">
            <v>0</v>
          </cell>
        </row>
        <row r="1926">
          <cell r="E1926" t="str">
            <v>ITEM</v>
          </cell>
        </row>
        <row r="1927">
          <cell r="D1927" t="str">
            <v>HIA2</v>
          </cell>
          <cell r="E1927" t="str">
            <v>Acero A-37 Nª 2 Chipa</v>
          </cell>
          <cell r="G1927" t="str">
            <v>UN.</v>
          </cell>
          <cell r="H1927" t="str">
            <v>Kg</v>
          </cell>
          <cell r="I1927">
            <v>1404</v>
          </cell>
          <cell r="K1927">
            <v>0</v>
          </cell>
          <cell r="L1927">
            <v>0</v>
          </cell>
          <cell r="N1927">
            <v>1404</v>
          </cell>
          <cell r="O1927">
            <v>0</v>
          </cell>
          <cell r="P1927">
            <v>0</v>
          </cell>
          <cell r="Q1927">
            <v>0</v>
          </cell>
          <cell r="X1927">
            <v>0</v>
          </cell>
          <cell r="Z1927" t="e">
            <v>#VALUE!</v>
          </cell>
          <cell r="AA1927" t="e">
            <v>#VALUE!</v>
          </cell>
          <cell r="AB1927">
            <v>0</v>
          </cell>
          <cell r="AC1927">
            <v>0</v>
          </cell>
        </row>
        <row r="1928">
          <cell r="I1928">
            <v>28080</v>
          </cell>
        </row>
        <row r="1929">
          <cell r="D1929" t="str">
            <v>CODIGO</v>
          </cell>
          <cell r="E1929" t="str">
            <v>DESCRIPCION</v>
          </cell>
          <cell r="F1929" t="str">
            <v>UN</v>
          </cell>
          <cell r="G1929" t="str">
            <v>CANT</v>
          </cell>
          <cell r="H1929" t="str">
            <v>V/UNIT.</v>
          </cell>
          <cell r="I1929" t="str">
            <v>V/TOTAL</v>
          </cell>
          <cell r="K1929" t="str">
            <v>CANT TOTAL</v>
          </cell>
          <cell r="L1929" t="str">
            <v>Vr TOTAL</v>
          </cell>
          <cell r="Y1929" t="str">
            <v>CANT.</v>
          </cell>
          <cell r="Z1929" t="str">
            <v>V/TOTAL</v>
          </cell>
        </row>
        <row r="1930">
          <cell r="E1930" t="str">
            <v>MATERIALES</v>
          </cell>
          <cell r="I1930">
            <v>1404</v>
          </cell>
          <cell r="L1930">
            <v>0</v>
          </cell>
          <cell r="Z1930" t="e">
            <v>#VALUE!</v>
          </cell>
        </row>
        <row r="1931">
          <cell r="D1931" t="str">
            <v>MA01A2</v>
          </cell>
          <cell r="E1931" t="str">
            <v>Acero A-2</v>
          </cell>
          <cell r="F1931" t="str">
            <v>Kg</v>
          </cell>
          <cell r="G1931">
            <v>1</v>
          </cell>
          <cell r="H1931">
            <v>1404</v>
          </cell>
          <cell r="I1931">
            <v>1404</v>
          </cell>
          <cell r="J1931">
            <v>0</v>
          </cell>
          <cell r="K1931">
            <v>0</v>
          </cell>
          <cell r="L1931">
            <v>0</v>
          </cell>
          <cell r="Y1931" t="e">
            <v>#VALUE!</v>
          </cell>
          <cell r="Z1931" t="e">
            <v>#VALUE!</v>
          </cell>
        </row>
        <row r="1934">
          <cell r="E1934" t="str">
            <v>MANO DE OBRA</v>
          </cell>
          <cell r="I1934">
            <v>0</v>
          </cell>
          <cell r="L1934">
            <v>0</v>
          </cell>
          <cell r="Z1934">
            <v>0</v>
          </cell>
        </row>
        <row r="1936">
          <cell r="E1936" t="str">
            <v>VARIOS</v>
          </cell>
          <cell r="I1936">
            <v>0</v>
          </cell>
          <cell r="L1936">
            <v>0</v>
          </cell>
          <cell r="Z1936">
            <v>0</v>
          </cell>
        </row>
        <row r="1938">
          <cell r="E1938" t="str">
            <v>SUBTOTAL</v>
          </cell>
          <cell r="I1938">
            <v>1404</v>
          </cell>
          <cell r="L1938">
            <v>0</v>
          </cell>
          <cell r="Z1938" t="e">
            <v>#VALUE!</v>
          </cell>
        </row>
        <row r="1939">
          <cell r="E1939" t="str">
            <v>A.I.U</v>
          </cell>
          <cell r="I1939">
            <v>0</v>
          </cell>
          <cell r="L1939">
            <v>0</v>
          </cell>
          <cell r="Z1939">
            <v>0</v>
          </cell>
        </row>
        <row r="1940">
          <cell r="D1940" t="str">
            <v>AIUAADMON</v>
          </cell>
          <cell r="E1940" t="str">
            <v>Admon</v>
          </cell>
          <cell r="F1940">
            <v>0</v>
          </cell>
          <cell r="I1940">
            <v>0</v>
          </cell>
          <cell r="J1940">
            <v>0</v>
          </cell>
          <cell r="L1940">
            <v>0</v>
          </cell>
          <cell r="Z1940">
            <v>0</v>
          </cell>
        </row>
        <row r="1941">
          <cell r="D1941" t="str">
            <v>AIUAIMPRE</v>
          </cell>
          <cell r="E1941" t="str">
            <v>Imprevistos</v>
          </cell>
          <cell r="F1941">
            <v>0</v>
          </cell>
          <cell r="I1941">
            <v>0</v>
          </cell>
          <cell r="J1941">
            <v>0</v>
          </cell>
          <cell r="L1941">
            <v>0</v>
          </cell>
          <cell r="Z1941">
            <v>0</v>
          </cell>
        </row>
        <row r="1942">
          <cell r="D1942" t="str">
            <v>AIUAUTILI</v>
          </cell>
          <cell r="E1942" t="str">
            <v>Utilidad</v>
          </cell>
          <cell r="F1942">
            <v>0</v>
          </cell>
          <cell r="I1942">
            <v>0</v>
          </cell>
          <cell r="J1942">
            <v>0</v>
          </cell>
          <cell r="L1942">
            <v>0</v>
          </cell>
          <cell r="Z1942">
            <v>0</v>
          </cell>
        </row>
        <row r="1943">
          <cell r="D1943" t="str">
            <v>AIUAIVAUTI</v>
          </cell>
          <cell r="E1943" t="str">
            <v>IVA utilidad</v>
          </cell>
          <cell r="F1943">
            <v>0</v>
          </cell>
          <cell r="I1943">
            <v>0</v>
          </cell>
          <cell r="J1943">
            <v>0</v>
          </cell>
          <cell r="L1943">
            <v>0</v>
          </cell>
          <cell r="Z1943">
            <v>0</v>
          </cell>
        </row>
        <row r="1945">
          <cell r="E1945" t="str">
            <v>ITEM</v>
          </cell>
        </row>
        <row r="1946">
          <cell r="D1946" t="str">
            <v>HIA3</v>
          </cell>
          <cell r="E1946" t="str">
            <v>Acero A-37 Nª 3 Chipa</v>
          </cell>
          <cell r="G1946" t="str">
            <v>UN.</v>
          </cell>
          <cell r="H1946" t="str">
            <v>Kg</v>
          </cell>
          <cell r="I1946">
            <v>1404</v>
          </cell>
          <cell r="K1946">
            <v>0</v>
          </cell>
          <cell r="L1946">
            <v>0</v>
          </cell>
          <cell r="N1946">
            <v>1404</v>
          </cell>
          <cell r="O1946">
            <v>0</v>
          </cell>
          <cell r="P1946">
            <v>0</v>
          </cell>
          <cell r="Q1946">
            <v>0</v>
          </cell>
          <cell r="X1946">
            <v>0</v>
          </cell>
          <cell r="Y1946" t="str">
            <v>Kg</v>
          </cell>
          <cell r="Z1946" t="e">
            <v>#VALUE!</v>
          </cell>
          <cell r="AA1946" t="e">
            <v>#VALUE!</v>
          </cell>
          <cell r="AB1946">
            <v>0</v>
          </cell>
          <cell r="AC1946">
            <v>0</v>
          </cell>
        </row>
        <row r="1948">
          <cell r="D1948" t="str">
            <v>CODIGO</v>
          </cell>
          <cell r="E1948" t="str">
            <v>DESCRIPCION</v>
          </cell>
          <cell r="F1948" t="str">
            <v>UN</v>
          </cell>
          <cell r="G1948" t="str">
            <v>CANT</v>
          </cell>
          <cell r="H1948" t="str">
            <v>V/UNIT.</v>
          </cell>
          <cell r="I1948" t="str">
            <v>V/TOTAL</v>
          </cell>
          <cell r="K1948" t="str">
            <v>CANT TOTAL</v>
          </cell>
          <cell r="L1948" t="str">
            <v>Vr TOTAL</v>
          </cell>
          <cell r="Y1948" t="str">
            <v>CANT.</v>
          </cell>
          <cell r="Z1948" t="str">
            <v>V/TOTAL</v>
          </cell>
        </row>
        <row r="1949">
          <cell r="E1949" t="str">
            <v>MATERIALES</v>
          </cell>
          <cell r="I1949">
            <v>1404</v>
          </cell>
          <cell r="L1949">
            <v>0</v>
          </cell>
          <cell r="Z1949" t="e">
            <v>#VALUE!</v>
          </cell>
        </row>
        <row r="1950">
          <cell r="D1950" t="str">
            <v>MA01A3</v>
          </cell>
          <cell r="E1950" t="str">
            <v>Acero A-3</v>
          </cell>
          <cell r="F1950" t="str">
            <v>Kg</v>
          </cell>
          <cell r="G1950">
            <v>1</v>
          </cell>
          <cell r="H1950">
            <v>1404</v>
          </cell>
          <cell r="I1950">
            <v>1404</v>
          </cell>
          <cell r="J1950">
            <v>0</v>
          </cell>
          <cell r="K1950">
            <v>0</v>
          </cell>
          <cell r="L1950">
            <v>0</v>
          </cell>
          <cell r="Y1950" t="e">
            <v>#VALUE!</v>
          </cell>
          <cell r="Z1950" t="e">
            <v>#VALUE!</v>
          </cell>
        </row>
        <row r="1953">
          <cell r="E1953" t="str">
            <v>MANO DE OBRA</v>
          </cell>
          <cell r="I1953">
            <v>0</v>
          </cell>
          <cell r="L1953">
            <v>0</v>
          </cell>
          <cell r="Z1953">
            <v>0</v>
          </cell>
        </row>
        <row r="1955">
          <cell r="E1955" t="str">
            <v>VARIOS</v>
          </cell>
          <cell r="I1955">
            <v>0</v>
          </cell>
          <cell r="L1955">
            <v>0</v>
          </cell>
          <cell r="Z1955">
            <v>0</v>
          </cell>
        </row>
        <row r="1957">
          <cell r="E1957" t="str">
            <v>SUBTOTAL</v>
          </cell>
          <cell r="I1957">
            <v>1404</v>
          </cell>
          <cell r="L1957">
            <v>0</v>
          </cell>
          <cell r="Z1957" t="e">
            <v>#VALUE!</v>
          </cell>
        </row>
        <row r="1958">
          <cell r="E1958" t="str">
            <v>A.I.U</v>
          </cell>
          <cell r="I1958">
            <v>0</v>
          </cell>
          <cell r="L1958">
            <v>0</v>
          </cell>
          <cell r="Z1958">
            <v>0</v>
          </cell>
        </row>
        <row r="1959">
          <cell r="D1959" t="str">
            <v>AIUAADMON</v>
          </cell>
          <cell r="E1959" t="str">
            <v>Admon</v>
          </cell>
          <cell r="F1959">
            <v>0</v>
          </cell>
          <cell r="I1959">
            <v>0</v>
          </cell>
          <cell r="J1959">
            <v>0</v>
          </cell>
          <cell r="L1959">
            <v>0</v>
          </cell>
          <cell r="Z1959">
            <v>0</v>
          </cell>
        </row>
        <row r="1960">
          <cell r="D1960" t="str">
            <v>AIUAIMPRE</v>
          </cell>
          <cell r="E1960" t="str">
            <v>Imprevistos</v>
          </cell>
          <cell r="F1960">
            <v>0</v>
          </cell>
          <cell r="I1960">
            <v>0</v>
          </cell>
          <cell r="J1960">
            <v>0</v>
          </cell>
          <cell r="L1960">
            <v>0</v>
          </cell>
          <cell r="Z1960">
            <v>0</v>
          </cell>
        </row>
        <row r="1961">
          <cell r="D1961" t="str">
            <v>AIUAUTILI</v>
          </cell>
          <cell r="E1961" t="str">
            <v>Utilidad</v>
          </cell>
          <cell r="F1961">
            <v>0</v>
          </cell>
          <cell r="I1961">
            <v>0</v>
          </cell>
          <cell r="J1961">
            <v>0</v>
          </cell>
          <cell r="L1961">
            <v>0</v>
          </cell>
          <cell r="Z1961">
            <v>0</v>
          </cell>
        </row>
        <row r="1962">
          <cell r="D1962" t="str">
            <v>AIUAIVAUTI</v>
          </cell>
          <cell r="E1962" t="str">
            <v>IVA utilidad</v>
          </cell>
          <cell r="F1962">
            <v>0</v>
          </cell>
          <cell r="I1962">
            <v>0</v>
          </cell>
          <cell r="J1962">
            <v>0</v>
          </cell>
          <cell r="L1962">
            <v>0</v>
          </cell>
          <cell r="Z1962">
            <v>0</v>
          </cell>
        </row>
        <row r="1964">
          <cell r="E1964" t="str">
            <v>ITEM</v>
          </cell>
        </row>
        <row r="1965">
          <cell r="D1965" t="str">
            <v>COIMPA14</v>
          </cell>
          <cell r="E1965" t="str">
            <v xml:space="preserve">Instalacion Comcreto Baja Resistencia 7-17,5 Mpa </v>
          </cell>
          <cell r="G1965" t="str">
            <v>UN.</v>
          </cell>
          <cell r="H1965" t="str">
            <v>M3</v>
          </cell>
          <cell r="I1965">
            <v>261150</v>
          </cell>
          <cell r="K1965">
            <v>2</v>
          </cell>
          <cell r="L1965">
            <v>522300</v>
          </cell>
          <cell r="N1965">
            <v>0</v>
          </cell>
          <cell r="O1965">
            <v>250000</v>
          </cell>
          <cell r="P1965">
            <v>11150</v>
          </cell>
          <cell r="Q1965">
            <v>0</v>
          </cell>
          <cell r="X1965">
            <v>522300</v>
          </cell>
          <cell r="Y1965" t="str">
            <v>M3</v>
          </cell>
          <cell r="Z1965" t="e">
            <v>#N/A</v>
          </cell>
          <cell r="AA1965">
            <v>0</v>
          </cell>
          <cell r="AB1965" t="e">
            <v>#N/A</v>
          </cell>
          <cell r="AC1965" t="e">
            <v>#N/A</v>
          </cell>
        </row>
        <row r="1967">
          <cell r="D1967" t="str">
            <v>CODIGO</v>
          </cell>
          <cell r="E1967" t="str">
            <v>DESCRIPCION</v>
          </cell>
          <cell r="F1967" t="str">
            <v>UN</v>
          </cell>
          <cell r="G1967" t="str">
            <v>CANT</v>
          </cell>
          <cell r="H1967" t="str">
            <v>V/UNIT.</v>
          </cell>
          <cell r="I1967" t="str">
            <v>V/TOTAL</v>
          </cell>
          <cell r="K1967" t="str">
            <v>CANT TOTAL</v>
          </cell>
          <cell r="L1967" t="str">
            <v>Vr TOTAL</v>
          </cell>
          <cell r="Y1967" t="str">
            <v>CANT.</v>
          </cell>
          <cell r="Z1967" t="str">
            <v>V/TOTAL</v>
          </cell>
        </row>
        <row r="1968">
          <cell r="E1968" t="str">
            <v>MATERIALES</v>
          </cell>
          <cell r="I1968">
            <v>0</v>
          </cell>
          <cell r="L1968">
            <v>0</v>
          </cell>
          <cell r="Z1968">
            <v>0</v>
          </cell>
        </row>
        <row r="1969">
          <cell r="I1969">
            <v>0</v>
          </cell>
          <cell r="J1969">
            <v>0</v>
          </cell>
          <cell r="K1969">
            <v>0</v>
          </cell>
          <cell r="L1969">
            <v>0</v>
          </cell>
          <cell r="Y1969">
            <v>0</v>
          </cell>
          <cell r="Z1969">
            <v>0</v>
          </cell>
        </row>
        <row r="1972">
          <cell r="E1972" t="str">
            <v>MANO DE OBRA</v>
          </cell>
          <cell r="I1972">
            <v>250000</v>
          </cell>
          <cell r="L1972">
            <v>500000</v>
          </cell>
          <cell r="Z1972" t="e">
            <v>#N/A</v>
          </cell>
        </row>
        <row r="1973">
          <cell r="D1973" t="str">
            <v>MOCOIMPA14</v>
          </cell>
          <cell r="E1973" t="str">
            <v>Instalacion Concretos Baja Resistencia</v>
          </cell>
          <cell r="F1973" t="str">
            <v>M3</v>
          </cell>
          <cell r="G1973">
            <v>1</v>
          </cell>
          <cell r="H1973">
            <v>250000</v>
          </cell>
          <cell r="I1973">
            <v>250000</v>
          </cell>
          <cell r="J1973">
            <v>0</v>
          </cell>
          <cell r="K1973">
            <v>2</v>
          </cell>
          <cell r="L1973">
            <v>500000</v>
          </cell>
          <cell r="Y1973" t="e">
            <v>#N/A</v>
          </cell>
          <cell r="Z1973" t="e">
            <v>#N/A</v>
          </cell>
        </row>
        <row r="1974">
          <cell r="E1974" t="str">
            <v>VARIOS</v>
          </cell>
          <cell r="I1974">
            <v>11150</v>
          </cell>
          <cell r="L1974">
            <v>22300</v>
          </cell>
          <cell r="Z1974" t="e">
            <v>#N/A</v>
          </cell>
        </row>
        <row r="1975">
          <cell r="D1975" t="str">
            <v>TC07H500</v>
          </cell>
          <cell r="E1975" t="str">
            <v>Herramienta y Varios</v>
          </cell>
          <cell r="F1975" t="str">
            <v>Gb</v>
          </cell>
          <cell r="G1975">
            <v>1</v>
          </cell>
          <cell r="H1975">
            <v>500</v>
          </cell>
          <cell r="I1975">
            <v>500</v>
          </cell>
          <cell r="J1975">
            <v>0</v>
          </cell>
          <cell r="K1975">
            <v>2</v>
          </cell>
          <cell r="L1975">
            <v>1000</v>
          </cell>
          <cell r="Y1975" t="e">
            <v>#N/A</v>
          </cell>
          <cell r="Z1975" t="e">
            <v>#N/A</v>
          </cell>
        </row>
        <row r="1976">
          <cell r="D1976" t="str">
            <v>AL07FTE</v>
          </cell>
          <cell r="E1976" t="str">
            <v>Formaleta Tipica Estructural</v>
          </cell>
          <cell r="F1976" t="str">
            <v>m2</v>
          </cell>
          <cell r="G1976">
            <v>1</v>
          </cell>
          <cell r="H1976">
            <v>4800</v>
          </cell>
          <cell r="I1976">
            <v>4800</v>
          </cell>
          <cell r="J1976">
            <v>0</v>
          </cell>
          <cell r="K1976">
            <v>2</v>
          </cell>
          <cell r="L1976">
            <v>9600</v>
          </cell>
          <cell r="Y1976" t="e">
            <v>#N/A</v>
          </cell>
          <cell r="Z1976" t="e">
            <v>#N/A</v>
          </cell>
        </row>
        <row r="1977">
          <cell r="D1977" t="str">
            <v>AL07VCG</v>
          </cell>
          <cell r="E1977" t="str">
            <v>Vibrador para concretos a Gasolina</v>
          </cell>
          <cell r="F1977" t="str">
            <v>Hr</v>
          </cell>
          <cell r="G1977">
            <v>0.13</v>
          </cell>
          <cell r="H1977">
            <v>45000</v>
          </cell>
          <cell r="I1977">
            <v>5850</v>
          </cell>
          <cell r="J1977">
            <v>0</v>
          </cell>
          <cell r="K1977">
            <v>0.26</v>
          </cell>
          <cell r="L1977">
            <v>11700</v>
          </cell>
          <cell r="Y1977" t="e">
            <v>#N/A</v>
          </cell>
          <cell r="Z1977" t="e">
            <v>#N/A</v>
          </cell>
        </row>
        <row r="1978">
          <cell r="E1978" t="str">
            <v>SUBTOTAL</v>
          </cell>
          <cell r="I1978">
            <v>261150</v>
          </cell>
          <cell r="L1978">
            <v>522300</v>
          </cell>
          <cell r="Z1978" t="e">
            <v>#N/A</v>
          </cell>
        </row>
        <row r="1979">
          <cell r="E1979" t="str">
            <v>A.I.U</v>
          </cell>
          <cell r="I1979">
            <v>0</v>
          </cell>
          <cell r="L1979">
            <v>0</v>
          </cell>
          <cell r="Z1979">
            <v>0</v>
          </cell>
        </row>
        <row r="1980">
          <cell r="D1980" t="str">
            <v>AIUAADMON</v>
          </cell>
          <cell r="E1980" t="str">
            <v>Admon</v>
          </cell>
          <cell r="F1980">
            <v>0</v>
          </cell>
          <cell r="I1980">
            <v>0</v>
          </cell>
          <cell r="J1980">
            <v>0</v>
          </cell>
          <cell r="L1980">
            <v>0</v>
          </cell>
          <cell r="Z1980">
            <v>0</v>
          </cell>
        </row>
        <row r="1981">
          <cell r="D1981" t="str">
            <v>AIUAIMPRE</v>
          </cell>
          <cell r="E1981" t="str">
            <v>Imprevistos</v>
          </cell>
          <cell r="F1981">
            <v>0</v>
          </cell>
          <cell r="I1981">
            <v>0</v>
          </cell>
          <cell r="J1981">
            <v>0</v>
          </cell>
          <cell r="L1981">
            <v>0</v>
          </cell>
          <cell r="Z1981">
            <v>0</v>
          </cell>
        </row>
        <row r="1982">
          <cell r="D1982" t="str">
            <v>AIUAUTILI</v>
          </cell>
          <cell r="E1982" t="str">
            <v>Utilidad</v>
          </cell>
          <cell r="F1982">
            <v>0</v>
          </cell>
          <cell r="I1982">
            <v>0</v>
          </cell>
          <cell r="J1982">
            <v>0</v>
          </cell>
          <cell r="L1982">
            <v>0</v>
          </cell>
          <cell r="Z1982">
            <v>0</v>
          </cell>
        </row>
        <row r="1983">
          <cell r="D1983" t="str">
            <v>AIUAIVAUTI</v>
          </cell>
          <cell r="E1983" t="str">
            <v>IVA utilidad</v>
          </cell>
          <cell r="F1983">
            <v>0</v>
          </cell>
          <cell r="I1983">
            <v>0</v>
          </cell>
          <cell r="J1983">
            <v>0</v>
          </cell>
          <cell r="L1983">
            <v>0</v>
          </cell>
          <cell r="Z1983">
            <v>0</v>
          </cell>
        </row>
        <row r="1985">
          <cell r="E1985" t="str">
            <v>ITEM</v>
          </cell>
        </row>
        <row r="1986">
          <cell r="D1986" t="str">
            <v>COMPA14</v>
          </cell>
          <cell r="E1986" t="str">
            <v>Comcreto resistencia 14.0 Mpa (140 Kg/cm2)</v>
          </cell>
          <cell r="G1986" t="str">
            <v>UN.</v>
          </cell>
          <cell r="H1986" t="str">
            <v>M3</v>
          </cell>
          <cell r="I1986">
            <v>187125</v>
          </cell>
          <cell r="K1986">
            <v>20</v>
          </cell>
          <cell r="L1986">
            <v>3742500</v>
          </cell>
          <cell r="N1986">
            <v>183525</v>
          </cell>
          <cell r="O1986">
            <v>0</v>
          </cell>
          <cell r="P1986">
            <v>3600</v>
          </cell>
          <cell r="Q1986">
            <v>0</v>
          </cell>
          <cell r="X1986">
            <v>3742500</v>
          </cell>
          <cell r="Y1986" t="str">
            <v>M3</v>
          </cell>
          <cell r="Z1986" t="e">
            <v>#N/A</v>
          </cell>
          <cell r="AA1986" t="e">
            <v>#N/A</v>
          </cell>
          <cell r="AB1986">
            <v>0</v>
          </cell>
          <cell r="AC1986" t="e">
            <v>#N/A</v>
          </cell>
        </row>
        <row r="1988">
          <cell r="D1988" t="str">
            <v>CODIGO</v>
          </cell>
          <cell r="E1988" t="str">
            <v>DESCRIPCION</v>
          </cell>
          <cell r="F1988" t="str">
            <v>UN</v>
          </cell>
          <cell r="G1988" t="str">
            <v>CANT</v>
          </cell>
          <cell r="H1988" t="str">
            <v>V/UNIT.</v>
          </cell>
          <cell r="I1988" t="str">
            <v>V/TOTAL</v>
          </cell>
          <cell r="K1988" t="str">
            <v>CANT TOTAL</v>
          </cell>
          <cell r="L1988" t="str">
            <v>Vr TOTAL</v>
          </cell>
          <cell r="Y1988" t="str">
            <v>CANT.</v>
          </cell>
          <cell r="Z1988" t="str">
            <v>V/TOTAL</v>
          </cell>
        </row>
        <row r="1989">
          <cell r="E1989" t="str">
            <v>MATERIALES</v>
          </cell>
          <cell r="I1989">
            <v>183525</v>
          </cell>
          <cell r="L1989">
            <v>3670500</v>
          </cell>
          <cell r="Z1989" t="e">
            <v>#N/A</v>
          </cell>
        </row>
        <row r="1990">
          <cell r="D1990" t="str">
            <v>MA04C2</v>
          </cell>
          <cell r="E1990" t="str">
            <v>Concreto 2000 psi</v>
          </cell>
          <cell r="F1990" t="str">
            <v>M3</v>
          </cell>
          <cell r="G1990">
            <v>1</v>
          </cell>
          <cell r="H1990">
            <v>183525</v>
          </cell>
          <cell r="I1990">
            <v>183525</v>
          </cell>
          <cell r="J1990">
            <v>0</v>
          </cell>
          <cell r="K1990">
            <v>20</v>
          </cell>
          <cell r="L1990">
            <v>3670500</v>
          </cell>
          <cell r="Y1990" t="e">
            <v>#N/A</v>
          </cell>
          <cell r="Z1990" t="e">
            <v>#N/A</v>
          </cell>
        </row>
        <row r="1993">
          <cell r="E1993" t="str">
            <v>MANO DE OBRA</v>
          </cell>
          <cell r="I1993">
            <v>0</v>
          </cell>
          <cell r="L1993">
            <v>0</v>
          </cell>
          <cell r="Z1993">
            <v>0</v>
          </cell>
        </row>
        <row r="1995">
          <cell r="E1995" t="str">
            <v>VARIOS</v>
          </cell>
          <cell r="I1995">
            <v>3600</v>
          </cell>
          <cell r="L1995">
            <v>72000</v>
          </cell>
          <cell r="Z1995" t="e">
            <v>#N/A</v>
          </cell>
        </row>
        <row r="1996">
          <cell r="D1996" t="str">
            <v>AL07VCG</v>
          </cell>
          <cell r="E1996" t="str">
            <v>Vibrador para concretos a Gasolina</v>
          </cell>
          <cell r="F1996" t="str">
            <v>Hr</v>
          </cell>
          <cell r="G1996">
            <v>0.08</v>
          </cell>
          <cell r="H1996">
            <v>45000</v>
          </cell>
          <cell r="I1996">
            <v>3600</v>
          </cell>
          <cell r="J1996">
            <v>0</v>
          </cell>
          <cell r="K1996">
            <v>1.6</v>
          </cell>
          <cell r="L1996">
            <v>72000</v>
          </cell>
          <cell r="Y1996" t="e">
            <v>#N/A</v>
          </cell>
          <cell r="Z1996" t="e">
            <v>#N/A</v>
          </cell>
        </row>
        <row r="1997">
          <cell r="E1997" t="str">
            <v>SUBTOTAL</v>
          </cell>
          <cell r="I1997">
            <v>187125</v>
          </cell>
          <cell r="L1997">
            <v>3742500</v>
          </cell>
          <cell r="Z1997" t="e">
            <v>#N/A</v>
          </cell>
        </row>
        <row r="1998">
          <cell r="E1998" t="str">
            <v>A.I.U</v>
          </cell>
          <cell r="I1998">
            <v>0</v>
          </cell>
          <cell r="L1998">
            <v>0</v>
          </cell>
          <cell r="Z1998">
            <v>0</v>
          </cell>
        </row>
        <row r="1999">
          <cell r="D1999" t="str">
            <v>AIUAADMON</v>
          </cell>
          <cell r="E1999" t="str">
            <v>Admon</v>
          </cell>
          <cell r="F1999">
            <v>0</v>
          </cell>
          <cell r="I1999">
            <v>0</v>
          </cell>
          <cell r="J1999">
            <v>0</v>
          </cell>
          <cell r="L1999">
            <v>0</v>
          </cell>
          <cell r="Z1999">
            <v>0</v>
          </cell>
        </row>
        <row r="2000">
          <cell r="D2000" t="str">
            <v>AIUAIMPRE</v>
          </cell>
          <cell r="E2000" t="str">
            <v>Imprevistos</v>
          </cell>
          <cell r="F2000">
            <v>0</v>
          </cell>
          <cell r="I2000">
            <v>0</v>
          </cell>
          <cell r="J2000">
            <v>0</v>
          </cell>
          <cell r="L2000">
            <v>0</v>
          </cell>
          <cell r="Z2000">
            <v>0</v>
          </cell>
        </row>
        <row r="2001">
          <cell r="D2001" t="str">
            <v>AIUAUTILI</v>
          </cell>
          <cell r="E2001" t="str">
            <v>Utilidad</v>
          </cell>
          <cell r="F2001">
            <v>0</v>
          </cell>
          <cell r="I2001">
            <v>0</v>
          </cell>
          <cell r="J2001">
            <v>0</v>
          </cell>
          <cell r="L2001">
            <v>0</v>
          </cell>
          <cell r="Z2001">
            <v>0</v>
          </cell>
        </row>
        <row r="2002">
          <cell r="D2002" t="str">
            <v>AIUAIVAUTI</v>
          </cell>
          <cell r="E2002" t="str">
            <v>IVA utilidad</v>
          </cell>
          <cell r="F2002">
            <v>0</v>
          </cell>
          <cell r="I2002">
            <v>0</v>
          </cell>
          <cell r="J2002">
            <v>0</v>
          </cell>
          <cell r="L2002">
            <v>0</v>
          </cell>
          <cell r="Z2002">
            <v>0</v>
          </cell>
        </row>
        <row r="2004">
          <cell r="E2004" t="str">
            <v>ITEM</v>
          </cell>
        </row>
        <row r="2005">
          <cell r="D2005" t="str">
            <v>COMPA17</v>
          </cell>
          <cell r="E2005" t="str">
            <v>Comcreto resistencia 17.5 Mpa (175 Kg/cm2)</v>
          </cell>
          <cell r="G2005" t="str">
            <v>UN.</v>
          </cell>
          <cell r="H2005" t="str">
            <v>M3</v>
          </cell>
          <cell r="I2005">
            <v>198060</v>
          </cell>
          <cell r="K2005">
            <v>0</v>
          </cell>
          <cell r="L2005">
            <v>0</v>
          </cell>
          <cell r="N2005">
            <v>194325</v>
          </cell>
          <cell r="O2005">
            <v>0</v>
          </cell>
          <cell r="P2005">
            <v>3735</v>
          </cell>
          <cell r="Q2005">
            <v>0</v>
          </cell>
          <cell r="X2005">
            <v>0</v>
          </cell>
          <cell r="Y2005" t="str">
            <v>M3</v>
          </cell>
          <cell r="Z2005" t="e">
            <v>#N/A</v>
          </cell>
          <cell r="AA2005" t="e">
            <v>#N/A</v>
          </cell>
          <cell r="AB2005">
            <v>0</v>
          </cell>
          <cell r="AC2005" t="e">
            <v>#N/A</v>
          </cell>
        </row>
        <row r="2007">
          <cell r="D2007" t="str">
            <v>CODIGO</v>
          </cell>
          <cell r="E2007" t="str">
            <v>DESCRIPCION</v>
          </cell>
          <cell r="F2007" t="str">
            <v>UN</v>
          </cell>
          <cell r="G2007" t="str">
            <v>CANT</v>
          </cell>
          <cell r="H2007" t="str">
            <v>V/UNIT.</v>
          </cell>
          <cell r="I2007" t="str">
            <v>V/TOTAL</v>
          </cell>
          <cell r="K2007" t="str">
            <v>CANT TOTAL</v>
          </cell>
          <cell r="L2007" t="str">
            <v>Vr TOTAL</v>
          </cell>
          <cell r="Y2007" t="str">
            <v>CANT.</v>
          </cell>
          <cell r="Z2007" t="str">
            <v>V/TOTAL</v>
          </cell>
        </row>
        <row r="2008">
          <cell r="E2008" t="str">
            <v>MATERIALES</v>
          </cell>
          <cell r="I2008">
            <v>194325</v>
          </cell>
          <cell r="L2008">
            <v>0</v>
          </cell>
          <cell r="Z2008" t="e">
            <v>#N/A</v>
          </cell>
        </row>
        <row r="2009">
          <cell r="D2009" t="str">
            <v>MA04C25</v>
          </cell>
          <cell r="E2009" t="str">
            <v>Concreto 2500 psi</v>
          </cell>
          <cell r="F2009" t="str">
            <v>M3</v>
          </cell>
          <cell r="G2009">
            <v>1</v>
          </cell>
          <cell r="H2009">
            <v>194325</v>
          </cell>
          <cell r="I2009">
            <v>194325</v>
          </cell>
          <cell r="J2009">
            <v>0</v>
          </cell>
          <cell r="K2009">
            <v>0</v>
          </cell>
          <cell r="L2009">
            <v>0</v>
          </cell>
          <cell r="Y2009" t="e">
            <v>#N/A</v>
          </cell>
          <cell r="Z2009" t="e">
            <v>#N/A</v>
          </cell>
        </row>
        <row r="2012">
          <cell r="E2012" t="str">
            <v>MANO DE OBRA</v>
          </cell>
          <cell r="I2012">
            <v>0</v>
          </cell>
          <cell r="L2012">
            <v>0</v>
          </cell>
          <cell r="Z2012">
            <v>0</v>
          </cell>
        </row>
        <row r="2014">
          <cell r="E2014" t="str">
            <v>VARIOS</v>
          </cell>
          <cell r="I2014">
            <v>3735</v>
          </cell>
          <cell r="L2014">
            <v>0</v>
          </cell>
          <cell r="Z2014" t="e">
            <v>#N/A</v>
          </cell>
        </row>
        <row r="2015">
          <cell r="D2015" t="str">
            <v>AL07VCG</v>
          </cell>
          <cell r="E2015" t="str">
            <v>Vibrador para concretos a Gasolina</v>
          </cell>
          <cell r="F2015" t="str">
            <v>Hr</v>
          </cell>
          <cell r="G2015">
            <v>8.3000000000000004E-2</v>
          </cell>
          <cell r="H2015">
            <v>45000</v>
          </cell>
          <cell r="I2015">
            <v>3735</v>
          </cell>
          <cell r="J2015">
            <v>0</v>
          </cell>
          <cell r="K2015">
            <v>0</v>
          </cell>
          <cell r="L2015">
            <v>0</v>
          </cell>
          <cell r="Y2015" t="e">
            <v>#N/A</v>
          </cell>
          <cell r="Z2015" t="e">
            <v>#N/A</v>
          </cell>
        </row>
        <row r="2016">
          <cell r="E2016" t="str">
            <v>SUBTOTAL</v>
          </cell>
          <cell r="I2016">
            <v>198060</v>
          </cell>
          <cell r="L2016">
            <v>0</v>
          </cell>
          <cell r="Z2016" t="e">
            <v>#N/A</v>
          </cell>
        </row>
        <row r="2017">
          <cell r="E2017" t="str">
            <v>A.I.U</v>
          </cell>
          <cell r="I2017">
            <v>0</v>
          </cell>
          <cell r="L2017">
            <v>0</v>
          </cell>
          <cell r="Z2017">
            <v>0</v>
          </cell>
        </row>
        <row r="2018">
          <cell r="D2018" t="str">
            <v>AIUAADMON</v>
          </cell>
          <cell r="E2018" t="str">
            <v>Admon</v>
          </cell>
          <cell r="F2018">
            <v>0</v>
          </cell>
          <cell r="I2018">
            <v>0</v>
          </cell>
          <cell r="J2018">
            <v>0</v>
          </cell>
          <cell r="L2018">
            <v>0</v>
          </cell>
          <cell r="Z2018">
            <v>0</v>
          </cell>
        </row>
        <row r="2019">
          <cell r="D2019" t="str">
            <v>AIUAIMPRE</v>
          </cell>
          <cell r="E2019" t="str">
            <v>Imprevistos</v>
          </cell>
          <cell r="F2019">
            <v>0</v>
          </cell>
          <cell r="I2019">
            <v>0</v>
          </cell>
          <cell r="J2019">
            <v>0</v>
          </cell>
          <cell r="L2019">
            <v>0</v>
          </cell>
          <cell r="Z2019">
            <v>0</v>
          </cell>
        </row>
        <row r="2020">
          <cell r="D2020" t="str">
            <v>AIUAUTILI</v>
          </cell>
          <cell r="E2020" t="str">
            <v>Utilidad</v>
          </cell>
          <cell r="F2020">
            <v>0</v>
          </cell>
          <cell r="I2020">
            <v>0</v>
          </cell>
          <cell r="J2020">
            <v>0</v>
          </cell>
          <cell r="L2020">
            <v>0</v>
          </cell>
          <cell r="Z2020">
            <v>0</v>
          </cell>
        </row>
        <row r="2021">
          <cell r="D2021" t="str">
            <v>AIUAIVAUTI</v>
          </cell>
          <cell r="E2021" t="str">
            <v>IVA utilidad</v>
          </cell>
          <cell r="F2021">
            <v>0</v>
          </cell>
          <cell r="I2021">
            <v>0</v>
          </cell>
          <cell r="J2021">
            <v>0</v>
          </cell>
          <cell r="L2021">
            <v>0</v>
          </cell>
          <cell r="Z2021">
            <v>0</v>
          </cell>
        </row>
        <row r="2023">
          <cell r="E2023" t="str">
            <v>ITEM</v>
          </cell>
        </row>
        <row r="2024">
          <cell r="D2024" t="str">
            <v>COMPA24</v>
          </cell>
          <cell r="E2024" t="str">
            <v>Comcreto resistencia 24.5 Mpa (245 Kg/cm2)</v>
          </cell>
          <cell r="G2024" t="str">
            <v>UN.</v>
          </cell>
          <cell r="H2024" t="str">
            <v>M3</v>
          </cell>
          <cell r="I2024">
            <v>219525</v>
          </cell>
          <cell r="K2024">
            <v>664</v>
          </cell>
          <cell r="L2024">
            <v>145764600</v>
          </cell>
          <cell r="N2024">
            <v>215775</v>
          </cell>
          <cell r="O2024">
            <v>0</v>
          </cell>
          <cell r="P2024">
            <v>3750</v>
          </cell>
          <cell r="Q2024">
            <v>0</v>
          </cell>
          <cell r="X2024">
            <v>145764600</v>
          </cell>
          <cell r="Y2024" t="str">
            <v>M3</v>
          </cell>
          <cell r="Z2024" t="e">
            <v>#N/A</v>
          </cell>
          <cell r="AA2024" t="e">
            <v>#N/A</v>
          </cell>
          <cell r="AB2024">
            <v>0</v>
          </cell>
          <cell r="AC2024" t="e">
            <v>#N/A</v>
          </cell>
        </row>
        <row r="2026">
          <cell r="D2026" t="str">
            <v>CODIGO</v>
          </cell>
          <cell r="E2026" t="str">
            <v>DESCRIPCION</v>
          </cell>
          <cell r="F2026" t="str">
            <v>UN</v>
          </cell>
          <cell r="G2026" t="str">
            <v>CANT</v>
          </cell>
          <cell r="H2026" t="str">
            <v>V/UNIT.</v>
          </cell>
          <cell r="I2026" t="str">
            <v>V/TOTAL</v>
          </cell>
          <cell r="K2026" t="str">
            <v>CANT TOTAL</v>
          </cell>
          <cell r="L2026" t="str">
            <v>Vr TOTAL</v>
          </cell>
          <cell r="Y2026" t="str">
            <v>CANT.</v>
          </cell>
          <cell r="Z2026" t="str">
            <v>V/TOTAL</v>
          </cell>
        </row>
        <row r="2027">
          <cell r="E2027" t="str">
            <v>MATERIALES</v>
          </cell>
          <cell r="I2027">
            <v>215775</v>
          </cell>
          <cell r="L2027">
            <v>143274600</v>
          </cell>
          <cell r="Z2027" t="e">
            <v>#N/A</v>
          </cell>
        </row>
        <row r="2028">
          <cell r="D2028" t="str">
            <v>MA04C35</v>
          </cell>
          <cell r="E2028" t="str">
            <v xml:space="preserve">Concreto 3500 psi </v>
          </cell>
          <cell r="F2028" t="str">
            <v>M3</v>
          </cell>
          <cell r="G2028">
            <v>1</v>
          </cell>
          <cell r="H2028">
            <v>215775</v>
          </cell>
          <cell r="I2028">
            <v>215775</v>
          </cell>
          <cell r="J2028">
            <v>0</v>
          </cell>
          <cell r="K2028">
            <v>664</v>
          </cell>
          <cell r="L2028">
            <v>143274600</v>
          </cell>
          <cell r="Y2028" t="e">
            <v>#N/A</v>
          </cell>
          <cell r="Z2028" t="e">
            <v>#N/A</v>
          </cell>
        </row>
        <row r="2031">
          <cell r="E2031" t="str">
            <v>MANO DE OBRA</v>
          </cell>
          <cell r="I2031">
            <v>0</v>
          </cell>
          <cell r="L2031">
            <v>0</v>
          </cell>
          <cell r="Z2031">
            <v>0</v>
          </cell>
        </row>
        <row r="2033">
          <cell r="E2033" t="str">
            <v>VARIOS</v>
          </cell>
          <cell r="I2033">
            <v>3750</v>
          </cell>
          <cell r="L2033">
            <v>2490000</v>
          </cell>
          <cell r="Z2033" t="e">
            <v>#N/A</v>
          </cell>
        </row>
        <row r="2034">
          <cell r="D2034" t="str">
            <v>AL07VCG</v>
          </cell>
          <cell r="E2034" t="str">
            <v>Vibrador para concretos a Gasolina</v>
          </cell>
          <cell r="F2034" t="str">
            <v>Hr</v>
          </cell>
          <cell r="G2034">
            <v>8.3333333333333329E-2</v>
          </cell>
          <cell r="H2034">
            <v>45000</v>
          </cell>
          <cell r="I2034">
            <v>3750</v>
          </cell>
          <cell r="J2034">
            <v>0</v>
          </cell>
          <cell r="K2034">
            <v>55.333333333333329</v>
          </cell>
          <cell r="L2034">
            <v>2490000</v>
          </cell>
          <cell r="Y2034" t="e">
            <v>#N/A</v>
          </cell>
          <cell r="Z2034" t="e">
            <v>#N/A</v>
          </cell>
        </row>
        <row r="2035">
          <cell r="E2035" t="str">
            <v>SUBTOTAL</v>
          </cell>
          <cell r="I2035">
            <v>219525</v>
          </cell>
          <cell r="L2035">
            <v>145764600</v>
          </cell>
          <cell r="Z2035" t="e">
            <v>#N/A</v>
          </cell>
        </row>
        <row r="2036">
          <cell r="E2036" t="str">
            <v>A.I.U</v>
          </cell>
          <cell r="I2036">
            <v>0</v>
          </cell>
          <cell r="L2036">
            <v>0</v>
          </cell>
          <cell r="Z2036">
            <v>0</v>
          </cell>
        </row>
        <row r="2037">
          <cell r="D2037" t="str">
            <v>AIUAADMON</v>
          </cell>
          <cell r="E2037" t="str">
            <v>Admon</v>
          </cell>
          <cell r="F2037">
            <v>0</v>
          </cell>
          <cell r="I2037">
            <v>0</v>
          </cell>
          <cell r="J2037">
            <v>0</v>
          </cell>
          <cell r="L2037">
            <v>0</v>
          </cell>
          <cell r="Z2037">
            <v>0</v>
          </cell>
        </row>
        <row r="2038">
          <cell r="D2038" t="str">
            <v>AIUAIMPRE</v>
          </cell>
          <cell r="E2038" t="str">
            <v>Imprevistos</v>
          </cell>
          <cell r="F2038">
            <v>0</v>
          </cell>
          <cell r="I2038">
            <v>0</v>
          </cell>
          <cell r="J2038">
            <v>0</v>
          </cell>
          <cell r="L2038">
            <v>0</v>
          </cell>
          <cell r="Z2038">
            <v>0</v>
          </cell>
        </row>
        <row r="2039">
          <cell r="D2039" t="str">
            <v>AIUAUTILI</v>
          </cell>
          <cell r="E2039" t="str">
            <v>Utilidad</v>
          </cell>
          <cell r="F2039">
            <v>0</v>
          </cell>
          <cell r="I2039">
            <v>0</v>
          </cell>
          <cell r="J2039">
            <v>0</v>
          </cell>
          <cell r="L2039">
            <v>0</v>
          </cell>
          <cell r="Z2039">
            <v>0</v>
          </cell>
        </row>
        <row r="2040">
          <cell r="D2040" t="str">
            <v>AIUAIVAUTI</v>
          </cell>
          <cell r="E2040" t="str">
            <v>IVA utilidad</v>
          </cell>
          <cell r="F2040">
            <v>0</v>
          </cell>
          <cell r="I2040">
            <v>0</v>
          </cell>
          <cell r="J2040">
            <v>0</v>
          </cell>
          <cell r="L2040">
            <v>0</v>
          </cell>
          <cell r="Z2040">
            <v>0</v>
          </cell>
        </row>
        <row r="2042">
          <cell r="E2042" t="str">
            <v>ITEM</v>
          </cell>
        </row>
        <row r="2043">
          <cell r="D2043" t="str">
            <v>COMPA28</v>
          </cell>
          <cell r="E2043" t="str">
            <v>Comcreto resistencia 26.0 Mpa (280 Kg/cm2)</v>
          </cell>
          <cell r="G2043" t="str">
            <v>UN.</v>
          </cell>
          <cell r="H2043" t="str">
            <v>M3</v>
          </cell>
          <cell r="I2043">
            <v>228525</v>
          </cell>
          <cell r="K2043">
            <v>15</v>
          </cell>
          <cell r="L2043">
            <v>3427875</v>
          </cell>
          <cell r="N2043">
            <v>224775</v>
          </cell>
          <cell r="O2043">
            <v>0</v>
          </cell>
          <cell r="P2043">
            <v>3750</v>
          </cell>
          <cell r="Q2043">
            <v>0</v>
          </cell>
          <cell r="X2043">
            <v>3427875</v>
          </cell>
          <cell r="Y2043" t="str">
            <v>M3</v>
          </cell>
          <cell r="Z2043" t="e">
            <v>#N/A</v>
          </cell>
          <cell r="AA2043" t="e">
            <v>#N/A</v>
          </cell>
          <cell r="AB2043">
            <v>0</v>
          </cell>
          <cell r="AC2043" t="e">
            <v>#N/A</v>
          </cell>
        </row>
        <row r="2045">
          <cell r="D2045" t="str">
            <v>CODIGO</v>
          </cell>
          <cell r="E2045" t="str">
            <v>DESCRIPCION</v>
          </cell>
          <cell r="F2045" t="str">
            <v>UN</v>
          </cell>
          <cell r="G2045" t="str">
            <v>CANT</v>
          </cell>
          <cell r="H2045" t="str">
            <v>V/UNIT.</v>
          </cell>
          <cell r="I2045" t="str">
            <v>V/TOTAL</v>
          </cell>
          <cell r="K2045" t="str">
            <v>CANT TOTAL</v>
          </cell>
          <cell r="L2045" t="str">
            <v>Vr TOTAL</v>
          </cell>
          <cell r="Y2045" t="str">
            <v>CANT.</v>
          </cell>
          <cell r="Z2045" t="str">
            <v>V/TOTAL</v>
          </cell>
        </row>
        <row r="2046">
          <cell r="E2046" t="str">
            <v>MATERIALES</v>
          </cell>
          <cell r="I2046">
            <v>224775</v>
          </cell>
          <cell r="L2046">
            <v>3371625</v>
          </cell>
          <cell r="Z2046" t="e">
            <v>#N/A</v>
          </cell>
        </row>
        <row r="2047">
          <cell r="D2047" t="str">
            <v>MA04C4</v>
          </cell>
          <cell r="E2047" t="str">
            <v>Concreto 4000 psi</v>
          </cell>
          <cell r="F2047" t="str">
            <v>M3</v>
          </cell>
          <cell r="G2047">
            <v>1</v>
          </cell>
          <cell r="H2047">
            <v>224775</v>
          </cell>
          <cell r="I2047">
            <v>224775</v>
          </cell>
          <cell r="J2047">
            <v>0</v>
          </cell>
          <cell r="K2047">
            <v>15</v>
          </cell>
          <cell r="L2047">
            <v>3371625</v>
          </cell>
          <cell r="Y2047" t="e">
            <v>#N/A</v>
          </cell>
          <cell r="Z2047" t="e">
            <v>#N/A</v>
          </cell>
        </row>
        <row r="2050">
          <cell r="E2050" t="str">
            <v>MANO DE OBRA</v>
          </cell>
          <cell r="I2050">
            <v>0</v>
          </cell>
          <cell r="L2050">
            <v>0</v>
          </cell>
          <cell r="Z2050">
            <v>0</v>
          </cell>
        </row>
        <row r="2052">
          <cell r="E2052" t="str">
            <v>VARIOS</v>
          </cell>
          <cell r="I2052">
            <v>3750</v>
          </cell>
          <cell r="L2052">
            <v>56250</v>
          </cell>
          <cell r="Z2052" t="e">
            <v>#N/A</v>
          </cell>
        </row>
        <row r="2053">
          <cell r="D2053" t="str">
            <v>AL07VCG</v>
          </cell>
          <cell r="E2053" t="str">
            <v>Vibrador para concretos a Gasolina</v>
          </cell>
          <cell r="F2053" t="str">
            <v>Hr</v>
          </cell>
          <cell r="G2053">
            <v>8.3333333333333329E-2</v>
          </cell>
          <cell r="H2053">
            <v>45000</v>
          </cell>
          <cell r="I2053">
            <v>3750</v>
          </cell>
          <cell r="J2053">
            <v>0</v>
          </cell>
          <cell r="K2053">
            <v>1.25</v>
          </cell>
          <cell r="L2053">
            <v>56250</v>
          </cell>
          <cell r="Y2053" t="e">
            <v>#N/A</v>
          </cell>
          <cell r="Z2053" t="e">
            <v>#N/A</v>
          </cell>
        </row>
        <row r="2054">
          <cell r="E2054" t="str">
            <v>SUBTOTAL</v>
          </cell>
          <cell r="I2054">
            <v>228525</v>
          </cell>
          <cell r="L2054">
            <v>3427875</v>
          </cell>
          <cell r="Z2054" t="e">
            <v>#N/A</v>
          </cell>
        </row>
        <row r="2055">
          <cell r="E2055" t="str">
            <v>A.I.U</v>
          </cell>
          <cell r="I2055">
            <v>0</v>
          </cell>
          <cell r="L2055">
            <v>0</v>
          </cell>
          <cell r="Z2055">
            <v>0</v>
          </cell>
        </row>
        <row r="2056">
          <cell r="D2056" t="str">
            <v>AIUAADMON</v>
          </cell>
          <cell r="E2056" t="str">
            <v>Admon</v>
          </cell>
          <cell r="F2056">
            <v>0</v>
          </cell>
          <cell r="I2056">
            <v>0</v>
          </cell>
          <cell r="J2056">
            <v>0</v>
          </cell>
          <cell r="L2056">
            <v>0</v>
          </cell>
          <cell r="Z2056">
            <v>0</v>
          </cell>
        </row>
        <row r="2057">
          <cell r="D2057" t="str">
            <v>AIUAIMPRE</v>
          </cell>
          <cell r="E2057" t="str">
            <v>Imprevistos</v>
          </cell>
          <cell r="F2057">
            <v>0</v>
          </cell>
          <cell r="I2057">
            <v>0</v>
          </cell>
          <cell r="J2057">
            <v>0</v>
          </cell>
          <cell r="L2057">
            <v>0</v>
          </cell>
          <cell r="Z2057">
            <v>0</v>
          </cell>
        </row>
        <row r="2058">
          <cell r="D2058" t="str">
            <v>AIUAUTILI</v>
          </cell>
          <cell r="E2058" t="str">
            <v>Utilidad</v>
          </cell>
          <cell r="F2058">
            <v>0</v>
          </cell>
          <cell r="I2058">
            <v>0</v>
          </cell>
          <cell r="J2058">
            <v>0</v>
          </cell>
          <cell r="L2058">
            <v>0</v>
          </cell>
          <cell r="Z2058">
            <v>0</v>
          </cell>
        </row>
        <row r="2059">
          <cell r="D2059" t="str">
            <v>AIUAIVAUTI</v>
          </cell>
          <cell r="E2059" t="str">
            <v>IVA utilidad</v>
          </cell>
          <cell r="F2059">
            <v>0</v>
          </cell>
          <cell r="I2059">
            <v>0</v>
          </cell>
          <cell r="J2059">
            <v>0</v>
          </cell>
          <cell r="L2059">
            <v>0</v>
          </cell>
          <cell r="Z2059">
            <v>0</v>
          </cell>
        </row>
        <row r="2061">
          <cell r="E2061" t="str">
            <v>ITEM</v>
          </cell>
        </row>
        <row r="2062">
          <cell r="D2062" t="str">
            <v>PETO</v>
          </cell>
          <cell r="E2062" t="str">
            <v>Topografia</v>
          </cell>
          <cell r="G2062" t="str">
            <v>UN.</v>
          </cell>
          <cell r="H2062" t="str">
            <v>Mes</v>
          </cell>
          <cell r="I2062" t="e">
            <v>#N/A</v>
          </cell>
          <cell r="K2062">
            <v>0</v>
          </cell>
          <cell r="L2062" t="e">
            <v>#N/A</v>
          </cell>
          <cell r="P2062" t="e">
            <v>#N/A</v>
          </cell>
          <cell r="Q2062" t="e">
            <v>#N/A</v>
          </cell>
          <cell r="X2062" t="e">
            <v>#N/A</v>
          </cell>
          <cell r="Z2062" t="e">
            <v>#VALUE!</v>
          </cell>
          <cell r="AC2062" t="e">
            <v>#VALUE!</v>
          </cell>
        </row>
        <row r="2064">
          <cell r="D2064" t="str">
            <v>CODIGO</v>
          </cell>
          <cell r="E2064" t="str">
            <v>DESCRIPCION</v>
          </cell>
          <cell r="F2064" t="str">
            <v>UN</v>
          </cell>
          <cell r="G2064" t="str">
            <v>CANT</v>
          </cell>
          <cell r="H2064" t="str">
            <v>V/UNIT.</v>
          </cell>
          <cell r="I2064" t="str">
            <v>V/TOTAL</v>
          </cell>
          <cell r="K2064" t="str">
            <v>CANT TOTAL</v>
          </cell>
          <cell r="L2064" t="str">
            <v>Vr TOTAL</v>
          </cell>
          <cell r="Y2064" t="str">
            <v>CANT.</v>
          </cell>
          <cell r="Z2064" t="str">
            <v>V/TOTAL</v>
          </cell>
        </row>
        <row r="2065">
          <cell r="E2065" t="str">
            <v>VARIOS</v>
          </cell>
          <cell r="I2065" t="e">
            <v>#N/A</v>
          </cell>
          <cell r="L2065" t="e">
            <v>#N/A</v>
          </cell>
          <cell r="Z2065" t="e">
            <v>#VALUE!</v>
          </cell>
        </row>
        <row r="2066">
          <cell r="D2066" t="str">
            <v>TC65T</v>
          </cell>
          <cell r="E2066" t="e">
            <v>#N/A</v>
          </cell>
          <cell r="F2066" t="e">
            <v>#N/A</v>
          </cell>
          <cell r="G2066">
            <v>1</v>
          </cell>
          <cell r="H2066" t="e">
            <v>#N/A</v>
          </cell>
          <cell r="I2066" t="e">
            <v>#N/A</v>
          </cell>
          <cell r="J2066" t="e">
            <v>#N/A</v>
          </cell>
          <cell r="K2066">
            <v>0</v>
          </cell>
          <cell r="L2066" t="e">
            <v>#N/A</v>
          </cell>
          <cell r="Y2066" t="e">
            <v>#VALUE!</v>
          </cell>
          <cell r="Z2066" t="e">
            <v>#VALUE!</v>
          </cell>
        </row>
        <row r="2068">
          <cell r="E2068" t="str">
            <v>SUBTOTAL</v>
          </cell>
          <cell r="I2068" t="e">
            <v>#N/A</v>
          </cell>
          <cell r="L2068" t="e">
            <v>#N/A</v>
          </cell>
          <cell r="Z2068" t="e">
            <v>#VALUE!</v>
          </cell>
        </row>
        <row r="2069">
          <cell r="E2069" t="str">
            <v>A.I.U</v>
          </cell>
          <cell r="I2069" t="e">
            <v>#N/A</v>
          </cell>
          <cell r="L2069" t="e">
            <v>#N/A</v>
          </cell>
          <cell r="Z2069" t="e">
            <v>#N/A</v>
          </cell>
        </row>
        <row r="2070">
          <cell r="D2070" t="str">
            <v>AIUAADMON</v>
          </cell>
          <cell r="E2070" t="str">
            <v>Admon</v>
          </cell>
          <cell r="F2070">
            <v>0</v>
          </cell>
          <cell r="I2070" t="e">
            <v>#N/A</v>
          </cell>
          <cell r="J2070">
            <v>0</v>
          </cell>
          <cell r="L2070" t="e">
            <v>#N/A</v>
          </cell>
          <cell r="Z2070" t="e">
            <v>#N/A</v>
          </cell>
        </row>
        <row r="2071">
          <cell r="D2071" t="str">
            <v>AIUAIMPRE</v>
          </cell>
          <cell r="E2071" t="str">
            <v>Imprevistos</v>
          </cell>
          <cell r="F2071">
            <v>0</v>
          </cell>
          <cell r="I2071" t="e">
            <v>#N/A</v>
          </cell>
          <cell r="J2071">
            <v>0</v>
          </cell>
          <cell r="L2071" t="e">
            <v>#N/A</v>
          </cell>
          <cell r="Z2071" t="e">
            <v>#N/A</v>
          </cell>
        </row>
        <row r="2072">
          <cell r="D2072" t="str">
            <v>AIUAUTILI</v>
          </cell>
          <cell r="E2072" t="str">
            <v>Utilidad</v>
          </cell>
          <cell r="F2072">
            <v>0</v>
          </cell>
          <cell r="I2072" t="e">
            <v>#N/A</v>
          </cell>
          <cell r="J2072">
            <v>0</v>
          </cell>
          <cell r="L2072" t="e">
            <v>#N/A</v>
          </cell>
          <cell r="Z2072" t="e">
            <v>#N/A</v>
          </cell>
        </row>
        <row r="2073">
          <cell r="D2073" t="str">
            <v>AIUAIVAUTI</v>
          </cell>
          <cell r="E2073" t="str">
            <v>IVA utilidad</v>
          </cell>
          <cell r="F2073">
            <v>0</v>
          </cell>
          <cell r="I2073" t="e">
            <v>#N/A</v>
          </cell>
          <cell r="J2073">
            <v>0</v>
          </cell>
          <cell r="L2073" t="e">
            <v>#N/A</v>
          </cell>
          <cell r="Z2073" t="e">
            <v>#N/A</v>
          </cell>
        </row>
        <row r="2075">
          <cell r="E2075" t="str">
            <v>ITEM</v>
          </cell>
        </row>
        <row r="2076">
          <cell r="D2076" t="str">
            <v>PEDO</v>
          </cell>
          <cell r="E2076" t="str">
            <v>Direccion Obra</v>
          </cell>
          <cell r="G2076" t="str">
            <v>UN.</v>
          </cell>
          <cell r="H2076" t="str">
            <v>Mes</v>
          </cell>
          <cell r="I2076" t="e">
            <v>#N/A</v>
          </cell>
          <cell r="K2076">
            <v>0</v>
          </cell>
          <cell r="L2076" t="e">
            <v>#N/A</v>
          </cell>
          <cell r="P2076" t="e">
            <v>#N/A</v>
          </cell>
          <cell r="Q2076" t="e">
            <v>#N/A</v>
          </cell>
          <cell r="X2076" t="e">
            <v>#N/A</v>
          </cell>
          <cell r="Z2076" t="e">
            <v>#VALUE!</v>
          </cell>
          <cell r="AC2076" t="e">
            <v>#VALUE!</v>
          </cell>
        </row>
        <row r="2078">
          <cell r="D2078" t="str">
            <v>CODIGO</v>
          </cell>
          <cell r="E2078" t="str">
            <v>DESCRIPCION</v>
          </cell>
          <cell r="F2078" t="str">
            <v>UN</v>
          </cell>
          <cell r="G2078" t="str">
            <v>CANT</v>
          </cell>
          <cell r="H2078" t="str">
            <v>V/UNIT.</v>
          </cell>
          <cell r="I2078" t="str">
            <v>V/TOTAL</v>
          </cell>
          <cell r="K2078" t="str">
            <v>CANT TOTAL</v>
          </cell>
          <cell r="L2078" t="str">
            <v>Vr TOTAL</v>
          </cell>
          <cell r="Y2078" t="str">
            <v>CANT.</v>
          </cell>
          <cell r="Z2078" t="str">
            <v>V/TOTAL</v>
          </cell>
        </row>
        <row r="2079">
          <cell r="E2079" t="str">
            <v>VARIOS</v>
          </cell>
          <cell r="I2079" t="e">
            <v>#N/A</v>
          </cell>
          <cell r="L2079" t="e">
            <v>#N/A</v>
          </cell>
          <cell r="Z2079" t="e">
            <v>#VALUE!</v>
          </cell>
        </row>
        <row r="2080">
          <cell r="D2080" t="str">
            <v>TC65DO</v>
          </cell>
          <cell r="E2080" t="e">
            <v>#N/A</v>
          </cell>
          <cell r="F2080" t="e">
            <v>#N/A</v>
          </cell>
          <cell r="G2080">
            <v>0.5</v>
          </cell>
          <cell r="H2080" t="e">
            <v>#N/A</v>
          </cell>
          <cell r="I2080" t="e">
            <v>#N/A</v>
          </cell>
          <cell r="J2080" t="e">
            <v>#N/A</v>
          </cell>
          <cell r="K2080">
            <v>0</v>
          </cell>
          <cell r="L2080" t="e">
            <v>#N/A</v>
          </cell>
          <cell r="Y2080" t="e">
            <v>#VALUE!</v>
          </cell>
          <cell r="Z2080" t="e">
            <v>#VALUE!</v>
          </cell>
        </row>
        <row r="2081">
          <cell r="D2081" t="str">
            <v>TC65RO</v>
          </cell>
          <cell r="E2081" t="e">
            <v>#N/A</v>
          </cell>
          <cell r="F2081" t="e">
            <v>#N/A</v>
          </cell>
          <cell r="G2081">
            <v>1</v>
          </cell>
          <cell r="H2081" t="e">
            <v>#N/A</v>
          </cell>
          <cell r="I2081" t="e">
            <v>#N/A</v>
          </cell>
          <cell r="J2081" t="e">
            <v>#N/A</v>
          </cell>
          <cell r="K2081">
            <v>0</v>
          </cell>
          <cell r="L2081" t="e">
            <v>#N/A</v>
          </cell>
          <cell r="Y2081" t="e">
            <v>#VALUE!</v>
          </cell>
          <cell r="Z2081" t="e">
            <v>#VALUE!</v>
          </cell>
        </row>
        <row r="2082">
          <cell r="D2082" t="str">
            <v>TC65IO</v>
          </cell>
          <cell r="E2082" t="e">
            <v>#N/A</v>
          </cell>
          <cell r="F2082" t="e">
            <v>#N/A</v>
          </cell>
          <cell r="G2082">
            <v>1</v>
          </cell>
          <cell r="H2082" t="e">
            <v>#N/A</v>
          </cell>
          <cell r="I2082" t="e">
            <v>#N/A</v>
          </cell>
          <cell r="J2082" t="e">
            <v>#N/A</v>
          </cell>
          <cell r="K2082">
            <v>0</v>
          </cell>
          <cell r="L2082" t="e">
            <v>#N/A</v>
          </cell>
          <cell r="Y2082" t="e">
            <v>#VALUE!</v>
          </cell>
          <cell r="Z2082" t="e">
            <v>#VALUE!</v>
          </cell>
        </row>
        <row r="2083">
          <cell r="D2083" t="str">
            <v>TC65SE</v>
          </cell>
          <cell r="E2083" t="e">
            <v>#N/A</v>
          </cell>
          <cell r="F2083" t="e">
            <v>#N/A</v>
          </cell>
          <cell r="G2083">
            <v>1</v>
          </cell>
          <cell r="H2083" t="e">
            <v>#N/A</v>
          </cell>
          <cell r="I2083" t="e">
            <v>#N/A</v>
          </cell>
          <cell r="J2083" t="e">
            <v>#N/A</v>
          </cell>
          <cell r="K2083">
            <v>0</v>
          </cell>
          <cell r="L2083" t="e">
            <v>#N/A</v>
          </cell>
          <cell r="Y2083" t="e">
            <v>#VALUE!</v>
          </cell>
          <cell r="Z2083" t="e">
            <v>#VALUE!</v>
          </cell>
        </row>
        <row r="2084">
          <cell r="E2084" t="str">
            <v>SUBTOTAL</v>
          </cell>
          <cell r="I2084" t="e">
            <v>#N/A</v>
          </cell>
          <cell r="L2084" t="e">
            <v>#N/A</v>
          </cell>
          <cell r="Z2084" t="e">
            <v>#VALUE!</v>
          </cell>
        </row>
        <row r="2085">
          <cell r="E2085" t="str">
            <v>A.I.U</v>
          </cell>
          <cell r="I2085" t="e">
            <v>#N/A</v>
          </cell>
          <cell r="L2085" t="e">
            <v>#N/A</v>
          </cell>
          <cell r="Z2085" t="e">
            <v>#N/A</v>
          </cell>
        </row>
        <row r="2086">
          <cell r="D2086" t="str">
            <v>AIUAADMON</v>
          </cell>
          <cell r="E2086" t="str">
            <v>Admon</v>
          </cell>
          <cell r="F2086">
            <v>0</v>
          </cell>
          <cell r="I2086" t="e">
            <v>#N/A</v>
          </cell>
          <cell r="J2086">
            <v>0</v>
          </cell>
          <cell r="L2086" t="e">
            <v>#N/A</v>
          </cell>
          <cell r="Z2086" t="e">
            <v>#N/A</v>
          </cell>
        </row>
        <row r="2087">
          <cell r="D2087" t="str">
            <v>AIUAIMPRE</v>
          </cell>
          <cell r="E2087" t="str">
            <v>Imprevistos</v>
          </cell>
          <cell r="F2087">
            <v>0</v>
          </cell>
          <cell r="I2087" t="e">
            <v>#N/A</v>
          </cell>
          <cell r="J2087">
            <v>0</v>
          </cell>
          <cell r="L2087" t="e">
            <v>#N/A</v>
          </cell>
          <cell r="Z2087" t="e">
            <v>#N/A</v>
          </cell>
        </row>
        <row r="2088">
          <cell r="D2088" t="str">
            <v>AIUAUTILI</v>
          </cell>
          <cell r="E2088" t="str">
            <v>Utilidad</v>
          </cell>
          <cell r="F2088">
            <v>0</v>
          </cell>
          <cell r="I2088" t="e">
            <v>#N/A</v>
          </cell>
          <cell r="J2088">
            <v>0</v>
          </cell>
          <cell r="L2088" t="e">
            <v>#N/A</v>
          </cell>
          <cell r="Z2088" t="e">
            <v>#N/A</v>
          </cell>
        </row>
        <row r="2089">
          <cell r="D2089" t="str">
            <v>AIUAIVAUTI</v>
          </cell>
          <cell r="E2089" t="str">
            <v>IVA utilidad</v>
          </cell>
          <cell r="F2089">
            <v>0</v>
          </cell>
          <cell r="I2089" t="e">
            <v>#N/A</v>
          </cell>
          <cell r="J2089">
            <v>0</v>
          </cell>
          <cell r="L2089" t="e">
            <v>#N/A</v>
          </cell>
          <cell r="Z2089" t="e">
            <v>#N/A</v>
          </cell>
        </row>
        <row r="2091">
          <cell r="E2091" t="str">
            <v>ITEM</v>
          </cell>
        </row>
        <row r="2092">
          <cell r="D2092" t="str">
            <v>PEDOC</v>
          </cell>
          <cell r="E2092" t="str">
            <v>Direccion Obra</v>
          </cell>
          <cell r="G2092" t="str">
            <v>UN.</v>
          </cell>
          <cell r="H2092" t="str">
            <v>Mes</v>
          </cell>
          <cell r="I2092" t="e">
            <v>#N/A</v>
          </cell>
          <cell r="K2092">
            <v>0</v>
          </cell>
          <cell r="L2092" t="e">
            <v>#N/A</v>
          </cell>
          <cell r="P2092" t="e">
            <v>#N/A</v>
          </cell>
          <cell r="Q2092" t="e">
            <v>#N/A</v>
          </cell>
          <cell r="X2092" t="e">
            <v>#N/A</v>
          </cell>
          <cell r="Z2092" t="e">
            <v>#VALUE!</v>
          </cell>
          <cell r="AC2092" t="e">
            <v>#VALUE!</v>
          </cell>
        </row>
        <row r="2094">
          <cell r="D2094" t="str">
            <v>CODIGO</v>
          </cell>
          <cell r="E2094" t="str">
            <v>DESCRIPCION</v>
          </cell>
          <cell r="F2094" t="str">
            <v>UN</v>
          </cell>
          <cell r="G2094" t="str">
            <v>CANT</v>
          </cell>
          <cell r="H2094" t="str">
            <v>V/UNIT.</v>
          </cell>
          <cell r="I2094" t="str">
            <v>V/TOTAL</v>
          </cell>
          <cell r="K2094" t="str">
            <v>CANT TOTAL</v>
          </cell>
          <cell r="L2094" t="str">
            <v>Vr TOTAL</v>
          </cell>
          <cell r="Y2094" t="str">
            <v>CANT.</v>
          </cell>
          <cell r="Z2094" t="str">
            <v>V/TOTAL</v>
          </cell>
        </row>
        <row r="2095">
          <cell r="E2095" t="str">
            <v>VARIOS</v>
          </cell>
          <cell r="I2095" t="e">
            <v>#N/A</v>
          </cell>
          <cell r="L2095" t="e">
            <v>#N/A</v>
          </cell>
          <cell r="Z2095" t="e">
            <v>#VALUE!</v>
          </cell>
        </row>
        <row r="2096">
          <cell r="D2096" t="str">
            <v>TC65DO</v>
          </cell>
          <cell r="E2096" t="e">
            <v>#N/A</v>
          </cell>
          <cell r="F2096" t="e">
            <v>#N/A</v>
          </cell>
          <cell r="G2096">
            <v>0.503</v>
          </cell>
          <cell r="H2096" t="e">
            <v>#N/A</v>
          </cell>
          <cell r="I2096" t="e">
            <v>#N/A</v>
          </cell>
          <cell r="J2096" t="e">
            <v>#N/A</v>
          </cell>
          <cell r="K2096">
            <v>0</v>
          </cell>
          <cell r="L2096" t="e">
            <v>#N/A</v>
          </cell>
          <cell r="Y2096" t="e">
            <v>#VALUE!</v>
          </cell>
          <cell r="Z2096" t="e">
            <v>#VALUE!</v>
          </cell>
        </row>
        <row r="2100">
          <cell r="E2100" t="str">
            <v>SUBTOTAL</v>
          </cell>
          <cell r="I2100" t="e">
            <v>#N/A</v>
          </cell>
          <cell r="L2100" t="e">
            <v>#N/A</v>
          </cell>
          <cell r="Z2100" t="e">
            <v>#VALUE!</v>
          </cell>
        </row>
        <row r="2101">
          <cell r="E2101" t="str">
            <v>A.I.U</v>
          </cell>
          <cell r="I2101" t="e">
            <v>#N/A</v>
          </cell>
          <cell r="L2101" t="e">
            <v>#N/A</v>
          </cell>
          <cell r="Z2101" t="e">
            <v>#N/A</v>
          </cell>
        </row>
        <row r="2102">
          <cell r="D2102" t="str">
            <v>AIUAADMON</v>
          </cell>
          <cell r="E2102" t="str">
            <v>Admon</v>
          </cell>
          <cell r="F2102">
            <v>0</v>
          </cell>
          <cell r="I2102" t="e">
            <v>#N/A</v>
          </cell>
          <cell r="J2102">
            <v>0</v>
          </cell>
          <cell r="L2102" t="e">
            <v>#N/A</v>
          </cell>
          <cell r="Z2102" t="e">
            <v>#N/A</v>
          </cell>
        </row>
        <row r="2103">
          <cell r="D2103" t="str">
            <v>AIUAIMPRE</v>
          </cell>
          <cell r="E2103" t="str">
            <v>Imprevistos</v>
          </cell>
          <cell r="F2103">
            <v>0</v>
          </cell>
          <cell r="I2103" t="e">
            <v>#N/A</v>
          </cell>
          <cell r="J2103">
            <v>0</v>
          </cell>
          <cell r="L2103" t="e">
            <v>#N/A</v>
          </cell>
          <cell r="Z2103" t="e">
            <v>#N/A</v>
          </cell>
        </row>
        <row r="2104">
          <cell r="D2104" t="str">
            <v>AIUAUTILI</v>
          </cell>
          <cell r="E2104" t="str">
            <v>Utilidad</v>
          </cell>
          <cell r="F2104">
            <v>0</v>
          </cell>
          <cell r="I2104" t="e">
            <v>#N/A</v>
          </cell>
          <cell r="J2104">
            <v>0</v>
          </cell>
          <cell r="L2104" t="e">
            <v>#N/A</v>
          </cell>
          <cell r="Z2104" t="e">
            <v>#N/A</v>
          </cell>
        </row>
        <row r="2105">
          <cell r="D2105" t="str">
            <v>AIUAIVAUTI</v>
          </cell>
          <cell r="E2105" t="str">
            <v>IVA utilidad</v>
          </cell>
          <cell r="F2105">
            <v>0</v>
          </cell>
          <cell r="I2105" t="e">
            <v>#N/A</v>
          </cell>
          <cell r="J2105">
            <v>0</v>
          </cell>
          <cell r="L2105" t="e">
            <v>#N/A</v>
          </cell>
          <cell r="Z2105" t="e">
            <v>#N/A</v>
          </cell>
        </row>
        <row r="2107">
          <cell r="E2107" t="str">
            <v>ITEM</v>
          </cell>
        </row>
        <row r="2108">
          <cell r="D2108" t="str">
            <v>PEAL</v>
          </cell>
          <cell r="E2108" t="str">
            <v>Almacen</v>
          </cell>
          <cell r="G2108" t="str">
            <v>UN.</v>
          </cell>
          <cell r="H2108" t="str">
            <v>Mes</v>
          </cell>
          <cell r="I2108" t="e">
            <v>#N/A</v>
          </cell>
          <cell r="K2108">
            <v>0</v>
          </cell>
          <cell r="L2108" t="e">
            <v>#N/A</v>
          </cell>
          <cell r="P2108" t="e">
            <v>#N/A</v>
          </cell>
          <cell r="Q2108" t="e">
            <v>#N/A</v>
          </cell>
          <cell r="X2108" t="e">
            <v>#N/A</v>
          </cell>
          <cell r="Z2108" t="e">
            <v>#VALUE!</v>
          </cell>
          <cell r="AC2108" t="e">
            <v>#VALUE!</v>
          </cell>
        </row>
        <row r="2110">
          <cell r="D2110" t="str">
            <v>CODIGO</v>
          </cell>
          <cell r="E2110" t="str">
            <v>DESCRIPCION</v>
          </cell>
          <cell r="F2110" t="str">
            <v>UN</v>
          </cell>
          <cell r="G2110" t="str">
            <v>CANT</v>
          </cell>
          <cell r="H2110" t="str">
            <v>V/UNIT.</v>
          </cell>
          <cell r="I2110" t="str">
            <v>V/TOTAL</v>
          </cell>
          <cell r="K2110" t="str">
            <v>CANT TOTAL</v>
          </cell>
          <cell r="L2110" t="str">
            <v>Vr TOTAL</v>
          </cell>
          <cell r="Y2110" t="str">
            <v>CANT.</v>
          </cell>
          <cell r="Z2110" t="str">
            <v>V/TOTAL</v>
          </cell>
        </row>
        <row r="2111">
          <cell r="E2111" t="str">
            <v>VARIOS</v>
          </cell>
          <cell r="I2111" t="e">
            <v>#N/A</v>
          </cell>
          <cell r="L2111" t="e">
            <v>#N/A</v>
          </cell>
          <cell r="Z2111" t="e">
            <v>#VALUE!</v>
          </cell>
        </row>
        <row r="2112">
          <cell r="D2112" t="str">
            <v>TC65ALMA</v>
          </cell>
          <cell r="E2112" t="e">
            <v>#N/A</v>
          </cell>
          <cell r="F2112" t="e">
            <v>#N/A</v>
          </cell>
          <cell r="G2112">
            <v>1</v>
          </cell>
          <cell r="H2112" t="e">
            <v>#N/A</v>
          </cell>
          <cell r="I2112" t="e">
            <v>#N/A</v>
          </cell>
          <cell r="J2112" t="e">
            <v>#N/A</v>
          </cell>
          <cell r="K2112">
            <v>0</v>
          </cell>
          <cell r="L2112" t="e">
            <v>#N/A</v>
          </cell>
          <cell r="Y2112" t="e">
            <v>#VALUE!</v>
          </cell>
          <cell r="Z2112" t="e">
            <v>#VALUE!</v>
          </cell>
        </row>
        <row r="2113">
          <cell r="D2113" t="str">
            <v>TC65AYAL</v>
          </cell>
          <cell r="E2113" t="e">
            <v>#N/A</v>
          </cell>
          <cell r="F2113" t="e">
            <v>#N/A</v>
          </cell>
          <cell r="G2113">
            <v>2</v>
          </cell>
          <cell r="H2113" t="e">
            <v>#N/A</v>
          </cell>
          <cell r="I2113" t="e">
            <v>#N/A</v>
          </cell>
          <cell r="J2113" t="e">
            <v>#N/A</v>
          </cell>
          <cell r="K2113">
            <v>0</v>
          </cell>
          <cell r="L2113" t="e">
            <v>#N/A</v>
          </cell>
          <cell r="Y2113" t="e">
            <v>#VALUE!</v>
          </cell>
          <cell r="Z2113" t="e">
            <v>#VALUE!</v>
          </cell>
        </row>
        <row r="2115">
          <cell r="E2115" t="str">
            <v>SUBTOTAL</v>
          </cell>
          <cell r="I2115" t="e">
            <v>#N/A</v>
          </cell>
          <cell r="L2115" t="e">
            <v>#N/A</v>
          </cell>
          <cell r="Z2115" t="e">
            <v>#VALUE!</v>
          </cell>
        </row>
        <row r="2116">
          <cell r="E2116" t="str">
            <v>A.I.U</v>
          </cell>
          <cell r="I2116" t="e">
            <v>#N/A</v>
          </cell>
          <cell r="L2116" t="e">
            <v>#N/A</v>
          </cell>
          <cell r="Z2116" t="e">
            <v>#N/A</v>
          </cell>
        </row>
        <row r="2117">
          <cell r="D2117" t="str">
            <v>AIUAADMON</v>
          </cell>
          <cell r="E2117" t="str">
            <v>Admon</v>
          </cell>
          <cell r="F2117">
            <v>0</v>
          </cell>
          <cell r="I2117" t="e">
            <v>#N/A</v>
          </cell>
          <cell r="J2117">
            <v>0</v>
          </cell>
          <cell r="L2117" t="e">
            <v>#N/A</v>
          </cell>
          <cell r="Z2117" t="e">
            <v>#N/A</v>
          </cell>
        </row>
        <row r="2118">
          <cell r="D2118" t="str">
            <v>AIUAIMPRE</v>
          </cell>
          <cell r="E2118" t="str">
            <v>Imprevistos</v>
          </cell>
          <cell r="F2118">
            <v>0</v>
          </cell>
          <cell r="I2118" t="e">
            <v>#N/A</v>
          </cell>
          <cell r="J2118">
            <v>0</v>
          </cell>
          <cell r="L2118" t="e">
            <v>#N/A</v>
          </cell>
          <cell r="Z2118" t="e">
            <v>#N/A</v>
          </cell>
        </row>
        <row r="2119">
          <cell r="D2119" t="str">
            <v>AIUAUTILI</v>
          </cell>
          <cell r="E2119" t="str">
            <v>Utilidad</v>
          </cell>
          <cell r="F2119">
            <v>0</v>
          </cell>
          <cell r="I2119" t="e">
            <v>#N/A</v>
          </cell>
          <cell r="J2119">
            <v>0</v>
          </cell>
          <cell r="L2119" t="e">
            <v>#N/A</v>
          </cell>
          <cell r="Z2119" t="e">
            <v>#N/A</v>
          </cell>
        </row>
        <row r="2120">
          <cell r="D2120" t="str">
            <v>AIUAIVAUTI</v>
          </cell>
          <cell r="E2120" t="str">
            <v>IVA utilidad</v>
          </cell>
          <cell r="F2120">
            <v>0</v>
          </cell>
          <cell r="I2120" t="e">
            <v>#N/A</v>
          </cell>
          <cell r="J2120">
            <v>0</v>
          </cell>
          <cell r="L2120" t="e">
            <v>#N/A</v>
          </cell>
          <cell r="Z2120" t="e">
            <v>#N/A</v>
          </cell>
        </row>
        <row r="2122">
          <cell r="E2122" t="str">
            <v>ITEM</v>
          </cell>
        </row>
        <row r="2123">
          <cell r="D2123" t="str">
            <v>PEVI</v>
          </cell>
          <cell r="E2123" t="str">
            <v>Vigilancia</v>
          </cell>
          <cell r="G2123" t="str">
            <v>UN.</v>
          </cell>
          <cell r="H2123" t="str">
            <v>Mes</v>
          </cell>
          <cell r="I2123" t="e">
            <v>#N/A</v>
          </cell>
          <cell r="K2123">
            <v>0</v>
          </cell>
          <cell r="L2123" t="e">
            <v>#N/A</v>
          </cell>
          <cell r="P2123" t="e">
            <v>#N/A</v>
          </cell>
          <cell r="Q2123" t="e">
            <v>#N/A</v>
          </cell>
          <cell r="X2123" t="e">
            <v>#N/A</v>
          </cell>
          <cell r="Z2123" t="e">
            <v>#VALUE!</v>
          </cell>
          <cell r="AC2123" t="e">
            <v>#VALUE!</v>
          </cell>
        </row>
        <row r="2125">
          <cell r="D2125" t="str">
            <v>CODIGO</v>
          </cell>
          <cell r="E2125" t="str">
            <v>DESCRIPCION</v>
          </cell>
          <cell r="F2125" t="str">
            <v>UN</v>
          </cell>
          <cell r="G2125" t="str">
            <v>CANT</v>
          </cell>
          <cell r="H2125" t="str">
            <v>V/UNIT.</v>
          </cell>
          <cell r="I2125" t="str">
            <v>V/TOTAL</v>
          </cell>
          <cell r="K2125" t="str">
            <v>CANT TOTAL</v>
          </cell>
          <cell r="L2125" t="str">
            <v>Vr TOTAL</v>
          </cell>
          <cell r="Y2125" t="str">
            <v>CANT.</v>
          </cell>
          <cell r="Z2125" t="str">
            <v>V/TOTAL</v>
          </cell>
        </row>
        <row r="2126">
          <cell r="E2126" t="str">
            <v>VARIOS</v>
          </cell>
          <cell r="I2126" t="e">
            <v>#N/A</v>
          </cell>
          <cell r="L2126" t="e">
            <v>#N/A</v>
          </cell>
          <cell r="Z2126" t="e">
            <v>#VALUE!</v>
          </cell>
        </row>
        <row r="2127">
          <cell r="D2127" t="str">
            <v>TC65VI</v>
          </cell>
          <cell r="E2127" t="e">
            <v>#N/A</v>
          </cell>
          <cell r="F2127" t="e">
            <v>#N/A</v>
          </cell>
          <cell r="G2127">
            <v>1</v>
          </cell>
          <cell r="H2127" t="e">
            <v>#N/A</v>
          </cell>
          <cell r="I2127" t="e">
            <v>#N/A</v>
          </cell>
          <cell r="J2127" t="e">
            <v>#N/A</v>
          </cell>
          <cell r="K2127">
            <v>0</v>
          </cell>
          <cell r="L2127" t="e">
            <v>#N/A</v>
          </cell>
          <cell r="Y2127" t="e">
            <v>#VALUE!</v>
          </cell>
          <cell r="Z2127" t="e">
            <v>#VALUE!</v>
          </cell>
        </row>
        <row r="2129">
          <cell r="E2129" t="str">
            <v>SUBTOTAL</v>
          </cell>
          <cell r="I2129" t="e">
            <v>#N/A</v>
          </cell>
          <cell r="L2129" t="e">
            <v>#N/A</v>
          </cell>
          <cell r="Z2129" t="e">
            <v>#VALUE!</v>
          </cell>
        </row>
        <row r="2130">
          <cell r="E2130" t="str">
            <v>A.I.U</v>
          </cell>
          <cell r="I2130" t="e">
            <v>#N/A</v>
          </cell>
          <cell r="L2130" t="e">
            <v>#N/A</v>
          </cell>
          <cell r="Z2130" t="e">
            <v>#VALUE!</v>
          </cell>
        </row>
        <row r="2131">
          <cell r="D2131" t="str">
            <v>AIUAADMON</v>
          </cell>
          <cell r="E2131" t="str">
            <v>Admon</v>
          </cell>
          <cell r="F2131">
            <v>0</v>
          </cell>
          <cell r="I2131" t="e">
            <v>#N/A</v>
          </cell>
          <cell r="L2131" t="e">
            <v>#N/A</v>
          </cell>
          <cell r="Z2131" t="e">
            <v>#VALUE!</v>
          </cell>
        </row>
        <row r="2132">
          <cell r="D2132" t="str">
            <v>AIUAIMPRE</v>
          </cell>
          <cell r="E2132" t="str">
            <v>Imprevistos</v>
          </cell>
          <cell r="F2132">
            <v>0</v>
          </cell>
          <cell r="I2132" t="e">
            <v>#N/A</v>
          </cell>
          <cell r="L2132" t="e">
            <v>#N/A</v>
          </cell>
          <cell r="Z2132" t="e">
            <v>#VALUE!</v>
          </cell>
        </row>
        <row r="2133">
          <cell r="D2133" t="str">
            <v>AIUAUTILI</v>
          </cell>
          <cell r="E2133" t="str">
            <v>Utilidad</v>
          </cell>
          <cell r="F2133">
            <v>0</v>
          </cell>
          <cell r="I2133" t="e">
            <v>#N/A</v>
          </cell>
          <cell r="L2133" t="e">
            <v>#N/A</v>
          </cell>
          <cell r="Z2133" t="e">
            <v>#VALUE!</v>
          </cell>
        </row>
        <row r="2134">
          <cell r="D2134" t="str">
            <v>AIUAIVAUTI</v>
          </cell>
          <cell r="E2134" t="str">
            <v>IVA utilidad</v>
          </cell>
          <cell r="F2134">
            <v>0</v>
          </cell>
          <cell r="I2134" t="e">
            <v>#N/A</v>
          </cell>
          <cell r="L2134" t="e">
            <v>#N/A</v>
          </cell>
          <cell r="Z2134" t="e">
            <v>#VALUE!</v>
          </cell>
        </row>
        <row r="2136">
          <cell r="E2136" t="str">
            <v>ITEM</v>
          </cell>
        </row>
        <row r="2137">
          <cell r="D2137" t="str">
            <v>PRPR</v>
          </cell>
          <cell r="E2137" t="e">
            <v>#N/A</v>
          </cell>
          <cell r="G2137" t="str">
            <v>UN.</v>
          </cell>
          <cell r="H2137" t="e">
            <v>#N/A</v>
          </cell>
          <cell r="I2137" t="e">
            <v>#N/A</v>
          </cell>
          <cell r="K2137">
            <v>0</v>
          </cell>
          <cell r="L2137" t="e">
            <v>#N/A</v>
          </cell>
          <cell r="P2137" t="e">
            <v>#N/A</v>
          </cell>
          <cell r="Q2137" t="e">
            <v>#N/A</v>
          </cell>
          <cell r="X2137" t="e">
            <v>#N/A</v>
          </cell>
          <cell r="Z2137" t="e">
            <v>#VALUE!</v>
          </cell>
          <cell r="AC2137" t="e">
            <v>#VALUE!</v>
          </cell>
        </row>
        <row r="2139">
          <cell r="D2139" t="str">
            <v>CODIGO</v>
          </cell>
          <cell r="E2139" t="str">
            <v>DESCRIPCION</v>
          </cell>
          <cell r="F2139" t="str">
            <v>UN</v>
          </cell>
          <cell r="G2139" t="str">
            <v>CANT</v>
          </cell>
          <cell r="H2139" t="str">
            <v>V/UNIT.</v>
          </cell>
          <cell r="I2139" t="str">
            <v>V/TOTAL</v>
          </cell>
          <cell r="K2139" t="str">
            <v>CANT TOTAL</v>
          </cell>
          <cell r="L2139" t="str">
            <v>Vr TOTAL</v>
          </cell>
          <cell r="Y2139" t="str">
            <v>CANT.</v>
          </cell>
          <cell r="Z2139" t="str">
            <v>V/TOTAL</v>
          </cell>
        </row>
        <row r="2140">
          <cell r="E2140" t="str">
            <v>VARIOS</v>
          </cell>
          <cell r="I2140" t="e">
            <v>#N/A</v>
          </cell>
          <cell r="L2140" t="e">
            <v>#N/A</v>
          </cell>
          <cell r="Z2140" t="e">
            <v>#VALUE!</v>
          </cell>
        </row>
        <row r="2141">
          <cell r="D2141" t="str">
            <v>TCPRPR</v>
          </cell>
          <cell r="E2141" t="e">
            <v>#N/A</v>
          </cell>
          <cell r="F2141" t="e">
            <v>#N/A</v>
          </cell>
          <cell r="G2141">
            <v>1.4999999999999999E-2</v>
          </cell>
          <cell r="H2141" t="e">
            <v>#N/A</v>
          </cell>
          <cell r="I2141" t="e">
            <v>#N/A</v>
          </cell>
          <cell r="J2141" t="e">
            <v>#N/A</v>
          </cell>
          <cell r="K2141">
            <v>0</v>
          </cell>
          <cell r="L2141" t="e">
            <v>#N/A</v>
          </cell>
          <cell r="Y2141" t="e">
            <v>#VALUE!</v>
          </cell>
          <cell r="Z2141" t="e">
            <v>#VALUE!</v>
          </cell>
        </row>
        <row r="2143">
          <cell r="E2143" t="str">
            <v>SUBTOTAL</v>
          </cell>
          <cell r="I2143" t="e">
            <v>#N/A</v>
          </cell>
          <cell r="L2143" t="e">
            <v>#N/A</v>
          </cell>
          <cell r="Z2143" t="e">
            <v>#VALUE!</v>
          </cell>
        </row>
        <row r="2144">
          <cell r="E2144" t="str">
            <v>A.I.U</v>
          </cell>
          <cell r="I2144" t="e">
            <v>#N/A</v>
          </cell>
          <cell r="L2144" t="e">
            <v>#N/A</v>
          </cell>
          <cell r="Z2144" t="e">
            <v>#VALUE!</v>
          </cell>
        </row>
        <row r="2145">
          <cell r="D2145" t="str">
            <v>AIUAADMON</v>
          </cell>
          <cell r="E2145" t="str">
            <v>Admon</v>
          </cell>
          <cell r="F2145">
            <v>0</v>
          </cell>
          <cell r="I2145" t="e">
            <v>#N/A</v>
          </cell>
          <cell r="L2145" t="e">
            <v>#N/A</v>
          </cell>
          <cell r="Z2145" t="e">
            <v>#VALUE!</v>
          </cell>
        </row>
        <row r="2146">
          <cell r="D2146" t="str">
            <v>AIUAIMPRE</v>
          </cell>
          <cell r="E2146" t="str">
            <v>Imprevistos</v>
          </cell>
          <cell r="F2146">
            <v>0</v>
          </cell>
          <cell r="I2146" t="e">
            <v>#N/A</v>
          </cell>
          <cell r="L2146" t="e">
            <v>#N/A</v>
          </cell>
          <cell r="Z2146" t="e">
            <v>#VALUE!</v>
          </cell>
        </row>
        <row r="2147">
          <cell r="D2147" t="str">
            <v>AIUAUTILI</v>
          </cell>
          <cell r="E2147" t="str">
            <v>Utilidad</v>
          </cell>
          <cell r="F2147">
            <v>0</v>
          </cell>
          <cell r="I2147" t="e">
            <v>#N/A</v>
          </cell>
          <cell r="L2147" t="e">
            <v>#N/A</v>
          </cell>
          <cell r="Z2147" t="e">
            <v>#VALUE!</v>
          </cell>
        </row>
        <row r="2148">
          <cell r="D2148" t="str">
            <v>AIUAIVAUTI</v>
          </cell>
          <cell r="E2148" t="str">
            <v>IVA utilidad</v>
          </cell>
          <cell r="F2148">
            <v>0</v>
          </cell>
          <cell r="I2148" t="e">
            <v>#N/A</v>
          </cell>
          <cell r="L2148" t="e">
            <v>#N/A</v>
          </cell>
          <cell r="Z2148" t="e">
            <v>#VALUE!</v>
          </cell>
        </row>
        <row r="2151">
          <cell r="E2151" t="str">
            <v>ITEM</v>
          </cell>
        </row>
        <row r="2152">
          <cell r="D2152" t="str">
            <v>MSAGU</v>
          </cell>
          <cell r="E2152" t="str">
            <v>Agua</v>
          </cell>
          <cell r="G2152" t="str">
            <v>UN.</v>
          </cell>
          <cell r="H2152" t="str">
            <v>Mes</v>
          </cell>
          <cell r="I2152" t="e">
            <v>#N/A</v>
          </cell>
          <cell r="K2152">
            <v>0</v>
          </cell>
          <cell r="L2152" t="e">
            <v>#N/A</v>
          </cell>
          <cell r="P2152" t="e">
            <v>#N/A</v>
          </cell>
          <cell r="Q2152" t="e">
            <v>#N/A</v>
          </cell>
          <cell r="X2152" t="e">
            <v>#N/A</v>
          </cell>
          <cell r="Z2152" t="e">
            <v>#VALUE!</v>
          </cell>
          <cell r="AC2152" t="e">
            <v>#VALUE!</v>
          </cell>
        </row>
        <row r="2154">
          <cell r="D2154" t="str">
            <v>CODIGO</v>
          </cell>
          <cell r="E2154" t="str">
            <v>DESCRIPCION</v>
          </cell>
          <cell r="F2154" t="str">
            <v>UN</v>
          </cell>
          <cell r="G2154" t="str">
            <v>CANT</v>
          </cell>
          <cell r="H2154" t="str">
            <v>V/UNIT.</v>
          </cell>
          <cell r="I2154" t="str">
            <v>V/TOTAL</v>
          </cell>
          <cell r="K2154" t="str">
            <v>CANT TOTAL</v>
          </cell>
          <cell r="L2154" t="str">
            <v>Vr TOTAL</v>
          </cell>
          <cell r="Y2154" t="str">
            <v>CANT.</v>
          </cell>
          <cell r="Z2154" t="str">
            <v>V/TOTAL</v>
          </cell>
        </row>
        <row r="2155">
          <cell r="E2155" t="str">
            <v>VARIOS</v>
          </cell>
          <cell r="I2155" t="e">
            <v>#N/A</v>
          </cell>
          <cell r="L2155" t="e">
            <v>#N/A</v>
          </cell>
          <cell r="Z2155" t="e">
            <v>#VALUE!</v>
          </cell>
        </row>
        <row r="2156">
          <cell r="D2156" t="str">
            <v>TCMSAGU</v>
          </cell>
          <cell r="E2156" t="e">
            <v>#N/A</v>
          </cell>
          <cell r="F2156" t="e">
            <v>#N/A</v>
          </cell>
          <cell r="G2156">
            <v>1</v>
          </cell>
          <cell r="H2156" t="e">
            <v>#N/A</v>
          </cell>
          <cell r="I2156" t="e">
            <v>#N/A</v>
          </cell>
          <cell r="J2156" t="e">
            <v>#N/A</v>
          </cell>
          <cell r="K2156">
            <v>0</v>
          </cell>
          <cell r="L2156" t="e">
            <v>#N/A</v>
          </cell>
          <cell r="Y2156" t="e">
            <v>#VALUE!</v>
          </cell>
          <cell r="Z2156" t="e">
            <v>#VALUE!</v>
          </cell>
        </row>
        <row r="2158">
          <cell r="E2158" t="str">
            <v>SUBTOTAL</v>
          </cell>
          <cell r="I2158" t="e">
            <v>#N/A</v>
          </cell>
          <cell r="L2158" t="e">
            <v>#N/A</v>
          </cell>
          <cell r="Z2158" t="e">
            <v>#VALUE!</v>
          </cell>
        </row>
        <row r="2159">
          <cell r="E2159" t="str">
            <v>A.I.U</v>
          </cell>
          <cell r="I2159" t="e">
            <v>#N/A</v>
          </cell>
          <cell r="L2159" t="e">
            <v>#N/A</v>
          </cell>
          <cell r="Z2159" t="e">
            <v>#VALUE!</v>
          </cell>
        </row>
        <row r="2160">
          <cell r="D2160" t="str">
            <v>AIUAADMON</v>
          </cell>
          <cell r="E2160" t="str">
            <v>Admon</v>
          </cell>
          <cell r="F2160">
            <v>0</v>
          </cell>
          <cell r="I2160" t="e">
            <v>#N/A</v>
          </cell>
          <cell r="L2160" t="e">
            <v>#N/A</v>
          </cell>
          <cell r="Z2160" t="e">
            <v>#VALUE!</v>
          </cell>
        </row>
        <row r="2161">
          <cell r="D2161" t="str">
            <v>AIUAIMPRE</v>
          </cell>
          <cell r="E2161" t="str">
            <v>Imprevistos</v>
          </cell>
          <cell r="F2161">
            <v>0</v>
          </cell>
          <cell r="I2161" t="e">
            <v>#N/A</v>
          </cell>
          <cell r="L2161" t="e">
            <v>#N/A</v>
          </cell>
          <cell r="Z2161" t="e">
            <v>#VALUE!</v>
          </cell>
        </row>
        <row r="2162">
          <cell r="D2162" t="str">
            <v>AIUAUTILI</v>
          </cell>
          <cell r="E2162" t="str">
            <v>Utilidad</v>
          </cell>
          <cell r="F2162">
            <v>0</v>
          </cell>
          <cell r="I2162" t="e">
            <v>#N/A</v>
          </cell>
          <cell r="L2162" t="e">
            <v>#N/A</v>
          </cell>
          <cell r="Z2162" t="e">
            <v>#VALUE!</v>
          </cell>
        </row>
        <row r="2163">
          <cell r="D2163" t="str">
            <v>AIUAIVAUTI</v>
          </cell>
          <cell r="E2163" t="str">
            <v>IVA utilidad</v>
          </cell>
          <cell r="F2163">
            <v>0</v>
          </cell>
          <cell r="I2163" t="e">
            <v>#N/A</v>
          </cell>
          <cell r="L2163" t="e">
            <v>#N/A</v>
          </cell>
          <cell r="Z2163" t="e">
            <v>#VALUE!</v>
          </cell>
        </row>
        <row r="2165">
          <cell r="E2165" t="str">
            <v>ITEM</v>
          </cell>
        </row>
        <row r="2166">
          <cell r="D2166" t="str">
            <v>MSENE</v>
          </cell>
          <cell r="E2166" t="str">
            <v>Luz</v>
          </cell>
          <cell r="G2166" t="str">
            <v>UN.</v>
          </cell>
          <cell r="H2166" t="str">
            <v>Mes</v>
          </cell>
          <cell r="I2166" t="e">
            <v>#N/A</v>
          </cell>
          <cell r="K2166">
            <v>0</v>
          </cell>
          <cell r="L2166" t="e">
            <v>#N/A</v>
          </cell>
          <cell r="P2166" t="e">
            <v>#N/A</v>
          </cell>
          <cell r="Q2166" t="e">
            <v>#N/A</v>
          </cell>
          <cell r="X2166" t="e">
            <v>#N/A</v>
          </cell>
          <cell r="Z2166" t="e">
            <v>#VALUE!</v>
          </cell>
          <cell r="AC2166" t="e">
            <v>#VALUE!</v>
          </cell>
        </row>
        <row r="2168">
          <cell r="D2168" t="str">
            <v>CODIGO</v>
          </cell>
          <cell r="E2168" t="str">
            <v>DESCRIPCION</v>
          </cell>
          <cell r="F2168" t="str">
            <v>UN</v>
          </cell>
          <cell r="G2168" t="str">
            <v>CANT</v>
          </cell>
          <cell r="H2168" t="str">
            <v>V/UNIT.</v>
          </cell>
          <cell r="I2168" t="str">
            <v>V/TOTAL</v>
          </cell>
          <cell r="K2168" t="str">
            <v>CANT TOTAL</v>
          </cell>
          <cell r="L2168" t="str">
            <v>Vr TOTAL</v>
          </cell>
          <cell r="Y2168" t="str">
            <v>CANT.</v>
          </cell>
          <cell r="Z2168" t="str">
            <v>V/TOTAL</v>
          </cell>
        </row>
        <row r="2169">
          <cell r="E2169" t="str">
            <v>VARIOS</v>
          </cell>
          <cell r="I2169" t="e">
            <v>#N/A</v>
          </cell>
          <cell r="L2169" t="e">
            <v>#N/A</v>
          </cell>
          <cell r="Z2169" t="e">
            <v>#VALUE!</v>
          </cell>
        </row>
        <row r="2170">
          <cell r="D2170" t="str">
            <v>TCMSENE</v>
          </cell>
          <cell r="E2170" t="e">
            <v>#N/A</v>
          </cell>
          <cell r="F2170" t="e">
            <v>#N/A</v>
          </cell>
          <cell r="G2170">
            <v>1</v>
          </cell>
          <cell r="H2170" t="e">
            <v>#N/A</v>
          </cell>
          <cell r="I2170" t="e">
            <v>#N/A</v>
          </cell>
          <cell r="J2170" t="e">
            <v>#N/A</v>
          </cell>
          <cell r="K2170">
            <v>0</v>
          </cell>
          <cell r="L2170" t="e">
            <v>#N/A</v>
          </cell>
          <cell r="Y2170" t="e">
            <v>#VALUE!</v>
          </cell>
          <cell r="Z2170" t="e">
            <v>#VALUE!</v>
          </cell>
        </row>
        <row r="2172">
          <cell r="E2172" t="str">
            <v>SUBTOTAL</v>
          </cell>
          <cell r="I2172" t="e">
            <v>#N/A</v>
          </cell>
          <cell r="L2172" t="e">
            <v>#N/A</v>
          </cell>
          <cell r="Z2172" t="e">
            <v>#VALUE!</v>
          </cell>
        </row>
        <row r="2173">
          <cell r="E2173" t="str">
            <v>A.I.U</v>
          </cell>
          <cell r="I2173" t="e">
            <v>#N/A</v>
          </cell>
          <cell r="L2173" t="e">
            <v>#N/A</v>
          </cell>
          <cell r="Z2173" t="e">
            <v>#VALUE!</v>
          </cell>
        </row>
        <row r="2174">
          <cell r="D2174" t="str">
            <v>AIUAADMON</v>
          </cell>
          <cell r="E2174" t="str">
            <v>Admon</v>
          </cell>
          <cell r="F2174">
            <v>0</v>
          </cell>
          <cell r="I2174" t="e">
            <v>#N/A</v>
          </cell>
          <cell r="L2174" t="e">
            <v>#N/A</v>
          </cell>
          <cell r="Z2174" t="e">
            <v>#VALUE!</v>
          </cell>
        </row>
        <row r="2175">
          <cell r="D2175" t="str">
            <v>AIUAIMPRE</v>
          </cell>
          <cell r="E2175" t="str">
            <v>Imprevistos</v>
          </cell>
          <cell r="F2175">
            <v>0</v>
          </cell>
          <cell r="I2175" t="e">
            <v>#N/A</v>
          </cell>
          <cell r="L2175" t="e">
            <v>#N/A</v>
          </cell>
          <cell r="Z2175" t="e">
            <v>#VALUE!</v>
          </cell>
        </row>
        <row r="2176">
          <cell r="D2176" t="str">
            <v>AIUAUTILI</v>
          </cell>
          <cell r="E2176" t="str">
            <v>Utilidad</v>
          </cell>
          <cell r="F2176">
            <v>0</v>
          </cell>
          <cell r="I2176" t="e">
            <v>#N/A</v>
          </cell>
          <cell r="L2176" t="e">
            <v>#N/A</v>
          </cell>
          <cell r="Z2176" t="e">
            <v>#VALUE!</v>
          </cell>
        </row>
        <row r="2177">
          <cell r="D2177" t="str">
            <v>AIUAIVAUTI</v>
          </cell>
          <cell r="E2177" t="str">
            <v>IVA utilidad</v>
          </cell>
          <cell r="F2177">
            <v>0</v>
          </cell>
          <cell r="I2177" t="e">
            <v>#N/A</v>
          </cell>
          <cell r="L2177" t="e">
            <v>#N/A</v>
          </cell>
          <cell r="Z2177" t="e">
            <v>#VALUE!</v>
          </cell>
        </row>
        <row r="2179">
          <cell r="E2179" t="str">
            <v>ITEM</v>
          </cell>
        </row>
        <row r="2180">
          <cell r="D2180" t="str">
            <v>MSPENE</v>
          </cell>
          <cell r="E2180" t="str">
            <v>Provisional electrica</v>
          </cell>
          <cell r="G2180" t="str">
            <v>UN.</v>
          </cell>
          <cell r="H2180" t="str">
            <v>Gb</v>
          </cell>
          <cell r="I2180" t="e">
            <v>#N/A</v>
          </cell>
          <cell r="K2180">
            <v>0</v>
          </cell>
          <cell r="L2180" t="e">
            <v>#N/A</v>
          </cell>
          <cell r="P2180" t="e">
            <v>#N/A</v>
          </cell>
          <cell r="Q2180" t="e">
            <v>#N/A</v>
          </cell>
          <cell r="X2180" t="e">
            <v>#N/A</v>
          </cell>
          <cell r="Z2180" t="e">
            <v>#VALUE!</v>
          </cell>
          <cell r="AC2180" t="e">
            <v>#VALUE!</v>
          </cell>
        </row>
        <row r="2182">
          <cell r="D2182" t="str">
            <v>CODIGO</v>
          </cell>
          <cell r="E2182" t="str">
            <v>DESCRIPCION</v>
          </cell>
          <cell r="F2182" t="str">
            <v>UN</v>
          </cell>
          <cell r="G2182" t="str">
            <v>CANT</v>
          </cell>
          <cell r="H2182" t="str">
            <v>V/UNIT.</v>
          </cell>
          <cell r="I2182" t="str">
            <v>V/TOTAL</v>
          </cell>
          <cell r="K2182" t="str">
            <v>CANT TOTAL</v>
          </cell>
          <cell r="L2182" t="str">
            <v>Vr TOTAL</v>
          </cell>
          <cell r="Y2182" t="str">
            <v>CANT.</v>
          </cell>
          <cell r="Z2182" t="str">
            <v>V/TOTAL</v>
          </cell>
        </row>
        <row r="2183">
          <cell r="E2183" t="str">
            <v>VARIOS</v>
          </cell>
          <cell r="I2183" t="e">
            <v>#N/A</v>
          </cell>
          <cell r="L2183" t="e">
            <v>#N/A</v>
          </cell>
          <cell r="Z2183" t="e">
            <v>#VALUE!</v>
          </cell>
        </row>
        <row r="2184">
          <cell r="D2184" t="str">
            <v>TCMSPENE</v>
          </cell>
          <cell r="E2184" t="e">
            <v>#N/A</v>
          </cell>
          <cell r="F2184" t="e">
            <v>#N/A</v>
          </cell>
          <cell r="G2184">
            <v>1</v>
          </cell>
          <cell r="H2184" t="e">
            <v>#N/A</v>
          </cell>
          <cell r="I2184" t="e">
            <v>#N/A</v>
          </cell>
          <cell r="J2184" t="e">
            <v>#N/A</v>
          </cell>
          <cell r="K2184">
            <v>0</v>
          </cell>
          <cell r="L2184" t="e">
            <v>#N/A</v>
          </cell>
          <cell r="Y2184" t="e">
            <v>#VALUE!</v>
          </cell>
          <cell r="Z2184" t="e">
            <v>#VALUE!</v>
          </cell>
        </row>
        <row r="2186">
          <cell r="E2186" t="str">
            <v>SUBTOTAL</v>
          </cell>
          <cell r="I2186" t="e">
            <v>#N/A</v>
          </cell>
          <cell r="L2186" t="e">
            <v>#N/A</v>
          </cell>
          <cell r="Z2186" t="e">
            <v>#VALUE!</v>
          </cell>
        </row>
        <row r="2187">
          <cell r="E2187" t="str">
            <v>A.I.U</v>
          </cell>
          <cell r="I2187" t="e">
            <v>#N/A</v>
          </cell>
          <cell r="L2187" t="e">
            <v>#N/A</v>
          </cell>
          <cell r="Z2187" t="e">
            <v>#VALUE!</v>
          </cell>
        </row>
        <row r="2188">
          <cell r="D2188" t="str">
            <v>AIUAADMON</v>
          </cell>
          <cell r="E2188" t="str">
            <v>Admon</v>
          </cell>
          <cell r="F2188">
            <v>0</v>
          </cell>
          <cell r="I2188" t="e">
            <v>#N/A</v>
          </cell>
          <cell r="L2188" t="e">
            <v>#N/A</v>
          </cell>
          <cell r="Z2188" t="e">
            <v>#VALUE!</v>
          </cell>
        </row>
        <row r="2189">
          <cell r="D2189" t="str">
            <v>AIUAIMPRE</v>
          </cell>
          <cell r="E2189" t="str">
            <v>Imprevistos</v>
          </cell>
          <cell r="F2189">
            <v>0</v>
          </cell>
          <cell r="I2189" t="e">
            <v>#N/A</v>
          </cell>
          <cell r="L2189" t="e">
            <v>#N/A</v>
          </cell>
          <cell r="Z2189" t="e">
            <v>#VALUE!</v>
          </cell>
        </row>
        <row r="2190">
          <cell r="D2190" t="str">
            <v>AIUAUTILI</v>
          </cell>
          <cell r="E2190" t="str">
            <v>Utilidad</v>
          </cell>
          <cell r="F2190">
            <v>0</v>
          </cell>
          <cell r="I2190" t="e">
            <v>#N/A</v>
          </cell>
          <cell r="L2190" t="e">
            <v>#N/A</v>
          </cell>
          <cell r="Z2190" t="e">
            <v>#VALUE!</v>
          </cell>
        </row>
        <row r="2191">
          <cell r="D2191" t="str">
            <v>AIUAIVAUTI</v>
          </cell>
          <cell r="E2191" t="str">
            <v>IVA utilidad</v>
          </cell>
          <cell r="F2191">
            <v>0</v>
          </cell>
          <cell r="I2191" t="e">
            <v>#N/A</v>
          </cell>
          <cell r="L2191" t="e">
            <v>#N/A</v>
          </cell>
          <cell r="Z2191" t="e">
            <v>#VALUE!</v>
          </cell>
        </row>
        <row r="2194">
          <cell r="E2194" t="str">
            <v>ITEM</v>
          </cell>
        </row>
        <row r="2195">
          <cell r="D2195" t="str">
            <v>MSTEL</v>
          </cell>
          <cell r="E2195" t="str">
            <v>Telefono</v>
          </cell>
          <cell r="G2195" t="str">
            <v>UN.</v>
          </cell>
          <cell r="H2195" t="str">
            <v>Mes</v>
          </cell>
          <cell r="I2195" t="e">
            <v>#N/A</v>
          </cell>
          <cell r="K2195">
            <v>0</v>
          </cell>
          <cell r="L2195" t="e">
            <v>#N/A</v>
          </cell>
          <cell r="P2195" t="e">
            <v>#N/A</v>
          </cell>
          <cell r="Q2195" t="e">
            <v>#N/A</v>
          </cell>
          <cell r="X2195" t="e">
            <v>#N/A</v>
          </cell>
          <cell r="Z2195" t="e">
            <v>#VALUE!</v>
          </cell>
          <cell r="AC2195" t="e">
            <v>#VALUE!</v>
          </cell>
        </row>
        <row r="2197">
          <cell r="D2197" t="str">
            <v>CODIGO</v>
          </cell>
          <cell r="E2197" t="str">
            <v>DESCRIPCION</v>
          </cell>
          <cell r="F2197" t="str">
            <v>UN</v>
          </cell>
          <cell r="G2197" t="str">
            <v>CANT</v>
          </cell>
          <cell r="H2197" t="str">
            <v>V/UNIT.</v>
          </cell>
          <cell r="I2197" t="str">
            <v>V/TOTAL</v>
          </cell>
          <cell r="K2197" t="str">
            <v>CANT TOTAL</v>
          </cell>
          <cell r="L2197" t="str">
            <v>Vr TOTAL</v>
          </cell>
          <cell r="Y2197" t="str">
            <v>CANT.</v>
          </cell>
          <cell r="Z2197" t="str">
            <v>V/TOTAL</v>
          </cell>
        </row>
        <row r="2198">
          <cell r="E2198" t="str">
            <v>VARIOS</v>
          </cell>
          <cell r="I2198" t="e">
            <v>#N/A</v>
          </cell>
          <cell r="L2198" t="e">
            <v>#N/A</v>
          </cell>
          <cell r="Z2198" t="e">
            <v>#VALUE!</v>
          </cell>
        </row>
        <row r="2199">
          <cell r="D2199" t="str">
            <v>TCMSTEL</v>
          </cell>
          <cell r="E2199" t="e">
            <v>#N/A</v>
          </cell>
          <cell r="F2199" t="e">
            <v>#N/A</v>
          </cell>
          <cell r="G2199">
            <v>1</v>
          </cell>
          <cell r="H2199" t="e">
            <v>#N/A</v>
          </cell>
          <cell r="I2199" t="e">
            <v>#N/A</v>
          </cell>
          <cell r="J2199" t="e">
            <v>#N/A</v>
          </cell>
          <cell r="K2199">
            <v>0</v>
          </cell>
          <cell r="L2199" t="e">
            <v>#N/A</v>
          </cell>
          <cell r="Y2199" t="e">
            <v>#VALUE!</v>
          </cell>
          <cell r="Z2199" t="e">
            <v>#VALUE!</v>
          </cell>
        </row>
        <row r="2201">
          <cell r="E2201" t="str">
            <v>SUBTOTAL</v>
          </cell>
          <cell r="I2201" t="e">
            <v>#N/A</v>
          </cell>
          <cell r="L2201" t="e">
            <v>#N/A</v>
          </cell>
          <cell r="Z2201" t="e">
            <v>#VALUE!</v>
          </cell>
        </row>
        <row r="2202">
          <cell r="E2202" t="str">
            <v>A.I.U</v>
          </cell>
          <cell r="I2202" t="e">
            <v>#N/A</v>
          </cell>
          <cell r="L2202" t="e">
            <v>#N/A</v>
          </cell>
          <cell r="Z2202" t="e">
            <v>#VALUE!</v>
          </cell>
        </row>
        <row r="2203">
          <cell r="D2203" t="str">
            <v>AIUAADMON</v>
          </cell>
          <cell r="E2203" t="str">
            <v>Admon</v>
          </cell>
          <cell r="F2203">
            <v>0</v>
          </cell>
          <cell r="I2203" t="e">
            <v>#N/A</v>
          </cell>
          <cell r="L2203" t="e">
            <v>#N/A</v>
          </cell>
          <cell r="Z2203" t="e">
            <v>#VALUE!</v>
          </cell>
        </row>
        <row r="2204">
          <cell r="D2204" t="str">
            <v>AIUAIMPRE</v>
          </cell>
          <cell r="E2204" t="str">
            <v>Imprevistos</v>
          </cell>
          <cell r="F2204">
            <v>0</v>
          </cell>
          <cell r="I2204" t="e">
            <v>#N/A</v>
          </cell>
          <cell r="L2204" t="e">
            <v>#N/A</v>
          </cell>
          <cell r="Z2204" t="e">
            <v>#VALUE!</v>
          </cell>
        </row>
        <row r="2205">
          <cell r="D2205" t="str">
            <v>AIUAUTILI</v>
          </cell>
          <cell r="E2205" t="str">
            <v>Utilidad</v>
          </cell>
          <cell r="F2205">
            <v>0</v>
          </cell>
          <cell r="I2205" t="e">
            <v>#N/A</v>
          </cell>
          <cell r="L2205" t="e">
            <v>#N/A</v>
          </cell>
          <cell r="Z2205" t="e">
            <v>#VALUE!</v>
          </cell>
        </row>
        <row r="2206">
          <cell r="D2206" t="str">
            <v>AIUAIVAUTI</v>
          </cell>
          <cell r="E2206" t="str">
            <v>IVA utilidad</v>
          </cell>
          <cell r="F2206">
            <v>0</v>
          </cell>
          <cell r="I2206" t="e">
            <v>#N/A</v>
          </cell>
          <cell r="L2206" t="e">
            <v>#N/A</v>
          </cell>
          <cell r="Z2206" t="e">
            <v>#VALUE!</v>
          </cell>
        </row>
      </sheetData>
      <sheetData sheetId="3" refreshError="1"/>
      <sheetData sheetId="4" refreshError="1"/>
      <sheetData sheetId="5" refreshError="1"/>
      <sheetData sheetId="6" refreshError="1"/>
      <sheetData sheetId="7" refreshError="1"/>
      <sheetData sheetId="8"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ordenadas"/>
      <sheetName val="Jerusalen"/>
      <sheetName val="Drenajes"/>
      <sheetName val="Tramos Sewer"/>
      <sheetName val="Caudales Sewer"/>
    </sheetNames>
    <sheetDataSet>
      <sheetData sheetId="0">
        <row r="1">
          <cell r="C1" t="str">
            <v>ELABORACIÓN Y/O ACTUALIZACIÓN DE DISEÑOS DEFINITIVOS</v>
          </cell>
        </row>
        <row r="2">
          <cell r="C2" t="str">
            <v>LOCALIZACIÓN POZOS DE INSPECCIÓN</v>
          </cell>
        </row>
        <row r="6">
          <cell r="A6" t="str">
            <v xml:space="preserve">Pozo </v>
          </cell>
          <cell r="B6" t="str">
            <v>Coord. Este (m)</v>
          </cell>
          <cell r="C6" t="str">
            <v>Coord. Norte (m)</v>
          </cell>
          <cell r="D6" t="str">
            <v>Elevación (m.s.n.m.)</v>
          </cell>
          <cell r="E6" t="str">
            <v>Profundidad (m)</v>
          </cell>
          <cell r="F6" t="str">
            <v>Cota Batea (m.s.n.m.)</v>
          </cell>
          <cell r="G6" t="str">
            <v>Caudal de Diseño (L/s)</v>
          </cell>
          <cell r="H6" t="str">
            <v>Estado Físico</v>
          </cell>
          <cell r="I6" t="str">
            <v>Tipo</v>
          </cell>
          <cell r="J6" t="str">
            <v>Área Residencial (Ha)</v>
          </cell>
          <cell r="K6" t="str">
            <v>Área Institucional (Ha)</v>
          </cell>
          <cell r="L6" t="str">
            <v>Área Comercial (Ha)</v>
          </cell>
          <cell r="M6" t="str">
            <v>Área Total (Ha)</v>
          </cell>
        </row>
        <row r="7">
          <cell r="A7">
            <v>2</v>
          </cell>
          <cell r="B7">
            <v>931690.76</v>
          </cell>
          <cell r="C7">
            <v>996417.13</v>
          </cell>
          <cell r="D7">
            <v>299.74</v>
          </cell>
          <cell r="E7">
            <v>1.3100000000000023</v>
          </cell>
          <cell r="F7">
            <v>298.43</v>
          </cell>
          <cell r="G7">
            <v>1.5</v>
          </cell>
          <cell r="H7" t="str">
            <v>Nuevo</v>
          </cell>
          <cell r="I7" t="str">
            <v>Tipo</v>
          </cell>
          <cell r="J7">
            <v>1.43660319525E-2</v>
          </cell>
          <cell r="K7">
            <v>1.0000000000000001E-9</v>
          </cell>
          <cell r="L7">
            <v>1.0000000000000001E-9</v>
          </cell>
          <cell r="M7">
            <v>1.4366033952499999E-2</v>
          </cell>
        </row>
        <row r="8">
          <cell r="A8">
            <v>3</v>
          </cell>
          <cell r="B8">
            <v>931728.97</v>
          </cell>
          <cell r="C8">
            <v>996414.4</v>
          </cell>
          <cell r="D8">
            <v>299.27999999999997</v>
          </cell>
          <cell r="E8">
            <v>0.78999999999996362</v>
          </cell>
          <cell r="F8">
            <v>298.49</v>
          </cell>
          <cell r="G8">
            <v>1.5</v>
          </cell>
          <cell r="H8" t="str">
            <v xml:space="preserve">Existente </v>
          </cell>
          <cell r="I8" t="str">
            <v>Tipo</v>
          </cell>
          <cell r="J8">
            <v>5.3921297359799999E-3</v>
          </cell>
          <cell r="K8">
            <v>1.0000000000000001E-9</v>
          </cell>
          <cell r="L8">
            <v>1.0000000000000001E-9</v>
          </cell>
          <cell r="M8">
            <v>5.3921317359800006E-3</v>
          </cell>
        </row>
        <row r="9">
          <cell r="A9">
            <v>4</v>
          </cell>
          <cell r="B9">
            <v>931728.38</v>
          </cell>
          <cell r="C9">
            <v>996402.42</v>
          </cell>
          <cell r="D9">
            <v>299.39999999999998</v>
          </cell>
          <cell r="E9">
            <v>1.1299999999999955</v>
          </cell>
          <cell r="F9">
            <v>298.27</v>
          </cell>
          <cell r="G9">
            <v>1.5</v>
          </cell>
          <cell r="H9" t="str">
            <v>Estado Físico</v>
          </cell>
          <cell r="I9" t="str">
            <v>Tipo</v>
          </cell>
          <cell r="J9">
            <v>3.6696645959999998E-3</v>
          </cell>
          <cell r="K9">
            <v>1.0000000000000001E-9</v>
          </cell>
          <cell r="L9">
            <v>1.0000000000000001E-9</v>
          </cell>
          <cell r="M9">
            <v>3.6696665959999996E-3</v>
          </cell>
        </row>
        <row r="10">
          <cell r="A10">
            <v>5</v>
          </cell>
          <cell r="B10">
            <v>931690.22</v>
          </cell>
          <cell r="C10">
            <v>996405.54</v>
          </cell>
          <cell r="D10">
            <v>299.45999999999998</v>
          </cell>
          <cell r="E10">
            <v>1.25</v>
          </cell>
          <cell r="F10">
            <v>298.20999999999998</v>
          </cell>
          <cell r="G10">
            <v>1.5</v>
          </cell>
          <cell r="H10" t="str">
            <v>Estado Físico</v>
          </cell>
          <cell r="I10" t="str">
            <v>Tipo</v>
          </cell>
          <cell r="J10">
            <v>1.6433640515999999E-2</v>
          </cell>
          <cell r="K10">
            <v>1.0000000000000001E-9</v>
          </cell>
          <cell r="L10">
            <v>1.0000000000000001E-9</v>
          </cell>
          <cell r="M10">
            <v>1.6433642515999998E-2</v>
          </cell>
        </row>
        <row r="11">
          <cell r="A11">
            <v>7</v>
          </cell>
          <cell r="B11">
            <v>931728.91</v>
          </cell>
          <cell r="C11">
            <v>996388.22</v>
          </cell>
          <cell r="D11">
            <v>299.56</v>
          </cell>
          <cell r="E11">
            <v>1.2800000000000296</v>
          </cell>
          <cell r="F11">
            <v>298.27999999999997</v>
          </cell>
          <cell r="G11">
            <v>1.5</v>
          </cell>
          <cell r="H11" t="str">
            <v>Estado Físico</v>
          </cell>
          <cell r="I11" t="str">
            <v>Tipo</v>
          </cell>
          <cell r="J11">
            <v>3.3927037575500001E-3</v>
          </cell>
          <cell r="K11">
            <v>1.0000000000000001E-9</v>
          </cell>
          <cell r="L11">
            <v>1.0000000000000001E-9</v>
          </cell>
          <cell r="M11">
            <v>3.3927057575499999E-3</v>
          </cell>
        </row>
        <row r="12">
          <cell r="A12">
            <v>8</v>
          </cell>
          <cell r="B12">
            <v>931729.16</v>
          </cell>
          <cell r="C12">
            <v>996361.5</v>
          </cell>
          <cell r="D12">
            <v>299.86</v>
          </cell>
          <cell r="E12">
            <v>1.3000000000000114</v>
          </cell>
          <cell r="F12">
            <v>298.56</v>
          </cell>
          <cell r="G12">
            <v>1.5</v>
          </cell>
          <cell r="H12" t="str">
            <v>Estado Físico</v>
          </cell>
          <cell r="I12" t="str">
            <v>Tipo</v>
          </cell>
          <cell r="J12">
            <v>3.8901844109400004E-3</v>
          </cell>
          <cell r="K12">
            <v>1.0000000000000001E-9</v>
          </cell>
          <cell r="L12">
            <v>1.0000000000000001E-9</v>
          </cell>
          <cell r="M12">
            <v>3.8901864109400002E-3</v>
          </cell>
        </row>
        <row r="13">
          <cell r="A13">
            <v>9</v>
          </cell>
          <cell r="B13">
            <v>931729.14</v>
          </cell>
          <cell r="C13">
            <v>996350.84</v>
          </cell>
          <cell r="D13">
            <v>299.98</v>
          </cell>
          <cell r="E13">
            <v>1.2000000000000455</v>
          </cell>
          <cell r="F13">
            <v>298.77999999999997</v>
          </cell>
          <cell r="G13">
            <v>1.5</v>
          </cell>
          <cell r="H13" t="str">
            <v>Estado Físico</v>
          </cell>
          <cell r="I13" t="str">
            <v>Tipo</v>
          </cell>
          <cell r="J13">
            <v>3.93364163102E-3</v>
          </cell>
          <cell r="K13">
            <v>1.0000000000000001E-9</v>
          </cell>
          <cell r="L13">
            <v>1.0000000000000001E-9</v>
          </cell>
          <cell r="M13">
            <v>3.9336436310200007E-3</v>
          </cell>
        </row>
        <row r="14">
          <cell r="A14">
            <v>10</v>
          </cell>
          <cell r="B14">
            <v>931688.44</v>
          </cell>
          <cell r="C14">
            <v>996363.92</v>
          </cell>
          <cell r="D14">
            <v>299.39</v>
          </cell>
          <cell r="E14">
            <v>1.3199999999999932</v>
          </cell>
          <cell r="F14">
            <v>298.07</v>
          </cell>
          <cell r="G14">
            <v>1.5</v>
          </cell>
          <cell r="H14" t="str">
            <v>Estado Físico</v>
          </cell>
          <cell r="I14" t="str">
            <v>Tipo</v>
          </cell>
          <cell r="J14">
            <v>1.11667592965E-2</v>
          </cell>
          <cell r="K14">
            <v>1.0000000000000001E-9</v>
          </cell>
          <cell r="L14">
            <v>1.0000000000000001E-9</v>
          </cell>
          <cell r="M14">
            <v>1.1166761296499999E-2</v>
          </cell>
        </row>
        <row r="15">
          <cell r="A15">
            <v>12</v>
          </cell>
          <cell r="B15">
            <v>931687.92</v>
          </cell>
          <cell r="C15">
            <v>996353.59</v>
          </cell>
          <cell r="D15">
            <v>299.45999999999998</v>
          </cell>
          <cell r="E15">
            <v>1.4899999999999523</v>
          </cell>
          <cell r="F15">
            <v>297.97000000000003</v>
          </cell>
          <cell r="G15">
            <v>1.5</v>
          </cell>
          <cell r="H15" t="str">
            <v>Estado Físico</v>
          </cell>
          <cell r="I15" t="str">
            <v>Tipo</v>
          </cell>
          <cell r="J15">
            <v>0.116740830383</v>
          </cell>
          <cell r="K15">
            <v>1.0000000000000001E-9</v>
          </cell>
          <cell r="L15">
            <v>1.0000000000000001E-9</v>
          </cell>
          <cell r="M15">
            <v>0.116740832383</v>
          </cell>
        </row>
        <row r="16">
          <cell r="A16">
            <v>14</v>
          </cell>
          <cell r="B16">
            <v>931686.52</v>
          </cell>
          <cell r="C16">
            <v>996305.47</v>
          </cell>
          <cell r="D16">
            <v>299.77999999999997</v>
          </cell>
          <cell r="E16">
            <v>1.9799999999999613</v>
          </cell>
          <cell r="F16">
            <v>297.8</v>
          </cell>
          <cell r="G16">
            <v>2.1839354914862015</v>
          </cell>
          <cell r="H16" t="str">
            <v>Estado Físico</v>
          </cell>
          <cell r="I16" t="str">
            <v>Tipo</v>
          </cell>
          <cell r="J16">
            <v>0.41589356343</v>
          </cell>
          <cell r="K16">
            <v>1.0000000000000001E-9</v>
          </cell>
          <cell r="L16">
            <v>0.162759443483</v>
          </cell>
          <cell r="M16">
            <v>0.57865300791300001</v>
          </cell>
        </row>
        <row r="17">
          <cell r="A17">
            <v>17</v>
          </cell>
          <cell r="B17">
            <v>931594.2</v>
          </cell>
          <cell r="C17">
            <v>996312.61</v>
          </cell>
          <cell r="D17">
            <v>298.58999999999997</v>
          </cell>
          <cell r="E17">
            <v>1.6699999999999591</v>
          </cell>
          <cell r="F17">
            <v>296.92</v>
          </cell>
          <cell r="G17">
            <v>2.5854724015224706</v>
          </cell>
          <cell r="H17" t="str">
            <v>Estado Físico</v>
          </cell>
          <cell r="I17" t="str">
            <v>Tipo</v>
          </cell>
          <cell r="J17">
            <v>2.2236878643399998E-2</v>
          </cell>
          <cell r="K17">
            <v>1.0000000000000001E-9</v>
          </cell>
          <cell r="L17">
            <v>1.0000000000000001E-9</v>
          </cell>
          <cell r="M17">
            <v>2.2236880643399997E-2</v>
          </cell>
        </row>
        <row r="18">
          <cell r="A18">
            <v>19</v>
          </cell>
          <cell r="B18">
            <v>931498.77</v>
          </cell>
          <cell r="C18">
            <v>996325.24</v>
          </cell>
          <cell r="D18">
            <v>297.88</v>
          </cell>
          <cell r="E18">
            <v>2.0099999999999909</v>
          </cell>
          <cell r="F18">
            <v>295.87</v>
          </cell>
          <cell r="G18">
            <v>4.1905198811610047</v>
          </cell>
          <cell r="H18" t="str">
            <v>Estado Físico</v>
          </cell>
          <cell r="I18" t="str">
            <v>Tipo</v>
          </cell>
          <cell r="J18">
            <v>0</v>
          </cell>
          <cell r="K18">
            <v>1.0000000000000001E-9</v>
          </cell>
          <cell r="L18">
            <v>1.0000000000000001E-9</v>
          </cell>
          <cell r="M18">
            <v>2.0000000000000001E-9</v>
          </cell>
        </row>
        <row r="19">
          <cell r="A19" t="str">
            <v>19i</v>
          </cell>
          <cell r="B19">
            <v>931498.77</v>
          </cell>
          <cell r="C19">
            <v>996325.24</v>
          </cell>
          <cell r="D19">
            <v>297.88</v>
          </cell>
          <cell r="E19">
            <v>2.0099999999999909</v>
          </cell>
          <cell r="F19">
            <v>295.87</v>
          </cell>
          <cell r="G19">
            <v>1.5</v>
          </cell>
          <cell r="H19" t="str">
            <v>Estado Físico</v>
          </cell>
          <cell r="I19" t="str">
            <v>Tipo</v>
          </cell>
          <cell r="J19">
            <v>0.23090888215800001</v>
          </cell>
          <cell r="K19">
            <v>1.0000000000000001E-9</v>
          </cell>
          <cell r="L19">
            <v>1.0000000000000001E-9</v>
          </cell>
          <cell r="M19">
            <v>0.23090888415800001</v>
          </cell>
        </row>
        <row r="20">
          <cell r="A20">
            <v>20</v>
          </cell>
          <cell r="B20">
            <v>931430.97</v>
          </cell>
          <cell r="C20">
            <v>996332.48</v>
          </cell>
          <cell r="D20">
            <v>296.87</v>
          </cell>
          <cell r="E20">
            <v>1.1700000000000159</v>
          </cell>
          <cell r="F20">
            <v>295.7</v>
          </cell>
          <cell r="G20">
            <v>1.5</v>
          </cell>
          <cell r="H20" t="str">
            <v>Estado Físico</v>
          </cell>
          <cell r="I20" t="str">
            <v>Tipo</v>
          </cell>
          <cell r="J20">
            <v>0.52284990895100003</v>
          </cell>
          <cell r="K20">
            <v>1.0000000000000001E-9</v>
          </cell>
          <cell r="L20">
            <v>1.0000000000000001E-9</v>
          </cell>
          <cell r="M20">
            <v>0.52284991095099997</v>
          </cell>
        </row>
        <row r="21">
          <cell r="A21">
            <v>21</v>
          </cell>
          <cell r="B21">
            <v>931369.54</v>
          </cell>
          <cell r="C21">
            <v>996333.23</v>
          </cell>
          <cell r="D21">
            <v>295.92</v>
          </cell>
          <cell r="E21">
            <v>2.6999999999999886</v>
          </cell>
          <cell r="F21">
            <v>293.22000000000003</v>
          </cell>
          <cell r="G21">
            <v>4.9540593893869938</v>
          </cell>
          <cell r="H21" t="str">
            <v>Estado Físico</v>
          </cell>
          <cell r="I21" t="str">
            <v>Tipo</v>
          </cell>
          <cell r="J21">
            <v>9.5861341701600003E-2</v>
          </cell>
          <cell r="K21">
            <v>1.0000000000000001E-9</v>
          </cell>
          <cell r="L21">
            <v>1.0000000000000001E-9</v>
          </cell>
          <cell r="M21">
            <v>9.5861343701600002E-2</v>
          </cell>
        </row>
        <row r="22">
          <cell r="A22">
            <v>23</v>
          </cell>
          <cell r="B22">
            <v>931313.61</v>
          </cell>
          <cell r="C22">
            <v>996388.78</v>
          </cell>
          <cell r="D22">
            <v>295.92</v>
          </cell>
          <cell r="E22">
            <v>3.2800000000000296</v>
          </cell>
          <cell r="F22">
            <v>292.64</v>
          </cell>
          <cell r="G22">
            <v>1.5</v>
          </cell>
          <cell r="H22" t="str">
            <v>Estado Físico</v>
          </cell>
          <cell r="I22" t="str">
            <v>Tipo</v>
          </cell>
          <cell r="J22">
            <v>5.3842520520999991E-2</v>
          </cell>
          <cell r="K22">
            <v>4.0218255344700001E-3</v>
          </cell>
          <cell r="L22">
            <v>1.0000000000000001E-9</v>
          </cell>
          <cell r="M22">
            <v>5.7864347055469993E-2</v>
          </cell>
        </row>
        <row r="23">
          <cell r="A23">
            <v>25</v>
          </cell>
          <cell r="B23">
            <v>931291.69</v>
          </cell>
          <cell r="C23">
            <v>996406.32</v>
          </cell>
          <cell r="D23">
            <v>295.82</v>
          </cell>
          <cell r="E23">
            <v>3.4699999999999704</v>
          </cell>
          <cell r="F23">
            <v>292.35000000000002</v>
          </cell>
          <cell r="G23">
            <v>1.5808872171887367</v>
          </cell>
          <cell r="H23" t="str">
            <v>Estado Físico</v>
          </cell>
          <cell r="I23" t="str">
            <v>Tipo</v>
          </cell>
          <cell r="J23">
            <v>0.14717907768899999</v>
          </cell>
          <cell r="K23">
            <v>1.0000000000000001E-9</v>
          </cell>
          <cell r="L23">
            <v>1.0000000000000001E-9</v>
          </cell>
          <cell r="M23">
            <v>0.14717907968899999</v>
          </cell>
        </row>
        <row r="24">
          <cell r="A24">
            <v>26</v>
          </cell>
          <cell r="B24">
            <v>931295.27</v>
          </cell>
          <cell r="C24">
            <v>996407.82</v>
          </cell>
          <cell r="D24">
            <v>295.75</v>
          </cell>
          <cell r="E24">
            <v>1.9700000000000273</v>
          </cell>
          <cell r="F24">
            <v>293.77999999999997</v>
          </cell>
          <cell r="G24">
            <v>1.5</v>
          </cell>
          <cell r="H24" t="str">
            <v>Estado Físico</v>
          </cell>
          <cell r="I24" t="str">
            <v>Tipo</v>
          </cell>
          <cell r="J24">
            <v>1.3967173059900001E-3</v>
          </cell>
          <cell r="K24">
            <v>1.0000000000000001E-9</v>
          </cell>
          <cell r="L24">
            <v>1.0000000000000001E-9</v>
          </cell>
          <cell r="M24">
            <v>1.3967193059899999E-3</v>
          </cell>
        </row>
        <row r="25">
          <cell r="A25">
            <v>27</v>
          </cell>
          <cell r="B25">
            <v>931306.09</v>
          </cell>
          <cell r="C25">
            <v>996412.73</v>
          </cell>
          <cell r="D25">
            <v>295.79000000000002</v>
          </cell>
          <cell r="E25">
            <v>1.7300000000000182</v>
          </cell>
          <cell r="F25">
            <v>294.06</v>
          </cell>
          <cell r="G25">
            <v>1.5</v>
          </cell>
          <cell r="H25" t="str">
            <v>Estado Físico</v>
          </cell>
          <cell r="I25" t="str">
            <v>Tipo</v>
          </cell>
          <cell r="J25">
            <v>2.1561153163900001E-2</v>
          </cell>
          <cell r="K25">
            <v>1.0000000000000001E-9</v>
          </cell>
          <cell r="L25">
            <v>1.0000000000000001E-9</v>
          </cell>
          <cell r="M25">
            <v>2.15611551639E-2</v>
          </cell>
        </row>
        <row r="26">
          <cell r="A26">
            <v>28</v>
          </cell>
          <cell r="B26">
            <v>931352.23</v>
          </cell>
          <cell r="C26">
            <v>996410.27</v>
          </cell>
          <cell r="D26">
            <v>296.02999999999997</v>
          </cell>
          <cell r="E26">
            <v>1.3699999999999477</v>
          </cell>
          <cell r="F26">
            <v>294.66000000000003</v>
          </cell>
          <cell r="G26">
            <v>1.5</v>
          </cell>
          <cell r="H26" t="str">
            <v>Estado Físico</v>
          </cell>
          <cell r="I26" t="str">
            <v>Tipo</v>
          </cell>
          <cell r="J26">
            <v>0</v>
          </cell>
          <cell r="K26">
            <v>1.0000000000000001E-9</v>
          </cell>
          <cell r="L26">
            <v>1.0000000000000001E-9</v>
          </cell>
          <cell r="M26">
            <v>2.0000000000000001E-9</v>
          </cell>
        </row>
        <row r="27">
          <cell r="A27" t="str">
            <v>28i</v>
          </cell>
          <cell r="B27">
            <v>931352.23</v>
          </cell>
          <cell r="C27">
            <v>996410.27</v>
          </cell>
          <cell r="D27">
            <v>296.02999999999997</v>
          </cell>
          <cell r="E27">
            <v>1.3699999999999477</v>
          </cell>
          <cell r="F27">
            <v>294.66000000000003</v>
          </cell>
          <cell r="G27">
            <v>1.5</v>
          </cell>
          <cell r="H27" t="str">
            <v>Estado Físico</v>
          </cell>
          <cell r="I27" t="str">
            <v>Tipo</v>
          </cell>
          <cell r="J27">
            <v>9.7582029064999992E-2</v>
          </cell>
          <cell r="K27">
            <v>2.3983380928500001E-2</v>
          </cell>
          <cell r="L27">
            <v>1.0000000000000001E-9</v>
          </cell>
          <cell r="M27">
            <v>0.12156541099349999</v>
          </cell>
        </row>
        <row r="28">
          <cell r="A28">
            <v>29</v>
          </cell>
          <cell r="B28">
            <v>931351.85</v>
          </cell>
          <cell r="C28">
            <v>996403.94</v>
          </cell>
          <cell r="D28">
            <v>295.99</v>
          </cell>
          <cell r="E28">
            <v>1.6200000000000045</v>
          </cell>
          <cell r="F28">
            <v>294.37</v>
          </cell>
          <cell r="G28">
            <v>3.2667584096263749</v>
          </cell>
          <cell r="H28" t="str">
            <v>Estado Físico</v>
          </cell>
          <cell r="I28" t="str">
            <v>Tipo</v>
          </cell>
          <cell r="J28">
            <v>0</v>
          </cell>
          <cell r="K28">
            <v>1.0000000000000001E-9</v>
          </cell>
          <cell r="L28">
            <v>1.0000000000000001E-9</v>
          </cell>
          <cell r="M28">
            <v>2.0000000000000001E-9</v>
          </cell>
        </row>
        <row r="29">
          <cell r="A29" t="str">
            <v>29i</v>
          </cell>
          <cell r="B29">
            <v>931351.85</v>
          </cell>
          <cell r="C29">
            <v>996403.94</v>
          </cell>
          <cell r="D29">
            <v>295.99</v>
          </cell>
          <cell r="E29">
            <v>1.6200000000000045</v>
          </cell>
          <cell r="F29">
            <v>294.37</v>
          </cell>
          <cell r="G29">
            <v>1.5</v>
          </cell>
          <cell r="H29" t="str">
            <v>Estado Físico</v>
          </cell>
          <cell r="I29" t="str">
            <v>Tipo</v>
          </cell>
          <cell r="J29">
            <v>0.16868230528199998</v>
          </cell>
          <cell r="K29">
            <v>3.0097872021900004E-2</v>
          </cell>
          <cell r="L29">
            <v>1.0000000000000001E-9</v>
          </cell>
          <cell r="M29">
            <v>0.19878017830389999</v>
          </cell>
        </row>
        <row r="30">
          <cell r="A30">
            <v>30</v>
          </cell>
          <cell r="B30">
            <v>931426.89</v>
          </cell>
          <cell r="C30">
            <v>996399.19</v>
          </cell>
          <cell r="D30">
            <v>296.58</v>
          </cell>
          <cell r="E30">
            <v>1.4499999999999886</v>
          </cell>
          <cell r="F30">
            <v>295.13</v>
          </cell>
          <cell r="G30">
            <v>3.2667584086263748</v>
          </cell>
          <cell r="H30" t="str">
            <v>Estado Físico</v>
          </cell>
          <cell r="I30" t="str">
            <v>Tipo</v>
          </cell>
          <cell r="J30">
            <v>0.262956024761</v>
          </cell>
          <cell r="K30">
            <v>1.0000000000000001E-9</v>
          </cell>
          <cell r="L30">
            <v>1.0000000000000001E-9</v>
          </cell>
          <cell r="M30">
            <v>0.26295602676100005</v>
          </cell>
        </row>
        <row r="31">
          <cell r="A31">
            <v>31</v>
          </cell>
          <cell r="B31">
            <v>931501.38</v>
          </cell>
          <cell r="C31">
            <v>996394.37</v>
          </cell>
          <cell r="D31">
            <v>297.38</v>
          </cell>
          <cell r="E31">
            <v>1.4900000000000091</v>
          </cell>
          <cell r="F31">
            <v>295.89</v>
          </cell>
          <cell r="G31">
            <v>2.5461185821882029</v>
          </cell>
          <cell r="H31" t="str">
            <v>Estado Físico</v>
          </cell>
          <cell r="I31" t="str">
            <v>Tipo</v>
          </cell>
          <cell r="J31">
            <v>0.286935859977</v>
          </cell>
          <cell r="K31">
            <v>1.0000000000000001E-9</v>
          </cell>
          <cell r="L31">
            <v>1.0000000000000001E-9</v>
          </cell>
          <cell r="M31">
            <v>0.28693586197700005</v>
          </cell>
        </row>
        <row r="32">
          <cell r="A32">
            <v>33</v>
          </cell>
          <cell r="B32">
            <v>931515.1</v>
          </cell>
          <cell r="C32">
            <v>996635.08</v>
          </cell>
          <cell r="D32">
            <v>295.07</v>
          </cell>
          <cell r="E32">
            <v>1.5299999999999727</v>
          </cell>
          <cell r="F32">
            <v>293.54000000000002</v>
          </cell>
          <cell r="G32">
            <v>2.0279595887419881</v>
          </cell>
          <cell r="H32" t="str">
            <v>Estado Físico</v>
          </cell>
          <cell r="I32" t="str">
            <v>Tipo</v>
          </cell>
          <cell r="J32">
            <v>0.47494610402400006</v>
          </cell>
          <cell r="K32">
            <v>1.0000000000000001E-9</v>
          </cell>
          <cell r="L32">
            <v>1.0000000000000001E-9</v>
          </cell>
          <cell r="M32">
            <v>0.47494610602400011</v>
          </cell>
        </row>
        <row r="33">
          <cell r="A33">
            <v>34</v>
          </cell>
          <cell r="B33">
            <v>931520.59</v>
          </cell>
          <cell r="C33">
            <v>996712.12</v>
          </cell>
          <cell r="D33">
            <v>294.39</v>
          </cell>
          <cell r="E33">
            <v>0.76999999999998181</v>
          </cell>
          <cell r="F33">
            <v>293.62</v>
          </cell>
          <cell r="G33">
            <v>1.5</v>
          </cell>
          <cell r="H33" t="str">
            <v>Estado Físico</v>
          </cell>
          <cell r="I33" t="str">
            <v>Tipo</v>
          </cell>
          <cell r="J33">
            <v>0.24344311573899999</v>
          </cell>
          <cell r="K33">
            <v>1.0000000000000001E-9</v>
          </cell>
          <cell r="L33">
            <v>1.0000000000000001E-9</v>
          </cell>
          <cell r="M33">
            <v>0.24344311773899999</v>
          </cell>
        </row>
        <row r="34">
          <cell r="A34">
            <v>35</v>
          </cell>
          <cell r="B34">
            <v>931361.61</v>
          </cell>
          <cell r="C34">
            <v>996574.06</v>
          </cell>
          <cell r="D34">
            <v>294.08999999999997</v>
          </cell>
          <cell r="E34">
            <v>1.3899999999999864</v>
          </cell>
          <cell r="F34">
            <v>292.7</v>
          </cell>
          <cell r="G34">
            <v>3.8883161794167762</v>
          </cell>
          <cell r="H34" t="str">
            <v>Estado Físico</v>
          </cell>
          <cell r="I34" t="str">
            <v>Tipo</v>
          </cell>
          <cell r="J34">
            <v>0.10334447808899999</v>
          </cell>
          <cell r="K34">
            <v>1.0000000000000001E-9</v>
          </cell>
          <cell r="L34">
            <v>1.0000000000000001E-9</v>
          </cell>
          <cell r="M34">
            <v>0.10334448008899999</v>
          </cell>
        </row>
        <row r="35">
          <cell r="A35">
            <v>36</v>
          </cell>
          <cell r="B35">
            <v>931357.24</v>
          </cell>
          <cell r="C35">
            <v>996498.83</v>
          </cell>
          <cell r="D35">
            <v>295.23</v>
          </cell>
          <cell r="E35">
            <v>1.7000000000000455</v>
          </cell>
          <cell r="F35">
            <v>293.52999999999997</v>
          </cell>
          <cell r="G35">
            <v>1.5</v>
          </cell>
          <cell r="H35" t="str">
            <v>Estado Físico</v>
          </cell>
          <cell r="I35" t="str">
            <v>Tipo</v>
          </cell>
          <cell r="J35">
            <v>0.18950766789100001</v>
          </cell>
          <cell r="K35">
            <v>1.0000000000000001E-9</v>
          </cell>
          <cell r="L35">
            <v>1.0000000000000001E-9</v>
          </cell>
          <cell r="M35">
            <v>0.18950766989100001</v>
          </cell>
        </row>
        <row r="36">
          <cell r="A36">
            <v>37</v>
          </cell>
          <cell r="B36">
            <v>931356.4</v>
          </cell>
          <cell r="C36">
            <v>996485.39</v>
          </cell>
          <cell r="D36">
            <v>295.35000000000002</v>
          </cell>
          <cell r="E36">
            <v>1.5100000000000477</v>
          </cell>
          <cell r="F36">
            <v>293.83999999999997</v>
          </cell>
          <cell r="G36">
            <v>1.5</v>
          </cell>
          <cell r="H36" t="str">
            <v>Estado Físico</v>
          </cell>
          <cell r="I36" t="str">
            <v>Tipo</v>
          </cell>
          <cell r="J36">
            <v>1.9228100635000002E-2</v>
          </cell>
          <cell r="K36">
            <v>1.0000000000000001E-9</v>
          </cell>
          <cell r="L36">
            <v>1.0000000000000001E-9</v>
          </cell>
          <cell r="M36">
            <v>1.9228102635000001E-2</v>
          </cell>
        </row>
        <row r="37">
          <cell r="A37">
            <v>38</v>
          </cell>
          <cell r="B37">
            <v>931309.79</v>
          </cell>
          <cell r="C37">
            <v>996488.17</v>
          </cell>
          <cell r="D37">
            <v>295.07</v>
          </cell>
          <cell r="E37">
            <v>1.8999999999999773</v>
          </cell>
          <cell r="F37">
            <v>293.17</v>
          </cell>
          <cell r="G37">
            <v>1.5</v>
          </cell>
          <cell r="H37" t="str">
            <v>Estado Físico</v>
          </cell>
          <cell r="I37" t="str">
            <v>Tipo</v>
          </cell>
          <cell r="J37">
            <v>0</v>
          </cell>
          <cell r="K37">
            <v>1.0000000000000001E-9</v>
          </cell>
          <cell r="L37">
            <v>1.0000000000000001E-9</v>
          </cell>
          <cell r="M37">
            <v>2.0000000000000001E-9</v>
          </cell>
        </row>
        <row r="38">
          <cell r="A38" t="str">
            <v>38i</v>
          </cell>
          <cell r="B38">
            <v>931309.79</v>
          </cell>
          <cell r="C38">
            <v>996488.17</v>
          </cell>
          <cell r="D38">
            <v>295.07</v>
          </cell>
          <cell r="E38">
            <v>1.8999999999999773</v>
          </cell>
          <cell r="F38">
            <v>293.17</v>
          </cell>
          <cell r="G38">
            <v>1.5</v>
          </cell>
          <cell r="H38" t="str">
            <v>Estado Físico</v>
          </cell>
          <cell r="I38" t="str">
            <v>Tipo</v>
          </cell>
          <cell r="J38">
            <v>0.176658879154</v>
          </cell>
          <cell r="K38">
            <v>1.0000000000000001E-9</v>
          </cell>
          <cell r="L38">
            <v>1.0000000000000001E-9</v>
          </cell>
          <cell r="M38">
            <v>0.176658881154</v>
          </cell>
        </row>
        <row r="39">
          <cell r="A39">
            <v>39</v>
          </cell>
          <cell r="B39">
            <v>931307.06</v>
          </cell>
          <cell r="C39">
            <v>996457.67</v>
          </cell>
          <cell r="D39">
            <v>295.37</v>
          </cell>
          <cell r="E39">
            <v>1.4399999999999977</v>
          </cell>
          <cell r="F39">
            <v>293.93</v>
          </cell>
          <cell r="G39">
            <v>1.5</v>
          </cell>
          <cell r="H39" t="str">
            <v>Estado Físico</v>
          </cell>
          <cell r="I39" t="str">
            <v>Tipo</v>
          </cell>
          <cell r="J39">
            <v>0.109246502296</v>
          </cell>
          <cell r="K39">
            <v>1.0000000000000001E-9</v>
          </cell>
          <cell r="L39">
            <v>1.0000000000000001E-9</v>
          </cell>
          <cell r="M39">
            <v>0.109246504296</v>
          </cell>
        </row>
        <row r="40">
          <cell r="A40">
            <v>40</v>
          </cell>
          <cell r="B40">
            <v>931272.61</v>
          </cell>
          <cell r="C40">
            <v>996483.43</v>
          </cell>
          <cell r="D40">
            <v>294.83999999999997</v>
          </cell>
          <cell r="E40">
            <v>1.339999999999975</v>
          </cell>
          <cell r="F40">
            <v>293.5</v>
          </cell>
          <cell r="G40">
            <v>1.5</v>
          </cell>
          <cell r="H40" t="str">
            <v>Estado Físico</v>
          </cell>
          <cell r="I40" t="str">
            <v>Tipo</v>
          </cell>
          <cell r="J40">
            <v>0.171622336589</v>
          </cell>
          <cell r="K40">
            <v>1.0000000000000001E-9</v>
          </cell>
          <cell r="L40">
            <v>1.0000000000000001E-9</v>
          </cell>
          <cell r="M40">
            <v>0.171622338589</v>
          </cell>
        </row>
        <row r="41">
          <cell r="A41">
            <v>41</v>
          </cell>
          <cell r="B41">
            <v>931305.54</v>
          </cell>
          <cell r="C41">
            <v>996496.04</v>
          </cell>
          <cell r="D41">
            <v>295.08</v>
          </cell>
          <cell r="E41">
            <v>0.53999999999996362</v>
          </cell>
          <cell r="F41">
            <v>294.54000000000002</v>
          </cell>
          <cell r="G41">
            <v>1.5</v>
          </cell>
          <cell r="H41" t="str">
            <v>Estado Físico</v>
          </cell>
          <cell r="I41" t="str">
            <v>Tipo</v>
          </cell>
          <cell r="J41">
            <v>7.1248519052699993E-2</v>
          </cell>
          <cell r="K41">
            <v>1.0000000000000001E-9</v>
          </cell>
          <cell r="L41">
            <v>1.0000000000000001E-9</v>
          </cell>
          <cell r="M41">
            <v>7.1248521052699992E-2</v>
          </cell>
        </row>
        <row r="42">
          <cell r="A42">
            <v>42</v>
          </cell>
          <cell r="B42">
            <v>931314.1</v>
          </cell>
          <cell r="C42">
            <v>996552.94</v>
          </cell>
          <cell r="D42">
            <v>294.61</v>
          </cell>
          <cell r="E42">
            <v>2.2200000000000273</v>
          </cell>
          <cell r="F42">
            <v>292.39</v>
          </cell>
          <cell r="G42">
            <v>4.8243111460938062</v>
          </cell>
          <cell r="H42" t="str">
            <v>Estado Físico</v>
          </cell>
          <cell r="I42" t="str">
            <v>Tipo</v>
          </cell>
          <cell r="J42">
            <v>0.15930453090000002</v>
          </cell>
          <cell r="K42">
            <v>1.0000000000000001E-9</v>
          </cell>
          <cell r="L42">
            <v>1.0000000000000001E-9</v>
          </cell>
          <cell r="M42">
            <v>0.15930453290000002</v>
          </cell>
        </row>
        <row r="43">
          <cell r="A43">
            <v>43</v>
          </cell>
          <cell r="B43">
            <v>931233.62</v>
          </cell>
          <cell r="C43">
            <v>996517.64</v>
          </cell>
          <cell r="D43">
            <v>293.58999999999997</v>
          </cell>
          <cell r="E43">
            <v>1.6199999999999477</v>
          </cell>
          <cell r="F43">
            <v>291.97000000000003</v>
          </cell>
          <cell r="G43">
            <v>6.0342605363255837</v>
          </cell>
          <cell r="H43" t="str">
            <v>Estado Físico</v>
          </cell>
          <cell r="I43" t="str">
            <v>Tipo</v>
          </cell>
          <cell r="J43">
            <v>9.4820049166800008E-2</v>
          </cell>
          <cell r="K43">
            <v>1.0000000000000001E-9</v>
          </cell>
          <cell r="L43">
            <v>1.0000000000000001E-9</v>
          </cell>
          <cell r="M43">
            <v>9.4820051166800007E-2</v>
          </cell>
        </row>
        <row r="44">
          <cell r="A44">
            <v>44</v>
          </cell>
          <cell r="B44">
            <v>931252.16</v>
          </cell>
          <cell r="C44">
            <v>996438.18</v>
          </cell>
          <cell r="D44">
            <v>295.01</v>
          </cell>
          <cell r="E44">
            <v>3.3000000000000114</v>
          </cell>
          <cell r="F44">
            <v>291.70999999999998</v>
          </cell>
          <cell r="G44">
            <v>2.2825470135853516</v>
          </cell>
          <cell r="H44" t="str">
            <v>Estado Físico</v>
          </cell>
          <cell r="I44" t="str">
            <v>Tipo</v>
          </cell>
          <cell r="J44">
            <v>0.25379216276299998</v>
          </cell>
          <cell r="K44">
            <v>1.0000000000000001E-9</v>
          </cell>
          <cell r="L44">
            <v>1.0000000000000001E-9</v>
          </cell>
          <cell r="M44">
            <v>0.25379216476300004</v>
          </cell>
        </row>
        <row r="45">
          <cell r="A45">
            <v>46</v>
          </cell>
          <cell r="B45">
            <v>931185.92</v>
          </cell>
          <cell r="C45">
            <v>996495.22</v>
          </cell>
          <cell r="D45">
            <v>293.93</v>
          </cell>
          <cell r="E45">
            <v>2.2900000000000205</v>
          </cell>
          <cell r="F45">
            <v>291.64</v>
          </cell>
          <cell r="G45">
            <v>6.0396906752827446</v>
          </cell>
          <cell r="H45" t="str">
            <v>Estado Físico</v>
          </cell>
          <cell r="I45" t="str">
            <v>Tipo</v>
          </cell>
          <cell r="J45">
            <v>2.00996169249E-3</v>
          </cell>
          <cell r="K45">
            <v>1.0000000000000001E-9</v>
          </cell>
          <cell r="L45">
            <v>1.0000000000000001E-9</v>
          </cell>
          <cell r="M45">
            <v>2.0099636924899998E-3</v>
          </cell>
        </row>
        <row r="46">
          <cell r="A46">
            <v>47</v>
          </cell>
          <cell r="B46">
            <v>931181.45</v>
          </cell>
          <cell r="C46">
            <v>996495.43</v>
          </cell>
          <cell r="D46">
            <v>293.95999999999998</v>
          </cell>
          <cell r="E46">
            <v>3.0499999999999545</v>
          </cell>
          <cell r="F46">
            <v>290.91000000000003</v>
          </cell>
          <cell r="G46">
            <v>8.583963548613319</v>
          </cell>
          <cell r="H46" t="str">
            <v>Estado Físico</v>
          </cell>
          <cell r="I46" t="str">
            <v>Tipo</v>
          </cell>
          <cell r="J46">
            <v>0.134051878924</v>
          </cell>
          <cell r="K46">
            <v>1.0000000000000001E-9</v>
          </cell>
          <cell r="L46">
            <v>1.0000000000000001E-9</v>
          </cell>
          <cell r="M46">
            <v>0.134051880924</v>
          </cell>
        </row>
        <row r="47">
          <cell r="A47">
            <v>48</v>
          </cell>
          <cell r="B47">
            <v>932240.02</v>
          </cell>
          <cell r="C47">
            <v>996156.03</v>
          </cell>
          <cell r="D47">
            <v>307.36</v>
          </cell>
          <cell r="E47">
            <v>1.3000000000000114</v>
          </cell>
          <cell r="F47">
            <v>306.06</v>
          </cell>
          <cell r="G47">
            <v>1.5</v>
          </cell>
          <cell r="H47" t="str">
            <v>Estado Físico</v>
          </cell>
          <cell r="I47" t="str">
            <v>Tipo</v>
          </cell>
          <cell r="J47">
            <v>0.23355486200999998</v>
          </cell>
          <cell r="K47">
            <v>1.0000000000000001E-9</v>
          </cell>
          <cell r="L47">
            <v>1.0000000000000001E-9</v>
          </cell>
          <cell r="M47">
            <v>0.23355486400999997</v>
          </cell>
        </row>
        <row r="48">
          <cell r="A48">
            <v>49</v>
          </cell>
          <cell r="B48">
            <v>932120.96</v>
          </cell>
          <cell r="C48">
            <v>996167.48</v>
          </cell>
          <cell r="D48">
            <v>305.83999999999997</v>
          </cell>
          <cell r="E48">
            <v>1.67999999999995</v>
          </cell>
          <cell r="F48">
            <v>304.16000000000003</v>
          </cell>
          <cell r="G48">
            <v>1.5</v>
          </cell>
          <cell r="H48" t="str">
            <v>Estado Físico</v>
          </cell>
          <cell r="I48" t="str">
            <v>Tipo</v>
          </cell>
          <cell r="J48">
            <v>0.15058438007699998</v>
          </cell>
          <cell r="K48">
            <v>1.0000000000000001E-9</v>
          </cell>
          <cell r="L48">
            <v>1.0000000000000001E-9</v>
          </cell>
          <cell r="M48">
            <v>0.15058438207699998</v>
          </cell>
        </row>
        <row r="49">
          <cell r="A49">
            <v>50</v>
          </cell>
          <cell r="B49">
            <v>932079.88</v>
          </cell>
          <cell r="C49">
            <v>996171.47</v>
          </cell>
          <cell r="D49">
            <v>305.45999999999998</v>
          </cell>
          <cell r="E49">
            <v>2.4199999999999591</v>
          </cell>
          <cell r="F49">
            <v>303.04000000000002</v>
          </cell>
          <cell r="G49">
            <v>1.965634724171653</v>
          </cell>
          <cell r="H49" t="str">
            <v>Estado Físico</v>
          </cell>
          <cell r="I49" t="str">
            <v>Tipo</v>
          </cell>
          <cell r="J49">
            <v>0.31168096941399998</v>
          </cell>
          <cell r="K49">
            <v>1.0000000000000001E-9</v>
          </cell>
          <cell r="L49">
            <v>1.0000000000000001E-9</v>
          </cell>
          <cell r="M49">
            <v>0.31168097141400003</v>
          </cell>
        </row>
        <row r="50">
          <cell r="A50">
            <v>51</v>
          </cell>
          <cell r="B50">
            <v>931992.65</v>
          </cell>
          <cell r="C50">
            <v>996179.99</v>
          </cell>
          <cell r="D50">
            <v>305.02999999999997</v>
          </cell>
          <cell r="E50">
            <v>2.1499999999999773</v>
          </cell>
          <cell r="F50">
            <v>302.88</v>
          </cell>
          <cell r="G50">
            <v>2.3422624683703406</v>
          </cell>
          <cell r="H50" t="str">
            <v>Estado Físico</v>
          </cell>
          <cell r="I50" t="str">
            <v>Tipo</v>
          </cell>
          <cell r="J50">
            <v>0.136594626489</v>
          </cell>
          <cell r="K50">
            <v>1.0000000000000001E-9</v>
          </cell>
          <cell r="L50">
            <v>1.0000000000000001E-9</v>
          </cell>
          <cell r="M50">
            <v>0.136594628489</v>
          </cell>
        </row>
        <row r="51">
          <cell r="A51">
            <v>52</v>
          </cell>
          <cell r="B51">
            <v>931953.1</v>
          </cell>
          <cell r="C51">
            <v>996182.75</v>
          </cell>
          <cell r="D51">
            <v>304.72000000000003</v>
          </cell>
          <cell r="E51">
            <v>2.2400000000000091</v>
          </cell>
          <cell r="F51">
            <v>302.48</v>
          </cell>
          <cell r="G51">
            <v>2.7223136055587669</v>
          </cell>
          <cell r="H51" t="str">
            <v>Estado Físico</v>
          </cell>
          <cell r="I51" t="str">
            <v>Tipo</v>
          </cell>
          <cell r="J51">
            <v>0.138295807114</v>
          </cell>
          <cell r="K51">
            <v>1.0000000000000001E-9</v>
          </cell>
          <cell r="L51">
            <v>1.0000000000000001E-9</v>
          </cell>
          <cell r="M51">
            <v>0.138295809114</v>
          </cell>
        </row>
        <row r="52">
          <cell r="A52">
            <v>53</v>
          </cell>
          <cell r="B52">
            <v>931912.01</v>
          </cell>
          <cell r="C52">
            <v>996186.04</v>
          </cell>
          <cell r="D52">
            <v>304.23</v>
          </cell>
          <cell r="E52">
            <v>2.1299999999999955</v>
          </cell>
          <cell r="F52">
            <v>302.10000000000002</v>
          </cell>
          <cell r="G52">
            <v>3.1326117656957351</v>
          </cell>
          <cell r="H52" t="str">
            <v>Estado Físico</v>
          </cell>
          <cell r="I52" t="str">
            <v>Tipo</v>
          </cell>
          <cell r="J52">
            <v>0.14974206888300001</v>
          </cell>
          <cell r="K52">
            <v>1.0000000000000001E-9</v>
          </cell>
          <cell r="L52">
            <v>1.0000000000000001E-9</v>
          </cell>
          <cell r="M52">
            <v>0.14974207088300001</v>
          </cell>
        </row>
        <row r="53">
          <cell r="A53">
            <v>54</v>
          </cell>
          <cell r="B53">
            <v>931864.69</v>
          </cell>
          <cell r="C53">
            <v>996193.39</v>
          </cell>
          <cell r="D53">
            <v>303.58999999999997</v>
          </cell>
          <cell r="E53">
            <v>1.7299999999999613</v>
          </cell>
          <cell r="F53">
            <v>301.86</v>
          </cell>
          <cell r="G53">
            <v>3.7172704920978377</v>
          </cell>
          <cell r="H53" t="str">
            <v>Estado Físico</v>
          </cell>
          <cell r="I53" t="str">
            <v>Tipo</v>
          </cell>
          <cell r="J53">
            <v>0.214045875893</v>
          </cell>
          <cell r="K53">
            <v>1.0000000000000001E-9</v>
          </cell>
          <cell r="L53">
            <v>1.0000000000000001E-9</v>
          </cell>
          <cell r="M53">
            <v>0.214045877893</v>
          </cell>
        </row>
        <row r="54">
          <cell r="A54">
            <v>55</v>
          </cell>
          <cell r="B54">
            <v>931794.81</v>
          </cell>
          <cell r="C54">
            <v>996222.13</v>
          </cell>
          <cell r="D54">
            <v>302</v>
          </cell>
          <cell r="E54">
            <v>1.5400000000000205</v>
          </cell>
          <cell r="F54">
            <v>300.45999999999998</v>
          </cell>
          <cell r="G54">
            <v>4.1192709475706932</v>
          </cell>
          <cell r="H54" t="str">
            <v>Estado Físico</v>
          </cell>
          <cell r="I54" t="str">
            <v>Tipo</v>
          </cell>
          <cell r="J54">
            <v>0.147568333862</v>
          </cell>
          <cell r="K54">
            <v>1.0000000000000001E-9</v>
          </cell>
          <cell r="L54">
            <v>1.0000000000000001E-9</v>
          </cell>
          <cell r="M54">
            <v>0.14756833586199999</v>
          </cell>
        </row>
        <row r="55">
          <cell r="A55">
            <v>56</v>
          </cell>
          <cell r="B55">
            <v>931740.75</v>
          </cell>
          <cell r="C55">
            <v>996245.8</v>
          </cell>
          <cell r="D55">
            <v>301.41000000000003</v>
          </cell>
          <cell r="E55">
            <v>1.75</v>
          </cell>
          <cell r="F55">
            <v>299.66000000000003</v>
          </cell>
          <cell r="G55">
            <v>4.5485186542218941</v>
          </cell>
          <cell r="H55" t="str">
            <v>Estado Físico</v>
          </cell>
          <cell r="I55" t="str">
            <v>Tipo</v>
          </cell>
          <cell r="J55">
            <v>0.148857875168</v>
          </cell>
          <cell r="K55">
            <v>1.0000000000000001E-9</v>
          </cell>
          <cell r="L55">
            <v>4.9023721941700002E-2</v>
          </cell>
          <cell r="M55">
            <v>0.19788159810970002</v>
          </cell>
        </row>
        <row r="56">
          <cell r="A56">
            <v>57</v>
          </cell>
          <cell r="B56">
            <v>931692.68</v>
          </cell>
          <cell r="C56">
            <v>996247.7</v>
          </cell>
          <cell r="D56">
            <v>300.29000000000002</v>
          </cell>
          <cell r="E56">
            <v>1.5100000000000477</v>
          </cell>
          <cell r="F56">
            <v>298.77999999999997</v>
          </cell>
          <cell r="G56">
            <v>5.1255649167699593</v>
          </cell>
          <cell r="H56" t="str">
            <v>Estado Físico</v>
          </cell>
          <cell r="I56" t="str">
            <v>Tipo</v>
          </cell>
          <cell r="J56">
            <v>0.20168518206399999</v>
          </cell>
          <cell r="K56">
            <v>1.0000000000000001E-9</v>
          </cell>
          <cell r="L56">
            <v>5.9569669258900004E-2</v>
          </cell>
          <cell r="M56">
            <v>0.26125485232290002</v>
          </cell>
        </row>
        <row r="57">
          <cell r="A57">
            <v>58</v>
          </cell>
          <cell r="B57">
            <v>931686.2</v>
          </cell>
          <cell r="C57">
            <v>996255.53</v>
          </cell>
          <cell r="D57">
            <v>300.08999999999997</v>
          </cell>
          <cell r="E57">
            <v>1.3699999999999477</v>
          </cell>
          <cell r="F57">
            <v>298.72000000000003</v>
          </cell>
          <cell r="G57">
            <v>1.5</v>
          </cell>
          <cell r="H57" t="str">
            <v>Estado Físico</v>
          </cell>
          <cell r="I57" t="str">
            <v>Tipo</v>
          </cell>
          <cell r="J57">
            <v>0.116827683495</v>
          </cell>
          <cell r="K57">
            <v>1.0000000000000001E-9</v>
          </cell>
          <cell r="L57">
            <v>1.4020805950799999E-4</v>
          </cell>
          <cell r="M57">
            <v>0.116967892554508</v>
          </cell>
        </row>
        <row r="58">
          <cell r="A58">
            <v>60</v>
          </cell>
          <cell r="B58">
            <v>931638.93</v>
          </cell>
          <cell r="C58">
            <v>996250.94</v>
          </cell>
          <cell r="D58">
            <v>299.33999999999997</v>
          </cell>
          <cell r="E58">
            <v>1.2599999999999909</v>
          </cell>
          <cell r="F58">
            <v>298.08</v>
          </cell>
          <cell r="G58">
            <v>7.2785292580145651</v>
          </cell>
          <cell r="H58" t="str">
            <v>Estado Físico</v>
          </cell>
          <cell r="I58" t="str">
            <v>Tipo</v>
          </cell>
          <cell r="J58">
            <v>0.17175899886499998</v>
          </cell>
          <cell r="K58">
            <v>1.0000000000000001E-9</v>
          </cell>
          <cell r="L58">
            <v>6.9392801634899998E-2</v>
          </cell>
          <cell r="M58">
            <v>0.24115180149989998</v>
          </cell>
        </row>
        <row r="59">
          <cell r="A59">
            <v>61</v>
          </cell>
          <cell r="B59">
            <v>931634.73</v>
          </cell>
          <cell r="C59">
            <v>996197.89</v>
          </cell>
          <cell r="D59">
            <v>300.26</v>
          </cell>
          <cell r="E59">
            <v>1.339999999999975</v>
          </cell>
          <cell r="F59">
            <v>298.92</v>
          </cell>
          <cell r="G59">
            <v>1.7351598579237775</v>
          </cell>
          <cell r="H59" t="str">
            <v>Estado Físico</v>
          </cell>
          <cell r="I59" t="str">
            <v>Tipo</v>
          </cell>
          <cell r="J59">
            <v>0.21449667684500001</v>
          </cell>
          <cell r="K59">
            <v>1.0000000000000001E-9</v>
          </cell>
          <cell r="L59">
            <v>1.0000000000000001E-9</v>
          </cell>
          <cell r="M59">
            <v>0.21449667884500001</v>
          </cell>
        </row>
        <row r="60">
          <cell r="A60">
            <v>63</v>
          </cell>
          <cell r="B60">
            <v>931588.29</v>
          </cell>
          <cell r="C60">
            <v>996253.8</v>
          </cell>
          <cell r="D60">
            <v>298.79000000000002</v>
          </cell>
          <cell r="E60">
            <v>1.5900000000000318</v>
          </cell>
          <cell r="F60">
            <v>297.2</v>
          </cell>
          <cell r="G60">
            <v>7.8488285309882757</v>
          </cell>
          <cell r="H60" t="str">
            <v>Estado Físico</v>
          </cell>
          <cell r="I60" t="str">
            <v>Tipo</v>
          </cell>
          <cell r="J60">
            <v>0</v>
          </cell>
          <cell r="K60">
            <v>1.0000000000000001E-9</v>
          </cell>
          <cell r="L60">
            <v>1.0000000000000001E-9</v>
          </cell>
          <cell r="M60">
            <v>0</v>
          </cell>
        </row>
        <row r="61">
          <cell r="A61" t="str">
            <v>63i</v>
          </cell>
          <cell r="B61">
            <v>931588.29</v>
          </cell>
          <cell r="C61">
            <v>996253.8</v>
          </cell>
          <cell r="D61">
            <v>298.79000000000002</v>
          </cell>
          <cell r="E61">
            <v>1.5900000000000318</v>
          </cell>
          <cell r="F61">
            <v>297.2</v>
          </cell>
          <cell r="G61">
            <v>1.5</v>
          </cell>
          <cell r="H61" t="str">
            <v>Estado Físico</v>
          </cell>
          <cell r="I61" t="str">
            <v>Tipo</v>
          </cell>
          <cell r="J61">
            <v>0.12148837632300001</v>
          </cell>
          <cell r="K61">
            <v>1.0000000000000001E-9</v>
          </cell>
          <cell r="L61">
            <v>1.15703758525E-2</v>
          </cell>
          <cell r="M61">
            <v>0.13305875317550001</v>
          </cell>
        </row>
        <row r="62">
          <cell r="A62">
            <v>64</v>
          </cell>
          <cell r="B62">
            <v>931581.6</v>
          </cell>
          <cell r="C62">
            <v>996194.15</v>
          </cell>
          <cell r="D62">
            <v>299.39</v>
          </cell>
          <cell r="E62">
            <v>1.5500000000000114</v>
          </cell>
          <cell r="F62">
            <v>297.83999999999997</v>
          </cell>
          <cell r="G62">
            <v>1.5</v>
          </cell>
          <cell r="H62" t="str">
            <v>Estado Físico</v>
          </cell>
          <cell r="I62" t="str">
            <v>Tipo</v>
          </cell>
          <cell r="J62">
            <v>0.21195123122000001</v>
          </cell>
          <cell r="K62">
            <v>1.0000000000000001E-9</v>
          </cell>
          <cell r="L62">
            <v>1.0000000000000001E-9</v>
          </cell>
          <cell r="M62">
            <v>0.21195123322000001</v>
          </cell>
        </row>
        <row r="63">
          <cell r="A63">
            <v>66</v>
          </cell>
          <cell r="B63">
            <v>931540.62</v>
          </cell>
          <cell r="C63">
            <v>996256.25</v>
          </cell>
          <cell r="D63">
            <v>298.51</v>
          </cell>
          <cell r="E63">
            <v>1.4399999999999977</v>
          </cell>
          <cell r="F63">
            <v>297.07</v>
          </cell>
          <cell r="G63">
            <v>8.1730293624541659</v>
          </cell>
          <cell r="H63" t="str">
            <v>Estado Físico</v>
          </cell>
          <cell r="I63" t="str">
            <v>Tipo</v>
          </cell>
          <cell r="J63">
            <v>0.118794472944</v>
          </cell>
          <cell r="K63">
            <v>1.0000000000000001E-9</v>
          </cell>
          <cell r="L63">
            <v>9.8064651984800001E-3</v>
          </cell>
          <cell r="M63">
            <v>0.12860093914248</v>
          </cell>
        </row>
        <row r="64">
          <cell r="A64">
            <v>68</v>
          </cell>
          <cell r="B64">
            <v>931495.86</v>
          </cell>
          <cell r="C64">
            <v>996258.94</v>
          </cell>
          <cell r="D64">
            <v>297.81</v>
          </cell>
          <cell r="E64">
            <v>2.839999999999975</v>
          </cell>
          <cell r="F64">
            <v>294.97000000000003</v>
          </cell>
          <cell r="G64">
            <v>13.358654373158828</v>
          </cell>
          <cell r="H64" t="str">
            <v>Estado Físico</v>
          </cell>
          <cell r="I64" t="str">
            <v>Tipo</v>
          </cell>
          <cell r="J64">
            <v>0.280856152957</v>
          </cell>
          <cell r="K64">
            <v>1.0000000000000001E-9</v>
          </cell>
          <cell r="L64">
            <v>1.0000000000000001E-9</v>
          </cell>
          <cell r="M64">
            <v>0.28085615495700006</v>
          </cell>
        </row>
        <row r="65">
          <cell r="A65">
            <v>69</v>
          </cell>
          <cell r="B65">
            <v>931495.67</v>
          </cell>
          <cell r="C65">
            <v>996219.09</v>
          </cell>
          <cell r="D65">
            <v>297.74</v>
          </cell>
          <cell r="E65">
            <v>1.25</v>
          </cell>
          <cell r="F65">
            <v>296.49</v>
          </cell>
          <cell r="G65">
            <v>1.5</v>
          </cell>
          <cell r="H65" t="str">
            <v>Estado Físico</v>
          </cell>
          <cell r="I65" t="str">
            <v>Tipo</v>
          </cell>
          <cell r="J65">
            <v>0.14821253195799999</v>
          </cell>
          <cell r="K65">
            <v>1.0000000000000001E-9</v>
          </cell>
          <cell r="L65">
            <v>1.0000000000000001E-9</v>
          </cell>
          <cell r="M65">
            <v>0.14821253395799999</v>
          </cell>
        </row>
        <row r="66">
          <cell r="A66">
            <v>72</v>
          </cell>
          <cell r="B66">
            <v>931438.1</v>
          </cell>
          <cell r="C66">
            <v>996261.58</v>
          </cell>
          <cell r="D66">
            <v>296.82</v>
          </cell>
          <cell r="E66">
            <v>3</v>
          </cell>
          <cell r="F66">
            <v>293.82</v>
          </cell>
          <cell r="G66">
            <v>14.244659809200602</v>
          </cell>
          <cell r="H66" t="str">
            <v>Estado Físico</v>
          </cell>
          <cell r="I66" t="str">
            <v>Tipo</v>
          </cell>
          <cell r="J66">
            <v>0.33280919202800002</v>
          </cell>
          <cell r="K66">
            <v>1.0000000000000001E-9</v>
          </cell>
          <cell r="L66">
            <v>1.0000000000000001E-9</v>
          </cell>
          <cell r="M66">
            <v>0.33280919402800008</v>
          </cell>
        </row>
        <row r="67">
          <cell r="A67">
            <v>73</v>
          </cell>
          <cell r="B67">
            <v>931374.48</v>
          </cell>
          <cell r="C67">
            <v>996300.55</v>
          </cell>
          <cell r="D67">
            <v>295.02</v>
          </cell>
          <cell r="E67">
            <v>2.3100000000000023</v>
          </cell>
          <cell r="F67">
            <v>292.70999999999998</v>
          </cell>
          <cell r="G67">
            <v>5.2667772855620445</v>
          </cell>
          <cell r="H67" t="str">
            <v>Estado Físico</v>
          </cell>
          <cell r="I67" t="str">
            <v>Tipo</v>
          </cell>
          <cell r="J67">
            <v>0.11538884923600001</v>
          </cell>
          <cell r="K67">
            <v>1.0000000000000001E-9</v>
          </cell>
          <cell r="L67">
            <v>1.0000000000000001E-9</v>
          </cell>
          <cell r="M67">
            <v>0.11538885123600001</v>
          </cell>
        </row>
        <row r="68">
          <cell r="A68">
            <v>74</v>
          </cell>
          <cell r="B68">
            <v>931380.12</v>
          </cell>
          <cell r="C68">
            <v>996264.73</v>
          </cell>
          <cell r="D68">
            <v>294.27999999999997</v>
          </cell>
          <cell r="E68">
            <v>1.8599999999999568</v>
          </cell>
          <cell r="F68">
            <v>292.42</v>
          </cell>
          <cell r="G68">
            <v>19.767415677085488</v>
          </cell>
          <cell r="H68" t="str">
            <v>Estado Físico</v>
          </cell>
          <cell r="I68" t="str">
            <v>Tipo</v>
          </cell>
          <cell r="J68">
            <v>0.17736066177600002</v>
          </cell>
          <cell r="K68">
            <v>1.0000000000000001E-9</v>
          </cell>
          <cell r="L68">
            <v>1.0000000000000001E-9</v>
          </cell>
          <cell r="M68">
            <v>0.17736066377600002</v>
          </cell>
        </row>
        <row r="69">
          <cell r="A69">
            <v>75</v>
          </cell>
          <cell r="B69">
            <v>931331.71</v>
          </cell>
          <cell r="C69">
            <v>996265.57</v>
          </cell>
          <cell r="D69">
            <v>292.49</v>
          </cell>
          <cell r="E69">
            <v>1.6800000000000068</v>
          </cell>
          <cell r="F69">
            <v>290.81</v>
          </cell>
          <cell r="G69">
            <v>20.08843025252056</v>
          </cell>
          <cell r="H69" t="str">
            <v>Estado Físico</v>
          </cell>
          <cell r="I69" t="str">
            <v>Tipo</v>
          </cell>
          <cell r="J69">
            <v>0.121373845142</v>
          </cell>
          <cell r="K69">
            <v>1.0000000000000001E-9</v>
          </cell>
          <cell r="L69">
            <v>1.0000000000000001E-9</v>
          </cell>
          <cell r="M69">
            <v>0.121373847142</v>
          </cell>
        </row>
        <row r="70">
          <cell r="A70">
            <v>76</v>
          </cell>
          <cell r="B70">
            <v>931293.73</v>
          </cell>
          <cell r="C70">
            <v>996266.33</v>
          </cell>
          <cell r="D70">
            <v>290.86</v>
          </cell>
          <cell r="E70">
            <v>1.5500000000000114</v>
          </cell>
          <cell r="F70">
            <v>289.31</v>
          </cell>
          <cell r="G70">
            <v>20.814734309177783</v>
          </cell>
          <cell r="H70" t="str">
            <v>Estado Físico</v>
          </cell>
          <cell r="I70" t="str">
            <v>Tipo</v>
          </cell>
          <cell r="J70">
            <v>1.9182121670500003E-2</v>
          </cell>
          <cell r="K70">
            <v>1.0000000000000001E-9</v>
          </cell>
          <cell r="L70">
            <v>1.0000000000000001E-9</v>
          </cell>
          <cell r="M70">
            <v>1.9182123670500002E-2</v>
          </cell>
        </row>
        <row r="71">
          <cell r="A71">
            <v>77</v>
          </cell>
          <cell r="B71">
            <v>931281.87</v>
          </cell>
          <cell r="C71">
            <v>996107.47</v>
          </cell>
          <cell r="D71">
            <v>295.18</v>
          </cell>
          <cell r="E71">
            <v>1.1800000000000068</v>
          </cell>
          <cell r="F71">
            <v>294</v>
          </cell>
          <cell r="G71">
            <v>1.5</v>
          </cell>
          <cell r="H71" t="str">
            <v>Estado Físico</v>
          </cell>
          <cell r="I71" t="str">
            <v>Tipo</v>
          </cell>
          <cell r="J71">
            <v>9.9999999999999998E-13</v>
          </cell>
          <cell r="K71">
            <v>1.0000000000000001E-9</v>
          </cell>
          <cell r="L71">
            <v>1.0000000000000001E-9</v>
          </cell>
          <cell r="M71">
            <v>2.001E-9</v>
          </cell>
        </row>
        <row r="72">
          <cell r="A72">
            <v>78</v>
          </cell>
          <cell r="B72">
            <v>931319.08</v>
          </cell>
          <cell r="C72">
            <v>996131.21</v>
          </cell>
          <cell r="D72">
            <v>294.43</v>
          </cell>
          <cell r="E72">
            <v>1</v>
          </cell>
          <cell r="F72">
            <v>293.43</v>
          </cell>
          <cell r="G72">
            <v>1.5</v>
          </cell>
          <cell r="H72" t="str">
            <v>Estado Físico</v>
          </cell>
          <cell r="I72" t="str">
            <v>Tipo</v>
          </cell>
          <cell r="J72">
            <v>9.9999999999999998E-13</v>
          </cell>
          <cell r="K72">
            <v>1.0000000000000001E-9</v>
          </cell>
          <cell r="L72">
            <v>1.0000000000000001E-9</v>
          </cell>
          <cell r="M72">
            <v>2.001E-9</v>
          </cell>
        </row>
        <row r="73">
          <cell r="A73">
            <v>79</v>
          </cell>
          <cell r="B73">
            <v>931297.76</v>
          </cell>
          <cell r="C73">
            <v>996157.57</v>
          </cell>
          <cell r="D73">
            <v>293.61</v>
          </cell>
          <cell r="E73">
            <v>1.1000000000000227</v>
          </cell>
          <cell r="F73">
            <v>292.51</v>
          </cell>
          <cell r="G73">
            <v>1.5</v>
          </cell>
          <cell r="H73" t="str">
            <v>Estado Físico</v>
          </cell>
          <cell r="I73" t="str">
            <v>Tipo</v>
          </cell>
          <cell r="J73">
            <v>0</v>
          </cell>
          <cell r="K73">
            <v>1.0000000000000001E-9</v>
          </cell>
          <cell r="L73">
            <v>1.0000000000000001E-9</v>
          </cell>
          <cell r="M73">
            <v>2.0000000000000001E-9</v>
          </cell>
        </row>
        <row r="74">
          <cell r="A74">
            <v>80</v>
          </cell>
          <cell r="B74">
            <v>931260.44</v>
          </cell>
          <cell r="C74">
            <v>996136.49</v>
          </cell>
          <cell r="D74">
            <v>294.27</v>
          </cell>
          <cell r="E74">
            <v>1.0199999999999818</v>
          </cell>
          <cell r="F74">
            <v>293.25</v>
          </cell>
          <cell r="G74">
            <v>1.5</v>
          </cell>
          <cell r="H74" t="str">
            <v>Estado Físico</v>
          </cell>
          <cell r="I74" t="str">
            <v>Tipo</v>
          </cell>
          <cell r="J74">
            <v>0</v>
          </cell>
          <cell r="K74">
            <v>1.0000000000000001E-9</v>
          </cell>
          <cell r="L74">
            <v>1.0000000000000001E-9</v>
          </cell>
          <cell r="M74">
            <v>2.0000000000000001E-9</v>
          </cell>
        </row>
        <row r="75">
          <cell r="A75">
            <v>81</v>
          </cell>
          <cell r="B75">
            <v>931240.81</v>
          </cell>
          <cell r="C75">
            <v>996162.96</v>
          </cell>
          <cell r="D75">
            <v>293.45</v>
          </cell>
          <cell r="E75">
            <v>1.1100000000000136</v>
          </cell>
          <cell r="F75">
            <v>292.33999999999997</v>
          </cell>
          <cell r="G75">
            <v>1.5</v>
          </cell>
          <cell r="H75" t="str">
            <v>Estado Físico</v>
          </cell>
          <cell r="I75" t="str">
            <v>Tipo</v>
          </cell>
          <cell r="J75">
            <v>3.6197299002900002E-2</v>
          </cell>
          <cell r="K75">
            <v>1.0000000000000001E-9</v>
          </cell>
          <cell r="L75">
            <v>1.0000000000000001E-9</v>
          </cell>
          <cell r="M75">
            <v>3.6197301002900001E-2</v>
          </cell>
        </row>
        <row r="76">
          <cell r="A76">
            <v>82</v>
          </cell>
          <cell r="B76">
            <v>931278.08</v>
          </cell>
          <cell r="C76">
            <v>996184.32</v>
          </cell>
          <cell r="D76">
            <v>293.62</v>
          </cell>
          <cell r="E76">
            <v>1.2200000000000273</v>
          </cell>
          <cell r="F76">
            <v>292.39999999999998</v>
          </cell>
          <cell r="G76">
            <v>1.5</v>
          </cell>
          <cell r="H76" t="str">
            <v>Estado Físico</v>
          </cell>
          <cell r="I76" t="str">
            <v>Tipo</v>
          </cell>
          <cell r="J76">
            <v>0</v>
          </cell>
          <cell r="K76">
            <v>1.0000000000000001E-9</v>
          </cell>
          <cell r="L76">
            <v>1.0000000000000001E-9</v>
          </cell>
          <cell r="M76">
            <v>2.0000000000000001E-9</v>
          </cell>
        </row>
        <row r="77">
          <cell r="A77">
            <v>83</v>
          </cell>
          <cell r="B77">
            <v>931228.95</v>
          </cell>
          <cell r="C77">
            <v>996185.16</v>
          </cell>
          <cell r="D77">
            <v>292.87</v>
          </cell>
          <cell r="E77">
            <v>1.9200000000000159</v>
          </cell>
          <cell r="F77">
            <v>290.95</v>
          </cell>
          <cell r="G77">
            <v>1.5</v>
          </cell>
          <cell r="H77" t="str">
            <v>Estado Físico</v>
          </cell>
          <cell r="I77" t="str">
            <v>Tipo</v>
          </cell>
          <cell r="J77">
            <v>9.4862027456099993E-2</v>
          </cell>
          <cell r="K77">
            <v>1.0000000000000001E-9</v>
          </cell>
          <cell r="L77">
            <v>1.0000000000000001E-9</v>
          </cell>
          <cell r="M77">
            <v>9.4862029456099992E-2</v>
          </cell>
        </row>
        <row r="78">
          <cell r="A78">
            <v>84</v>
          </cell>
          <cell r="B78">
            <v>931254.23</v>
          </cell>
          <cell r="C78">
            <v>996234.73</v>
          </cell>
          <cell r="D78">
            <v>290.83999999999997</v>
          </cell>
          <cell r="E78">
            <v>1.0399999999999636</v>
          </cell>
          <cell r="F78">
            <v>289.8</v>
          </cell>
          <cell r="G78">
            <v>1.5</v>
          </cell>
          <cell r="H78" t="str">
            <v>Estado Físico</v>
          </cell>
          <cell r="I78" t="str">
            <v>Tipo</v>
          </cell>
          <cell r="J78">
            <v>0.12449404523400001</v>
          </cell>
          <cell r="K78">
            <v>1.0000000000000001E-9</v>
          </cell>
          <cell r="L78">
            <v>1.0000000000000001E-9</v>
          </cell>
          <cell r="M78">
            <v>0.12449404723400001</v>
          </cell>
        </row>
        <row r="79">
          <cell r="A79">
            <v>85</v>
          </cell>
          <cell r="B79">
            <v>931121.31</v>
          </cell>
          <cell r="C79">
            <v>996178.91</v>
          </cell>
          <cell r="D79">
            <v>292.55</v>
          </cell>
          <cell r="E79">
            <v>0.96000000000003638</v>
          </cell>
          <cell r="F79">
            <v>291.58999999999997</v>
          </cell>
          <cell r="G79">
            <v>1.5</v>
          </cell>
          <cell r="H79" t="str">
            <v>Estado Físico</v>
          </cell>
          <cell r="I79" t="str">
            <v>Tipo</v>
          </cell>
          <cell r="J79">
            <v>0.17052201157699998</v>
          </cell>
          <cell r="K79">
            <v>1.0000000000000001E-9</v>
          </cell>
          <cell r="L79">
            <v>1.0000000000000001E-9</v>
          </cell>
          <cell r="M79">
            <v>0.17052201357699998</v>
          </cell>
        </row>
        <row r="80">
          <cell r="A80">
            <v>86</v>
          </cell>
          <cell r="B80">
            <v>931097.95</v>
          </cell>
          <cell r="C80">
            <v>996152.12</v>
          </cell>
          <cell r="D80">
            <v>293.3</v>
          </cell>
          <cell r="E80">
            <v>1.7800000000000296</v>
          </cell>
          <cell r="F80">
            <v>291.52</v>
          </cell>
          <cell r="G80">
            <v>1.5</v>
          </cell>
          <cell r="H80" t="str">
            <v>Estado Físico</v>
          </cell>
          <cell r="I80" t="str">
            <v>Tipo</v>
          </cell>
          <cell r="J80">
            <v>8.8142742355500001E-2</v>
          </cell>
          <cell r="K80">
            <v>1.0000000000000001E-9</v>
          </cell>
          <cell r="L80">
            <v>1.0000000000000001E-9</v>
          </cell>
          <cell r="M80">
            <v>8.81427443555E-2</v>
          </cell>
        </row>
        <row r="81">
          <cell r="A81">
            <v>87</v>
          </cell>
          <cell r="B81">
            <v>931081.77</v>
          </cell>
          <cell r="C81">
            <v>996123</v>
          </cell>
          <cell r="D81">
            <v>293.77999999999997</v>
          </cell>
          <cell r="E81">
            <v>2.2999999999999545</v>
          </cell>
          <cell r="F81">
            <v>291.48</v>
          </cell>
          <cell r="G81">
            <v>1.5</v>
          </cell>
          <cell r="H81" t="str">
            <v>Estado Físico</v>
          </cell>
          <cell r="I81" t="str">
            <v>Tipo</v>
          </cell>
          <cell r="J81">
            <v>8.6274687298900001E-3</v>
          </cell>
          <cell r="K81">
            <v>1.0000000000000001E-9</v>
          </cell>
          <cell r="L81">
            <v>1.0000000000000001E-9</v>
          </cell>
          <cell r="M81">
            <v>8.6274707298899991E-3</v>
          </cell>
        </row>
        <row r="82">
          <cell r="A82">
            <v>88</v>
          </cell>
          <cell r="B82">
            <v>931093.5</v>
          </cell>
          <cell r="C82">
            <v>996090.75</v>
          </cell>
          <cell r="D82">
            <v>295.26</v>
          </cell>
          <cell r="E82">
            <v>1.8000000000000114</v>
          </cell>
          <cell r="F82">
            <v>293.45999999999998</v>
          </cell>
          <cell r="G82">
            <v>1.5</v>
          </cell>
          <cell r="H82" t="str">
            <v>Estado Físico</v>
          </cell>
          <cell r="I82" t="str">
            <v>Tipo</v>
          </cell>
          <cell r="J82">
            <v>3.4093591199600003E-2</v>
          </cell>
          <cell r="K82">
            <v>1.0000000000000001E-9</v>
          </cell>
          <cell r="L82">
            <v>1.0000000000000001E-9</v>
          </cell>
          <cell r="M82">
            <v>3.4093593199600002E-2</v>
          </cell>
        </row>
        <row r="83">
          <cell r="A83">
            <v>89</v>
          </cell>
          <cell r="B83">
            <v>931102.18</v>
          </cell>
          <cell r="C83">
            <v>996068.02</v>
          </cell>
          <cell r="D83">
            <v>296.39</v>
          </cell>
          <cell r="E83">
            <v>1.3000000000000114</v>
          </cell>
          <cell r="F83">
            <v>295.08999999999997</v>
          </cell>
          <cell r="G83">
            <v>1.5</v>
          </cell>
          <cell r="H83" t="str">
            <v>Estado Físico</v>
          </cell>
          <cell r="I83" t="str">
            <v>Tipo</v>
          </cell>
          <cell r="J83">
            <v>4.74099883961E-2</v>
          </cell>
          <cell r="K83">
            <v>1.0000000000000001E-9</v>
          </cell>
          <cell r="L83">
            <v>1.0000000000000001E-9</v>
          </cell>
          <cell r="M83">
            <v>4.7409990396099999E-2</v>
          </cell>
        </row>
        <row r="84">
          <cell r="A84">
            <v>90</v>
          </cell>
          <cell r="B84">
            <v>931077.99</v>
          </cell>
          <cell r="C84">
            <v>996118.78</v>
          </cell>
          <cell r="D84">
            <v>293.83999999999997</v>
          </cell>
          <cell r="E84">
            <v>2.4199999999999591</v>
          </cell>
          <cell r="F84">
            <v>291.42</v>
          </cell>
          <cell r="G84">
            <v>1.5</v>
          </cell>
          <cell r="H84" t="str">
            <v>Estado Físico</v>
          </cell>
          <cell r="I84" t="str">
            <v>Tipo</v>
          </cell>
          <cell r="J84">
            <v>0.10319395346199998</v>
          </cell>
          <cell r="K84">
            <v>1.0000000000000001E-9</v>
          </cell>
          <cell r="L84">
            <v>1.0000000000000001E-9</v>
          </cell>
          <cell r="M84">
            <v>0.10319395546199998</v>
          </cell>
        </row>
        <row r="85">
          <cell r="A85">
            <v>91</v>
          </cell>
          <cell r="B85">
            <v>931052.27</v>
          </cell>
          <cell r="C85">
            <v>996090.15</v>
          </cell>
          <cell r="D85">
            <v>294.33</v>
          </cell>
          <cell r="E85">
            <v>3.1699999999999591</v>
          </cell>
          <cell r="F85">
            <v>291.16000000000003</v>
          </cell>
          <cell r="G85">
            <v>1.5</v>
          </cell>
          <cell r="H85" t="str">
            <v>Estado Físico</v>
          </cell>
          <cell r="I85" t="str">
            <v>Tipo</v>
          </cell>
          <cell r="J85">
            <v>5.0755334400800003E-4</v>
          </cell>
          <cell r="K85">
            <v>1.0000000000000001E-9</v>
          </cell>
          <cell r="L85">
            <v>1.0000000000000001E-9</v>
          </cell>
          <cell r="M85">
            <v>5.0755534400800007E-4</v>
          </cell>
        </row>
        <row r="86">
          <cell r="A86">
            <v>92</v>
          </cell>
          <cell r="B86">
            <v>930982.09</v>
          </cell>
          <cell r="C86">
            <v>996032.86</v>
          </cell>
          <cell r="D86">
            <v>294.2</v>
          </cell>
          <cell r="E86">
            <v>3.5699999999999932</v>
          </cell>
          <cell r="F86">
            <v>290.63</v>
          </cell>
          <cell r="G86">
            <v>1.5</v>
          </cell>
          <cell r="H86" t="str">
            <v>Estado Físico</v>
          </cell>
          <cell r="I86" t="str">
            <v>Tipo</v>
          </cell>
          <cell r="J86">
            <v>0</v>
          </cell>
          <cell r="K86">
            <v>1.0000000000000001E-9</v>
          </cell>
          <cell r="L86">
            <v>1.0000000000000001E-9</v>
          </cell>
          <cell r="M86">
            <v>2.0000000000000001E-9</v>
          </cell>
        </row>
        <row r="87">
          <cell r="A87">
            <v>93</v>
          </cell>
          <cell r="B87">
            <v>931027.08</v>
          </cell>
          <cell r="C87">
            <v>996065.2</v>
          </cell>
          <cell r="D87">
            <v>295.05</v>
          </cell>
          <cell r="E87">
            <v>4.0500000000000114</v>
          </cell>
          <cell r="F87">
            <v>291</v>
          </cell>
          <cell r="G87">
            <v>1.5</v>
          </cell>
          <cell r="H87" t="str">
            <v>Estado Físico</v>
          </cell>
          <cell r="I87" t="str">
            <v>Tipo</v>
          </cell>
          <cell r="J87">
            <v>0</v>
          </cell>
          <cell r="K87">
            <v>1.0000000000000001E-9</v>
          </cell>
          <cell r="L87">
            <v>1.0000000000000001E-9</v>
          </cell>
          <cell r="M87">
            <v>2.0000000000000001E-9</v>
          </cell>
        </row>
        <row r="88">
          <cell r="A88">
            <v>94</v>
          </cell>
          <cell r="B88">
            <v>930903.67</v>
          </cell>
          <cell r="C88">
            <v>995997.4</v>
          </cell>
          <cell r="D88">
            <v>293.35000000000002</v>
          </cell>
          <cell r="E88">
            <v>3.4500000000000455</v>
          </cell>
          <cell r="F88">
            <v>289.89999999999998</v>
          </cell>
          <cell r="G88">
            <v>1.5</v>
          </cell>
          <cell r="H88" t="str">
            <v>Estado Físico</v>
          </cell>
          <cell r="I88" t="str">
            <v>Tipo</v>
          </cell>
          <cell r="J88">
            <v>0</v>
          </cell>
          <cell r="K88">
            <v>1.0000000000000001E-9</v>
          </cell>
          <cell r="L88">
            <v>1.0000000000000001E-9</v>
          </cell>
          <cell r="M88">
            <v>2.0000000000000001E-9</v>
          </cell>
        </row>
        <row r="89">
          <cell r="A89">
            <v>95</v>
          </cell>
          <cell r="B89">
            <v>930815.96</v>
          </cell>
          <cell r="C89">
            <v>996010.86</v>
          </cell>
          <cell r="D89">
            <v>291.5</v>
          </cell>
          <cell r="E89">
            <v>1.7200000000000273</v>
          </cell>
          <cell r="F89">
            <v>289.77999999999997</v>
          </cell>
          <cell r="G89">
            <v>1.5</v>
          </cell>
          <cell r="H89" t="str">
            <v>Estado Físico</v>
          </cell>
          <cell r="I89" t="str">
            <v>Tipo</v>
          </cell>
          <cell r="J89">
            <v>0</v>
          </cell>
          <cell r="K89">
            <v>1.0000000000000001E-9</v>
          </cell>
          <cell r="L89">
            <v>1.0000000000000001E-9</v>
          </cell>
          <cell r="M89">
            <v>2.0000000000000001E-9</v>
          </cell>
        </row>
        <row r="90">
          <cell r="A90">
            <v>96</v>
          </cell>
          <cell r="B90">
            <v>931103.3</v>
          </cell>
          <cell r="C90">
            <v>996560.89</v>
          </cell>
          <cell r="D90">
            <v>291.5</v>
          </cell>
          <cell r="E90">
            <v>2.4399999999999977</v>
          </cell>
          <cell r="F90">
            <v>289.06</v>
          </cell>
          <cell r="G90">
            <v>8.8208777100977258</v>
          </cell>
          <cell r="H90" t="str">
            <v>Estado Físico</v>
          </cell>
          <cell r="I90" t="str">
            <v>Tipo</v>
          </cell>
          <cell r="J90">
            <v>8.8289232901199999E-2</v>
          </cell>
          <cell r="K90">
            <v>1.0000000000000001E-9</v>
          </cell>
          <cell r="L90">
            <v>1.0000000000000001E-9</v>
          </cell>
          <cell r="M90">
            <v>8.8289234901199998E-2</v>
          </cell>
        </row>
        <row r="91">
          <cell r="A91">
            <v>99</v>
          </cell>
          <cell r="B91">
            <v>931434</v>
          </cell>
          <cell r="C91">
            <v>996605.5</v>
          </cell>
          <cell r="D91">
            <v>295.16000000000003</v>
          </cell>
          <cell r="E91">
            <v>1.7300000000000182</v>
          </cell>
          <cell r="F91">
            <v>293.43</v>
          </cell>
          <cell r="G91">
            <v>2.2709882663620609</v>
          </cell>
          <cell r="H91" t="str">
            <v>Estado Físico</v>
          </cell>
          <cell r="I91" t="str">
            <v>Tipo</v>
          </cell>
          <cell r="J91">
            <v>8.81388254367E-2</v>
          </cell>
          <cell r="K91">
            <v>1.0000000000000001E-9</v>
          </cell>
          <cell r="L91">
            <v>1.0000000000000001E-9</v>
          </cell>
          <cell r="M91">
            <v>8.8138827436699999E-2</v>
          </cell>
        </row>
        <row r="92">
          <cell r="A92">
            <v>101</v>
          </cell>
          <cell r="B92">
            <v>931503.77</v>
          </cell>
          <cell r="C92">
            <v>996421.68</v>
          </cell>
          <cell r="D92">
            <v>297.45</v>
          </cell>
          <cell r="E92">
            <v>1.0999999999999659</v>
          </cell>
          <cell r="F92">
            <v>296.35000000000002</v>
          </cell>
          <cell r="G92">
            <v>1.5</v>
          </cell>
          <cell r="H92" t="str">
            <v>Estado Físico</v>
          </cell>
          <cell r="I92" t="str">
            <v>Tipo</v>
          </cell>
          <cell r="J92">
            <v>0.388698198888</v>
          </cell>
          <cell r="K92">
            <v>1.0000000000000001E-9</v>
          </cell>
          <cell r="L92">
            <v>1.0000000000000001E-9</v>
          </cell>
          <cell r="M92">
            <v>0.38869820088800006</v>
          </cell>
        </row>
        <row r="93">
          <cell r="A93">
            <v>102</v>
          </cell>
          <cell r="B93">
            <v>931052.2</v>
          </cell>
          <cell r="C93">
            <v>996602.88</v>
          </cell>
          <cell r="D93">
            <v>288.79000000000002</v>
          </cell>
          <cell r="E93">
            <v>1.5</v>
          </cell>
          <cell r="F93">
            <v>287.29000000000002</v>
          </cell>
          <cell r="G93">
            <v>10.522881220718354</v>
          </cell>
          <cell r="H93" t="str">
            <v>Estado Físico</v>
          </cell>
          <cell r="I93" t="str">
            <v>Tipo</v>
          </cell>
          <cell r="J93">
            <v>0.63549099501999995</v>
          </cell>
          <cell r="K93">
            <v>1.0000000000000001E-9</v>
          </cell>
          <cell r="L93">
            <v>1.0000000000000001E-9</v>
          </cell>
          <cell r="M93">
            <v>0.63549099701999989</v>
          </cell>
        </row>
        <row r="94">
          <cell r="A94">
            <v>103</v>
          </cell>
          <cell r="B94">
            <v>930961.5</v>
          </cell>
          <cell r="C94">
            <v>996522.88</v>
          </cell>
          <cell r="D94">
            <v>287.93</v>
          </cell>
          <cell r="E94">
            <v>1.5</v>
          </cell>
          <cell r="F94">
            <v>286.43</v>
          </cell>
          <cell r="G94">
            <v>11.56347558493877</v>
          </cell>
          <cell r="H94" t="str">
            <v>Estado Físico</v>
          </cell>
          <cell r="I94" t="str">
            <v>Tipo</v>
          </cell>
          <cell r="J94">
            <v>0.38948005952199999</v>
          </cell>
          <cell r="K94">
            <v>1.0000000000000001E-9</v>
          </cell>
          <cell r="L94">
            <v>1.0000000000000001E-9</v>
          </cell>
          <cell r="M94">
            <v>0.38948006152200004</v>
          </cell>
        </row>
        <row r="95">
          <cell r="A95">
            <v>104</v>
          </cell>
          <cell r="B95">
            <v>930837.1</v>
          </cell>
          <cell r="C95">
            <v>996403.09</v>
          </cell>
          <cell r="D95">
            <v>287.14</v>
          </cell>
          <cell r="E95">
            <v>1.5099999999999909</v>
          </cell>
          <cell r="F95">
            <v>285.63</v>
          </cell>
          <cell r="G95">
            <v>12.488162215698663</v>
          </cell>
          <cell r="H95" t="str">
            <v>Estado Físico</v>
          </cell>
          <cell r="I95" t="str">
            <v>Tipo</v>
          </cell>
          <cell r="J95">
            <v>0.34662980454699999</v>
          </cell>
          <cell r="K95">
            <v>1.0000000000000001E-9</v>
          </cell>
          <cell r="L95">
            <v>1.0000000000000001E-9</v>
          </cell>
          <cell r="M95">
            <v>0.34662980654700004</v>
          </cell>
        </row>
        <row r="96">
          <cell r="A96">
            <v>105</v>
          </cell>
          <cell r="B96">
            <v>930726.05</v>
          </cell>
          <cell r="C96">
            <v>996293.13</v>
          </cell>
          <cell r="D96">
            <v>286.06</v>
          </cell>
          <cell r="E96">
            <v>1.5199999999999818</v>
          </cell>
          <cell r="F96">
            <v>284.54000000000002</v>
          </cell>
          <cell r="G96">
            <v>33.351734003487877</v>
          </cell>
          <cell r="H96" t="str">
            <v>Estado Físico</v>
          </cell>
          <cell r="I96" t="str">
            <v>Tipo</v>
          </cell>
          <cell r="J96">
            <v>0.155942890853</v>
          </cell>
          <cell r="K96">
            <v>1.0000000000000001E-9</v>
          </cell>
          <cell r="L96">
            <v>1.0000000000000001E-9</v>
          </cell>
          <cell r="M96">
            <v>0.155942892853</v>
          </cell>
        </row>
        <row r="97">
          <cell r="A97">
            <v>106</v>
          </cell>
          <cell r="B97">
            <v>931368.27</v>
          </cell>
          <cell r="C97">
            <v>996338.24</v>
          </cell>
          <cell r="D97">
            <v>295.88</v>
          </cell>
          <cell r="E97">
            <v>1.3999999999999773</v>
          </cell>
          <cell r="F97">
            <v>294.48</v>
          </cell>
          <cell r="G97">
            <v>1.5</v>
          </cell>
          <cell r="H97" t="str">
            <v>Estado Físico</v>
          </cell>
          <cell r="I97" t="str">
            <v>Tipo</v>
          </cell>
          <cell r="J97">
            <v>0</v>
          </cell>
          <cell r="K97">
            <v>1.0000000000000001E-9</v>
          </cell>
          <cell r="L97">
            <v>1.0000000000000001E-9</v>
          </cell>
          <cell r="M97">
            <v>2.0000000000000001E-9</v>
          </cell>
        </row>
        <row r="98">
          <cell r="A98" t="str">
            <v>106i</v>
          </cell>
          <cell r="B98">
            <v>931368.27</v>
          </cell>
          <cell r="C98">
            <v>996338.24</v>
          </cell>
          <cell r="D98">
            <v>295.88</v>
          </cell>
          <cell r="E98">
            <v>1.3999999999999773</v>
          </cell>
          <cell r="F98">
            <v>294.48</v>
          </cell>
          <cell r="G98">
            <v>1.5</v>
          </cell>
          <cell r="H98" t="str">
            <v>Estado Físico</v>
          </cell>
          <cell r="I98" t="str">
            <v>Tipo</v>
          </cell>
          <cell r="J98">
            <v>1.16716814402E-3</v>
          </cell>
          <cell r="K98">
            <v>1.0000000000000001E-9</v>
          </cell>
          <cell r="L98">
            <v>1.0000000000000001E-9</v>
          </cell>
          <cell r="M98">
            <v>1.1671701440199998E-3</v>
          </cell>
        </row>
        <row r="99">
          <cell r="A99">
            <v>107</v>
          </cell>
          <cell r="B99">
            <v>931353.34</v>
          </cell>
          <cell r="C99">
            <v>996349.89</v>
          </cell>
          <cell r="D99">
            <v>295.92</v>
          </cell>
          <cell r="E99">
            <v>2.6899999999999977</v>
          </cell>
          <cell r="F99">
            <v>293.23</v>
          </cell>
          <cell r="G99">
            <v>1.5</v>
          </cell>
          <cell r="H99" t="str">
            <v>Estado Físico</v>
          </cell>
          <cell r="I99" t="str">
            <v>Tipo</v>
          </cell>
          <cell r="J99">
            <v>0.13268428150100001</v>
          </cell>
          <cell r="K99">
            <v>2.7206879287399999E-2</v>
          </cell>
          <cell r="L99">
            <v>1.0000000000000001E-9</v>
          </cell>
          <cell r="M99">
            <v>0.15989116178840002</v>
          </cell>
        </row>
        <row r="100">
          <cell r="A100">
            <v>108</v>
          </cell>
          <cell r="B100">
            <v>931362.33</v>
          </cell>
          <cell r="C100">
            <v>996338.87</v>
          </cell>
          <cell r="D100">
            <v>295.89999999999998</v>
          </cell>
          <cell r="E100">
            <v>1.7199999999999704</v>
          </cell>
          <cell r="F100">
            <v>294.18</v>
          </cell>
          <cell r="G100">
            <v>4.6908064494468213</v>
          </cell>
          <cell r="H100" t="str">
            <v>Estado Físico</v>
          </cell>
          <cell r="I100" t="str">
            <v>Tipo</v>
          </cell>
          <cell r="J100">
            <v>0</v>
          </cell>
          <cell r="K100">
            <v>1.0000000000000001E-9</v>
          </cell>
          <cell r="L100">
            <v>1.0000000000000001E-9</v>
          </cell>
          <cell r="M100">
            <v>2.0000000000000001E-9</v>
          </cell>
        </row>
        <row r="101">
          <cell r="A101" t="str">
            <v>108i</v>
          </cell>
          <cell r="B101">
            <v>931362.33</v>
          </cell>
          <cell r="C101">
            <v>996338.87</v>
          </cell>
          <cell r="D101">
            <v>295.89999999999998</v>
          </cell>
          <cell r="E101">
            <v>1.7199999999999704</v>
          </cell>
          <cell r="F101">
            <v>294.18</v>
          </cell>
          <cell r="G101">
            <v>1.5</v>
          </cell>
          <cell r="H101" t="str">
            <v>Estado Físico</v>
          </cell>
          <cell r="I101" t="str">
            <v>Tipo</v>
          </cell>
          <cell r="J101">
            <v>2.0453871880400001E-2</v>
          </cell>
          <cell r="K101">
            <v>1.0000000000000001E-9</v>
          </cell>
          <cell r="L101">
            <v>1.0000000000000001E-9</v>
          </cell>
          <cell r="M101">
            <v>2.04538738804E-2</v>
          </cell>
        </row>
        <row r="102">
          <cell r="A102">
            <v>109</v>
          </cell>
          <cell r="B102">
            <v>931689.82</v>
          </cell>
          <cell r="C102">
            <v>996391.23</v>
          </cell>
          <cell r="D102">
            <v>299.25</v>
          </cell>
          <cell r="E102">
            <v>1.089999999999975</v>
          </cell>
          <cell r="F102">
            <v>298.16000000000003</v>
          </cell>
          <cell r="G102">
            <v>1.5</v>
          </cell>
          <cell r="H102" t="str">
            <v>Estado Físico</v>
          </cell>
          <cell r="I102" t="str">
            <v>Tipo</v>
          </cell>
          <cell r="J102">
            <v>3.3688559361999999E-2</v>
          </cell>
          <cell r="K102">
            <v>1.0000000000000001E-9</v>
          </cell>
          <cell r="L102">
            <v>1.0000000000000001E-9</v>
          </cell>
          <cell r="M102">
            <v>3.3688561361999998E-2</v>
          </cell>
        </row>
        <row r="103">
          <cell r="A103">
            <v>110</v>
          </cell>
          <cell r="B103">
            <v>930772.95</v>
          </cell>
          <cell r="C103">
            <v>996023.3</v>
          </cell>
          <cell r="D103">
            <v>291.64999999999998</v>
          </cell>
          <cell r="E103">
            <v>1.9799999999999613</v>
          </cell>
          <cell r="F103">
            <v>289.67</v>
          </cell>
          <cell r="G103">
            <v>1.5</v>
          </cell>
          <cell r="H103" t="str">
            <v>Estado Físico</v>
          </cell>
          <cell r="I103" t="str">
            <v>Tipo</v>
          </cell>
          <cell r="J103">
            <v>0</v>
          </cell>
          <cell r="K103">
            <v>1.0000000000000001E-9</v>
          </cell>
          <cell r="L103">
            <v>1.0000000000000001E-9</v>
          </cell>
          <cell r="M103">
            <v>2.0000000000000001E-9</v>
          </cell>
        </row>
        <row r="104">
          <cell r="A104">
            <v>111</v>
          </cell>
          <cell r="B104">
            <v>930734.24</v>
          </cell>
          <cell r="C104">
            <v>996040.77</v>
          </cell>
          <cell r="D104">
            <v>290.8</v>
          </cell>
          <cell r="E104">
            <v>1.2300000000000182</v>
          </cell>
          <cell r="F104">
            <v>289.57</v>
          </cell>
          <cell r="G104">
            <v>1.5</v>
          </cell>
          <cell r="H104" t="str">
            <v>Estado Físico</v>
          </cell>
          <cell r="I104" t="str">
            <v>Tipo</v>
          </cell>
          <cell r="J104">
            <v>0</v>
          </cell>
          <cell r="K104">
            <v>1.0000000000000001E-9</v>
          </cell>
          <cell r="L104">
            <v>1.0000000000000001E-9</v>
          </cell>
          <cell r="M104">
            <v>2.0000000000000001E-9</v>
          </cell>
        </row>
        <row r="105">
          <cell r="A105">
            <v>112</v>
          </cell>
          <cell r="B105">
            <v>930699.22</v>
          </cell>
          <cell r="C105">
            <v>996056.88</v>
          </cell>
          <cell r="D105">
            <v>289.95</v>
          </cell>
          <cell r="E105">
            <v>1.5999999999999659</v>
          </cell>
          <cell r="F105">
            <v>288.35000000000002</v>
          </cell>
          <cell r="G105">
            <v>1.5</v>
          </cell>
          <cell r="H105" t="str">
            <v>Estado Físico</v>
          </cell>
          <cell r="I105" t="str">
            <v>Tipo</v>
          </cell>
          <cell r="J105">
            <v>0</v>
          </cell>
          <cell r="K105">
            <v>1.0000000000000001E-9</v>
          </cell>
          <cell r="L105">
            <v>1.0000000000000001E-9</v>
          </cell>
          <cell r="M105">
            <v>2.0000000000000001E-9</v>
          </cell>
        </row>
        <row r="106">
          <cell r="A106">
            <v>113</v>
          </cell>
          <cell r="B106">
            <v>930664.73</v>
          </cell>
          <cell r="C106">
            <v>996075.07</v>
          </cell>
          <cell r="D106">
            <v>289.10000000000002</v>
          </cell>
          <cell r="E106">
            <v>2.1400000000000432</v>
          </cell>
          <cell r="F106">
            <v>286.95999999999998</v>
          </cell>
          <cell r="G106">
            <v>1.5</v>
          </cell>
          <cell r="H106" t="str">
            <v>Estado Físico</v>
          </cell>
          <cell r="I106" t="str">
            <v>Tipo</v>
          </cell>
          <cell r="J106">
            <v>0</v>
          </cell>
          <cell r="K106">
            <v>1.0000000000000001E-9</v>
          </cell>
          <cell r="L106">
            <v>1.0000000000000001E-9</v>
          </cell>
          <cell r="M106">
            <v>2.0000000000000001E-9</v>
          </cell>
        </row>
        <row r="107">
          <cell r="A107">
            <v>114</v>
          </cell>
          <cell r="B107">
            <v>930636.51</v>
          </cell>
          <cell r="C107">
            <v>996094.88</v>
          </cell>
          <cell r="D107">
            <v>287.75</v>
          </cell>
          <cell r="E107">
            <v>1.2599999999999909</v>
          </cell>
          <cell r="F107">
            <v>286.49</v>
          </cell>
          <cell r="G107">
            <v>1.5</v>
          </cell>
          <cell r="H107" t="str">
            <v>Estado Físico</v>
          </cell>
          <cell r="I107" t="str">
            <v>Tipo</v>
          </cell>
          <cell r="J107">
            <v>0</v>
          </cell>
          <cell r="K107">
            <v>1.0000000000000001E-9</v>
          </cell>
          <cell r="L107">
            <v>1.0000000000000001E-9</v>
          </cell>
          <cell r="M107">
            <v>2.0000000000000001E-9</v>
          </cell>
        </row>
        <row r="108">
          <cell r="A108">
            <v>115</v>
          </cell>
          <cell r="B108">
            <v>930617.07</v>
          </cell>
          <cell r="C108">
            <v>996111.78</v>
          </cell>
          <cell r="D108">
            <v>287.39999999999998</v>
          </cell>
          <cell r="E108">
            <v>1.5499999999999545</v>
          </cell>
          <cell r="F108">
            <v>285.85000000000002</v>
          </cell>
          <cell r="G108">
            <v>1.5</v>
          </cell>
          <cell r="H108" t="str">
            <v>Estado Físico</v>
          </cell>
          <cell r="I108" t="str">
            <v>Tipo</v>
          </cell>
          <cell r="J108">
            <v>0</v>
          </cell>
          <cell r="K108">
            <v>1.0000000000000001E-9</v>
          </cell>
          <cell r="L108">
            <v>1.0000000000000001E-9</v>
          </cell>
          <cell r="M108">
            <v>2.0000000000000001E-9</v>
          </cell>
        </row>
        <row r="109">
          <cell r="A109">
            <v>116</v>
          </cell>
          <cell r="B109">
            <v>930629.81</v>
          </cell>
          <cell r="C109">
            <v>996131.27</v>
          </cell>
          <cell r="D109">
            <v>286.29000000000002</v>
          </cell>
          <cell r="E109">
            <v>1.5699999999999932</v>
          </cell>
          <cell r="F109">
            <v>284.72000000000003</v>
          </cell>
          <cell r="G109">
            <v>1.6722756333977111</v>
          </cell>
          <cell r="H109" t="str">
            <v>Estado Físico</v>
          </cell>
          <cell r="I109" t="str">
            <v>Tipo</v>
          </cell>
          <cell r="J109">
            <v>0.13730115967199999</v>
          </cell>
          <cell r="K109">
            <v>1.0000000000000001E-9</v>
          </cell>
          <cell r="L109">
            <v>1.0000000000000001E-9</v>
          </cell>
          <cell r="M109">
            <v>0.13730116167199999</v>
          </cell>
        </row>
        <row r="110">
          <cell r="A110">
            <v>117</v>
          </cell>
          <cell r="B110">
            <v>930686.75</v>
          </cell>
          <cell r="C110">
            <v>996226.31</v>
          </cell>
          <cell r="D110">
            <v>285.58</v>
          </cell>
          <cell r="E110">
            <v>1.6800000000000068</v>
          </cell>
          <cell r="F110">
            <v>283.89999999999998</v>
          </cell>
          <cell r="G110">
            <v>34.9486070851029</v>
          </cell>
          <cell r="H110" t="str">
            <v>Estado Físico</v>
          </cell>
          <cell r="I110" t="str">
            <v>Tipo</v>
          </cell>
          <cell r="J110">
            <v>1.9501956008000001E-2</v>
          </cell>
          <cell r="K110">
            <v>1.0000000000000001E-9</v>
          </cell>
          <cell r="L110">
            <v>1.0000000000000001E-9</v>
          </cell>
          <cell r="M110">
            <v>1.9501958008E-2</v>
          </cell>
        </row>
        <row r="111">
          <cell r="A111">
            <v>118</v>
          </cell>
          <cell r="B111">
            <v>930872.43</v>
          </cell>
          <cell r="C111">
            <v>996309.94</v>
          </cell>
          <cell r="D111">
            <v>288.37</v>
          </cell>
          <cell r="E111">
            <v>1.5600000000000023</v>
          </cell>
          <cell r="F111">
            <v>286.81</v>
          </cell>
          <cell r="G111">
            <v>20.848033249647376</v>
          </cell>
          <cell r="H111" t="str">
            <v>Estado Físico</v>
          </cell>
          <cell r="I111" t="str">
            <v>Tipo</v>
          </cell>
          <cell r="J111">
            <v>1.25998690529E-2</v>
          </cell>
          <cell r="K111">
            <v>1.0000000000000001E-9</v>
          </cell>
          <cell r="L111">
            <v>1.0000000000000001E-9</v>
          </cell>
          <cell r="M111">
            <v>1.2599871052899999E-2</v>
          </cell>
        </row>
        <row r="112">
          <cell r="A112">
            <v>119</v>
          </cell>
          <cell r="B112">
            <v>930999.82</v>
          </cell>
          <cell r="C112">
            <v>996313.25</v>
          </cell>
          <cell r="D112">
            <v>289.92</v>
          </cell>
          <cell r="E112">
            <v>1.5400000000000205</v>
          </cell>
          <cell r="F112">
            <v>288.38</v>
          </cell>
          <cell r="G112">
            <v>20.814734311177784</v>
          </cell>
          <cell r="H112" t="str">
            <v>Estado Físico</v>
          </cell>
          <cell r="I112" t="str">
            <v>Tipo</v>
          </cell>
          <cell r="J112">
            <v>0</v>
          </cell>
          <cell r="K112">
            <v>1.0000000000000001E-9</v>
          </cell>
          <cell r="L112">
            <v>1.0000000000000001E-9</v>
          </cell>
          <cell r="M112">
            <v>2.0000000000000001E-9</v>
          </cell>
        </row>
        <row r="113">
          <cell r="A113">
            <v>120</v>
          </cell>
          <cell r="B113">
            <v>931154.26</v>
          </cell>
          <cell r="C113">
            <v>996307.55</v>
          </cell>
          <cell r="D113">
            <v>290.41000000000003</v>
          </cell>
          <cell r="E113">
            <v>1.5300000000000296</v>
          </cell>
          <cell r="F113">
            <v>288.88</v>
          </cell>
          <cell r="G113">
            <v>20.81473431017778</v>
          </cell>
          <cell r="H113" t="str">
            <v>Estado Físico</v>
          </cell>
          <cell r="I113" t="str">
            <v>Tipo</v>
          </cell>
          <cell r="J113">
            <v>0</v>
          </cell>
          <cell r="K113">
            <v>1.0000000000000001E-9</v>
          </cell>
          <cell r="L113">
            <v>1.0000000000000001E-9</v>
          </cell>
          <cell r="M113">
            <v>2.0000000000000001E-9</v>
          </cell>
        </row>
        <row r="114">
          <cell r="A114">
            <v>121</v>
          </cell>
          <cell r="B114">
            <v>931594.41</v>
          </cell>
          <cell r="C114">
            <v>996322.73</v>
          </cell>
          <cell r="D114">
            <v>298.63</v>
          </cell>
          <cell r="E114">
            <v>1.8299999999999841</v>
          </cell>
          <cell r="F114">
            <v>296.8</v>
          </cell>
          <cell r="G114">
            <v>4.1905198801610046</v>
          </cell>
          <cell r="H114" t="str">
            <v>Estado Físico</v>
          </cell>
          <cell r="I114" t="str">
            <v>Tipo</v>
          </cell>
          <cell r="J114">
            <v>0.521352700206</v>
          </cell>
          <cell r="K114">
            <v>1.0000000000000001E-9</v>
          </cell>
          <cell r="L114">
            <v>0.357890787963</v>
          </cell>
          <cell r="M114">
            <v>0.87924348916899997</v>
          </cell>
        </row>
        <row r="115">
          <cell r="A115" t="str">
            <v>P1</v>
          </cell>
          <cell r="B115">
            <v>931693.8</v>
          </cell>
          <cell r="C115">
            <v>996196.33</v>
          </cell>
          <cell r="D115">
            <v>300.57</v>
          </cell>
          <cell r="E115">
            <v>1</v>
          </cell>
          <cell r="F115">
            <v>299.57</v>
          </cell>
          <cell r="G115">
            <v>1.5</v>
          </cell>
          <cell r="H115" t="str">
            <v>Estado Físico</v>
          </cell>
          <cell r="I115" t="str">
            <v>Tipo</v>
          </cell>
          <cell r="J115">
            <v>0.39799782059</v>
          </cell>
          <cell r="K115">
            <v>1.0000000000000001E-9</v>
          </cell>
          <cell r="L115">
            <v>1.0000000000000001E-9</v>
          </cell>
          <cell r="M115">
            <v>0.39799782259000005</v>
          </cell>
        </row>
        <row r="116">
          <cell r="A116" t="str">
            <v>P2</v>
          </cell>
          <cell r="B116">
            <v>931311.5</v>
          </cell>
          <cell r="C116">
            <v>996418.52</v>
          </cell>
          <cell r="D116">
            <v>295.92</v>
          </cell>
          <cell r="E116">
            <v>1</v>
          </cell>
          <cell r="F116">
            <v>294.92</v>
          </cell>
          <cell r="G116">
            <v>1.5</v>
          </cell>
          <cell r="H116" t="str">
            <v>Estado Físico</v>
          </cell>
          <cell r="I116" t="str">
            <v>Tipo</v>
          </cell>
          <cell r="J116">
            <v>0.18496910485099999</v>
          </cell>
          <cell r="K116">
            <v>1.0000000000000001E-9</v>
          </cell>
          <cell r="L116">
            <v>1.0000000000000001E-9</v>
          </cell>
          <cell r="M116">
            <v>0.18496910685099999</v>
          </cell>
        </row>
        <row r="117">
          <cell r="A117" t="str">
            <v>PTAR</v>
          </cell>
          <cell r="B117">
            <v>930654.76</v>
          </cell>
          <cell r="C117">
            <v>996216.49</v>
          </cell>
          <cell r="D117">
            <v>283.36</v>
          </cell>
          <cell r="E117">
            <v>0</v>
          </cell>
          <cell r="F117">
            <v>283.36</v>
          </cell>
          <cell r="G117" t="str">
            <v>---</v>
          </cell>
          <cell r="H117" t="str">
            <v>Estado Físico</v>
          </cell>
          <cell r="I117" t="str">
            <v>Descarga</v>
          </cell>
          <cell r="J117">
            <v>0</v>
          </cell>
          <cell r="K117">
            <v>1.0000000000000001E-9</v>
          </cell>
          <cell r="L117">
            <v>1.0000000000000001E-9</v>
          </cell>
          <cell r="M117">
            <v>2.0000000000000001E-9</v>
          </cell>
        </row>
        <row r="118">
          <cell r="J118">
            <v>12.955644090472186</v>
          </cell>
          <cell r="K118">
            <v>8.5310064772269961E-2</v>
          </cell>
          <cell r="L118">
            <v>0.72015357639198929</v>
          </cell>
          <cell r="M118">
            <v>13.761107729636448</v>
          </cell>
        </row>
      </sheetData>
      <sheetData sheetId="1" refreshError="1"/>
      <sheetData sheetId="2" refreshError="1"/>
      <sheetData sheetId="3">
        <row r="1">
          <cell r="A1" t="str">
            <v>Label</v>
          </cell>
          <cell r="B1" t="str">
            <v>Start Node</v>
          </cell>
          <cell r="C1" t="str">
            <v>Stop Node</v>
          </cell>
          <cell r="D1" t="str">
            <v>Invert (Start) (m)</v>
          </cell>
          <cell r="E1" t="str">
            <v>Invert (Stop) (m)</v>
          </cell>
          <cell r="F1" t="str">
            <v>Length (m)</v>
          </cell>
          <cell r="G1" t="str">
            <v>Slope (%)</v>
          </cell>
          <cell r="H1" t="str">
            <v>Flow (L/s)</v>
          </cell>
          <cell r="I1" t="str">
            <v>Nominal</v>
          </cell>
          <cell r="J1" t="str">
            <v>Material</v>
          </cell>
          <cell r="K1" t="str">
            <v>Manning's n</v>
          </cell>
          <cell r="L1" t="str">
            <v>Diameter (m)</v>
          </cell>
          <cell r="M1" t="str">
            <v>Estado</v>
          </cell>
        </row>
        <row r="2">
          <cell r="A2" t="str">
            <v>C1</v>
          </cell>
          <cell r="B2">
            <v>3</v>
          </cell>
          <cell r="C2">
            <v>2</v>
          </cell>
          <cell r="D2">
            <v>298.49</v>
          </cell>
          <cell r="E2">
            <v>298.45999999999998</v>
          </cell>
          <cell r="F2">
            <v>38.299999999999997</v>
          </cell>
          <cell r="G2">
            <v>5.7000000000000002E-2</v>
          </cell>
          <cell r="H2" t="str">
            <v>(N/A)</v>
          </cell>
          <cell r="I2">
            <v>10</v>
          </cell>
          <cell r="J2" t="str">
            <v>PVC</v>
          </cell>
          <cell r="K2">
            <v>0.01</v>
          </cell>
          <cell r="L2">
            <v>0.254</v>
          </cell>
          <cell r="M2" t="str">
            <v>Existente</v>
          </cell>
        </row>
        <row r="3">
          <cell r="A3" t="str">
            <v>C2</v>
          </cell>
          <cell r="B3">
            <v>2</v>
          </cell>
          <cell r="C3">
            <v>5</v>
          </cell>
          <cell r="D3">
            <v>298.43</v>
          </cell>
          <cell r="E3">
            <v>298.22000000000003</v>
          </cell>
          <cell r="F3">
            <v>11.6</v>
          </cell>
          <cell r="G3">
            <v>1.885</v>
          </cell>
          <cell r="H3" t="str">
            <v>(N/A)</v>
          </cell>
          <cell r="I3">
            <v>10</v>
          </cell>
          <cell r="J3" t="str">
            <v>PVC</v>
          </cell>
          <cell r="K3">
            <v>0.01</v>
          </cell>
          <cell r="L3">
            <v>0.254</v>
          </cell>
          <cell r="M3" t="str">
            <v>Existente</v>
          </cell>
        </row>
        <row r="4">
          <cell r="A4" t="str">
            <v>C3</v>
          </cell>
          <cell r="B4">
            <v>5</v>
          </cell>
          <cell r="C4">
            <v>109</v>
          </cell>
          <cell r="D4">
            <v>298.20999999999998</v>
          </cell>
          <cell r="E4">
            <v>298.17</v>
          </cell>
          <cell r="F4">
            <v>14.3</v>
          </cell>
          <cell r="G4">
            <v>0.25600000000000001</v>
          </cell>
          <cell r="H4" t="str">
            <v>(N/A)</v>
          </cell>
          <cell r="I4">
            <v>10</v>
          </cell>
          <cell r="J4" t="str">
            <v>PVC</v>
          </cell>
          <cell r="K4">
            <v>0.01</v>
          </cell>
          <cell r="L4">
            <v>0.249</v>
          </cell>
          <cell r="M4" t="str">
            <v>Cambio Por Diametro</v>
          </cell>
        </row>
        <row r="5">
          <cell r="A5" t="str">
            <v>C4</v>
          </cell>
          <cell r="B5">
            <v>109</v>
          </cell>
          <cell r="C5">
            <v>10</v>
          </cell>
          <cell r="D5">
            <v>298.16000000000003</v>
          </cell>
          <cell r="E5">
            <v>298.07</v>
          </cell>
          <cell r="F5">
            <v>27.3</v>
          </cell>
          <cell r="G5">
            <v>0.33900000000000002</v>
          </cell>
          <cell r="H5" t="str">
            <v>(N/A)</v>
          </cell>
          <cell r="I5">
            <v>10</v>
          </cell>
          <cell r="J5" t="str">
            <v>PVC</v>
          </cell>
          <cell r="K5">
            <v>0.01</v>
          </cell>
          <cell r="L5">
            <v>0.249</v>
          </cell>
          <cell r="M5" t="str">
            <v>Cambio Por Diametro</v>
          </cell>
        </row>
        <row r="6">
          <cell r="A6" t="str">
            <v>C5</v>
          </cell>
          <cell r="B6">
            <v>10</v>
          </cell>
          <cell r="C6">
            <v>12</v>
          </cell>
          <cell r="D6">
            <v>298.07</v>
          </cell>
          <cell r="E6">
            <v>297.99</v>
          </cell>
          <cell r="F6">
            <v>10.3</v>
          </cell>
          <cell r="G6">
            <v>0.753</v>
          </cell>
          <cell r="H6" t="str">
            <v>(N/A)</v>
          </cell>
          <cell r="I6">
            <v>10</v>
          </cell>
          <cell r="J6" t="str">
            <v>PVC</v>
          </cell>
          <cell r="K6">
            <v>0.01</v>
          </cell>
          <cell r="L6">
            <v>0.249</v>
          </cell>
          <cell r="M6" t="str">
            <v>Cambio Por Diametro</v>
          </cell>
        </row>
        <row r="7">
          <cell r="A7" t="str">
            <v>C6</v>
          </cell>
          <cell r="B7">
            <v>12</v>
          </cell>
          <cell r="C7">
            <v>14</v>
          </cell>
          <cell r="D7">
            <v>297.97000000000003</v>
          </cell>
          <cell r="E7">
            <v>297.88</v>
          </cell>
          <cell r="F7">
            <v>48.1</v>
          </cell>
          <cell r="G7">
            <v>0.18099999999999999</v>
          </cell>
          <cell r="H7" t="str">
            <v>(N/A)</v>
          </cell>
          <cell r="I7">
            <v>10</v>
          </cell>
          <cell r="J7" t="str">
            <v>PVC</v>
          </cell>
          <cell r="K7">
            <v>0.01</v>
          </cell>
          <cell r="L7">
            <v>0.249</v>
          </cell>
          <cell r="M7" t="str">
            <v>Cambio Por Diametro</v>
          </cell>
        </row>
        <row r="8">
          <cell r="A8" t="str">
            <v>C7</v>
          </cell>
          <cell r="B8">
            <v>14</v>
          </cell>
          <cell r="C8">
            <v>17</v>
          </cell>
          <cell r="D8">
            <v>297.88</v>
          </cell>
          <cell r="E8">
            <v>296.95</v>
          </cell>
          <cell r="F8">
            <v>92.6</v>
          </cell>
          <cell r="G8">
            <v>1.006</v>
          </cell>
          <cell r="H8" t="str">
            <v>(N/A)</v>
          </cell>
          <cell r="I8">
            <v>10</v>
          </cell>
          <cell r="J8" t="str">
            <v>PVC</v>
          </cell>
          <cell r="K8">
            <v>0.01</v>
          </cell>
          <cell r="L8">
            <v>0.249</v>
          </cell>
          <cell r="M8" t="str">
            <v>Cambio Por Diametro</v>
          </cell>
        </row>
        <row r="9">
          <cell r="A9" t="str">
            <v>C8</v>
          </cell>
          <cell r="B9">
            <v>17</v>
          </cell>
          <cell r="C9">
            <v>121</v>
          </cell>
          <cell r="D9">
            <v>296.92</v>
          </cell>
          <cell r="E9">
            <v>296.83</v>
          </cell>
          <cell r="F9">
            <v>10.1</v>
          </cell>
          <cell r="G9">
            <v>0.91700000000000004</v>
          </cell>
          <cell r="H9" t="str">
            <v>(N/A)</v>
          </cell>
          <cell r="I9">
            <v>10</v>
          </cell>
          <cell r="J9" t="str">
            <v>PVC</v>
          </cell>
          <cell r="K9">
            <v>0.01</v>
          </cell>
          <cell r="L9">
            <v>0.249</v>
          </cell>
          <cell r="M9" t="str">
            <v>Cambio Por Diametro</v>
          </cell>
        </row>
        <row r="10">
          <cell r="A10" t="str">
            <v>C9</v>
          </cell>
          <cell r="B10">
            <v>121</v>
          </cell>
          <cell r="C10">
            <v>19</v>
          </cell>
          <cell r="D10">
            <v>296.8</v>
          </cell>
          <cell r="E10">
            <v>295.89999999999998</v>
          </cell>
          <cell r="F10">
            <v>95.7</v>
          </cell>
          <cell r="G10">
            <v>0.93300000000000005</v>
          </cell>
          <cell r="H10" t="str">
            <v>(N/A)</v>
          </cell>
          <cell r="I10">
            <v>10</v>
          </cell>
          <cell r="J10" t="str">
            <v>PEAD</v>
          </cell>
          <cell r="K10">
            <v>0.01</v>
          </cell>
          <cell r="L10">
            <v>0.249</v>
          </cell>
          <cell r="M10" t="str">
            <v>Cambio Por Diametro</v>
          </cell>
        </row>
        <row r="11">
          <cell r="A11" t="str">
            <v>C10</v>
          </cell>
          <cell r="B11">
            <v>19</v>
          </cell>
          <cell r="C11">
            <v>68</v>
          </cell>
          <cell r="D11">
            <v>295.87</v>
          </cell>
          <cell r="E11">
            <v>295.22000000000003</v>
          </cell>
          <cell r="F11">
            <v>66.400000000000006</v>
          </cell>
          <cell r="G11">
            <v>0.98099999999999998</v>
          </cell>
          <cell r="H11" t="str">
            <v>(N/A)</v>
          </cell>
          <cell r="I11">
            <v>12</v>
          </cell>
          <cell r="J11" t="str">
            <v>PVC</v>
          </cell>
          <cell r="K11">
            <v>0.01</v>
          </cell>
          <cell r="L11">
            <v>0.30480000000000002</v>
          </cell>
          <cell r="M11" t="str">
            <v>Existente</v>
          </cell>
        </row>
        <row r="12">
          <cell r="A12" t="str">
            <v>C11</v>
          </cell>
          <cell r="B12">
            <v>68</v>
          </cell>
          <cell r="C12">
            <v>72</v>
          </cell>
          <cell r="D12">
            <v>294.99</v>
          </cell>
          <cell r="E12">
            <v>293.85000000000002</v>
          </cell>
          <cell r="F12">
            <v>57.8</v>
          </cell>
          <cell r="G12">
            <v>1.974</v>
          </cell>
          <cell r="H12" t="str">
            <v>(N/A)</v>
          </cell>
          <cell r="I12">
            <v>12</v>
          </cell>
          <cell r="J12" t="str">
            <v>PEAD</v>
          </cell>
          <cell r="K12">
            <v>0.01</v>
          </cell>
          <cell r="L12">
            <v>0.308</v>
          </cell>
          <cell r="M12" t="str">
            <v>Cambio Por Material y Diametro</v>
          </cell>
        </row>
        <row r="13">
          <cell r="A13" t="str">
            <v>C12</v>
          </cell>
          <cell r="B13">
            <v>72</v>
          </cell>
          <cell r="C13">
            <v>74</v>
          </cell>
          <cell r="D13">
            <v>293.82</v>
          </cell>
          <cell r="E13">
            <v>292.64999999999998</v>
          </cell>
          <cell r="F13">
            <v>58.1</v>
          </cell>
          <cell r="G13">
            <v>2.0030000000000001</v>
          </cell>
          <cell r="H13" t="str">
            <v>(N/A)</v>
          </cell>
          <cell r="I13">
            <v>12</v>
          </cell>
          <cell r="J13" t="str">
            <v>PEAD</v>
          </cell>
          <cell r="K13">
            <v>0.01</v>
          </cell>
          <cell r="L13">
            <v>0.308</v>
          </cell>
          <cell r="M13" t="str">
            <v>Cambio Por Material y Diametro</v>
          </cell>
        </row>
        <row r="15">
          <cell r="A15" t="str">
            <v>C13</v>
          </cell>
          <cell r="B15">
            <v>101</v>
          </cell>
          <cell r="C15">
            <v>31</v>
          </cell>
          <cell r="D15">
            <v>296.35000000000002</v>
          </cell>
          <cell r="E15">
            <v>296</v>
          </cell>
          <cell r="F15">
            <v>27.4</v>
          </cell>
          <cell r="G15">
            <v>1.3080000000000001</v>
          </cell>
          <cell r="H15" t="str">
            <v>(N/A)</v>
          </cell>
          <cell r="I15">
            <v>8</v>
          </cell>
          <cell r="J15" t="str">
            <v>PEAD</v>
          </cell>
          <cell r="K15">
            <v>0.01</v>
          </cell>
          <cell r="L15">
            <v>0.20100000000000001</v>
          </cell>
          <cell r="M15" t="str">
            <v>Cambio Por Material</v>
          </cell>
        </row>
        <row r="16">
          <cell r="A16" t="str">
            <v>C14</v>
          </cell>
          <cell r="B16">
            <v>31</v>
          </cell>
          <cell r="C16">
            <v>30</v>
          </cell>
          <cell r="D16">
            <v>295.89</v>
          </cell>
          <cell r="E16">
            <v>295.16000000000003</v>
          </cell>
          <cell r="F16">
            <v>74.599999999999994</v>
          </cell>
          <cell r="G16">
            <v>0.97099999999999997</v>
          </cell>
          <cell r="H16" t="str">
            <v>(N/A)</v>
          </cell>
          <cell r="I16">
            <v>8</v>
          </cell>
          <cell r="J16" t="str">
            <v>PVC</v>
          </cell>
          <cell r="K16">
            <v>0.01</v>
          </cell>
          <cell r="L16">
            <v>0.20319999999999999</v>
          </cell>
          <cell r="M16" t="str">
            <v>Existente</v>
          </cell>
        </row>
        <row r="17">
          <cell r="A17" t="str">
            <v>C15</v>
          </cell>
          <cell r="B17">
            <v>30</v>
          </cell>
          <cell r="C17">
            <v>29</v>
          </cell>
          <cell r="D17">
            <v>295.13</v>
          </cell>
          <cell r="E17">
            <v>294.97000000000003</v>
          </cell>
          <cell r="F17">
            <v>75.2</v>
          </cell>
          <cell r="G17">
            <v>0.215</v>
          </cell>
          <cell r="H17" t="str">
            <v>(N/A)</v>
          </cell>
          <cell r="I17">
            <v>8</v>
          </cell>
          <cell r="J17" t="str">
            <v>PVC</v>
          </cell>
          <cell r="K17">
            <v>0.01</v>
          </cell>
          <cell r="L17">
            <v>0.20319999999999999</v>
          </cell>
          <cell r="M17" t="str">
            <v>Existente</v>
          </cell>
        </row>
        <row r="18">
          <cell r="A18" t="str">
            <v>C16</v>
          </cell>
          <cell r="B18">
            <v>29</v>
          </cell>
          <cell r="C18">
            <v>108</v>
          </cell>
          <cell r="D18">
            <v>294.37</v>
          </cell>
          <cell r="E18">
            <v>294.19</v>
          </cell>
          <cell r="F18">
            <v>65.900000000000006</v>
          </cell>
          <cell r="G18">
            <v>0.27400000000000002</v>
          </cell>
          <cell r="H18" t="str">
            <v>(N/A)</v>
          </cell>
          <cell r="I18">
            <v>8</v>
          </cell>
          <cell r="J18" t="str">
            <v>PVC</v>
          </cell>
          <cell r="K18">
            <v>0.01</v>
          </cell>
          <cell r="L18">
            <v>0.20319999999999999</v>
          </cell>
          <cell r="M18" t="str">
            <v>Existente</v>
          </cell>
        </row>
        <row r="20">
          <cell r="A20" t="str">
            <v>C17</v>
          </cell>
          <cell r="B20" t="str">
            <v>108i</v>
          </cell>
          <cell r="C20">
            <v>107</v>
          </cell>
          <cell r="D20">
            <v>294.18</v>
          </cell>
          <cell r="E20">
            <v>293.91000000000003</v>
          </cell>
          <cell r="F20">
            <v>14.2</v>
          </cell>
          <cell r="G20">
            <v>1.8480000000000001</v>
          </cell>
          <cell r="H20" t="str">
            <v>(N/A)</v>
          </cell>
          <cell r="I20">
            <v>12</v>
          </cell>
          <cell r="J20" t="str">
            <v>PVC</v>
          </cell>
          <cell r="K20">
            <v>0.01</v>
          </cell>
          <cell r="L20">
            <v>0.30480000000000002</v>
          </cell>
          <cell r="M20" t="str">
            <v>Existente</v>
          </cell>
        </row>
        <row r="21">
          <cell r="A21" t="str">
            <v>C18</v>
          </cell>
          <cell r="B21">
            <v>107</v>
          </cell>
          <cell r="C21">
            <v>23</v>
          </cell>
          <cell r="D21">
            <v>293.23</v>
          </cell>
          <cell r="E21">
            <v>292.64999999999998</v>
          </cell>
          <cell r="F21">
            <v>55.6</v>
          </cell>
          <cell r="G21">
            <v>1.044</v>
          </cell>
          <cell r="H21" t="str">
            <v>(N/A)</v>
          </cell>
          <cell r="I21">
            <v>12</v>
          </cell>
          <cell r="J21" t="str">
            <v>PVC</v>
          </cell>
          <cell r="K21">
            <v>0.01</v>
          </cell>
          <cell r="L21">
            <v>0.30480000000000002</v>
          </cell>
          <cell r="M21" t="str">
            <v>Existente</v>
          </cell>
        </row>
        <row r="22">
          <cell r="A22" t="str">
            <v>C19</v>
          </cell>
          <cell r="B22">
            <v>23</v>
          </cell>
          <cell r="C22">
            <v>25</v>
          </cell>
          <cell r="D22">
            <v>292.64</v>
          </cell>
          <cell r="E22">
            <v>292.42</v>
          </cell>
          <cell r="F22">
            <v>28.1</v>
          </cell>
          <cell r="G22">
            <v>0.79500000000000004</v>
          </cell>
          <cell r="H22" t="str">
            <v>(N/A)</v>
          </cell>
          <cell r="I22">
            <v>12</v>
          </cell>
          <cell r="J22" t="str">
            <v>PVC</v>
          </cell>
          <cell r="K22">
            <v>0.01</v>
          </cell>
          <cell r="L22">
            <v>0.30480000000000002</v>
          </cell>
          <cell r="M22" t="str">
            <v>Existente</v>
          </cell>
        </row>
        <row r="23">
          <cell r="A23" t="str">
            <v>C20</v>
          </cell>
          <cell r="B23">
            <v>25</v>
          </cell>
          <cell r="C23">
            <v>44</v>
          </cell>
          <cell r="D23">
            <v>292.35000000000002</v>
          </cell>
          <cell r="E23">
            <v>291.76</v>
          </cell>
          <cell r="F23">
            <v>50.8</v>
          </cell>
          <cell r="G23">
            <v>1.155</v>
          </cell>
          <cell r="H23" t="str">
            <v>(N/A)</v>
          </cell>
          <cell r="I23">
            <v>12</v>
          </cell>
          <cell r="J23" t="str">
            <v>PVC</v>
          </cell>
          <cell r="K23">
            <v>0.01</v>
          </cell>
          <cell r="L23">
            <v>0.30480000000000002</v>
          </cell>
          <cell r="M23" t="str">
            <v>Existente</v>
          </cell>
        </row>
        <row r="24">
          <cell r="A24" t="str">
            <v>C21</v>
          </cell>
          <cell r="B24">
            <v>44</v>
          </cell>
          <cell r="C24">
            <v>47</v>
          </cell>
          <cell r="D24">
            <v>291.70999999999998</v>
          </cell>
          <cell r="E24">
            <v>290.91000000000003</v>
          </cell>
          <cell r="F24">
            <v>91</v>
          </cell>
          <cell r="G24">
            <v>0.88200000000000001</v>
          </cell>
          <cell r="H24" t="str">
            <v>(N/A)</v>
          </cell>
          <cell r="I24">
            <v>12</v>
          </cell>
          <cell r="J24" t="str">
            <v>PVC</v>
          </cell>
          <cell r="K24">
            <v>0.01</v>
          </cell>
          <cell r="L24">
            <v>0.30480000000000002</v>
          </cell>
          <cell r="M24" t="str">
            <v>Existente</v>
          </cell>
        </row>
        <row r="25">
          <cell r="A25" t="str">
            <v>C22</v>
          </cell>
          <cell r="B25">
            <v>47</v>
          </cell>
          <cell r="C25">
            <v>96</v>
          </cell>
          <cell r="D25">
            <v>290.91000000000003</v>
          </cell>
          <cell r="E25">
            <v>289.10000000000002</v>
          </cell>
          <cell r="F25">
            <v>101.9</v>
          </cell>
          <cell r="G25">
            <v>1.782</v>
          </cell>
          <cell r="H25" t="str">
            <v>(N/A)</v>
          </cell>
          <cell r="I25">
            <v>12</v>
          </cell>
          <cell r="J25" t="str">
            <v>PVC</v>
          </cell>
          <cell r="K25">
            <v>0.01</v>
          </cell>
          <cell r="L25">
            <v>0.30480000000000002</v>
          </cell>
          <cell r="M25" t="str">
            <v>Existente</v>
          </cell>
        </row>
        <row r="26">
          <cell r="A26" t="str">
            <v>C23</v>
          </cell>
          <cell r="B26">
            <v>96</v>
          </cell>
          <cell r="C26">
            <v>102</v>
          </cell>
          <cell r="D26">
            <v>289.06</v>
          </cell>
          <cell r="E26">
            <v>287.31</v>
          </cell>
          <cell r="F26">
            <v>66.099999999999994</v>
          </cell>
          <cell r="G26">
            <v>2.6480000000000001</v>
          </cell>
          <cell r="H26" t="str">
            <v>(N/A)</v>
          </cell>
          <cell r="I26">
            <v>12</v>
          </cell>
          <cell r="J26" t="str">
            <v>PVC</v>
          </cell>
          <cell r="K26">
            <v>0.01</v>
          </cell>
          <cell r="L26">
            <v>0.308</v>
          </cell>
          <cell r="M26" t="str">
            <v>Cambio Por Diametro</v>
          </cell>
        </row>
        <row r="27">
          <cell r="A27" t="str">
            <v>C24</v>
          </cell>
          <cell r="B27">
            <v>102</v>
          </cell>
          <cell r="C27">
            <v>103</v>
          </cell>
          <cell r="D27">
            <v>287.29000000000002</v>
          </cell>
          <cell r="E27">
            <v>286.45</v>
          </cell>
          <cell r="F27">
            <v>120.9</v>
          </cell>
          <cell r="G27">
            <v>0.68899999999999995</v>
          </cell>
          <cell r="H27" t="str">
            <v>(N/A)</v>
          </cell>
          <cell r="I27">
            <v>12</v>
          </cell>
          <cell r="J27" t="str">
            <v>PVC</v>
          </cell>
          <cell r="K27">
            <v>0.01</v>
          </cell>
          <cell r="L27">
            <v>0.308</v>
          </cell>
          <cell r="M27" t="str">
            <v>Cambio Por Diametro</v>
          </cell>
        </row>
        <row r="28">
          <cell r="A28" t="str">
            <v>C25</v>
          </cell>
          <cell r="B28">
            <v>103</v>
          </cell>
          <cell r="C28">
            <v>104</v>
          </cell>
          <cell r="D28">
            <v>286.43</v>
          </cell>
          <cell r="E28">
            <v>285.64</v>
          </cell>
          <cell r="F28">
            <v>172.7</v>
          </cell>
          <cell r="G28">
            <v>0.45700000000000002</v>
          </cell>
          <cell r="H28" t="str">
            <v>(N/A)</v>
          </cell>
          <cell r="I28">
            <v>12</v>
          </cell>
          <cell r="J28" t="str">
            <v>PVC</v>
          </cell>
          <cell r="K28">
            <v>0.01</v>
          </cell>
          <cell r="L28">
            <v>0.308</v>
          </cell>
          <cell r="M28" t="str">
            <v>Cambio Por Diametro</v>
          </cell>
        </row>
        <row r="29">
          <cell r="A29" t="str">
            <v>C26</v>
          </cell>
          <cell r="B29">
            <v>104</v>
          </cell>
          <cell r="C29">
            <v>105</v>
          </cell>
          <cell r="D29">
            <v>285.63</v>
          </cell>
          <cell r="E29">
            <v>284.56</v>
          </cell>
          <cell r="F29">
            <v>156.30000000000001</v>
          </cell>
          <cell r="G29">
            <v>0.68600000000000005</v>
          </cell>
          <cell r="H29" t="str">
            <v>(N/A)</v>
          </cell>
          <cell r="I29">
            <v>12</v>
          </cell>
          <cell r="J29" t="str">
            <v>PVC</v>
          </cell>
          <cell r="K29">
            <v>0.01</v>
          </cell>
          <cell r="L29">
            <v>0.308</v>
          </cell>
          <cell r="M29" t="str">
            <v>Cambio Por Diametro</v>
          </cell>
        </row>
        <row r="30">
          <cell r="A30" t="str">
            <v>C27</v>
          </cell>
          <cell r="B30">
            <v>105</v>
          </cell>
          <cell r="C30">
            <v>117</v>
          </cell>
          <cell r="D30">
            <v>284.54000000000002</v>
          </cell>
          <cell r="E30">
            <v>283.95</v>
          </cell>
          <cell r="F30">
            <v>77.5</v>
          </cell>
          <cell r="G30">
            <v>0.75900000000000001</v>
          </cell>
          <cell r="H30" t="str">
            <v>(N/A)</v>
          </cell>
          <cell r="I30">
            <v>12</v>
          </cell>
          <cell r="J30" t="str">
            <v>PVC</v>
          </cell>
          <cell r="K30">
            <v>0.01</v>
          </cell>
          <cell r="L30">
            <v>0.308</v>
          </cell>
          <cell r="M30" t="str">
            <v>Cambio Por Diametro</v>
          </cell>
        </row>
        <row r="31">
          <cell r="A31" t="str">
            <v>C28</v>
          </cell>
          <cell r="B31">
            <v>117</v>
          </cell>
          <cell r="C31" t="str">
            <v>PTAR</v>
          </cell>
          <cell r="D31">
            <v>283.89999999999998</v>
          </cell>
          <cell r="E31">
            <v>283.36</v>
          </cell>
          <cell r="F31">
            <v>33.5</v>
          </cell>
          <cell r="G31">
            <v>1.6060000000000001</v>
          </cell>
          <cell r="H31" t="str">
            <v>(N/A)</v>
          </cell>
          <cell r="I31">
            <v>12</v>
          </cell>
          <cell r="J31" t="str">
            <v>PVC</v>
          </cell>
          <cell r="K31">
            <v>0.01</v>
          </cell>
          <cell r="L31">
            <v>0.308</v>
          </cell>
          <cell r="M31" t="str">
            <v>Cambio Por Diametro</v>
          </cell>
        </row>
        <row r="33">
          <cell r="A33" t="str">
            <v>C29</v>
          </cell>
          <cell r="B33" t="str">
            <v>106i</v>
          </cell>
          <cell r="C33">
            <v>21</v>
          </cell>
          <cell r="D33">
            <v>294.54000000000002</v>
          </cell>
          <cell r="E33">
            <v>294.31</v>
          </cell>
          <cell r="F33">
            <v>5.2</v>
          </cell>
          <cell r="G33">
            <v>4.5140000000000002</v>
          </cell>
          <cell r="H33" t="str">
            <v>(N/A)</v>
          </cell>
          <cell r="I33">
            <v>8</v>
          </cell>
          <cell r="J33" t="str">
            <v>PVC</v>
          </cell>
          <cell r="K33">
            <v>0.01</v>
          </cell>
          <cell r="L33">
            <v>0.20319999999999999</v>
          </cell>
          <cell r="M33" t="str">
            <v>Existente</v>
          </cell>
        </row>
        <row r="34">
          <cell r="A34" t="str">
            <v>C30</v>
          </cell>
          <cell r="B34">
            <v>21</v>
          </cell>
          <cell r="C34">
            <v>73</v>
          </cell>
          <cell r="D34">
            <v>293.22000000000003</v>
          </cell>
          <cell r="E34">
            <v>292.79000000000002</v>
          </cell>
          <cell r="F34">
            <v>33.1</v>
          </cell>
          <cell r="G34">
            <v>1.294</v>
          </cell>
          <cell r="H34" t="str">
            <v>(N/A)</v>
          </cell>
          <cell r="I34">
            <v>8</v>
          </cell>
          <cell r="J34" t="str">
            <v>PVC</v>
          </cell>
          <cell r="K34">
            <v>0.01</v>
          </cell>
          <cell r="L34">
            <v>0.20319999999999999</v>
          </cell>
          <cell r="M34" t="str">
            <v>Existente</v>
          </cell>
        </row>
        <row r="35">
          <cell r="A35" t="str">
            <v>C31</v>
          </cell>
          <cell r="B35">
            <v>73</v>
          </cell>
          <cell r="C35">
            <v>74</v>
          </cell>
          <cell r="D35">
            <v>292.70999999999998</v>
          </cell>
          <cell r="E35">
            <v>292.45</v>
          </cell>
          <cell r="F35">
            <v>36.299999999999997</v>
          </cell>
          <cell r="G35">
            <v>0.72</v>
          </cell>
          <cell r="H35" t="str">
            <v>(N/A)</v>
          </cell>
          <cell r="I35">
            <v>8</v>
          </cell>
          <cell r="J35" t="str">
            <v>PEAD</v>
          </cell>
          <cell r="K35">
            <v>0.01</v>
          </cell>
          <cell r="L35">
            <v>0.20100000000000001</v>
          </cell>
          <cell r="M35" t="str">
            <v>Cambio Por Material</v>
          </cell>
        </row>
        <row r="36">
          <cell r="A36" t="str">
            <v>C32</v>
          </cell>
          <cell r="B36">
            <v>74</v>
          </cell>
          <cell r="C36">
            <v>75</v>
          </cell>
          <cell r="D36">
            <v>292.42</v>
          </cell>
          <cell r="E36">
            <v>290.87</v>
          </cell>
          <cell r="F36">
            <v>48.4</v>
          </cell>
          <cell r="G36">
            <v>3.202</v>
          </cell>
          <cell r="H36" t="str">
            <v>(N/A)</v>
          </cell>
          <cell r="I36">
            <v>12</v>
          </cell>
          <cell r="J36" t="str">
            <v>PEAD</v>
          </cell>
          <cell r="K36">
            <v>0.01</v>
          </cell>
          <cell r="L36">
            <v>0.308</v>
          </cell>
          <cell r="M36" t="str">
            <v>Cambio Por Material y Diametro</v>
          </cell>
        </row>
        <row r="37">
          <cell r="A37" t="str">
            <v>C33</v>
          </cell>
          <cell r="B37">
            <v>75</v>
          </cell>
          <cell r="C37">
            <v>76</v>
          </cell>
          <cell r="D37">
            <v>290.81</v>
          </cell>
          <cell r="E37">
            <v>289.41000000000003</v>
          </cell>
          <cell r="F37">
            <v>38</v>
          </cell>
          <cell r="G37">
            <v>3.68</v>
          </cell>
          <cell r="H37" t="str">
            <v>(N/A)</v>
          </cell>
          <cell r="I37">
            <v>12</v>
          </cell>
          <cell r="J37" t="str">
            <v>PEAD</v>
          </cell>
          <cell r="K37">
            <v>0.01</v>
          </cell>
          <cell r="L37">
            <v>0.308</v>
          </cell>
          <cell r="M37" t="str">
            <v>Cambio Por Material y Diametro</v>
          </cell>
        </row>
        <row r="38">
          <cell r="A38" t="str">
            <v>C34</v>
          </cell>
          <cell r="B38">
            <v>76</v>
          </cell>
          <cell r="C38">
            <v>120</v>
          </cell>
          <cell r="D38">
            <v>289.31</v>
          </cell>
          <cell r="E38">
            <v>288.91000000000003</v>
          </cell>
          <cell r="F38">
            <v>145.4</v>
          </cell>
          <cell r="G38">
            <v>0.27500000000000002</v>
          </cell>
          <cell r="H38" t="str">
            <v>(N/A)</v>
          </cell>
          <cell r="I38">
            <v>12</v>
          </cell>
          <cell r="J38" t="str">
            <v>PEAD</v>
          </cell>
          <cell r="K38">
            <v>0.01</v>
          </cell>
          <cell r="L38">
            <v>0.308</v>
          </cell>
          <cell r="M38" t="str">
            <v>Cambio Por Material</v>
          </cell>
        </row>
        <row r="39">
          <cell r="A39" t="str">
            <v>C35</v>
          </cell>
          <cell r="B39">
            <v>120</v>
          </cell>
          <cell r="C39">
            <v>119</v>
          </cell>
          <cell r="D39">
            <v>288.88</v>
          </cell>
          <cell r="E39">
            <v>288.42</v>
          </cell>
          <cell r="F39">
            <v>154.5</v>
          </cell>
          <cell r="G39">
            <v>0.3</v>
          </cell>
          <cell r="H39" t="str">
            <v>(N/A)</v>
          </cell>
          <cell r="I39">
            <v>12</v>
          </cell>
          <cell r="J39" t="str">
            <v>PEAD</v>
          </cell>
          <cell r="K39">
            <v>0.01</v>
          </cell>
          <cell r="L39">
            <v>0.308</v>
          </cell>
          <cell r="M39" t="str">
            <v>Cambio Por Material</v>
          </cell>
        </row>
        <row r="40">
          <cell r="A40" t="str">
            <v>C36</v>
          </cell>
          <cell r="B40">
            <v>119</v>
          </cell>
          <cell r="C40">
            <v>118</v>
          </cell>
          <cell r="D40">
            <v>288.38</v>
          </cell>
          <cell r="E40">
            <v>286.87</v>
          </cell>
          <cell r="F40">
            <v>127.4</v>
          </cell>
          <cell r="G40">
            <v>1.1839999999999999</v>
          </cell>
          <cell r="H40" t="str">
            <v>(N/A)</v>
          </cell>
          <cell r="I40">
            <v>12</v>
          </cell>
          <cell r="J40" t="str">
            <v>PEAD</v>
          </cell>
          <cell r="K40">
            <v>0.01</v>
          </cell>
          <cell r="L40">
            <v>0.308</v>
          </cell>
          <cell r="M40" t="str">
            <v>Cambio Por Material</v>
          </cell>
        </row>
        <row r="41">
          <cell r="A41" t="str">
            <v>C37</v>
          </cell>
          <cell r="B41">
            <v>118</v>
          </cell>
          <cell r="C41">
            <v>105</v>
          </cell>
          <cell r="D41">
            <v>286.81</v>
          </cell>
          <cell r="E41">
            <v>284.56</v>
          </cell>
          <cell r="F41">
            <v>147.30000000000001</v>
          </cell>
          <cell r="G41">
            <v>1.5269999999999999</v>
          </cell>
          <cell r="H41" t="str">
            <v>(N/A)</v>
          </cell>
          <cell r="I41">
            <v>12</v>
          </cell>
          <cell r="J41" t="str">
            <v>PEAD</v>
          </cell>
          <cell r="K41">
            <v>0.01</v>
          </cell>
          <cell r="L41">
            <v>0.308</v>
          </cell>
          <cell r="M41" t="str">
            <v>Cambio Por Material</v>
          </cell>
        </row>
        <row r="43">
          <cell r="A43" t="str">
            <v>C38</v>
          </cell>
          <cell r="B43">
            <v>20</v>
          </cell>
          <cell r="C43">
            <v>106</v>
          </cell>
          <cell r="D43">
            <v>295.7</v>
          </cell>
          <cell r="E43">
            <v>294.51</v>
          </cell>
          <cell r="F43">
            <v>63</v>
          </cell>
          <cell r="G43">
            <v>1.877</v>
          </cell>
          <cell r="H43" t="str">
            <v>(N/A)</v>
          </cell>
          <cell r="I43">
            <v>8</v>
          </cell>
          <cell r="J43" t="str">
            <v>PEAD</v>
          </cell>
          <cell r="K43">
            <v>0.01</v>
          </cell>
          <cell r="L43">
            <v>0.20100000000000001</v>
          </cell>
          <cell r="M43" t="str">
            <v>Cambio Por Material</v>
          </cell>
        </row>
        <row r="44">
          <cell r="A44" t="str">
            <v>C39</v>
          </cell>
          <cell r="B44">
            <v>106</v>
          </cell>
          <cell r="C44">
            <v>108</v>
          </cell>
          <cell r="D44">
            <v>294.48</v>
          </cell>
          <cell r="E44">
            <v>294.2</v>
          </cell>
          <cell r="F44">
            <v>6</v>
          </cell>
          <cell r="G44">
            <v>4.6929999999999996</v>
          </cell>
          <cell r="H44" t="str">
            <v>(N/A)</v>
          </cell>
          <cell r="I44">
            <v>12</v>
          </cell>
          <cell r="J44" t="str">
            <v>PVC</v>
          </cell>
          <cell r="K44">
            <v>0.01</v>
          </cell>
          <cell r="L44">
            <v>0.30480000000000002</v>
          </cell>
          <cell r="M44" t="str">
            <v>Existente</v>
          </cell>
        </row>
        <row r="45">
          <cell r="A45" t="str">
            <v>C40</v>
          </cell>
          <cell r="B45">
            <v>108</v>
          </cell>
          <cell r="C45">
            <v>21</v>
          </cell>
          <cell r="D45">
            <v>294.18</v>
          </cell>
          <cell r="E45">
            <v>293.41000000000003</v>
          </cell>
          <cell r="F45">
            <v>9.1999999999999993</v>
          </cell>
          <cell r="G45">
            <v>8.3970000000000002</v>
          </cell>
          <cell r="H45" t="str">
            <v>(N/A)</v>
          </cell>
          <cell r="I45">
            <v>8</v>
          </cell>
          <cell r="J45" t="str">
            <v>PVC</v>
          </cell>
          <cell r="K45">
            <v>0.01</v>
          </cell>
          <cell r="L45">
            <v>0.20319999999999999</v>
          </cell>
          <cell r="M45" t="str">
            <v>Existente</v>
          </cell>
        </row>
        <row r="47">
          <cell r="A47" t="str">
            <v>C41</v>
          </cell>
          <cell r="B47">
            <v>92</v>
          </cell>
          <cell r="C47">
            <v>94</v>
          </cell>
          <cell r="D47">
            <v>290.63</v>
          </cell>
          <cell r="E47">
            <v>289.95</v>
          </cell>
          <cell r="F47">
            <v>86.1</v>
          </cell>
          <cell r="G47">
            <v>0.79100000000000004</v>
          </cell>
          <cell r="H47" t="str">
            <v>(N/A)</v>
          </cell>
          <cell r="I47">
            <v>8</v>
          </cell>
          <cell r="J47" t="str">
            <v>PVC</v>
          </cell>
          <cell r="K47">
            <v>0.01</v>
          </cell>
          <cell r="L47">
            <v>0.20319999999999999</v>
          </cell>
          <cell r="M47" t="str">
            <v>Existente</v>
          </cell>
        </row>
        <row r="48">
          <cell r="A48" t="str">
            <v>C42</v>
          </cell>
          <cell r="B48">
            <v>94</v>
          </cell>
          <cell r="C48">
            <v>95</v>
          </cell>
          <cell r="D48">
            <v>289.89999999999998</v>
          </cell>
          <cell r="E48">
            <v>289.79000000000002</v>
          </cell>
          <cell r="F48">
            <v>88.7</v>
          </cell>
          <cell r="G48">
            <v>0.124</v>
          </cell>
          <cell r="H48" t="str">
            <v>(N/A)</v>
          </cell>
          <cell r="I48">
            <v>8</v>
          </cell>
          <cell r="J48" t="str">
            <v>PVC</v>
          </cell>
          <cell r="K48">
            <v>0.01</v>
          </cell>
          <cell r="L48">
            <v>0.20319999999999999</v>
          </cell>
          <cell r="M48" t="str">
            <v>Existente</v>
          </cell>
        </row>
        <row r="49">
          <cell r="A49" t="str">
            <v>C43</v>
          </cell>
          <cell r="B49">
            <v>95</v>
          </cell>
          <cell r="C49">
            <v>110</v>
          </cell>
          <cell r="D49">
            <v>289.77999999999997</v>
          </cell>
          <cell r="E49">
            <v>289.69</v>
          </cell>
          <cell r="F49">
            <v>44.8</v>
          </cell>
          <cell r="G49">
            <v>0.20100000000000001</v>
          </cell>
          <cell r="H49" t="str">
            <v>(N/A)</v>
          </cell>
          <cell r="I49">
            <v>8</v>
          </cell>
          <cell r="J49" t="str">
            <v>PVC</v>
          </cell>
          <cell r="K49">
            <v>0.01</v>
          </cell>
          <cell r="L49">
            <v>0.20319999999999999</v>
          </cell>
          <cell r="M49" t="str">
            <v>Existente</v>
          </cell>
        </row>
        <row r="50">
          <cell r="A50" t="str">
            <v>C44</v>
          </cell>
          <cell r="B50">
            <v>110</v>
          </cell>
          <cell r="C50">
            <v>111</v>
          </cell>
          <cell r="D50">
            <v>289.67</v>
          </cell>
          <cell r="E50">
            <v>289.58999999999997</v>
          </cell>
          <cell r="F50">
            <v>42.5</v>
          </cell>
          <cell r="G50">
            <v>0.189</v>
          </cell>
          <cell r="H50" t="str">
            <v>(N/A)</v>
          </cell>
          <cell r="I50">
            <v>8</v>
          </cell>
          <cell r="J50" t="str">
            <v>PVC</v>
          </cell>
          <cell r="K50">
            <v>0.01</v>
          </cell>
          <cell r="L50">
            <v>0.20319999999999999</v>
          </cell>
          <cell r="M50" t="str">
            <v>Existente</v>
          </cell>
        </row>
        <row r="51">
          <cell r="A51" t="str">
            <v>C45</v>
          </cell>
          <cell r="B51">
            <v>111</v>
          </cell>
          <cell r="C51">
            <v>112</v>
          </cell>
          <cell r="D51">
            <v>289.57</v>
          </cell>
          <cell r="E51">
            <v>288.38</v>
          </cell>
          <cell r="F51">
            <v>38.5</v>
          </cell>
          <cell r="G51">
            <v>3.0990000000000002</v>
          </cell>
          <cell r="H51" t="str">
            <v>(N/A)</v>
          </cell>
          <cell r="I51">
            <v>8</v>
          </cell>
          <cell r="J51" t="str">
            <v>PVC</v>
          </cell>
          <cell r="K51">
            <v>0.01</v>
          </cell>
          <cell r="L51">
            <v>0.20319999999999999</v>
          </cell>
          <cell r="M51" t="str">
            <v>Existente</v>
          </cell>
        </row>
        <row r="52">
          <cell r="A52" t="str">
            <v>C46</v>
          </cell>
          <cell r="B52">
            <v>112</v>
          </cell>
          <cell r="C52">
            <v>113</v>
          </cell>
          <cell r="D52">
            <v>288.35000000000002</v>
          </cell>
          <cell r="E52">
            <v>287.04000000000002</v>
          </cell>
          <cell r="F52">
            <v>39</v>
          </cell>
          <cell r="G52">
            <v>3.3580000000000001</v>
          </cell>
          <cell r="H52" t="str">
            <v>(N/A)</v>
          </cell>
          <cell r="I52">
            <v>8</v>
          </cell>
          <cell r="J52" t="str">
            <v>PVC</v>
          </cell>
          <cell r="K52">
            <v>0.01</v>
          </cell>
          <cell r="L52">
            <v>0.20319999999999999</v>
          </cell>
          <cell r="M52" t="str">
            <v>Existente</v>
          </cell>
        </row>
        <row r="53">
          <cell r="A53" t="str">
            <v>C47</v>
          </cell>
          <cell r="B53">
            <v>113</v>
          </cell>
          <cell r="C53">
            <v>114</v>
          </cell>
          <cell r="D53">
            <v>286.95999999999998</v>
          </cell>
          <cell r="E53">
            <v>286.61</v>
          </cell>
          <cell r="F53">
            <v>34.5</v>
          </cell>
          <cell r="G53">
            <v>1.016</v>
          </cell>
          <cell r="H53" t="str">
            <v>(N/A)</v>
          </cell>
          <cell r="I53">
            <v>8</v>
          </cell>
          <cell r="J53" t="str">
            <v>PVC</v>
          </cell>
          <cell r="K53">
            <v>0.01</v>
          </cell>
          <cell r="L53">
            <v>0.20319999999999999</v>
          </cell>
          <cell r="M53" t="str">
            <v>Existente</v>
          </cell>
        </row>
        <row r="54">
          <cell r="A54" t="str">
            <v>C48</v>
          </cell>
          <cell r="B54">
            <v>114</v>
          </cell>
          <cell r="C54">
            <v>115</v>
          </cell>
          <cell r="D54">
            <v>286.49</v>
          </cell>
          <cell r="E54">
            <v>285.86</v>
          </cell>
          <cell r="F54">
            <v>25.8</v>
          </cell>
          <cell r="G54">
            <v>2.4609999999999999</v>
          </cell>
          <cell r="H54" t="str">
            <v>(N/A)</v>
          </cell>
          <cell r="I54">
            <v>8</v>
          </cell>
          <cell r="J54" t="str">
            <v>PVC</v>
          </cell>
          <cell r="K54">
            <v>0.01</v>
          </cell>
          <cell r="L54">
            <v>0.20319999999999999</v>
          </cell>
          <cell r="M54" t="str">
            <v>Existente</v>
          </cell>
        </row>
        <row r="55">
          <cell r="A55" t="str">
            <v>C49</v>
          </cell>
          <cell r="B55">
            <v>115</v>
          </cell>
          <cell r="C55">
            <v>116</v>
          </cell>
          <cell r="D55">
            <v>285.85000000000002</v>
          </cell>
          <cell r="E55">
            <v>284.76</v>
          </cell>
          <cell r="F55">
            <v>23.3</v>
          </cell>
          <cell r="G55">
            <v>4.7270000000000003</v>
          </cell>
          <cell r="H55" t="str">
            <v>(N/A)</v>
          </cell>
          <cell r="I55">
            <v>8</v>
          </cell>
          <cell r="J55" t="str">
            <v>PVC</v>
          </cell>
          <cell r="K55">
            <v>0.01</v>
          </cell>
          <cell r="L55">
            <v>0.20319999999999999</v>
          </cell>
          <cell r="M55" t="str">
            <v>Existente</v>
          </cell>
        </row>
        <row r="56">
          <cell r="A56" t="str">
            <v>C50</v>
          </cell>
          <cell r="B56">
            <v>116</v>
          </cell>
          <cell r="C56">
            <v>117</v>
          </cell>
          <cell r="D56">
            <v>284.72000000000003</v>
          </cell>
          <cell r="E56">
            <v>283.95999999999998</v>
          </cell>
          <cell r="F56">
            <v>110.8</v>
          </cell>
          <cell r="G56">
            <v>0.68100000000000005</v>
          </cell>
          <cell r="H56" t="str">
            <v>(N/A)</v>
          </cell>
          <cell r="I56">
            <v>8</v>
          </cell>
          <cell r="J56" t="str">
            <v>PVC</v>
          </cell>
          <cell r="K56">
            <v>0.01</v>
          </cell>
          <cell r="L56">
            <v>0.20319999999999999</v>
          </cell>
          <cell r="M56" t="str">
            <v>Existente</v>
          </cell>
        </row>
        <row r="58">
          <cell r="A58" t="str">
            <v>C51</v>
          </cell>
          <cell r="B58" t="str">
            <v>19i</v>
          </cell>
          <cell r="C58">
            <v>31</v>
          </cell>
          <cell r="D58">
            <v>296.77</v>
          </cell>
          <cell r="E58">
            <v>296</v>
          </cell>
          <cell r="F58">
            <v>69.2</v>
          </cell>
          <cell r="G58">
            <v>1.1259999999999999</v>
          </cell>
          <cell r="H58" t="str">
            <v>(N/A)</v>
          </cell>
          <cell r="I58">
            <v>8</v>
          </cell>
          <cell r="J58" t="str">
            <v>PEAD</v>
          </cell>
          <cell r="K58">
            <v>0.01</v>
          </cell>
          <cell r="L58">
            <v>0.20100000000000001</v>
          </cell>
          <cell r="M58" t="str">
            <v>Cambio Por Material</v>
          </cell>
        </row>
        <row r="60">
          <cell r="A60" t="str">
            <v>C52</v>
          </cell>
          <cell r="B60" t="str">
            <v>29i</v>
          </cell>
          <cell r="C60">
            <v>28</v>
          </cell>
          <cell r="D60">
            <v>294.68</v>
          </cell>
          <cell r="E60">
            <v>294.67</v>
          </cell>
          <cell r="F60">
            <v>6.3</v>
          </cell>
          <cell r="G60">
            <v>0.125</v>
          </cell>
          <cell r="H60" t="str">
            <v>(N/A)</v>
          </cell>
          <cell r="I60">
            <v>8</v>
          </cell>
          <cell r="J60" t="str">
            <v>PVC</v>
          </cell>
          <cell r="K60">
            <v>0.01</v>
          </cell>
          <cell r="L60">
            <v>0.20319999999999999</v>
          </cell>
          <cell r="M60" t="str">
            <v>Existente</v>
          </cell>
        </row>
        <row r="61">
          <cell r="A61" t="str">
            <v>C53</v>
          </cell>
          <cell r="B61">
            <v>28</v>
          </cell>
          <cell r="C61">
            <v>27</v>
          </cell>
          <cell r="D61">
            <v>294.66000000000003</v>
          </cell>
          <cell r="E61">
            <v>294.07</v>
          </cell>
          <cell r="F61">
            <v>46.2</v>
          </cell>
          <cell r="G61">
            <v>1.284</v>
          </cell>
          <cell r="H61" t="str">
            <v>(N/A)</v>
          </cell>
          <cell r="I61">
            <v>8</v>
          </cell>
          <cell r="J61" t="str">
            <v>PVC</v>
          </cell>
          <cell r="K61">
            <v>0.01</v>
          </cell>
          <cell r="L61">
            <v>0.20319999999999999</v>
          </cell>
          <cell r="M61" t="str">
            <v>Existente</v>
          </cell>
        </row>
        <row r="62">
          <cell r="A62" t="str">
            <v>C54</v>
          </cell>
          <cell r="B62">
            <v>27</v>
          </cell>
          <cell r="C62">
            <v>26</v>
          </cell>
          <cell r="D62">
            <v>294.06</v>
          </cell>
          <cell r="E62">
            <v>294</v>
          </cell>
          <cell r="F62">
            <v>11.9</v>
          </cell>
          <cell r="G62">
            <v>0.45400000000000001</v>
          </cell>
          <cell r="H62" t="str">
            <v>(N/A)</v>
          </cell>
          <cell r="I62">
            <v>10</v>
          </cell>
          <cell r="J62" t="str">
            <v>PVC</v>
          </cell>
          <cell r="K62">
            <v>0.01</v>
          </cell>
          <cell r="L62">
            <v>0.254</v>
          </cell>
          <cell r="M62" t="str">
            <v>Existente</v>
          </cell>
        </row>
        <row r="63">
          <cell r="A63" t="str">
            <v>C55</v>
          </cell>
          <cell r="B63">
            <v>26</v>
          </cell>
          <cell r="C63">
            <v>25</v>
          </cell>
          <cell r="D63">
            <v>293.77999999999997</v>
          </cell>
          <cell r="E63">
            <v>293.45</v>
          </cell>
          <cell r="F63">
            <v>3.9</v>
          </cell>
          <cell r="G63">
            <v>8.3279999999999994</v>
          </cell>
          <cell r="H63" t="str">
            <v>(N/A)</v>
          </cell>
          <cell r="I63">
            <v>12</v>
          </cell>
          <cell r="J63" t="str">
            <v>PVC</v>
          </cell>
          <cell r="K63">
            <v>0.01</v>
          </cell>
          <cell r="L63">
            <v>0.30480000000000002</v>
          </cell>
          <cell r="M63" t="str">
            <v>Existente</v>
          </cell>
        </row>
        <row r="65">
          <cell r="A65" t="str">
            <v>C56</v>
          </cell>
          <cell r="B65" t="str">
            <v>28i</v>
          </cell>
          <cell r="C65">
            <v>37</v>
          </cell>
          <cell r="D65">
            <v>294.67</v>
          </cell>
          <cell r="E65">
            <v>293.89</v>
          </cell>
          <cell r="F65">
            <v>75.2</v>
          </cell>
          <cell r="G65">
            <v>1.0389999999999999</v>
          </cell>
          <cell r="H65" t="str">
            <v>(N/A)</v>
          </cell>
          <cell r="I65">
            <v>8</v>
          </cell>
          <cell r="J65" t="str">
            <v>PVC</v>
          </cell>
          <cell r="K65">
            <v>0.01</v>
          </cell>
          <cell r="L65">
            <v>0.20319999999999999</v>
          </cell>
          <cell r="M65" t="str">
            <v>Existente</v>
          </cell>
        </row>
        <row r="66">
          <cell r="A66" t="str">
            <v>C57</v>
          </cell>
          <cell r="B66">
            <v>37</v>
          </cell>
          <cell r="C66">
            <v>36</v>
          </cell>
          <cell r="D66">
            <v>293.83999999999997</v>
          </cell>
          <cell r="E66">
            <v>293.56</v>
          </cell>
          <cell r="F66">
            <v>13.5</v>
          </cell>
          <cell r="G66">
            <v>2.0590000000000002</v>
          </cell>
          <cell r="H66" t="str">
            <v>(N/A)</v>
          </cell>
          <cell r="I66">
            <v>8</v>
          </cell>
          <cell r="J66" t="str">
            <v>PVC</v>
          </cell>
          <cell r="K66">
            <v>0.01</v>
          </cell>
          <cell r="L66">
            <v>0.20319999999999999</v>
          </cell>
          <cell r="M66" t="str">
            <v>Existente</v>
          </cell>
        </row>
        <row r="67">
          <cell r="A67" t="str">
            <v>C58</v>
          </cell>
          <cell r="B67">
            <v>36</v>
          </cell>
          <cell r="C67">
            <v>35</v>
          </cell>
          <cell r="D67">
            <v>293.52999999999997</v>
          </cell>
          <cell r="E67">
            <v>292.7</v>
          </cell>
          <cell r="F67">
            <v>75.400000000000006</v>
          </cell>
          <cell r="G67">
            <v>1.107</v>
          </cell>
          <cell r="H67" t="str">
            <v>(N/A)</v>
          </cell>
          <cell r="I67">
            <v>8</v>
          </cell>
          <cell r="J67" t="str">
            <v>PVC</v>
          </cell>
          <cell r="K67">
            <v>0.01</v>
          </cell>
          <cell r="L67">
            <v>0.20319999999999999</v>
          </cell>
          <cell r="M67" t="str">
            <v>Existente</v>
          </cell>
        </row>
        <row r="68">
          <cell r="A68" t="str">
            <v>C59</v>
          </cell>
          <cell r="B68">
            <v>35</v>
          </cell>
          <cell r="C68">
            <v>42</v>
          </cell>
          <cell r="D68">
            <v>292.7</v>
          </cell>
          <cell r="E68">
            <v>292.52</v>
          </cell>
          <cell r="F68">
            <v>52</v>
          </cell>
          <cell r="G68">
            <v>0.33700000000000002</v>
          </cell>
          <cell r="H68" t="str">
            <v>(N/A)</v>
          </cell>
          <cell r="I68">
            <v>8</v>
          </cell>
          <cell r="J68" t="str">
            <v>PVC</v>
          </cell>
          <cell r="K68">
            <v>0.01</v>
          </cell>
          <cell r="L68">
            <v>0.20319999999999999</v>
          </cell>
          <cell r="M68" t="str">
            <v>Existente</v>
          </cell>
        </row>
        <row r="69">
          <cell r="A69" t="str">
            <v>C60</v>
          </cell>
          <cell r="B69">
            <v>42</v>
          </cell>
          <cell r="C69">
            <v>43</v>
          </cell>
          <cell r="D69">
            <v>292.39</v>
          </cell>
          <cell r="E69">
            <v>291.99</v>
          </cell>
          <cell r="F69">
            <v>87.9</v>
          </cell>
          <cell r="G69">
            <v>0.45500000000000002</v>
          </cell>
          <cell r="H69" t="str">
            <v>(N/A)</v>
          </cell>
          <cell r="I69">
            <v>8</v>
          </cell>
          <cell r="J69" t="str">
            <v>PVC</v>
          </cell>
          <cell r="K69">
            <v>0.01</v>
          </cell>
          <cell r="L69">
            <v>0.20319999999999999</v>
          </cell>
          <cell r="M69" t="str">
            <v>Existente</v>
          </cell>
        </row>
        <row r="70">
          <cell r="A70" t="str">
            <v>C61</v>
          </cell>
          <cell r="B70">
            <v>43</v>
          </cell>
          <cell r="C70">
            <v>46</v>
          </cell>
          <cell r="D70">
            <v>291.97000000000003</v>
          </cell>
          <cell r="E70">
            <v>291.7</v>
          </cell>
          <cell r="F70">
            <v>52.7</v>
          </cell>
          <cell r="G70">
            <v>0.52200000000000002</v>
          </cell>
          <cell r="H70" t="str">
            <v>(N/A)</v>
          </cell>
          <cell r="I70">
            <v>12</v>
          </cell>
          <cell r="J70" t="str">
            <v>PEAD</v>
          </cell>
          <cell r="K70">
            <v>0.01</v>
          </cell>
          <cell r="L70">
            <v>0.308</v>
          </cell>
          <cell r="M70" t="str">
            <v>Cambio Por Material y Diametro</v>
          </cell>
        </row>
        <row r="71">
          <cell r="A71" t="str">
            <v>C62</v>
          </cell>
          <cell r="B71">
            <v>46</v>
          </cell>
          <cell r="C71">
            <v>47</v>
          </cell>
          <cell r="D71">
            <v>291.64</v>
          </cell>
          <cell r="E71">
            <v>291.58999999999997</v>
          </cell>
          <cell r="F71">
            <v>4.5</v>
          </cell>
          <cell r="G71">
            <v>1.0349999999999999</v>
          </cell>
          <cell r="H71" t="str">
            <v>(N/A)</v>
          </cell>
          <cell r="I71">
            <v>12</v>
          </cell>
          <cell r="J71" t="str">
            <v>PVC</v>
          </cell>
          <cell r="K71">
            <v>0.01</v>
          </cell>
          <cell r="L71">
            <v>0.30480000000000002</v>
          </cell>
          <cell r="M71" t="str">
            <v>Existente</v>
          </cell>
        </row>
        <row r="73">
          <cell r="A73" t="str">
            <v>C63</v>
          </cell>
          <cell r="B73">
            <v>34</v>
          </cell>
          <cell r="C73">
            <v>33</v>
          </cell>
          <cell r="D73">
            <v>293.62</v>
          </cell>
          <cell r="E73">
            <v>293.57</v>
          </cell>
          <cell r="F73">
            <v>77.2</v>
          </cell>
          <cell r="G73">
            <v>5.8999999999999997E-2</v>
          </cell>
          <cell r="H73" t="str">
            <v>(N/A)</v>
          </cell>
          <cell r="I73">
            <v>8</v>
          </cell>
          <cell r="J73" t="str">
            <v>PVC</v>
          </cell>
          <cell r="K73">
            <v>0.01</v>
          </cell>
          <cell r="L73">
            <v>0.20319999999999999</v>
          </cell>
          <cell r="M73" t="str">
            <v>Existente</v>
          </cell>
        </row>
        <row r="74">
          <cell r="A74" t="str">
            <v>C64</v>
          </cell>
          <cell r="B74">
            <v>33</v>
          </cell>
          <cell r="C74">
            <v>99</v>
          </cell>
          <cell r="D74">
            <v>293.54000000000002</v>
          </cell>
          <cell r="E74">
            <v>293.45999999999998</v>
          </cell>
          <cell r="F74">
            <v>86.3</v>
          </cell>
          <cell r="G74">
            <v>9.2999999999999999E-2</v>
          </cell>
          <cell r="H74" t="str">
            <v>(N/A)</v>
          </cell>
          <cell r="I74">
            <v>8</v>
          </cell>
          <cell r="J74" t="str">
            <v>PVC</v>
          </cell>
          <cell r="K74">
            <v>0.01</v>
          </cell>
          <cell r="L74">
            <v>0.20319999999999999</v>
          </cell>
          <cell r="M74" t="str">
            <v>Existente</v>
          </cell>
        </row>
        <row r="75">
          <cell r="A75" t="str">
            <v>C65</v>
          </cell>
          <cell r="B75">
            <v>99</v>
          </cell>
          <cell r="C75">
            <v>35</v>
          </cell>
          <cell r="D75">
            <v>293.43</v>
          </cell>
          <cell r="E75">
            <v>292.76</v>
          </cell>
          <cell r="F75">
            <v>78.900000000000006</v>
          </cell>
          <cell r="G75">
            <v>0.85099999999999998</v>
          </cell>
          <cell r="H75" t="str">
            <v>(N/A)</v>
          </cell>
          <cell r="I75">
            <v>8</v>
          </cell>
          <cell r="J75" t="str">
            <v>PVC</v>
          </cell>
          <cell r="K75">
            <v>0.01</v>
          </cell>
          <cell r="L75">
            <v>0.20319999999999999</v>
          </cell>
          <cell r="M75" t="str">
            <v>Existente</v>
          </cell>
        </row>
        <row r="77">
          <cell r="A77" t="str">
            <v>C66</v>
          </cell>
          <cell r="B77" t="str">
            <v>P2</v>
          </cell>
          <cell r="C77">
            <v>38</v>
          </cell>
          <cell r="D77">
            <v>294.92</v>
          </cell>
          <cell r="E77">
            <v>293.2</v>
          </cell>
          <cell r="F77">
            <v>69.7</v>
          </cell>
          <cell r="G77">
            <v>2.4609999999999999</v>
          </cell>
          <cell r="H77" t="str">
            <v>(N/A)</v>
          </cell>
          <cell r="I77">
            <v>8</v>
          </cell>
          <cell r="J77" t="str">
            <v>PVC</v>
          </cell>
          <cell r="K77">
            <v>0.01</v>
          </cell>
          <cell r="L77">
            <v>0.20319999999999999</v>
          </cell>
          <cell r="M77" t="str">
            <v>Existente</v>
          </cell>
        </row>
        <row r="78">
          <cell r="A78" t="str">
            <v>C67</v>
          </cell>
          <cell r="B78">
            <v>38</v>
          </cell>
          <cell r="C78">
            <v>42</v>
          </cell>
          <cell r="D78">
            <v>293.17</v>
          </cell>
          <cell r="E78">
            <v>292.52</v>
          </cell>
          <cell r="F78">
            <v>64.900000000000006</v>
          </cell>
          <cell r="G78">
            <v>0.997</v>
          </cell>
          <cell r="H78" t="str">
            <v>(N/A)</v>
          </cell>
          <cell r="I78">
            <v>8</v>
          </cell>
          <cell r="J78" t="str">
            <v>PVC</v>
          </cell>
          <cell r="K78">
            <v>0.01</v>
          </cell>
          <cell r="L78">
            <v>0.20319999999999999</v>
          </cell>
          <cell r="M78" t="str">
            <v>Existente</v>
          </cell>
        </row>
        <row r="80">
          <cell r="A80" t="str">
            <v>C68</v>
          </cell>
          <cell r="B80" t="str">
            <v>38i</v>
          </cell>
          <cell r="C80">
            <v>37</v>
          </cell>
          <cell r="D80">
            <v>294</v>
          </cell>
          <cell r="E80">
            <v>293.95999999999998</v>
          </cell>
          <cell r="F80">
            <v>46.7</v>
          </cell>
          <cell r="G80">
            <v>0.09</v>
          </cell>
          <cell r="H80" t="str">
            <v>(N/A)</v>
          </cell>
          <cell r="I80">
            <v>8</v>
          </cell>
          <cell r="J80" t="str">
            <v>PVC</v>
          </cell>
          <cell r="K80">
            <v>0.01</v>
          </cell>
          <cell r="L80">
            <v>0.20319999999999999</v>
          </cell>
          <cell r="M80" t="str">
            <v>Existente</v>
          </cell>
        </row>
        <row r="82">
          <cell r="A82" t="str">
            <v>C69</v>
          </cell>
          <cell r="B82">
            <v>39</v>
          </cell>
          <cell r="C82">
            <v>40</v>
          </cell>
          <cell r="D82">
            <v>293.93</v>
          </cell>
          <cell r="E82">
            <v>293.52999999999997</v>
          </cell>
          <cell r="F82">
            <v>43</v>
          </cell>
          <cell r="G82">
            <v>0.92400000000000004</v>
          </cell>
          <cell r="H82" t="str">
            <v>(N/A)</v>
          </cell>
          <cell r="I82">
            <v>8</v>
          </cell>
          <cell r="J82" t="str">
            <v>PEAD</v>
          </cell>
          <cell r="K82">
            <v>0.01</v>
          </cell>
          <cell r="L82">
            <v>0.20100000000000001</v>
          </cell>
          <cell r="M82" t="str">
            <v>Cambio Por Material</v>
          </cell>
        </row>
        <row r="83">
          <cell r="A83" t="str">
            <v>C70</v>
          </cell>
          <cell r="B83">
            <v>40</v>
          </cell>
          <cell r="C83">
            <v>43</v>
          </cell>
          <cell r="D83">
            <v>293.5</v>
          </cell>
          <cell r="E83">
            <v>292.02999999999997</v>
          </cell>
          <cell r="F83">
            <v>51.9</v>
          </cell>
          <cell r="G83">
            <v>2.8290000000000002</v>
          </cell>
          <cell r="H83" t="str">
            <v>(N/A)</v>
          </cell>
          <cell r="I83">
            <v>12</v>
          </cell>
          <cell r="J83" t="str">
            <v>PEAD</v>
          </cell>
          <cell r="K83">
            <v>0.01</v>
          </cell>
          <cell r="L83">
            <v>0.308</v>
          </cell>
          <cell r="M83" t="str">
            <v>Cambio Por Material y Diametro</v>
          </cell>
        </row>
        <row r="85">
          <cell r="A85" t="str">
            <v>C71</v>
          </cell>
          <cell r="B85">
            <v>4</v>
          </cell>
          <cell r="C85">
            <v>5</v>
          </cell>
          <cell r="D85">
            <v>298.27</v>
          </cell>
          <cell r="E85">
            <v>298.22000000000003</v>
          </cell>
          <cell r="F85">
            <v>38.299999999999997</v>
          </cell>
          <cell r="G85">
            <v>0.14699999999999999</v>
          </cell>
          <cell r="H85" t="str">
            <v>(N/A)</v>
          </cell>
          <cell r="I85">
            <v>10</v>
          </cell>
          <cell r="J85" t="str">
            <v>PVC</v>
          </cell>
          <cell r="K85">
            <v>0.01</v>
          </cell>
          <cell r="L85">
            <v>0.254</v>
          </cell>
          <cell r="M85" t="str">
            <v>Existente</v>
          </cell>
        </row>
        <row r="87">
          <cell r="A87" t="str">
            <v>C72</v>
          </cell>
          <cell r="B87">
            <v>41</v>
          </cell>
          <cell r="C87">
            <v>40</v>
          </cell>
          <cell r="D87">
            <v>294.54000000000002</v>
          </cell>
          <cell r="E87">
            <v>293.87</v>
          </cell>
          <cell r="F87">
            <v>35.299999999999997</v>
          </cell>
          <cell r="G87">
            <v>1.89</v>
          </cell>
          <cell r="H87" t="str">
            <v>(N/A)</v>
          </cell>
          <cell r="I87">
            <v>12</v>
          </cell>
          <cell r="J87" t="str">
            <v>PVC</v>
          </cell>
          <cell r="K87">
            <v>0.01</v>
          </cell>
          <cell r="L87">
            <v>0.30480000000000002</v>
          </cell>
          <cell r="M87" t="str">
            <v>Existente</v>
          </cell>
        </row>
        <row r="89">
          <cell r="A89" t="str">
            <v>C73</v>
          </cell>
          <cell r="B89">
            <v>48</v>
          </cell>
          <cell r="C89">
            <v>49</v>
          </cell>
          <cell r="D89">
            <v>306.06</v>
          </cell>
          <cell r="E89">
            <v>304.22000000000003</v>
          </cell>
          <cell r="F89">
            <v>119.6</v>
          </cell>
          <cell r="G89">
            <v>1.5369999999999999</v>
          </cell>
          <cell r="H89" t="str">
            <v>(N/A)</v>
          </cell>
          <cell r="I89">
            <v>8</v>
          </cell>
          <cell r="J89" t="str">
            <v>PVC</v>
          </cell>
          <cell r="K89">
            <v>0.01</v>
          </cell>
          <cell r="L89">
            <v>0.20319999999999999</v>
          </cell>
          <cell r="M89" t="str">
            <v>Existente</v>
          </cell>
        </row>
        <row r="90">
          <cell r="A90" t="str">
            <v>C74</v>
          </cell>
          <cell r="B90">
            <v>49</v>
          </cell>
          <cell r="C90">
            <v>50</v>
          </cell>
          <cell r="D90">
            <v>304.16000000000003</v>
          </cell>
          <cell r="E90">
            <v>303.11</v>
          </cell>
          <cell r="F90">
            <v>41.3</v>
          </cell>
          <cell r="G90">
            <v>2.5579999999999998</v>
          </cell>
          <cell r="H90" t="str">
            <v>(N/A)</v>
          </cell>
          <cell r="I90">
            <v>8</v>
          </cell>
          <cell r="J90" t="str">
            <v>PEAD</v>
          </cell>
          <cell r="K90">
            <v>0.01</v>
          </cell>
          <cell r="L90">
            <v>0.20100000000000001</v>
          </cell>
          <cell r="M90" t="str">
            <v>Cambio Por Material</v>
          </cell>
        </row>
        <row r="91">
          <cell r="A91" t="str">
            <v>C75</v>
          </cell>
          <cell r="B91">
            <v>50</v>
          </cell>
          <cell r="C91">
            <v>51</v>
          </cell>
          <cell r="D91">
            <v>303.04000000000002</v>
          </cell>
          <cell r="E91">
            <v>302.89</v>
          </cell>
          <cell r="F91">
            <v>87.6</v>
          </cell>
          <cell r="G91">
            <v>0.16600000000000001</v>
          </cell>
          <cell r="H91" t="str">
            <v>(N/A)</v>
          </cell>
          <cell r="I91">
            <v>8</v>
          </cell>
          <cell r="J91" t="str">
            <v>PEAD</v>
          </cell>
          <cell r="K91">
            <v>0.01</v>
          </cell>
          <cell r="L91">
            <v>0.20100000000000001</v>
          </cell>
          <cell r="M91" t="str">
            <v>Cambio Por Material</v>
          </cell>
        </row>
        <row r="92">
          <cell r="A92" t="str">
            <v>C76</v>
          </cell>
          <cell r="B92">
            <v>51</v>
          </cell>
          <cell r="C92">
            <v>52</v>
          </cell>
          <cell r="D92">
            <v>302.88</v>
          </cell>
          <cell r="E92">
            <v>302.61</v>
          </cell>
          <cell r="F92">
            <v>39.700000000000003</v>
          </cell>
          <cell r="G92">
            <v>0.69199999999999995</v>
          </cell>
          <cell r="H92" t="str">
            <v>(N/A)</v>
          </cell>
          <cell r="I92">
            <v>8</v>
          </cell>
          <cell r="J92" t="str">
            <v>PEAD</v>
          </cell>
          <cell r="K92">
            <v>0.01</v>
          </cell>
          <cell r="L92">
            <v>0.20100000000000001</v>
          </cell>
          <cell r="M92" t="str">
            <v>Cambio Por Material</v>
          </cell>
        </row>
        <row r="93">
          <cell r="A93" t="str">
            <v>C77</v>
          </cell>
          <cell r="B93">
            <v>52</v>
          </cell>
          <cell r="C93">
            <v>53</v>
          </cell>
          <cell r="D93">
            <v>302.48</v>
          </cell>
          <cell r="E93">
            <v>302.13</v>
          </cell>
          <cell r="F93">
            <v>41.2</v>
          </cell>
          <cell r="G93">
            <v>0.84299999999999997</v>
          </cell>
          <cell r="H93" t="str">
            <v>(N/A)</v>
          </cell>
          <cell r="I93">
            <v>8</v>
          </cell>
          <cell r="J93" t="str">
            <v>PEAD</v>
          </cell>
          <cell r="K93">
            <v>0.01</v>
          </cell>
          <cell r="L93">
            <v>0.20100000000000001</v>
          </cell>
          <cell r="M93" t="str">
            <v>Cambio Por Material</v>
          </cell>
        </row>
        <row r="94">
          <cell r="A94" t="str">
            <v>C78</v>
          </cell>
          <cell r="B94">
            <v>53</v>
          </cell>
          <cell r="C94">
            <v>54</v>
          </cell>
          <cell r="D94">
            <v>302.10000000000002</v>
          </cell>
          <cell r="E94">
            <v>301.89</v>
          </cell>
          <cell r="F94">
            <v>47.9</v>
          </cell>
          <cell r="G94">
            <v>0.439</v>
          </cell>
          <cell r="H94" t="str">
            <v>(N/A)</v>
          </cell>
          <cell r="I94">
            <v>8</v>
          </cell>
          <cell r="J94" t="str">
            <v>PEAD</v>
          </cell>
          <cell r="K94">
            <v>0.01</v>
          </cell>
          <cell r="L94">
            <v>0.20100000000000001</v>
          </cell>
          <cell r="M94" t="str">
            <v>Cambio Por Material</v>
          </cell>
        </row>
        <row r="95">
          <cell r="A95" t="str">
            <v>C79</v>
          </cell>
          <cell r="B95">
            <v>54</v>
          </cell>
          <cell r="C95">
            <v>55</v>
          </cell>
          <cell r="D95">
            <v>301.86</v>
          </cell>
          <cell r="E95">
            <v>300.5</v>
          </cell>
          <cell r="F95">
            <v>75.599999999999994</v>
          </cell>
          <cell r="G95">
            <v>1.7949999999999999</v>
          </cell>
          <cell r="H95" t="str">
            <v>(N/A)</v>
          </cell>
          <cell r="I95">
            <v>8</v>
          </cell>
          <cell r="J95" t="str">
            <v>PEAD</v>
          </cell>
          <cell r="K95">
            <v>0.01</v>
          </cell>
          <cell r="L95">
            <v>0.20100000000000001</v>
          </cell>
          <cell r="M95" t="str">
            <v>Cambio Por Material</v>
          </cell>
        </row>
        <row r="96">
          <cell r="A96" t="str">
            <v>C80</v>
          </cell>
          <cell r="B96">
            <v>55</v>
          </cell>
          <cell r="C96">
            <v>56</v>
          </cell>
          <cell r="D96">
            <v>300.45999999999998</v>
          </cell>
          <cell r="E96">
            <v>299.70999999999998</v>
          </cell>
          <cell r="F96">
            <v>59</v>
          </cell>
          <cell r="G96">
            <v>1.2689999999999999</v>
          </cell>
          <cell r="H96" t="str">
            <v>(N/A)</v>
          </cell>
          <cell r="I96">
            <v>8</v>
          </cell>
          <cell r="J96" t="str">
            <v>PEAD</v>
          </cell>
          <cell r="K96">
            <v>0.01</v>
          </cell>
          <cell r="L96">
            <v>0.20100000000000001</v>
          </cell>
          <cell r="M96" t="str">
            <v>Cambio Por Material</v>
          </cell>
        </row>
        <row r="97">
          <cell r="A97" t="str">
            <v>C81</v>
          </cell>
          <cell r="B97">
            <v>56</v>
          </cell>
          <cell r="C97">
            <v>57</v>
          </cell>
          <cell r="D97">
            <v>299.66000000000003</v>
          </cell>
          <cell r="E97">
            <v>298.77999999999997</v>
          </cell>
          <cell r="F97">
            <v>48.1</v>
          </cell>
          <cell r="G97">
            <v>1.84</v>
          </cell>
          <cell r="H97" t="str">
            <v>(N/A)</v>
          </cell>
          <cell r="I97">
            <v>8</v>
          </cell>
          <cell r="J97" t="str">
            <v>PEAD</v>
          </cell>
          <cell r="K97">
            <v>0.01</v>
          </cell>
          <cell r="L97">
            <v>0.20100000000000001</v>
          </cell>
          <cell r="M97" t="str">
            <v>Cambio Por Material</v>
          </cell>
        </row>
        <row r="98">
          <cell r="A98" t="str">
            <v>C82</v>
          </cell>
          <cell r="B98">
            <v>57</v>
          </cell>
          <cell r="C98">
            <v>60</v>
          </cell>
          <cell r="D98">
            <v>298.8</v>
          </cell>
          <cell r="E98">
            <v>298.08999999999997</v>
          </cell>
          <cell r="F98">
            <v>53.8</v>
          </cell>
          <cell r="G98">
            <v>1.3180000000000001</v>
          </cell>
          <cell r="H98" t="str">
            <v>(N/A)</v>
          </cell>
          <cell r="I98">
            <v>10</v>
          </cell>
          <cell r="J98" t="str">
            <v>PVC</v>
          </cell>
          <cell r="K98">
            <v>0.01</v>
          </cell>
          <cell r="L98">
            <v>0.254</v>
          </cell>
          <cell r="M98" t="str">
            <v>Existente</v>
          </cell>
        </row>
        <row r="99">
          <cell r="A99" t="str">
            <v>C83</v>
          </cell>
          <cell r="B99">
            <v>60</v>
          </cell>
          <cell r="C99">
            <v>63</v>
          </cell>
          <cell r="D99">
            <v>298.08</v>
          </cell>
          <cell r="E99">
            <v>297.49</v>
          </cell>
          <cell r="F99">
            <v>50.7</v>
          </cell>
          <cell r="G99">
            <v>1.17</v>
          </cell>
          <cell r="H99" t="str">
            <v>(N/A)</v>
          </cell>
          <cell r="I99">
            <v>10</v>
          </cell>
          <cell r="J99" t="str">
            <v>PVC</v>
          </cell>
          <cell r="K99">
            <v>0.01</v>
          </cell>
          <cell r="L99">
            <v>0.254</v>
          </cell>
          <cell r="M99" t="str">
            <v>Existente</v>
          </cell>
        </row>
        <row r="100">
          <cell r="A100" t="str">
            <v>C84</v>
          </cell>
          <cell r="B100">
            <v>63</v>
          </cell>
          <cell r="C100">
            <v>66</v>
          </cell>
          <cell r="D100">
            <v>297.2</v>
          </cell>
          <cell r="E100">
            <v>297.08</v>
          </cell>
          <cell r="F100">
            <v>47.7</v>
          </cell>
          <cell r="G100">
            <v>0.23499999999999999</v>
          </cell>
          <cell r="H100" t="str">
            <v>(N/A)</v>
          </cell>
          <cell r="I100">
            <v>10</v>
          </cell>
          <cell r="J100" t="str">
            <v>PEAD</v>
          </cell>
          <cell r="K100">
            <v>0.01</v>
          </cell>
          <cell r="L100">
            <v>0.249</v>
          </cell>
          <cell r="M100" t="str">
            <v>Cambio Por Material y Diametro</v>
          </cell>
        </row>
        <row r="101">
          <cell r="A101" t="str">
            <v>C85</v>
          </cell>
          <cell r="B101">
            <v>66</v>
          </cell>
          <cell r="C101">
            <v>68</v>
          </cell>
          <cell r="D101">
            <v>297.07</v>
          </cell>
          <cell r="E101">
            <v>294.97000000000003</v>
          </cell>
          <cell r="F101">
            <v>44.8</v>
          </cell>
          <cell r="G101">
            <v>4.6879999999999997</v>
          </cell>
          <cell r="H101" t="str">
            <v>(N/A)</v>
          </cell>
          <cell r="I101">
            <v>10</v>
          </cell>
          <cell r="J101" t="str">
            <v>PEAD</v>
          </cell>
          <cell r="K101">
            <v>0.01</v>
          </cell>
          <cell r="L101">
            <v>0.249</v>
          </cell>
          <cell r="M101" t="str">
            <v>Cambio Por Material y Diametro</v>
          </cell>
        </row>
        <row r="103">
          <cell r="A103" t="str">
            <v>C86</v>
          </cell>
          <cell r="B103">
            <v>58</v>
          </cell>
          <cell r="C103">
            <v>14</v>
          </cell>
          <cell r="D103">
            <v>298.72000000000003</v>
          </cell>
          <cell r="E103">
            <v>297.8</v>
          </cell>
          <cell r="F103">
            <v>49.9</v>
          </cell>
          <cell r="G103">
            <v>1.8420000000000001</v>
          </cell>
          <cell r="H103" t="str">
            <v>(N/A)</v>
          </cell>
          <cell r="I103">
            <v>8</v>
          </cell>
          <cell r="J103" t="str">
            <v>PEAD</v>
          </cell>
          <cell r="K103">
            <v>0.01</v>
          </cell>
          <cell r="L103">
            <v>0.20100000000000001</v>
          </cell>
          <cell r="M103" t="str">
            <v>Cambio Por Material y Diametro</v>
          </cell>
        </row>
        <row r="105">
          <cell r="A105" t="str">
            <v>C87</v>
          </cell>
          <cell r="B105" t="str">
            <v>P1</v>
          </cell>
          <cell r="C105">
            <v>61</v>
          </cell>
          <cell r="D105">
            <v>299.57</v>
          </cell>
          <cell r="E105">
            <v>298.95</v>
          </cell>
          <cell r="F105">
            <v>59.1</v>
          </cell>
          <cell r="G105">
            <v>1.0429999999999999</v>
          </cell>
          <cell r="H105" t="str">
            <v>(N/A)</v>
          </cell>
          <cell r="I105">
            <v>8</v>
          </cell>
          <cell r="J105" t="str">
            <v>PEAD</v>
          </cell>
          <cell r="K105">
            <v>0.01</v>
          </cell>
          <cell r="L105">
            <v>0.20100000000000001</v>
          </cell>
          <cell r="M105" t="str">
            <v>Cambio Por Material y Diametro</v>
          </cell>
        </row>
        <row r="106">
          <cell r="A106" t="str">
            <v>C88</v>
          </cell>
          <cell r="B106">
            <v>61</v>
          </cell>
          <cell r="C106">
            <v>60</v>
          </cell>
          <cell r="D106">
            <v>298.92</v>
          </cell>
          <cell r="E106">
            <v>298.13</v>
          </cell>
          <cell r="F106">
            <v>53.2</v>
          </cell>
          <cell r="G106">
            <v>1.4850000000000001</v>
          </cell>
          <cell r="H106" t="str">
            <v>(N/A)</v>
          </cell>
          <cell r="I106">
            <v>8</v>
          </cell>
          <cell r="J106" t="str">
            <v>PEAD</v>
          </cell>
          <cell r="K106">
            <v>0.01</v>
          </cell>
          <cell r="L106">
            <v>0.20100000000000001</v>
          </cell>
          <cell r="M106" t="str">
            <v>Cambio Por Material y Diametro</v>
          </cell>
        </row>
        <row r="108">
          <cell r="A108" t="str">
            <v>C89</v>
          </cell>
          <cell r="B108" t="str">
            <v>63i</v>
          </cell>
          <cell r="C108">
            <v>17</v>
          </cell>
          <cell r="D108">
            <v>297.5</v>
          </cell>
          <cell r="E108">
            <v>296.93</v>
          </cell>
          <cell r="F108">
            <v>59.1</v>
          </cell>
          <cell r="G108">
            <v>0.95699999999999996</v>
          </cell>
          <cell r="H108" t="str">
            <v>(N/A)</v>
          </cell>
          <cell r="I108">
            <v>8</v>
          </cell>
          <cell r="J108" t="str">
            <v>PEAD</v>
          </cell>
          <cell r="K108">
            <v>0.01</v>
          </cell>
          <cell r="L108">
            <v>0.20100000000000001</v>
          </cell>
          <cell r="M108" t="str">
            <v>Cambio Por Material</v>
          </cell>
        </row>
        <row r="110">
          <cell r="A110" t="str">
            <v>C90</v>
          </cell>
          <cell r="B110">
            <v>64</v>
          </cell>
          <cell r="C110">
            <v>63</v>
          </cell>
          <cell r="D110">
            <v>297.83999999999997</v>
          </cell>
          <cell r="E110">
            <v>297.26</v>
          </cell>
          <cell r="F110">
            <v>60</v>
          </cell>
          <cell r="G110">
            <v>0.97099999999999997</v>
          </cell>
          <cell r="H110" t="str">
            <v>(N/A)</v>
          </cell>
          <cell r="I110">
            <v>8</v>
          </cell>
          <cell r="J110" t="str">
            <v>PEAD</v>
          </cell>
          <cell r="K110">
            <v>0.01</v>
          </cell>
          <cell r="L110">
            <v>0.20100000000000001</v>
          </cell>
          <cell r="M110" t="str">
            <v>Cambio Por Material</v>
          </cell>
        </row>
        <row r="112">
          <cell r="A112" t="str">
            <v>C91</v>
          </cell>
          <cell r="B112">
            <v>69</v>
          </cell>
          <cell r="C112">
            <v>68</v>
          </cell>
          <cell r="D112">
            <v>296.49</v>
          </cell>
          <cell r="E112">
            <v>295.18</v>
          </cell>
          <cell r="F112">
            <v>39.799999999999997</v>
          </cell>
          <cell r="G112">
            <v>3.2629999999999999</v>
          </cell>
          <cell r="H112" t="str">
            <v>(N/A)</v>
          </cell>
          <cell r="I112">
            <v>8</v>
          </cell>
          <cell r="J112" t="str">
            <v>PEAD</v>
          </cell>
          <cell r="K112">
            <v>0.01</v>
          </cell>
          <cell r="L112">
            <v>0.20100000000000001</v>
          </cell>
          <cell r="M112" t="str">
            <v>Cambio Por Diametro</v>
          </cell>
        </row>
        <row r="114">
          <cell r="A114" t="str">
            <v>C92</v>
          </cell>
          <cell r="B114">
            <v>7</v>
          </cell>
          <cell r="C114">
            <v>109</v>
          </cell>
          <cell r="D114">
            <v>298.27999999999997</v>
          </cell>
          <cell r="E114">
            <v>298.2</v>
          </cell>
          <cell r="F114">
            <v>39.200000000000003</v>
          </cell>
          <cell r="G114">
            <v>0.217</v>
          </cell>
          <cell r="H114" t="str">
            <v>(N/A)</v>
          </cell>
          <cell r="I114">
            <v>10</v>
          </cell>
          <cell r="J114" t="str">
            <v>PVC</v>
          </cell>
          <cell r="K114">
            <v>0.01</v>
          </cell>
          <cell r="L114">
            <v>0.254</v>
          </cell>
          <cell r="M114" t="str">
            <v>Existente</v>
          </cell>
        </row>
        <row r="116">
          <cell r="A116" t="str">
            <v>C93</v>
          </cell>
          <cell r="B116">
            <v>77</v>
          </cell>
          <cell r="C116">
            <v>80</v>
          </cell>
          <cell r="D116">
            <v>294</v>
          </cell>
          <cell r="E116">
            <v>293.32</v>
          </cell>
          <cell r="F116">
            <v>36.1</v>
          </cell>
          <cell r="G116">
            <v>1.8720000000000001</v>
          </cell>
          <cell r="H116" t="str">
            <v>(N/A)</v>
          </cell>
          <cell r="I116">
            <v>8</v>
          </cell>
          <cell r="J116" t="str">
            <v>PVC</v>
          </cell>
          <cell r="K116">
            <v>0.01</v>
          </cell>
          <cell r="L116">
            <v>0.20319999999999999</v>
          </cell>
          <cell r="M116" t="str">
            <v>Existente</v>
          </cell>
        </row>
        <row r="117">
          <cell r="A117" t="str">
            <v>C94</v>
          </cell>
          <cell r="B117">
            <v>80</v>
          </cell>
          <cell r="C117">
            <v>81</v>
          </cell>
          <cell r="D117">
            <v>293.25</v>
          </cell>
          <cell r="E117">
            <v>292.35000000000002</v>
          </cell>
          <cell r="F117">
            <v>33</v>
          </cell>
          <cell r="G117">
            <v>2.746</v>
          </cell>
          <cell r="H117" t="str">
            <v>(N/A)</v>
          </cell>
          <cell r="I117">
            <v>8</v>
          </cell>
          <cell r="J117" t="str">
            <v>PVC</v>
          </cell>
          <cell r="K117">
            <v>0.01</v>
          </cell>
          <cell r="L117">
            <v>0.20319999999999999</v>
          </cell>
          <cell r="M117" t="str">
            <v>Existente</v>
          </cell>
        </row>
        <row r="118">
          <cell r="A118" t="str">
            <v>C95</v>
          </cell>
          <cell r="B118">
            <v>81</v>
          </cell>
          <cell r="C118">
            <v>83</v>
          </cell>
          <cell r="D118">
            <v>292.33999999999997</v>
          </cell>
          <cell r="E118">
            <v>291.33999999999997</v>
          </cell>
          <cell r="F118">
            <v>25.2</v>
          </cell>
          <cell r="G118">
            <v>3.94</v>
          </cell>
          <cell r="H118" t="str">
            <v>(N/A)</v>
          </cell>
          <cell r="I118">
            <v>8</v>
          </cell>
          <cell r="J118" t="str">
            <v>PVC</v>
          </cell>
          <cell r="K118">
            <v>0.01</v>
          </cell>
          <cell r="L118">
            <v>0.20319999999999999</v>
          </cell>
          <cell r="M118" t="str">
            <v>Existente</v>
          </cell>
        </row>
        <row r="119">
          <cell r="A119" t="str">
            <v>C96</v>
          </cell>
          <cell r="B119">
            <v>83</v>
          </cell>
          <cell r="C119">
            <v>84</v>
          </cell>
          <cell r="D119">
            <v>290.95</v>
          </cell>
          <cell r="E119">
            <v>289.85000000000002</v>
          </cell>
          <cell r="F119">
            <v>55.7</v>
          </cell>
          <cell r="G119">
            <v>1.9830000000000001</v>
          </cell>
          <cell r="H119" t="str">
            <v>(N/A)</v>
          </cell>
          <cell r="I119">
            <v>8</v>
          </cell>
          <cell r="J119" t="str">
            <v>PVC</v>
          </cell>
          <cell r="K119">
            <v>0.01</v>
          </cell>
          <cell r="L119">
            <v>0.20319999999999999</v>
          </cell>
          <cell r="M119" t="str">
            <v>Existente</v>
          </cell>
        </row>
        <row r="120">
          <cell r="A120" t="str">
            <v>C97</v>
          </cell>
          <cell r="B120">
            <v>84</v>
          </cell>
          <cell r="C120">
            <v>76</v>
          </cell>
          <cell r="D120">
            <v>289.8</v>
          </cell>
          <cell r="E120">
            <v>289.43</v>
          </cell>
          <cell r="F120">
            <v>50.6</v>
          </cell>
          <cell r="G120">
            <v>0.72499999999999998</v>
          </cell>
          <cell r="H120" t="str">
            <v>(N/A)</v>
          </cell>
          <cell r="I120">
            <v>8</v>
          </cell>
          <cell r="J120" t="str">
            <v>PEAD</v>
          </cell>
          <cell r="K120">
            <v>0.01</v>
          </cell>
          <cell r="L120">
            <v>0.20100000000000001</v>
          </cell>
          <cell r="M120" t="str">
            <v>Cambio Por Material</v>
          </cell>
        </row>
        <row r="122">
          <cell r="A122" t="str">
            <v>C98</v>
          </cell>
          <cell r="B122">
            <v>78</v>
          </cell>
          <cell r="C122">
            <v>79</v>
          </cell>
          <cell r="D122">
            <v>293.43</v>
          </cell>
          <cell r="E122">
            <v>292.52</v>
          </cell>
          <cell r="F122">
            <v>33.9</v>
          </cell>
          <cell r="G122">
            <v>2.6909999999999998</v>
          </cell>
          <cell r="H122" t="str">
            <v>(N/A)</v>
          </cell>
          <cell r="I122">
            <v>8</v>
          </cell>
          <cell r="J122" t="str">
            <v>PVC</v>
          </cell>
          <cell r="K122">
            <v>0.01</v>
          </cell>
          <cell r="L122">
            <v>0.20319999999999999</v>
          </cell>
          <cell r="M122" t="str">
            <v>Existente</v>
          </cell>
        </row>
        <row r="123">
          <cell r="A123" t="str">
            <v>C99</v>
          </cell>
          <cell r="B123">
            <v>79</v>
          </cell>
          <cell r="C123">
            <v>82</v>
          </cell>
          <cell r="D123">
            <v>292.51</v>
          </cell>
          <cell r="E123">
            <v>292.45999999999998</v>
          </cell>
          <cell r="F123">
            <v>33.200000000000003</v>
          </cell>
          <cell r="G123">
            <v>0.152</v>
          </cell>
          <cell r="H123" t="str">
            <v>(N/A)</v>
          </cell>
          <cell r="I123">
            <v>8</v>
          </cell>
          <cell r="J123" t="str">
            <v>PVC</v>
          </cell>
          <cell r="K123">
            <v>0.01</v>
          </cell>
          <cell r="L123">
            <v>0.20319999999999999</v>
          </cell>
          <cell r="M123" t="str">
            <v>Existente</v>
          </cell>
        </row>
        <row r="124">
          <cell r="A124" t="str">
            <v>C100</v>
          </cell>
          <cell r="B124">
            <v>82</v>
          </cell>
          <cell r="C124">
            <v>81</v>
          </cell>
          <cell r="D124">
            <v>292.39999999999998</v>
          </cell>
          <cell r="E124">
            <v>292.37</v>
          </cell>
          <cell r="F124">
            <v>43</v>
          </cell>
          <cell r="G124">
            <v>7.0000000000000007E-2</v>
          </cell>
          <cell r="H124" t="str">
            <v>(N/A)</v>
          </cell>
          <cell r="I124">
            <v>8</v>
          </cell>
          <cell r="J124" t="str">
            <v>PVC</v>
          </cell>
          <cell r="K124">
            <v>0.01</v>
          </cell>
          <cell r="L124">
            <v>0.20319999999999999</v>
          </cell>
          <cell r="M124" t="str">
            <v>Existente</v>
          </cell>
        </row>
        <row r="126">
          <cell r="A126" t="str">
            <v>C101</v>
          </cell>
          <cell r="B126">
            <v>8</v>
          </cell>
          <cell r="C126">
            <v>10</v>
          </cell>
          <cell r="D126">
            <v>298.56</v>
          </cell>
          <cell r="E126">
            <v>298.13</v>
          </cell>
          <cell r="F126">
            <v>40.799999999999997</v>
          </cell>
          <cell r="G126">
            <v>1.073</v>
          </cell>
          <cell r="H126" t="str">
            <v>(N/A)</v>
          </cell>
          <cell r="I126">
            <v>10</v>
          </cell>
          <cell r="J126" t="str">
            <v>PVC</v>
          </cell>
          <cell r="K126">
            <v>0.01</v>
          </cell>
          <cell r="L126">
            <v>0.254</v>
          </cell>
          <cell r="M126" t="str">
            <v>Existente</v>
          </cell>
        </row>
        <row r="128">
          <cell r="A128" t="str">
            <v>C102</v>
          </cell>
          <cell r="B128">
            <v>85</v>
          </cell>
          <cell r="C128">
            <v>86</v>
          </cell>
          <cell r="D128">
            <v>291.58999999999997</v>
          </cell>
          <cell r="E128">
            <v>291.58</v>
          </cell>
          <cell r="F128">
            <v>35.5</v>
          </cell>
          <cell r="G128">
            <v>4.2000000000000003E-2</v>
          </cell>
          <cell r="H128" t="str">
            <v>(N/A)</v>
          </cell>
          <cell r="I128">
            <v>8</v>
          </cell>
          <cell r="J128" t="str">
            <v>PVC</v>
          </cell>
          <cell r="K128">
            <v>0.01</v>
          </cell>
          <cell r="L128">
            <v>0.20319999999999999</v>
          </cell>
          <cell r="M128" t="str">
            <v>Existente</v>
          </cell>
        </row>
        <row r="129">
          <cell r="A129" t="str">
            <v>C103</v>
          </cell>
          <cell r="B129">
            <v>86</v>
          </cell>
          <cell r="C129">
            <v>87</v>
          </cell>
          <cell r="D129">
            <v>291.52</v>
          </cell>
          <cell r="E129">
            <v>291.51</v>
          </cell>
          <cell r="F129">
            <v>33.299999999999997</v>
          </cell>
          <cell r="G129">
            <v>2.7E-2</v>
          </cell>
          <cell r="H129" t="str">
            <v>(N/A)</v>
          </cell>
          <cell r="I129">
            <v>8</v>
          </cell>
          <cell r="J129" t="str">
            <v>PVC</v>
          </cell>
          <cell r="K129">
            <v>0.01</v>
          </cell>
          <cell r="L129">
            <v>0.20319999999999999</v>
          </cell>
          <cell r="M129" t="str">
            <v>Existente</v>
          </cell>
        </row>
        <row r="130">
          <cell r="A130" t="str">
            <v>C104</v>
          </cell>
          <cell r="B130">
            <v>87</v>
          </cell>
          <cell r="C130">
            <v>90</v>
          </cell>
          <cell r="D130">
            <v>291.48</v>
          </cell>
          <cell r="E130">
            <v>291.45999999999998</v>
          </cell>
          <cell r="F130">
            <v>5.7</v>
          </cell>
          <cell r="G130">
            <v>0.32800000000000001</v>
          </cell>
          <cell r="H130" t="str">
            <v>(N/A)</v>
          </cell>
          <cell r="I130">
            <v>8</v>
          </cell>
          <cell r="J130" t="str">
            <v>PVC</v>
          </cell>
          <cell r="K130">
            <v>0.01</v>
          </cell>
          <cell r="L130">
            <v>0.20319999999999999</v>
          </cell>
          <cell r="M130" t="str">
            <v>Existente</v>
          </cell>
        </row>
        <row r="131">
          <cell r="A131" t="str">
            <v>C105</v>
          </cell>
          <cell r="B131">
            <v>90</v>
          </cell>
          <cell r="C131">
            <v>91</v>
          </cell>
          <cell r="D131">
            <v>291.42</v>
          </cell>
          <cell r="E131">
            <v>291.22000000000003</v>
          </cell>
          <cell r="F131">
            <v>38.5</v>
          </cell>
          <cell r="G131">
            <v>0.51600000000000001</v>
          </cell>
          <cell r="H131" t="str">
            <v>(N/A)</v>
          </cell>
          <cell r="I131">
            <v>8</v>
          </cell>
          <cell r="J131" t="str">
            <v>PVC</v>
          </cell>
          <cell r="K131">
            <v>0.01</v>
          </cell>
          <cell r="L131">
            <v>0.20319999999999999</v>
          </cell>
          <cell r="M131" t="str">
            <v>Existente</v>
          </cell>
        </row>
        <row r="132">
          <cell r="A132" t="str">
            <v>C106</v>
          </cell>
          <cell r="B132">
            <v>91</v>
          </cell>
          <cell r="C132">
            <v>93</v>
          </cell>
          <cell r="D132">
            <v>291.16000000000003</v>
          </cell>
          <cell r="E132">
            <v>291.05</v>
          </cell>
          <cell r="F132">
            <v>35.5</v>
          </cell>
          <cell r="G132">
            <v>0.30399999999999999</v>
          </cell>
          <cell r="H132" t="str">
            <v>(N/A)</v>
          </cell>
          <cell r="I132">
            <v>8</v>
          </cell>
          <cell r="J132" t="str">
            <v>PVC</v>
          </cell>
          <cell r="K132">
            <v>0.01</v>
          </cell>
          <cell r="L132">
            <v>0.20319999999999999</v>
          </cell>
          <cell r="M132" t="str">
            <v>Existente</v>
          </cell>
        </row>
        <row r="133">
          <cell r="A133" t="str">
            <v>C107</v>
          </cell>
          <cell r="B133">
            <v>93</v>
          </cell>
          <cell r="C133">
            <v>92</v>
          </cell>
          <cell r="D133">
            <v>291</v>
          </cell>
          <cell r="E133">
            <v>290.70999999999998</v>
          </cell>
          <cell r="F133">
            <v>55.4</v>
          </cell>
          <cell r="G133">
            <v>0.52300000000000002</v>
          </cell>
          <cell r="H133" t="str">
            <v>(N/A)</v>
          </cell>
          <cell r="I133">
            <v>8</v>
          </cell>
          <cell r="J133" t="str">
            <v>PVC</v>
          </cell>
          <cell r="K133">
            <v>0.01</v>
          </cell>
          <cell r="L133">
            <v>0.20319999999999999</v>
          </cell>
          <cell r="M133" t="str">
            <v>Existente</v>
          </cell>
        </row>
        <row r="135">
          <cell r="A135" t="str">
            <v>C108</v>
          </cell>
          <cell r="B135">
            <v>89</v>
          </cell>
          <cell r="C135">
            <v>88</v>
          </cell>
          <cell r="D135">
            <v>295.08999999999997</v>
          </cell>
          <cell r="E135">
            <v>293.49</v>
          </cell>
          <cell r="F135">
            <v>24.3</v>
          </cell>
          <cell r="G135">
            <v>6.5229999999999997</v>
          </cell>
          <cell r="H135" t="str">
            <v>(N/A)</v>
          </cell>
          <cell r="I135">
            <v>8</v>
          </cell>
          <cell r="J135" t="str">
            <v>PVC</v>
          </cell>
          <cell r="K135">
            <v>0.01</v>
          </cell>
          <cell r="L135">
            <v>0.20319999999999999</v>
          </cell>
          <cell r="M135" t="str">
            <v>Existente</v>
          </cell>
        </row>
        <row r="136">
          <cell r="A136" t="str">
            <v>C109</v>
          </cell>
          <cell r="B136">
            <v>88</v>
          </cell>
          <cell r="C136">
            <v>87</v>
          </cell>
          <cell r="D136">
            <v>293.45999999999998</v>
          </cell>
          <cell r="E136">
            <v>291.5</v>
          </cell>
          <cell r="F136">
            <v>34.299999999999997</v>
          </cell>
          <cell r="G136">
            <v>5.7149999999999999</v>
          </cell>
          <cell r="H136" t="str">
            <v>(N/A)</v>
          </cell>
          <cell r="I136">
            <v>8</v>
          </cell>
          <cell r="J136" t="str">
            <v>PVC</v>
          </cell>
          <cell r="K136">
            <v>0.01</v>
          </cell>
          <cell r="L136">
            <v>0.20319999999999999</v>
          </cell>
          <cell r="M136" t="str">
            <v>Existente</v>
          </cell>
        </row>
        <row r="138">
          <cell r="A138" t="str">
            <v>C110</v>
          </cell>
          <cell r="B138">
            <v>9</v>
          </cell>
          <cell r="C138">
            <v>12</v>
          </cell>
          <cell r="D138">
            <v>298.77999999999997</v>
          </cell>
          <cell r="E138">
            <v>298</v>
          </cell>
          <cell r="F138">
            <v>41.3</v>
          </cell>
          <cell r="G138">
            <v>1.893</v>
          </cell>
          <cell r="H138" t="str">
            <v>(N/A)</v>
          </cell>
          <cell r="I138">
            <v>8</v>
          </cell>
          <cell r="J138" t="str">
            <v>PVC</v>
          </cell>
          <cell r="K138">
            <v>0.01</v>
          </cell>
          <cell r="L138">
            <v>0.20319999999999999</v>
          </cell>
          <cell r="M138" t="str">
            <v>Existente</v>
          </cell>
        </row>
      </sheetData>
      <sheetData sheetId="4"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PVC BOC 4&quot; "/>
      <sheetName val="PTE IMP Y ESMALT"/>
      <sheetName val="REJILLA"/>
      <sheetName val="CTO BOCA 300 PSI"/>
      <sheetName val="PRECIOS"/>
      <sheetName val="LOCALIZACION"/>
      <sheetName val="CTO CICLOP "/>
      <sheetName val="AC 3 D 8&quot;"/>
      <sheetName val="AC 1 D 2"/>
      <sheetName val="AC 5 D 8"/>
      <sheetName val="ADAPTADOR 4&quot;"/>
      <sheetName val="VAL CORT 4"/>
      <sheetName val="UN ION 4&quot;"/>
      <sheetName val="SUMINISTRO TUB 4"/>
      <sheetName val="INSTALACION TUB 4&quot;"/>
      <sheetName val="INST TUB 3&quot;"/>
      <sheetName val="INST TUB 2 1,2 - 2&quot;"/>
      <sheetName val="INST TUB 1 1,2&quot; - 1 1,4&quot;"/>
      <sheetName val="INST TUB 1&quot; - 3,4&quot;"/>
      <sheetName val="INST TUB 1,2&quot;"/>
      <sheetName val="localizacion des"/>
      <sheetName val="CTO DESAR"/>
      <sheetName val="CTO 2000PSI SOLADO"/>
      <sheetName val="280000 Crude"/>
      <sheetName val="PRESUPUESTO"/>
      <sheetName val="BD"/>
      <sheetName val="CANTIDADES DE OBRA"/>
      <sheetName val="PVC_BOC_4&quot;_"/>
      <sheetName val="PTE_IMP_Y_ESMALT"/>
      <sheetName val="CTO_BOCA_300_PSI"/>
      <sheetName val="CTO_CICLOP_"/>
      <sheetName val="AC_3_D_8&quot;"/>
      <sheetName val="AC_1_D_2"/>
      <sheetName val="AC_5_D_8"/>
      <sheetName val="ADAPTADOR_4&quot;"/>
      <sheetName val="VAL_CORT_4"/>
      <sheetName val="UN_ION_4&quot;"/>
      <sheetName val="SUMINISTRO_TUB_4"/>
      <sheetName val="INSTALACION_TUB_4&quot;"/>
      <sheetName val="INST_TUB_3&quot;"/>
      <sheetName val="INST_TUB_2_1,2_-_2&quot;"/>
      <sheetName val="INST_TUB_1_1,2&quot;_-_1_1,4&quot;"/>
      <sheetName val="INST_TUB_1&quot;_-_3,4&quot;"/>
      <sheetName val="INST_TUB_1,2&quot;"/>
      <sheetName val="localizacion_des"/>
      <sheetName val="CTO_DESAR"/>
      <sheetName val="CTO_2000PSI_SOLADO"/>
      <sheetName val="280000_Crude"/>
      <sheetName val="CANTIDADES_DE_OBRA"/>
      <sheetName val="PVC_BOC_4&quot;_1"/>
      <sheetName val="PTE_IMP_Y_ESMALT1"/>
      <sheetName val="CTO_BOCA_300_PSI1"/>
      <sheetName val="CTO_CICLOP_1"/>
      <sheetName val="AC_3_D_8&quot;1"/>
      <sheetName val="AC_1_D_21"/>
      <sheetName val="AC_5_D_81"/>
      <sheetName val="ADAPTADOR_4&quot;1"/>
      <sheetName val="VAL_CORT_41"/>
      <sheetName val="UN_ION_4&quot;1"/>
      <sheetName val="SUMINISTRO_TUB_41"/>
      <sheetName val="INSTALACION_TUB_4&quot;1"/>
      <sheetName val="INST_TUB_3&quot;1"/>
      <sheetName val="INST_TUB_2_1,2_-_2&quot;1"/>
      <sheetName val="INST_TUB_1_1,2&quot;_-_1_1,4&quot;1"/>
      <sheetName val="INST_TUB_1&quot;_-_3,4&quot;1"/>
      <sheetName val="INST_TUB_1,2&quot;1"/>
      <sheetName val="localizacion_des1"/>
      <sheetName val="CTO_DESAR1"/>
      <sheetName val="CTO_2000PSI_SOLADO1"/>
      <sheetName val="280000_Crude1"/>
      <sheetName val="CANTIDADES_DE_OBRA1"/>
      <sheetName val="PVC_BOC_4&quot;_2"/>
      <sheetName val="PTE_IMP_Y_ESMALT2"/>
      <sheetName val="CTO_BOCA_300_PSI2"/>
      <sheetName val="CTO_CICLOP_2"/>
      <sheetName val="AC_3_D_8&quot;2"/>
      <sheetName val="AC_1_D_22"/>
      <sheetName val="AC_5_D_82"/>
      <sheetName val="ADAPTADOR_4&quot;2"/>
      <sheetName val="VAL_CORT_42"/>
      <sheetName val="UN_ION_4&quot;2"/>
      <sheetName val="SUMINISTRO_TUB_42"/>
      <sheetName val="INSTALACION_TUB_4&quot;2"/>
      <sheetName val="INST_TUB_3&quot;2"/>
      <sheetName val="INST_TUB_2_1,2_-_2&quot;2"/>
      <sheetName val="INST_TUB_1_1,2&quot;_-_1_1,4&quot;2"/>
      <sheetName val="INST_TUB_1&quot;_-_3,4&quot;2"/>
      <sheetName val="INST_TUB_1,2&quot;2"/>
      <sheetName val="localizacion_des2"/>
      <sheetName val="CTO_DESAR2"/>
      <sheetName val="CTO_2000PSI_SOLADO2"/>
      <sheetName val="280000_Crude2"/>
      <sheetName val="CANTIDADES_DE_OBRA2"/>
      <sheetName val="PROYECTO"/>
      <sheetName val="DESCAPOTE"/>
      <sheetName val="EXCAVACION"/>
      <sheetName val="PLACA FLOTANTE"/>
      <sheetName val="MUROS"/>
      <sheetName val="CALADOS"/>
      <sheetName val="_COLUMNAS 15X20"/>
      <sheetName val="PLACA e _ 0_1"/>
      <sheetName val="INS_ HIDRAULICA"/>
      <sheetName val="ALBERCA"/>
      <sheetName val="PAÑETE"/>
      <sheetName val="INS_ SANITARIAS"/>
      <sheetName val="CAJILLA INS_"/>
      <sheetName val="MORTERO 1_4"/>
      <sheetName val="CONCRETO 2500"/>
      <sheetName val="CONCRETO 3000"/>
      <sheetName val="FORMALETA"/>
      <sheetName val="PAÑETE IMPERMEABILIZADO"/>
      <sheetName val="PRESUPUESTO CAP"/>
      <sheetName val="PRESUPUESTO VARIAS"/>
      <sheetName val="PRESUPUESTO VAR_ CAP"/>
      <sheetName val="MATERIALES UNA"/>
      <sheetName val="MATERIALES TODAS"/>
      <sheetName val="RESUMEN PRESUPUESTO"/>
      <sheetName val="5.2"/>
      <sheetName val="C"/>
      <sheetName val="CONTENIDO GENERAL"/>
      <sheetName val="A.P.U."/>
      <sheetName val="ANALISIS BASICOS"/>
      <sheetName val="$MATERIALES"/>
      <sheetName val="EQUIPO"/>
      <sheetName val="PERSONAL"/>
      <sheetName val="PVC_BOC_4&quot;_4"/>
      <sheetName val="PTE_IMP_Y_ESMALT4"/>
      <sheetName val="CTO_BOCA_300_PSI4"/>
      <sheetName val="CTO_CICLOP_4"/>
      <sheetName val="AC_3_D_8&quot;4"/>
      <sheetName val="AC_1_D_24"/>
      <sheetName val="AC_5_D_84"/>
      <sheetName val="ADAPTADOR_4&quot;4"/>
      <sheetName val="VAL_CORT_44"/>
      <sheetName val="UN_ION_4&quot;4"/>
      <sheetName val="SUMINISTRO_TUB_44"/>
      <sheetName val="INSTALACION_TUB_4&quot;4"/>
      <sheetName val="INST_TUB_3&quot;4"/>
      <sheetName val="INST_TUB_2_1,2_-_2&quot;4"/>
      <sheetName val="INST_TUB_1_1,2&quot;_-_1_1,4&quot;4"/>
      <sheetName val="INST_TUB_1&quot;_-_3,4&quot;4"/>
      <sheetName val="INST_TUB_1,2&quot;4"/>
      <sheetName val="localizacion_des4"/>
      <sheetName val="CTO_DESAR4"/>
      <sheetName val="CTO_2000PSI_SOLADO4"/>
      <sheetName val="280000_Crude4"/>
      <sheetName val="CANTIDADES_DE_OBRA4"/>
      <sheetName val="PVC_BOC_4&quot;_3"/>
      <sheetName val="PTE_IMP_Y_ESMALT3"/>
      <sheetName val="CTO_BOCA_300_PSI3"/>
      <sheetName val="CTO_CICLOP_3"/>
      <sheetName val="AC_3_D_8&quot;3"/>
      <sheetName val="AC_1_D_23"/>
      <sheetName val="AC_5_D_83"/>
      <sheetName val="ADAPTADOR_4&quot;3"/>
      <sheetName val="VAL_CORT_43"/>
      <sheetName val="UN_ION_4&quot;3"/>
      <sheetName val="SUMINISTRO_TUB_43"/>
      <sheetName val="INSTALACION_TUB_4&quot;3"/>
      <sheetName val="INST_TUB_3&quot;3"/>
      <sheetName val="INST_TUB_2_1,2_-_2&quot;3"/>
      <sheetName val="INST_TUB_1_1,2&quot;_-_1_1,4&quot;3"/>
      <sheetName val="INST_TUB_1&quot;_-_3,4&quot;3"/>
      <sheetName val="INST_TUB_1,2&quot;3"/>
      <sheetName val="localizacion_des3"/>
      <sheetName val="CTO_DESAR3"/>
      <sheetName val="CTO_2000PSI_SOLADO3"/>
      <sheetName val="280000_Crude3"/>
      <sheetName val="CANTIDADES_DE_OBRA3"/>
    </sheetNames>
    <sheetDataSet>
      <sheetData sheetId="0" refreshError="1">
        <row r="1">
          <cell r="A1">
            <v>1</v>
          </cell>
        </row>
        <row r="3">
          <cell r="G3" t="str">
            <v>45x45cm</v>
          </cell>
        </row>
        <row r="5">
          <cell r="F5" t="str">
            <v>SHELL</v>
          </cell>
          <cell r="G5" t="str">
            <v>45x45cm</v>
          </cell>
        </row>
        <row r="6">
          <cell r="F6" t="str">
            <v>CORAL</v>
          </cell>
          <cell r="G6" t="str">
            <v>45x45cm</v>
          </cell>
        </row>
        <row r="9">
          <cell r="G9" t="str">
            <v>45x45cm</v>
          </cell>
        </row>
        <row r="10">
          <cell r="G10" t="str">
            <v>45x45cm</v>
          </cell>
        </row>
      </sheetData>
      <sheetData sheetId="1" refreshError="1"/>
      <sheetData sheetId="2" refreshError="1"/>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ow r="16">
          <cell r="B16" t="str">
            <v>NOMBRE DEL PROYECTO</v>
          </cell>
        </row>
      </sheetData>
      <sheetData sheetId="97"/>
      <sheetData sheetId="98"/>
      <sheetData sheetId="99"/>
      <sheetData sheetId="100">
        <row r="16">
          <cell r="B16" t="str">
            <v>NOMBRE DEL PROYECTO</v>
          </cell>
        </row>
      </sheetData>
      <sheetData sheetId="101"/>
      <sheetData sheetId="102"/>
      <sheetData sheetId="103"/>
      <sheetData sheetId="104"/>
      <sheetData sheetId="105"/>
      <sheetData sheetId="106"/>
      <sheetData sheetId="107"/>
      <sheetData sheetId="108"/>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ILLA SAGRARIO"/>
      <sheetName val="RESUMEN"/>
      <sheetName val="TUBERIA"/>
      <sheetName val="DOMICILIARIAS"/>
      <sheetName val="ASFALTO"/>
      <sheetName val="PAVIMENTO"/>
      <sheetName val="ANDENES"/>
      <sheetName val="SOBREPISO"/>
      <sheetName val="ACOMETIDAS"/>
      <sheetName val="FACTORES"/>
    </sheetNames>
    <sheetDataSet>
      <sheetData sheetId="0" refreshError="1"/>
      <sheetData sheetId="1" refreshError="1"/>
      <sheetData sheetId="2" refreshError="1">
        <row r="10">
          <cell r="AE10">
            <v>0</v>
          </cell>
        </row>
        <row r="14">
          <cell r="AE14">
            <v>0</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seño"/>
      <sheetName val="Hoja2"/>
      <sheetName val="Resultados"/>
      <sheetName val="Hoja1"/>
      <sheetName val="Pozos"/>
      <sheetName val="Descargas"/>
    </sheetNames>
    <sheetDataSet>
      <sheetData sheetId="0"/>
      <sheetData sheetId="1"/>
      <sheetData sheetId="2">
        <row r="1">
          <cell r="B1" t="str">
            <v>NODO INICIAL</v>
          </cell>
          <cell r="C1" t="str">
            <v>NODO FINAL</v>
          </cell>
          <cell r="D1" t="str">
            <v>MATERAL</v>
          </cell>
          <cell r="E1" t="str">
            <v>DIAMETRO (in)</v>
          </cell>
          <cell r="F1" t="str">
            <v>COTA TERRENO INICIAL (m)</v>
          </cell>
          <cell r="G1" t="str">
            <v>COTA TERRENO FINAL (m)</v>
          </cell>
          <cell r="H1" t="str">
            <v>BATEA INICIAL (m)</v>
          </cell>
          <cell r="I1" t="str">
            <v>BATEA FINAL (m)</v>
          </cell>
          <cell r="J1" t="str">
            <v>LONGITUD (m)</v>
          </cell>
          <cell r="K1" t="str">
            <v>PENDIENTE (%)</v>
          </cell>
          <cell r="L1" t="str">
            <v>PLAN DE OBRAS</v>
          </cell>
          <cell r="M1" t="str">
            <v>ESTADO</v>
          </cell>
        </row>
        <row r="2">
          <cell r="B2" t="str">
            <v>P29</v>
          </cell>
          <cell r="C2">
            <v>1095</v>
          </cell>
          <cell r="D2">
            <v>0.01</v>
          </cell>
          <cell r="E2">
            <v>8</v>
          </cell>
          <cell r="F2">
            <v>1297.5999999999999</v>
          </cell>
          <cell r="G2">
            <v>1296.78</v>
          </cell>
          <cell r="H2">
            <v>1296.2</v>
          </cell>
          <cell r="I2">
            <v>1295.21</v>
          </cell>
          <cell r="J2">
            <v>51.1</v>
          </cell>
          <cell r="K2">
            <v>1.9373776908023661</v>
          </cell>
          <cell r="L2" t="str">
            <v xml:space="preserve">Tramos Existentes </v>
          </cell>
          <cell r="M2" t="str">
            <v>Existente</v>
          </cell>
        </row>
        <row r="3">
          <cell r="B3">
            <v>109</v>
          </cell>
          <cell r="C3">
            <v>811</v>
          </cell>
          <cell r="D3">
            <v>1.4999999999999999E-2</v>
          </cell>
          <cell r="E3">
            <v>24</v>
          </cell>
          <cell r="F3">
            <v>1299.9100000000001</v>
          </cell>
          <cell r="G3">
            <v>1292.8900000000001</v>
          </cell>
          <cell r="H3">
            <v>1293.69</v>
          </cell>
          <cell r="I3">
            <v>1288.21</v>
          </cell>
          <cell r="J3">
            <v>77.7</v>
          </cell>
          <cell r="K3">
            <v>7.0527670527670754</v>
          </cell>
          <cell r="L3" t="str">
            <v xml:space="preserve">Tramos Existentes </v>
          </cell>
          <cell r="M3" t="str">
            <v>Existente</v>
          </cell>
        </row>
        <row r="4">
          <cell r="B4">
            <v>811</v>
          </cell>
          <cell r="C4">
            <v>812</v>
          </cell>
          <cell r="D4">
            <v>1.4999999999999999E-2</v>
          </cell>
          <cell r="E4">
            <v>24</v>
          </cell>
          <cell r="F4">
            <v>1292.8900000000001</v>
          </cell>
          <cell r="G4">
            <v>1286.6099999999999</v>
          </cell>
          <cell r="H4">
            <v>1288.21</v>
          </cell>
          <cell r="I4">
            <v>1284.8399999999999</v>
          </cell>
          <cell r="J4">
            <v>26.5</v>
          </cell>
          <cell r="K4">
            <v>12.716981132075919</v>
          </cell>
          <cell r="L4" t="str">
            <v xml:space="preserve">Tramos Existentes </v>
          </cell>
          <cell r="M4" t="str">
            <v>Existente</v>
          </cell>
        </row>
        <row r="5">
          <cell r="B5">
            <v>812</v>
          </cell>
          <cell r="C5">
            <v>813</v>
          </cell>
          <cell r="D5">
            <v>0.01</v>
          </cell>
          <cell r="E5">
            <v>24</v>
          </cell>
          <cell r="F5">
            <v>1286.6099999999999</v>
          </cell>
          <cell r="G5">
            <v>1286.93</v>
          </cell>
          <cell r="H5">
            <v>1284.8399999999999</v>
          </cell>
          <cell r="I5">
            <v>1284.56</v>
          </cell>
          <cell r="J5">
            <v>28.5</v>
          </cell>
          <cell r="K5">
            <v>0.98245614035078144</v>
          </cell>
          <cell r="L5" t="str">
            <v xml:space="preserve">Tramos Existentes </v>
          </cell>
          <cell r="M5" t="str">
            <v>Existente</v>
          </cell>
        </row>
        <row r="6">
          <cell r="B6">
            <v>813</v>
          </cell>
          <cell r="C6">
            <v>815</v>
          </cell>
          <cell r="D6">
            <v>1.4999999999999999E-2</v>
          </cell>
          <cell r="E6">
            <v>24</v>
          </cell>
          <cell r="F6">
            <v>1286.93</v>
          </cell>
          <cell r="G6">
            <v>1286.1300000000001</v>
          </cell>
          <cell r="H6">
            <v>1284.56</v>
          </cell>
          <cell r="I6">
            <v>1283.47</v>
          </cell>
          <cell r="J6">
            <v>33.1</v>
          </cell>
          <cell r="K6">
            <v>3.2930513595163688</v>
          </cell>
          <cell r="L6" t="str">
            <v xml:space="preserve">Tramos Existentes </v>
          </cell>
          <cell r="M6" t="str">
            <v>Existente</v>
          </cell>
        </row>
        <row r="7">
          <cell r="B7">
            <v>815</v>
          </cell>
          <cell r="C7">
            <v>950</v>
          </cell>
          <cell r="D7">
            <v>1.4999999999999999E-2</v>
          </cell>
          <cell r="E7">
            <v>24</v>
          </cell>
          <cell r="F7">
            <v>1286.1300000000001</v>
          </cell>
          <cell r="G7">
            <v>1285.69</v>
          </cell>
          <cell r="H7">
            <v>1283.47</v>
          </cell>
          <cell r="I7">
            <v>1282.99</v>
          </cell>
          <cell r="J7">
            <v>26</v>
          </cell>
          <cell r="K7">
            <v>1.846153846153916</v>
          </cell>
          <cell r="L7" t="str">
            <v xml:space="preserve">Tramos Existentes </v>
          </cell>
          <cell r="M7" t="str">
            <v>Existente</v>
          </cell>
        </row>
        <row r="8">
          <cell r="B8">
            <v>950</v>
          </cell>
          <cell r="C8">
            <v>948</v>
          </cell>
          <cell r="D8">
            <v>0.01</v>
          </cell>
          <cell r="E8">
            <v>24</v>
          </cell>
          <cell r="F8">
            <v>1285.69</v>
          </cell>
          <cell r="G8">
            <v>1283.69</v>
          </cell>
          <cell r="H8">
            <v>1282.99</v>
          </cell>
          <cell r="I8">
            <v>1281.03</v>
          </cell>
          <cell r="J8">
            <v>72</v>
          </cell>
          <cell r="K8">
            <v>2.7222222222222725</v>
          </cell>
          <cell r="L8" t="str">
            <v xml:space="preserve">Tramos Existentes </v>
          </cell>
          <cell r="M8" t="str">
            <v>Existente</v>
          </cell>
        </row>
        <row r="9">
          <cell r="B9">
            <v>948</v>
          </cell>
          <cell r="C9">
            <v>946</v>
          </cell>
          <cell r="D9">
            <v>0.01</v>
          </cell>
          <cell r="E9">
            <v>24</v>
          </cell>
          <cell r="F9">
            <v>1283.69</v>
          </cell>
          <cell r="G9">
            <v>1280.6600000000001</v>
          </cell>
          <cell r="H9">
            <v>1281.03</v>
          </cell>
          <cell r="I9">
            <v>1277.6500000000001</v>
          </cell>
          <cell r="J9">
            <v>31</v>
          </cell>
          <cell r="K9">
            <v>10.903225806451232</v>
          </cell>
          <cell r="L9" t="str">
            <v xml:space="preserve">Tramos Existentes </v>
          </cell>
          <cell r="M9" t="str">
            <v>Existente</v>
          </cell>
        </row>
        <row r="10">
          <cell r="B10">
            <v>946</v>
          </cell>
          <cell r="C10">
            <v>941</v>
          </cell>
          <cell r="D10">
            <v>0.01</v>
          </cell>
          <cell r="E10">
            <v>24</v>
          </cell>
          <cell r="F10">
            <v>1280.6600000000001</v>
          </cell>
          <cell r="G10">
            <v>1279.96</v>
          </cell>
          <cell r="H10">
            <v>1277.6500000000001</v>
          </cell>
          <cell r="I10">
            <v>1275.72</v>
          </cell>
          <cell r="J10">
            <v>99.8</v>
          </cell>
          <cell r="K10">
            <v>1.9338677354710059</v>
          </cell>
          <cell r="L10" t="str">
            <v xml:space="preserve">Tramos Existentes </v>
          </cell>
          <cell r="M10" t="str">
            <v>Existente</v>
          </cell>
        </row>
        <row r="11">
          <cell r="B11">
            <v>742</v>
          </cell>
          <cell r="C11">
            <v>743</v>
          </cell>
          <cell r="D11">
            <v>1.4999999999999999E-2</v>
          </cell>
          <cell r="E11">
            <v>10</v>
          </cell>
          <cell r="F11">
            <v>1322.28</v>
          </cell>
          <cell r="G11">
            <v>1320.93</v>
          </cell>
          <cell r="H11">
            <v>1320.66</v>
          </cell>
          <cell r="I11">
            <v>1319.22</v>
          </cell>
          <cell r="J11">
            <v>38.200000000000003</v>
          </cell>
          <cell r="K11">
            <v>3.7696335078535461</v>
          </cell>
          <cell r="L11" t="str">
            <v xml:space="preserve">Tramos Existentes </v>
          </cell>
          <cell r="M11" t="str">
            <v>Existente</v>
          </cell>
        </row>
        <row r="12">
          <cell r="B12">
            <v>1093</v>
          </cell>
          <cell r="C12">
            <v>1096</v>
          </cell>
          <cell r="D12">
            <v>1.4999999999999999E-2</v>
          </cell>
          <cell r="E12">
            <v>8</v>
          </cell>
          <cell r="F12">
            <v>1300.19</v>
          </cell>
          <cell r="G12">
            <v>1293.8</v>
          </cell>
          <cell r="H12">
            <v>1296.42</v>
          </cell>
          <cell r="I12">
            <v>1289.99</v>
          </cell>
          <cell r="J12">
            <v>10.199999999999999</v>
          </cell>
          <cell r="K12">
            <v>63.039215686275142</v>
          </cell>
          <cell r="L12" t="str">
            <v xml:space="preserve">Tramos Existentes </v>
          </cell>
          <cell r="M12" t="str">
            <v>Existente</v>
          </cell>
        </row>
        <row r="13">
          <cell r="B13">
            <v>113</v>
          </cell>
          <cell r="C13">
            <v>112</v>
          </cell>
          <cell r="D13">
            <v>1.4999999999999999E-2</v>
          </cell>
          <cell r="E13">
            <v>10</v>
          </cell>
          <cell r="F13">
            <v>1272.2</v>
          </cell>
          <cell r="G13">
            <v>1301.32</v>
          </cell>
          <cell r="H13">
            <v>1301.3</v>
          </cell>
          <cell r="I13">
            <v>1300</v>
          </cell>
          <cell r="J13">
            <v>28.9</v>
          </cell>
          <cell r="K13">
            <v>4.4982698961936141</v>
          </cell>
          <cell r="L13" t="str">
            <v xml:space="preserve">Tramos Existentes </v>
          </cell>
          <cell r="M13" t="str">
            <v>Existente</v>
          </cell>
        </row>
        <row r="14">
          <cell r="B14">
            <v>1095</v>
          </cell>
          <cell r="C14">
            <v>1094</v>
          </cell>
          <cell r="D14">
            <v>0.01</v>
          </cell>
          <cell r="E14">
            <v>8</v>
          </cell>
          <cell r="F14">
            <v>1296.78</v>
          </cell>
          <cell r="G14">
            <v>1297.6400000000001</v>
          </cell>
          <cell r="H14">
            <v>1295.21</v>
          </cell>
          <cell r="I14">
            <v>1294.8399999999999</v>
          </cell>
          <cell r="J14">
            <v>27.3</v>
          </cell>
          <cell r="K14">
            <v>1.3553113553117884</v>
          </cell>
          <cell r="L14" t="str">
            <v xml:space="preserve">Tramos Existentes </v>
          </cell>
          <cell r="M14" t="str">
            <v>Existente</v>
          </cell>
        </row>
        <row r="15">
          <cell r="B15">
            <v>1094</v>
          </cell>
          <cell r="C15">
            <v>1096</v>
          </cell>
          <cell r="D15">
            <v>0.01</v>
          </cell>
          <cell r="E15">
            <v>8</v>
          </cell>
          <cell r="F15">
            <v>1297.6400000000001</v>
          </cell>
          <cell r="G15">
            <v>1293.8</v>
          </cell>
          <cell r="H15">
            <v>1294.8399999999999</v>
          </cell>
          <cell r="I15">
            <v>1289.99</v>
          </cell>
          <cell r="J15">
            <v>20</v>
          </cell>
          <cell r="K15">
            <v>24.249999999999545</v>
          </cell>
          <cell r="L15" t="str">
            <v xml:space="preserve">Tramos Existentes </v>
          </cell>
          <cell r="M15" t="str">
            <v>Existente</v>
          </cell>
        </row>
        <row r="16">
          <cell r="B16">
            <v>843</v>
          </cell>
          <cell r="C16">
            <v>820</v>
          </cell>
          <cell r="D16">
            <v>1.4999999999999999E-2</v>
          </cell>
          <cell r="E16">
            <v>8</v>
          </cell>
          <cell r="F16">
            <v>1297.6500000000001</v>
          </cell>
          <cell r="G16">
            <v>1295.1199999999999</v>
          </cell>
          <cell r="H16">
            <v>1295.92</v>
          </cell>
          <cell r="I16">
            <v>1293.51</v>
          </cell>
          <cell r="J16">
            <v>43.2</v>
          </cell>
          <cell r="K16">
            <v>5.5787037037038925</v>
          </cell>
          <cell r="L16" t="str">
            <v xml:space="preserve">Tramos Existentes </v>
          </cell>
          <cell r="M16" t="str">
            <v>Existente</v>
          </cell>
        </row>
        <row r="17">
          <cell r="B17">
            <v>820</v>
          </cell>
          <cell r="C17">
            <v>819</v>
          </cell>
          <cell r="D17">
            <v>1.4999999999999999E-2</v>
          </cell>
          <cell r="E17">
            <v>12</v>
          </cell>
          <cell r="F17">
            <v>1295.1199999999999</v>
          </cell>
          <cell r="G17">
            <v>1292.75</v>
          </cell>
          <cell r="H17">
            <v>1293.51</v>
          </cell>
          <cell r="I17">
            <v>1290.51</v>
          </cell>
          <cell r="J17">
            <v>29.8</v>
          </cell>
          <cell r="K17">
            <v>10.067114093959731</v>
          </cell>
          <cell r="L17" t="str">
            <v xml:space="preserve">Tramos Existentes </v>
          </cell>
          <cell r="M17" t="str">
            <v>Existente</v>
          </cell>
        </row>
        <row r="18">
          <cell r="B18">
            <v>819</v>
          </cell>
          <cell r="C18">
            <v>224</v>
          </cell>
          <cell r="D18">
            <v>1.4999999999999999E-2</v>
          </cell>
          <cell r="E18">
            <v>16</v>
          </cell>
          <cell r="F18">
            <v>1292.75</v>
          </cell>
          <cell r="G18">
            <v>1293.01</v>
          </cell>
          <cell r="H18">
            <v>1290.51</v>
          </cell>
          <cell r="I18">
            <v>1290.04</v>
          </cell>
          <cell r="J18">
            <v>15</v>
          </cell>
          <cell r="K18">
            <v>3.1333333333335149</v>
          </cell>
          <cell r="L18" t="str">
            <v xml:space="preserve">Tramos Existentes </v>
          </cell>
          <cell r="M18" t="str">
            <v>Existente</v>
          </cell>
        </row>
        <row r="19">
          <cell r="B19">
            <v>224</v>
          </cell>
          <cell r="C19">
            <v>1099</v>
          </cell>
          <cell r="D19">
            <v>0.01</v>
          </cell>
          <cell r="E19">
            <v>16</v>
          </cell>
          <cell r="F19">
            <v>1293.01</v>
          </cell>
          <cell r="G19">
            <v>1293.19</v>
          </cell>
          <cell r="H19">
            <v>1290.04</v>
          </cell>
          <cell r="I19">
            <v>1283.8</v>
          </cell>
          <cell r="J19">
            <v>23</v>
          </cell>
          <cell r="K19">
            <v>27.130434782608738</v>
          </cell>
          <cell r="L19" t="str">
            <v xml:space="preserve">Tramos Existentes </v>
          </cell>
          <cell r="M19" t="str">
            <v>Existente</v>
          </cell>
        </row>
        <row r="20">
          <cell r="B20">
            <v>1099</v>
          </cell>
          <cell r="C20">
            <v>848</v>
          </cell>
          <cell r="D20">
            <v>1.4999999999999999E-2</v>
          </cell>
          <cell r="E20">
            <v>10</v>
          </cell>
          <cell r="F20">
            <v>1293.19</v>
          </cell>
          <cell r="G20">
            <v>1284.1199999999999</v>
          </cell>
          <cell r="H20">
            <v>1283.8</v>
          </cell>
          <cell r="I20">
            <v>1278.3900000000001</v>
          </cell>
          <cell r="J20">
            <v>65.400000000000006</v>
          </cell>
          <cell r="K20">
            <v>8.2721712538224068</v>
          </cell>
          <cell r="L20" t="str">
            <v xml:space="preserve">Tramos Existentes </v>
          </cell>
          <cell r="M20" t="str">
            <v>Existente</v>
          </cell>
        </row>
        <row r="21">
          <cell r="B21">
            <v>848</v>
          </cell>
          <cell r="C21">
            <v>1117</v>
          </cell>
          <cell r="D21">
            <v>1.4999999999999999E-2</v>
          </cell>
          <cell r="E21">
            <v>16</v>
          </cell>
          <cell r="F21">
            <v>1284.1199999999999</v>
          </cell>
          <cell r="G21">
            <v>1280.5999999999999</v>
          </cell>
          <cell r="H21">
            <v>1278.3900000000001</v>
          </cell>
          <cell r="I21">
            <v>1275.04</v>
          </cell>
          <cell r="J21">
            <v>88.6</v>
          </cell>
          <cell r="K21">
            <v>3.781038374717987</v>
          </cell>
          <cell r="L21" t="str">
            <v xml:space="preserve">Tramos Existentes </v>
          </cell>
          <cell r="M21" t="str">
            <v>Existente</v>
          </cell>
        </row>
        <row r="22">
          <cell r="B22">
            <v>1100</v>
          </cell>
          <cell r="C22">
            <v>1101</v>
          </cell>
          <cell r="D22">
            <v>1.4999999999999999E-2</v>
          </cell>
          <cell r="E22">
            <v>10</v>
          </cell>
          <cell r="F22">
            <v>1301.55</v>
          </cell>
          <cell r="G22">
            <v>1300.8699999999999</v>
          </cell>
          <cell r="H22">
            <v>1296.48</v>
          </cell>
          <cell r="I22">
            <v>1295.74</v>
          </cell>
          <cell r="J22">
            <v>23.5</v>
          </cell>
          <cell r="K22">
            <v>3.1489361702128043</v>
          </cell>
          <cell r="L22" t="str">
            <v xml:space="preserve">Tramos Existentes </v>
          </cell>
          <cell r="M22" t="str">
            <v>Existente</v>
          </cell>
        </row>
        <row r="23">
          <cell r="B23">
            <v>1092</v>
          </cell>
          <cell r="C23">
            <v>1093</v>
          </cell>
          <cell r="D23">
            <v>1.4999999999999999E-2</v>
          </cell>
          <cell r="E23">
            <v>8</v>
          </cell>
          <cell r="F23">
            <v>1298.72</v>
          </cell>
          <cell r="G23">
            <v>1300.19</v>
          </cell>
          <cell r="H23">
            <v>1297.92</v>
          </cell>
          <cell r="I23">
            <v>1296.42</v>
          </cell>
          <cell r="J23">
            <v>45.3</v>
          </cell>
          <cell r="K23">
            <v>3.3112582781456954</v>
          </cell>
          <cell r="L23" t="str">
            <v xml:space="preserve">Tramos Existentes </v>
          </cell>
          <cell r="M23" t="str">
            <v>Existente</v>
          </cell>
        </row>
        <row r="24">
          <cell r="B24" t="str">
            <v>MR7</v>
          </cell>
          <cell r="C24">
            <v>1090</v>
          </cell>
          <cell r="D24">
            <v>1.4999999999999999E-2</v>
          </cell>
          <cell r="E24">
            <v>8</v>
          </cell>
          <cell r="F24">
            <v>1278.78</v>
          </cell>
          <cell r="G24">
            <v>1282.1300000000001</v>
          </cell>
          <cell r="H24">
            <v>1275.52</v>
          </cell>
          <cell r="I24">
            <v>1278.69</v>
          </cell>
          <cell r="J24">
            <v>6.6</v>
          </cell>
          <cell r="K24">
            <v>-48.030303030304133</v>
          </cell>
          <cell r="L24" t="str">
            <v>Inhabilitar</v>
          </cell>
          <cell r="M24" t="str">
            <v>Existente</v>
          </cell>
        </row>
        <row r="25">
          <cell r="B25">
            <v>120</v>
          </cell>
          <cell r="C25">
            <v>161</v>
          </cell>
          <cell r="D25">
            <v>0.01</v>
          </cell>
          <cell r="E25">
            <v>4</v>
          </cell>
          <cell r="F25">
            <v>1272.28</v>
          </cell>
          <cell r="G25">
            <v>1305</v>
          </cell>
          <cell r="H25">
            <v>1305.57</v>
          </cell>
          <cell r="I25">
            <v>1304.33</v>
          </cell>
          <cell r="J25">
            <v>17</v>
          </cell>
          <cell r="K25">
            <v>7.2941176470588776</v>
          </cell>
          <cell r="L25" t="str">
            <v xml:space="preserve">Tramos Existentes </v>
          </cell>
          <cell r="M25" t="str">
            <v>Existente</v>
          </cell>
        </row>
        <row r="26">
          <cell r="B26">
            <v>744</v>
          </cell>
          <cell r="C26">
            <v>987</v>
          </cell>
          <cell r="D26">
            <v>1.4999999999999999E-2</v>
          </cell>
          <cell r="E26">
            <v>12</v>
          </cell>
          <cell r="F26">
            <v>1321.12</v>
          </cell>
          <cell r="G26">
            <v>1314.97</v>
          </cell>
          <cell r="H26">
            <v>1318.02</v>
          </cell>
          <cell r="I26">
            <v>1311.83</v>
          </cell>
          <cell r="J26">
            <v>36.299999999999997</v>
          </cell>
          <cell r="K26">
            <v>17.052341597796293</v>
          </cell>
          <cell r="L26" t="str">
            <v xml:space="preserve">Tramos Existentes </v>
          </cell>
          <cell r="M26" t="str">
            <v>Existente</v>
          </cell>
        </row>
        <row r="27">
          <cell r="B27">
            <v>987</v>
          </cell>
          <cell r="C27">
            <v>1084</v>
          </cell>
          <cell r="D27">
            <v>1.4999999999999999E-2</v>
          </cell>
          <cell r="E27">
            <v>22</v>
          </cell>
          <cell r="F27">
            <v>1314.97</v>
          </cell>
          <cell r="G27">
            <v>1313.17</v>
          </cell>
          <cell r="H27">
            <v>1311.83</v>
          </cell>
          <cell r="I27">
            <v>1310</v>
          </cell>
          <cell r="J27">
            <v>9.3000000000000007</v>
          </cell>
          <cell r="K27">
            <v>19.677419354837923</v>
          </cell>
          <cell r="L27" t="str">
            <v xml:space="preserve">Tramos Existentes </v>
          </cell>
          <cell r="M27" t="str">
            <v>Existente</v>
          </cell>
        </row>
        <row r="28">
          <cell r="B28">
            <v>1084</v>
          </cell>
          <cell r="C28">
            <v>1083</v>
          </cell>
          <cell r="D28">
            <v>1.4999999999999999E-2</v>
          </cell>
          <cell r="E28">
            <v>22</v>
          </cell>
          <cell r="F28">
            <v>1313.17</v>
          </cell>
          <cell r="G28">
            <v>1314.01</v>
          </cell>
          <cell r="H28">
            <v>1310</v>
          </cell>
          <cell r="I28">
            <v>1309.8699999999999</v>
          </cell>
          <cell r="J28">
            <v>56.1</v>
          </cell>
          <cell r="K28">
            <v>0.23172905525866155</v>
          </cell>
          <cell r="L28" t="str">
            <v xml:space="preserve">Tramos Existentes </v>
          </cell>
          <cell r="M28" t="str">
            <v>Existente</v>
          </cell>
        </row>
        <row r="29">
          <cell r="B29">
            <v>1083</v>
          </cell>
          <cell r="C29">
            <v>1082</v>
          </cell>
          <cell r="D29">
            <v>1.4999999999999999E-2</v>
          </cell>
          <cell r="E29">
            <v>22</v>
          </cell>
          <cell r="F29">
            <v>1314.01</v>
          </cell>
          <cell r="G29">
            <v>1315.34</v>
          </cell>
          <cell r="H29">
            <v>1309.8699999999999</v>
          </cell>
          <cell r="I29">
            <v>1309.8399999999999</v>
          </cell>
          <cell r="J29">
            <v>85.9</v>
          </cell>
          <cell r="K29">
            <v>3.492433061696474E-2</v>
          </cell>
          <cell r="L29" t="str">
            <v xml:space="preserve">Tramos Existentes </v>
          </cell>
          <cell r="M29" t="str">
            <v>Existente</v>
          </cell>
        </row>
        <row r="30">
          <cell r="B30">
            <v>1082</v>
          </cell>
          <cell r="C30">
            <v>994</v>
          </cell>
          <cell r="D30">
            <v>1.4999999999999999E-2</v>
          </cell>
          <cell r="E30">
            <v>22</v>
          </cell>
          <cell r="F30">
            <v>1315.34</v>
          </cell>
          <cell r="G30">
            <v>1295.43</v>
          </cell>
          <cell r="H30">
            <v>1309.8399999999999</v>
          </cell>
          <cell r="I30">
            <v>1293.45</v>
          </cell>
          <cell r="J30">
            <v>105.1</v>
          </cell>
          <cell r="K30">
            <v>15.594671741198738</v>
          </cell>
          <cell r="L30" t="str">
            <v xml:space="preserve">Tramos Existentes </v>
          </cell>
          <cell r="M30" t="str">
            <v>Existente</v>
          </cell>
        </row>
        <row r="31">
          <cell r="B31">
            <v>994</v>
          </cell>
          <cell r="C31">
            <v>993</v>
          </cell>
          <cell r="D31">
            <v>1.4999999999999999E-2</v>
          </cell>
          <cell r="E31">
            <v>22</v>
          </cell>
          <cell r="F31">
            <v>1295.43</v>
          </cell>
          <cell r="G31">
            <v>1295.44</v>
          </cell>
          <cell r="H31">
            <v>1293.45</v>
          </cell>
          <cell r="I31">
            <v>1293.28</v>
          </cell>
          <cell r="J31">
            <v>2.5</v>
          </cell>
          <cell r="K31">
            <v>6.8000000000029104</v>
          </cell>
          <cell r="L31" t="str">
            <v xml:space="preserve">Tramos Existentes </v>
          </cell>
          <cell r="M31" t="str">
            <v>Existente</v>
          </cell>
        </row>
        <row r="32">
          <cell r="B32">
            <v>1085</v>
          </cell>
          <cell r="C32">
            <v>1086</v>
          </cell>
          <cell r="D32">
            <v>1.4999999999999999E-2</v>
          </cell>
          <cell r="E32">
            <v>8</v>
          </cell>
          <cell r="F32">
            <v>1298.1600000000001</v>
          </cell>
          <cell r="G32">
            <v>1297.26</v>
          </cell>
          <cell r="H32">
            <v>1296.0899999999999</v>
          </cell>
          <cell r="I32">
            <v>1295.1600000000001</v>
          </cell>
          <cell r="J32">
            <v>41.9</v>
          </cell>
          <cell r="K32">
            <v>2.2195704057275329</v>
          </cell>
          <cell r="L32" t="str">
            <v xml:space="preserve">Tramos Existentes </v>
          </cell>
          <cell r="M32" t="str">
            <v>Existente</v>
          </cell>
        </row>
        <row r="33">
          <cell r="B33">
            <v>1086</v>
          </cell>
          <cell r="C33">
            <v>1087</v>
          </cell>
          <cell r="D33">
            <v>1.4999999999999999E-2</v>
          </cell>
          <cell r="E33">
            <v>10</v>
          </cell>
          <cell r="F33">
            <v>1297.26</v>
          </cell>
          <cell r="G33">
            <v>1296.8399999999999</v>
          </cell>
          <cell r="H33">
            <v>1295.1600000000001</v>
          </cell>
          <cell r="I33">
            <v>1293.9100000000001</v>
          </cell>
          <cell r="J33">
            <v>35.9</v>
          </cell>
          <cell r="K33">
            <v>3.4818941504178276</v>
          </cell>
          <cell r="L33" t="str">
            <v xml:space="preserve">Tramos Existentes </v>
          </cell>
          <cell r="M33" t="str">
            <v>Existente</v>
          </cell>
        </row>
        <row r="34">
          <cell r="B34">
            <v>110</v>
          </cell>
          <cell r="C34">
            <v>109</v>
          </cell>
          <cell r="D34">
            <v>1.4999999999999999E-2</v>
          </cell>
          <cell r="E34">
            <v>24</v>
          </cell>
          <cell r="F34">
            <v>1299.8900000000001</v>
          </cell>
          <cell r="G34">
            <v>1299.9100000000001</v>
          </cell>
          <cell r="H34">
            <v>1297.3900000000001</v>
          </cell>
          <cell r="I34">
            <v>1293.69</v>
          </cell>
          <cell r="J34">
            <v>2.4</v>
          </cell>
          <cell r="K34">
            <v>154.16666666666856</v>
          </cell>
          <cell r="L34" t="str">
            <v xml:space="preserve">Tramos Existentes </v>
          </cell>
          <cell r="M34" t="str">
            <v>Existente</v>
          </cell>
        </row>
        <row r="35">
          <cell r="B35">
            <v>1088</v>
          </cell>
          <cell r="C35" t="str">
            <v>MR7</v>
          </cell>
          <cell r="D35">
            <v>1.4999999999999999E-2</v>
          </cell>
          <cell r="E35">
            <v>8</v>
          </cell>
          <cell r="F35">
            <v>1288.19</v>
          </cell>
          <cell r="G35">
            <v>1278.78</v>
          </cell>
          <cell r="H35">
            <v>1285.22</v>
          </cell>
          <cell r="I35">
            <v>1275.52</v>
          </cell>
          <cell r="J35">
            <v>7.1</v>
          </cell>
          <cell r="K35">
            <v>136.61971830985979</v>
          </cell>
          <cell r="L35" t="str">
            <v xml:space="preserve">Tramos Existentes </v>
          </cell>
          <cell r="M35" t="str">
            <v>Existente</v>
          </cell>
        </row>
        <row r="36">
          <cell r="B36">
            <v>112</v>
          </cell>
          <cell r="C36">
            <v>110</v>
          </cell>
          <cell r="D36">
            <v>0.01</v>
          </cell>
          <cell r="E36">
            <v>12</v>
          </cell>
          <cell r="F36">
            <v>1301.32</v>
          </cell>
          <cell r="G36">
            <v>1299.8900000000001</v>
          </cell>
          <cell r="H36">
            <v>1300</v>
          </cell>
          <cell r="I36">
            <v>1297.3900000000001</v>
          </cell>
          <cell r="J36">
            <v>26.5</v>
          </cell>
          <cell r="K36">
            <v>9.8490566037732066</v>
          </cell>
          <cell r="L36" t="str">
            <v xml:space="preserve">Tramos Existentes </v>
          </cell>
          <cell r="M36" t="str">
            <v>Existente</v>
          </cell>
        </row>
        <row r="37">
          <cell r="B37">
            <v>1090</v>
          </cell>
          <cell r="C37">
            <v>1091</v>
          </cell>
          <cell r="D37">
            <v>1.4999999999999999E-2</v>
          </cell>
          <cell r="E37">
            <v>8</v>
          </cell>
          <cell r="F37">
            <v>1282.1300000000001</v>
          </cell>
          <cell r="G37">
            <v>1278.32</v>
          </cell>
          <cell r="H37">
            <v>1278.69</v>
          </cell>
          <cell r="I37">
            <v>1275.31</v>
          </cell>
          <cell r="J37">
            <v>11.9</v>
          </cell>
          <cell r="K37">
            <v>28.40336134453873</v>
          </cell>
          <cell r="L37" t="str">
            <v>Inhabilitar</v>
          </cell>
          <cell r="M37" t="str">
            <v>Existente</v>
          </cell>
        </row>
        <row r="38">
          <cell r="B38">
            <v>1091</v>
          </cell>
          <cell r="C38" t="str">
            <v>D36</v>
          </cell>
          <cell r="D38">
            <v>1.4999999999999999E-2</v>
          </cell>
          <cell r="E38">
            <v>8</v>
          </cell>
          <cell r="F38">
            <v>1278.32</v>
          </cell>
          <cell r="G38">
            <v>1272.29</v>
          </cell>
          <cell r="H38">
            <v>1275.31</v>
          </cell>
          <cell r="I38">
            <v>1271.56</v>
          </cell>
          <cell r="J38">
            <v>15.9</v>
          </cell>
          <cell r="K38">
            <v>23.584905660377359</v>
          </cell>
          <cell r="L38" t="str">
            <v>Inhabilitar</v>
          </cell>
          <cell r="M38" t="str">
            <v>Existente</v>
          </cell>
        </row>
        <row r="39">
          <cell r="B39">
            <v>119</v>
          </cell>
          <cell r="C39">
            <v>118</v>
          </cell>
          <cell r="D39">
            <v>0.01</v>
          </cell>
          <cell r="E39">
            <v>4</v>
          </cell>
          <cell r="F39">
            <v>1270.6600000000001</v>
          </cell>
          <cell r="G39">
            <v>1271.29</v>
          </cell>
          <cell r="H39">
            <v>1305.8</v>
          </cell>
          <cell r="I39">
            <v>1305.51</v>
          </cell>
          <cell r="J39">
            <v>17</v>
          </cell>
          <cell r="K39">
            <v>1.7058823529409624</v>
          </cell>
          <cell r="L39" t="str">
            <v xml:space="preserve">Tramos Existentes </v>
          </cell>
          <cell r="M39" t="str">
            <v>Existente</v>
          </cell>
        </row>
        <row r="40">
          <cell r="B40">
            <v>118</v>
          </cell>
          <cell r="C40">
            <v>117</v>
          </cell>
          <cell r="D40">
            <v>0.01</v>
          </cell>
          <cell r="E40">
            <v>4</v>
          </cell>
          <cell r="F40">
            <v>1271.29</v>
          </cell>
          <cell r="G40">
            <v>1271.0999999999999</v>
          </cell>
          <cell r="H40">
            <v>1305.51</v>
          </cell>
          <cell r="I40">
            <v>1305.08</v>
          </cell>
          <cell r="J40">
            <v>18.2</v>
          </cell>
          <cell r="K40">
            <v>2.3626373626377126</v>
          </cell>
          <cell r="L40" t="str">
            <v xml:space="preserve">Tramos Existentes </v>
          </cell>
          <cell r="M40" t="str">
            <v>Existente</v>
          </cell>
        </row>
        <row r="41">
          <cell r="B41">
            <v>117</v>
          </cell>
          <cell r="C41">
            <v>116</v>
          </cell>
          <cell r="D41">
            <v>0.01</v>
          </cell>
          <cell r="E41">
            <v>4</v>
          </cell>
          <cell r="F41">
            <v>1271.0999999999999</v>
          </cell>
          <cell r="G41">
            <v>1273.08</v>
          </cell>
          <cell r="H41">
            <v>1305.08</v>
          </cell>
          <cell r="I41">
            <v>1304.8599999999999</v>
          </cell>
          <cell r="J41">
            <v>16</v>
          </cell>
          <cell r="K41">
            <v>1.3750000000001705</v>
          </cell>
          <cell r="L41" t="str">
            <v xml:space="preserve">Tramos Existentes </v>
          </cell>
          <cell r="M41" t="str">
            <v>Existente</v>
          </cell>
        </row>
        <row r="42">
          <cell r="B42">
            <v>116</v>
          </cell>
          <cell r="C42">
            <v>115</v>
          </cell>
          <cell r="D42">
            <v>0.01</v>
          </cell>
          <cell r="E42">
            <v>10</v>
          </cell>
          <cell r="F42">
            <v>1273.08</v>
          </cell>
          <cell r="G42">
            <v>1272.6099999999999</v>
          </cell>
          <cell r="H42">
            <v>1304.8599999999999</v>
          </cell>
          <cell r="I42">
            <v>1304.26</v>
          </cell>
          <cell r="J42">
            <v>17.2</v>
          </cell>
          <cell r="K42">
            <v>3.4883720930227269</v>
          </cell>
          <cell r="L42" t="str">
            <v xml:space="preserve">Tramos Existentes </v>
          </cell>
          <cell r="M42" t="str">
            <v>Existente</v>
          </cell>
        </row>
        <row r="43">
          <cell r="B43">
            <v>115</v>
          </cell>
          <cell r="C43">
            <v>114</v>
          </cell>
          <cell r="D43">
            <v>0.01</v>
          </cell>
          <cell r="E43">
            <v>10</v>
          </cell>
          <cell r="F43">
            <v>1272.6099999999999</v>
          </cell>
          <cell r="G43">
            <v>1274</v>
          </cell>
          <cell r="H43">
            <v>1304.26</v>
          </cell>
          <cell r="I43">
            <v>1302.6500000000001</v>
          </cell>
          <cell r="J43">
            <v>8.3000000000000007</v>
          </cell>
          <cell r="K43">
            <v>19.397590361444575</v>
          </cell>
          <cell r="L43" t="str">
            <v xml:space="preserve">Tramos Existentes </v>
          </cell>
          <cell r="M43" t="str">
            <v>Existente</v>
          </cell>
        </row>
        <row r="44">
          <cell r="B44">
            <v>114</v>
          </cell>
          <cell r="C44">
            <v>113</v>
          </cell>
          <cell r="D44">
            <v>1.4999999999999999E-2</v>
          </cell>
          <cell r="E44">
            <v>10</v>
          </cell>
          <cell r="F44">
            <v>1274</v>
          </cell>
          <cell r="G44">
            <v>1272.2</v>
          </cell>
          <cell r="H44">
            <v>1302.6500000000001</v>
          </cell>
          <cell r="I44">
            <v>1301.3</v>
          </cell>
          <cell r="J44">
            <v>15.6</v>
          </cell>
          <cell r="K44">
            <v>8.6538461538470273</v>
          </cell>
          <cell r="L44" t="str">
            <v xml:space="preserve">Tramos Existentes </v>
          </cell>
          <cell r="M44" t="str">
            <v>Existente</v>
          </cell>
        </row>
        <row r="45">
          <cell r="B45">
            <v>1103</v>
          </cell>
          <cell r="C45">
            <v>1117</v>
          </cell>
          <cell r="D45">
            <v>1.4999999999999999E-2</v>
          </cell>
          <cell r="E45">
            <v>10</v>
          </cell>
          <cell r="F45">
            <v>1287.6400000000001</v>
          </cell>
          <cell r="G45">
            <v>1280.5999999999999</v>
          </cell>
          <cell r="H45">
            <v>1282.43</v>
          </cell>
          <cell r="I45">
            <v>1275.04</v>
          </cell>
          <cell r="J45">
            <v>59.8</v>
          </cell>
          <cell r="K45">
            <v>12.357859531772743</v>
          </cell>
          <cell r="L45" t="str">
            <v xml:space="preserve">Tramos Existentes </v>
          </cell>
          <cell r="M45" t="str">
            <v>Existente</v>
          </cell>
        </row>
        <row r="46">
          <cell r="B46">
            <v>1087</v>
          </cell>
          <cell r="C46">
            <v>1088</v>
          </cell>
          <cell r="D46">
            <v>1.4999999999999999E-2</v>
          </cell>
          <cell r="E46">
            <v>10</v>
          </cell>
          <cell r="F46">
            <v>1296.8399999999999</v>
          </cell>
          <cell r="G46">
            <v>1288.19</v>
          </cell>
          <cell r="H46">
            <v>1293.9100000000001</v>
          </cell>
          <cell r="I46">
            <v>1285.22</v>
          </cell>
          <cell r="J46">
            <v>34</v>
          </cell>
          <cell r="K46">
            <v>25.558823529411924</v>
          </cell>
          <cell r="L46" t="str">
            <v xml:space="preserve">Tramos Existentes </v>
          </cell>
          <cell r="M46" t="str">
            <v>Existente</v>
          </cell>
        </row>
        <row r="47">
          <cell r="B47">
            <v>1111</v>
          </cell>
          <cell r="C47">
            <v>1110</v>
          </cell>
          <cell r="D47">
            <v>1.4999999999999999E-2</v>
          </cell>
          <cell r="E47">
            <v>8</v>
          </cell>
          <cell r="F47">
            <v>1291.57</v>
          </cell>
          <cell r="G47">
            <v>1291.18</v>
          </cell>
          <cell r="H47">
            <v>1290.1099999999999</v>
          </cell>
          <cell r="I47">
            <v>1289.24</v>
          </cell>
          <cell r="J47">
            <v>35.299999999999997</v>
          </cell>
          <cell r="K47">
            <v>2.4645892351271699</v>
          </cell>
          <cell r="L47" t="str">
            <v xml:space="preserve">Tramos Existentes </v>
          </cell>
          <cell r="M47" t="str">
            <v>Existente</v>
          </cell>
        </row>
        <row r="48">
          <cell r="B48">
            <v>1101</v>
          </cell>
          <cell r="C48">
            <v>1102</v>
          </cell>
          <cell r="D48">
            <v>1.4999999999999999E-2</v>
          </cell>
          <cell r="E48">
            <v>10</v>
          </cell>
          <cell r="F48">
            <v>1300.8699999999999</v>
          </cell>
          <cell r="G48">
            <v>1299.5999999999999</v>
          </cell>
          <cell r="H48">
            <v>1295.74</v>
          </cell>
          <cell r="I48">
            <v>1294.43</v>
          </cell>
          <cell r="J48">
            <v>25.9</v>
          </cell>
          <cell r="K48">
            <v>5.0579150579148475</v>
          </cell>
          <cell r="L48" t="str">
            <v xml:space="preserve">Tramos Existentes </v>
          </cell>
          <cell r="M48" t="str">
            <v>Existente</v>
          </cell>
        </row>
        <row r="49">
          <cell r="B49">
            <v>1108</v>
          </cell>
          <cell r="C49">
            <v>1107</v>
          </cell>
          <cell r="D49">
            <v>1.4999999999999999E-2</v>
          </cell>
          <cell r="E49">
            <v>8</v>
          </cell>
          <cell r="F49">
            <v>1288.44</v>
          </cell>
          <cell r="G49">
            <v>1289.6400000000001</v>
          </cell>
          <cell r="H49">
            <v>1287.48</v>
          </cell>
          <cell r="I49">
            <v>1287.43</v>
          </cell>
          <cell r="J49">
            <v>20.8</v>
          </cell>
          <cell r="K49">
            <v>0.24038461538439673</v>
          </cell>
          <cell r="L49" t="str">
            <v xml:space="preserve">Tramos Existentes </v>
          </cell>
          <cell r="M49" t="str">
            <v>Existente</v>
          </cell>
        </row>
        <row r="50">
          <cell r="B50">
            <v>141</v>
          </cell>
          <cell r="C50">
            <v>142</v>
          </cell>
          <cell r="D50">
            <v>1.4999999999999999E-2</v>
          </cell>
          <cell r="E50">
            <v>14</v>
          </cell>
          <cell r="F50">
            <v>1260.22</v>
          </cell>
          <cell r="G50">
            <v>1304.44</v>
          </cell>
          <cell r="H50">
            <v>1305.96</v>
          </cell>
          <cell r="I50">
            <v>1299.93</v>
          </cell>
          <cell r="J50">
            <v>64.5</v>
          </cell>
          <cell r="K50">
            <v>9.3488372093022836</v>
          </cell>
          <cell r="L50" t="str">
            <v xml:space="preserve">Tramos Existentes </v>
          </cell>
          <cell r="M50" t="str">
            <v>Existente</v>
          </cell>
        </row>
        <row r="51">
          <cell r="B51">
            <v>142</v>
          </cell>
          <cell r="C51">
            <v>143</v>
          </cell>
          <cell r="D51">
            <v>1.4999999999999999E-2</v>
          </cell>
          <cell r="E51">
            <v>28</v>
          </cell>
          <cell r="F51">
            <v>1304.44</v>
          </cell>
          <cell r="G51">
            <v>1304.3699999999999</v>
          </cell>
          <cell r="H51">
            <v>1299.93</v>
          </cell>
          <cell r="I51">
            <v>1299.3499999999999</v>
          </cell>
          <cell r="J51">
            <v>30.7</v>
          </cell>
          <cell r="K51">
            <v>1.8892508143327511</v>
          </cell>
          <cell r="L51" t="str">
            <v xml:space="preserve">Tramos Existentes </v>
          </cell>
          <cell r="M51" t="str">
            <v>Existente</v>
          </cell>
        </row>
        <row r="52">
          <cell r="B52">
            <v>143</v>
          </cell>
          <cell r="C52">
            <v>144</v>
          </cell>
          <cell r="D52">
            <v>1.4999999999999999E-2</v>
          </cell>
          <cell r="E52">
            <v>28</v>
          </cell>
          <cell r="F52">
            <v>1304.3699999999999</v>
          </cell>
          <cell r="G52">
            <v>1304.72</v>
          </cell>
          <cell r="H52">
            <v>1299.3499999999999</v>
          </cell>
          <cell r="I52">
            <v>1297.8699999999999</v>
          </cell>
          <cell r="J52">
            <v>41.7</v>
          </cell>
          <cell r="K52">
            <v>3.5491606714628734</v>
          </cell>
          <cell r="L52" t="str">
            <v xml:space="preserve">Tramos Existentes </v>
          </cell>
          <cell r="M52" t="str">
            <v>Existente</v>
          </cell>
        </row>
        <row r="53">
          <cell r="B53">
            <v>144</v>
          </cell>
          <cell r="C53">
            <v>147</v>
          </cell>
          <cell r="D53">
            <v>1.4999999999999999E-2</v>
          </cell>
          <cell r="E53">
            <v>16</v>
          </cell>
          <cell r="F53">
            <v>1304.72</v>
          </cell>
          <cell r="G53">
            <v>1303.92</v>
          </cell>
          <cell r="H53">
            <v>1297.8699999999999</v>
          </cell>
          <cell r="I53">
            <v>1296.6099999999999</v>
          </cell>
          <cell r="J53">
            <v>72.099999999999994</v>
          </cell>
          <cell r="K53">
            <v>1.7475728155339683</v>
          </cell>
          <cell r="L53" t="str">
            <v xml:space="preserve">Tramos Existentes </v>
          </cell>
          <cell r="M53" t="str">
            <v>Existente</v>
          </cell>
        </row>
        <row r="54">
          <cell r="B54">
            <v>147</v>
          </cell>
          <cell r="C54">
            <v>148</v>
          </cell>
          <cell r="D54">
            <v>1.4999999999999999E-2</v>
          </cell>
          <cell r="E54">
            <v>28</v>
          </cell>
          <cell r="F54">
            <v>1303.92</v>
          </cell>
          <cell r="G54">
            <v>1303.51</v>
          </cell>
          <cell r="H54">
            <v>1296.6099999999999</v>
          </cell>
          <cell r="I54">
            <v>1294.8</v>
          </cell>
          <cell r="J54">
            <v>26.6</v>
          </cell>
          <cell r="K54">
            <v>6.8045112781952826</v>
          </cell>
          <cell r="L54" t="str">
            <v xml:space="preserve">Tramos Existentes </v>
          </cell>
          <cell r="M54" t="str">
            <v>Existente</v>
          </cell>
        </row>
        <row r="55">
          <cell r="B55">
            <v>148</v>
          </cell>
          <cell r="C55">
            <v>150</v>
          </cell>
          <cell r="D55">
            <v>1.4999999999999999E-2</v>
          </cell>
          <cell r="E55">
            <v>28</v>
          </cell>
          <cell r="F55">
            <v>1303.51</v>
          </cell>
          <cell r="G55">
            <v>1304.57</v>
          </cell>
          <cell r="H55">
            <v>1294.8</v>
          </cell>
          <cell r="I55">
            <v>1294.71</v>
          </cell>
          <cell r="J55">
            <v>46.4</v>
          </cell>
          <cell r="K55">
            <v>0.19396551724120289</v>
          </cell>
          <cell r="L55" t="str">
            <v xml:space="preserve">Tramos Existentes </v>
          </cell>
          <cell r="M55" t="str">
            <v>Existente</v>
          </cell>
        </row>
        <row r="56">
          <cell r="B56">
            <v>150</v>
          </cell>
          <cell r="C56">
            <v>156</v>
          </cell>
          <cell r="D56">
            <v>1.4999999999999999E-2</v>
          </cell>
          <cell r="E56">
            <v>28</v>
          </cell>
          <cell r="F56">
            <v>1304.57</v>
          </cell>
          <cell r="G56">
            <v>1303.54</v>
          </cell>
          <cell r="H56">
            <v>1294.71</v>
          </cell>
          <cell r="I56">
            <v>1293.83</v>
          </cell>
          <cell r="J56">
            <v>75.7</v>
          </cell>
          <cell r="K56">
            <v>1.1624834874506065</v>
          </cell>
          <cell r="L56" t="str">
            <v xml:space="preserve">Tramos Existentes </v>
          </cell>
          <cell r="M56" t="str">
            <v>Existente</v>
          </cell>
        </row>
        <row r="57">
          <cell r="B57">
            <v>1107</v>
          </cell>
          <cell r="C57">
            <v>1116</v>
          </cell>
          <cell r="D57">
            <v>1.4999999999999999E-2</v>
          </cell>
          <cell r="E57">
            <v>8</v>
          </cell>
          <cell r="F57">
            <v>1289.6400000000001</v>
          </cell>
          <cell r="G57">
            <v>1289.31</v>
          </cell>
          <cell r="H57">
            <v>1287.43</v>
          </cell>
          <cell r="I57">
            <v>1287.06</v>
          </cell>
          <cell r="J57">
            <v>24.3</v>
          </cell>
          <cell r="K57">
            <v>1.5226337448564535</v>
          </cell>
          <cell r="L57" t="str">
            <v xml:space="preserve">Tramos Existentes </v>
          </cell>
          <cell r="M57" t="str">
            <v>Existente</v>
          </cell>
        </row>
        <row r="58">
          <cell r="B58">
            <v>111</v>
          </cell>
          <cell r="C58">
            <v>109</v>
          </cell>
          <cell r="D58">
            <v>1.4999999999999999E-2</v>
          </cell>
          <cell r="E58">
            <v>28</v>
          </cell>
          <cell r="F58">
            <v>1301.22</v>
          </cell>
          <cell r="G58">
            <v>1299.9100000000001</v>
          </cell>
          <cell r="H58">
            <v>1293.74</v>
          </cell>
          <cell r="I58">
            <v>1293.69</v>
          </cell>
          <cell r="J58">
            <v>27</v>
          </cell>
          <cell r="K58">
            <v>0.18518518518501675</v>
          </cell>
          <cell r="L58" t="str">
            <v xml:space="preserve">Tramos Existentes </v>
          </cell>
          <cell r="M58" t="str">
            <v>Existente</v>
          </cell>
        </row>
        <row r="59">
          <cell r="B59">
            <v>1106</v>
          </cell>
          <cell r="C59">
            <v>1107</v>
          </cell>
          <cell r="D59">
            <v>1.4999999999999999E-2</v>
          </cell>
          <cell r="E59">
            <v>8</v>
          </cell>
          <cell r="F59">
            <v>1291.55</v>
          </cell>
          <cell r="G59">
            <v>1289.6400000000001</v>
          </cell>
          <cell r="H59">
            <v>1288.95</v>
          </cell>
          <cell r="I59">
            <v>1287.43</v>
          </cell>
          <cell r="J59">
            <v>40.299999999999997</v>
          </cell>
          <cell r="K59">
            <v>3.7717121588088882</v>
          </cell>
          <cell r="L59" t="str">
            <v xml:space="preserve">Tramos Existentes </v>
          </cell>
          <cell r="M59" t="str">
            <v>Existente</v>
          </cell>
        </row>
        <row r="60">
          <cell r="B60">
            <v>1110</v>
          </cell>
          <cell r="C60">
            <v>1108</v>
          </cell>
          <cell r="D60">
            <v>1.4999999999999999E-2</v>
          </cell>
          <cell r="E60">
            <v>8</v>
          </cell>
          <cell r="F60">
            <v>1291.18</v>
          </cell>
          <cell r="G60">
            <v>1288.44</v>
          </cell>
          <cell r="H60">
            <v>1289.24</v>
          </cell>
          <cell r="I60">
            <v>1287.48</v>
          </cell>
          <cell r="J60">
            <v>26.6</v>
          </cell>
          <cell r="K60">
            <v>6.6165413533834245</v>
          </cell>
          <cell r="L60" t="str">
            <v xml:space="preserve">Tramos Existentes </v>
          </cell>
          <cell r="M60" t="str">
            <v>Existente</v>
          </cell>
        </row>
        <row r="61">
          <cell r="B61">
            <v>1112</v>
          </cell>
          <cell r="C61">
            <v>1113</v>
          </cell>
          <cell r="D61">
            <v>1.4999999999999999E-2</v>
          </cell>
          <cell r="E61">
            <v>8</v>
          </cell>
          <cell r="F61">
            <v>1292.3699999999999</v>
          </cell>
          <cell r="G61">
            <v>1292.6099999999999</v>
          </cell>
          <cell r="H61">
            <v>1290.8399999999999</v>
          </cell>
          <cell r="I61">
            <v>1290.6400000000001</v>
          </cell>
          <cell r="J61">
            <v>14.6</v>
          </cell>
          <cell r="K61">
            <v>1.3698630136973844</v>
          </cell>
          <cell r="L61" t="str">
            <v xml:space="preserve">Tramos Existentes </v>
          </cell>
          <cell r="M61" t="str">
            <v>Existente</v>
          </cell>
        </row>
        <row r="62">
          <cell r="B62">
            <v>1113</v>
          </cell>
          <cell r="C62">
            <v>1110</v>
          </cell>
          <cell r="D62">
            <v>1.4999999999999999E-2</v>
          </cell>
          <cell r="E62">
            <v>8</v>
          </cell>
          <cell r="F62">
            <v>1292.6099999999999</v>
          </cell>
          <cell r="G62">
            <v>1291.18</v>
          </cell>
          <cell r="H62">
            <v>1290.6400000000001</v>
          </cell>
          <cell r="I62">
            <v>1289.24</v>
          </cell>
          <cell r="J62">
            <v>29.4</v>
          </cell>
          <cell r="K62">
            <v>4.7619047619050718</v>
          </cell>
          <cell r="L62" t="str">
            <v xml:space="preserve">Tramos Existentes </v>
          </cell>
          <cell r="M62" t="str">
            <v>Existente</v>
          </cell>
        </row>
        <row r="63">
          <cell r="B63">
            <v>1114</v>
          </cell>
          <cell r="C63">
            <v>1113</v>
          </cell>
          <cell r="D63">
            <v>1.4999999999999999E-2</v>
          </cell>
          <cell r="E63">
            <v>8</v>
          </cell>
          <cell r="F63">
            <v>1293.26</v>
          </cell>
          <cell r="G63">
            <v>1292.6099999999999</v>
          </cell>
          <cell r="H63">
            <v>1291.76</v>
          </cell>
          <cell r="I63">
            <v>1290.6400000000001</v>
          </cell>
          <cell r="J63">
            <v>18.3</v>
          </cell>
          <cell r="K63">
            <v>6.1202185792343755</v>
          </cell>
          <cell r="L63" t="str">
            <v xml:space="preserve">Tramos Existentes </v>
          </cell>
          <cell r="M63" t="str">
            <v>Existente</v>
          </cell>
        </row>
        <row r="64">
          <cell r="B64">
            <v>383</v>
          </cell>
          <cell r="C64">
            <v>525</v>
          </cell>
          <cell r="D64">
            <v>1.4999999999999999E-2</v>
          </cell>
          <cell r="E64">
            <v>8</v>
          </cell>
          <cell r="F64">
            <v>1311.18</v>
          </cell>
          <cell r="G64">
            <v>1310.24</v>
          </cell>
          <cell r="H64">
            <v>1309.3699999999999</v>
          </cell>
          <cell r="I64">
            <v>1305.06</v>
          </cell>
          <cell r="J64">
            <v>74.3</v>
          </cell>
          <cell r="K64">
            <v>5.80080753701204</v>
          </cell>
          <cell r="L64" t="str">
            <v xml:space="preserve">Tramos Existentes </v>
          </cell>
          <cell r="M64" t="str">
            <v>Existente</v>
          </cell>
        </row>
        <row r="65">
          <cell r="B65">
            <v>525</v>
          </cell>
          <cell r="C65">
            <v>524</v>
          </cell>
          <cell r="D65">
            <v>1.4999999999999999E-2</v>
          </cell>
          <cell r="E65">
            <v>12</v>
          </cell>
          <cell r="F65">
            <v>1310.24</v>
          </cell>
          <cell r="G65">
            <v>1310.22</v>
          </cell>
          <cell r="H65">
            <v>1305.06</v>
          </cell>
          <cell r="I65">
            <v>1305.01</v>
          </cell>
          <cell r="J65">
            <v>1.6</v>
          </cell>
          <cell r="K65">
            <v>3.1249999999971578</v>
          </cell>
          <cell r="L65" t="str">
            <v xml:space="preserve">Tramos Existentes </v>
          </cell>
          <cell r="M65" t="str">
            <v>Existente</v>
          </cell>
        </row>
        <row r="66">
          <cell r="B66">
            <v>524</v>
          </cell>
          <cell r="C66">
            <v>1122</v>
          </cell>
          <cell r="D66">
            <v>1.4999999999999999E-2</v>
          </cell>
          <cell r="E66">
            <v>12</v>
          </cell>
          <cell r="F66">
            <v>1310.22</v>
          </cell>
          <cell r="G66">
            <v>1309.9000000000001</v>
          </cell>
          <cell r="H66">
            <v>1305.01</v>
          </cell>
          <cell r="I66">
            <v>1304.6600000000001</v>
          </cell>
          <cell r="J66">
            <v>46</v>
          </cell>
          <cell r="K66">
            <v>0.76086956521719362</v>
          </cell>
          <cell r="L66" t="str">
            <v xml:space="preserve">Tramos Existentes </v>
          </cell>
          <cell r="M66" t="str">
            <v>Existente</v>
          </cell>
        </row>
        <row r="67">
          <cell r="B67">
            <v>1122</v>
          </cell>
          <cell r="C67">
            <v>452</v>
          </cell>
          <cell r="D67">
            <v>1.4999999999999999E-2</v>
          </cell>
          <cell r="E67">
            <v>12</v>
          </cell>
          <cell r="F67">
            <v>1309.9000000000001</v>
          </cell>
          <cell r="G67">
            <v>1310</v>
          </cell>
          <cell r="H67">
            <v>1304.6600000000001</v>
          </cell>
          <cell r="I67">
            <v>1303.8499999999999</v>
          </cell>
          <cell r="J67">
            <v>36.700000000000003</v>
          </cell>
          <cell r="K67">
            <v>2.2070844686653208</v>
          </cell>
          <cell r="L67" t="str">
            <v xml:space="preserve">Tramos Existentes </v>
          </cell>
          <cell r="M67" t="str">
            <v>Existente</v>
          </cell>
        </row>
        <row r="68">
          <cell r="B68">
            <v>783</v>
          </cell>
          <cell r="C68">
            <v>784</v>
          </cell>
          <cell r="D68">
            <v>1.4999999999999999E-2</v>
          </cell>
          <cell r="E68">
            <v>10</v>
          </cell>
          <cell r="F68">
            <v>1295.6600000000001</v>
          </cell>
          <cell r="G68">
            <v>1295.1400000000001</v>
          </cell>
          <cell r="H68">
            <v>1293.79</v>
          </cell>
          <cell r="I68">
            <v>1293.24</v>
          </cell>
          <cell r="J68">
            <v>40.5</v>
          </cell>
          <cell r="K68">
            <v>1.3580246913579124</v>
          </cell>
          <cell r="L68" t="str">
            <v xml:space="preserve">Tramos Existentes </v>
          </cell>
          <cell r="M68" t="str">
            <v>Existente</v>
          </cell>
        </row>
        <row r="69">
          <cell r="B69">
            <v>156</v>
          </cell>
          <cell r="C69">
            <v>111</v>
          </cell>
          <cell r="D69">
            <v>1.4999999999999999E-2</v>
          </cell>
          <cell r="E69">
            <v>28</v>
          </cell>
          <cell r="F69">
            <v>1303.54</v>
          </cell>
          <cell r="G69">
            <v>1301.22</v>
          </cell>
          <cell r="H69">
            <v>1293.83</v>
          </cell>
          <cell r="I69">
            <v>1293.74</v>
          </cell>
          <cell r="J69">
            <v>77.599999999999994</v>
          </cell>
          <cell r="K69">
            <v>0.1159793814431935</v>
          </cell>
          <cell r="L69" t="str">
            <v xml:space="preserve">Tramos Existentes </v>
          </cell>
          <cell r="M69" t="str">
            <v>Existente</v>
          </cell>
        </row>
        <row r="70">
          <cell r="B70">
            <v>774</v>
          </cell>
          <cell r="C70">
            <v>776</v>
          </cell>
          <cell r="D70">
            <v>1.4999999999999999E-2</v>
          </cell>
          <cell r="E70">
            <v>16</v>
          </cell>
          <cell r="F70">
            <v>1273.98</v>
          </cell>
          <cell r="G70">
            <v>1267.1500000000001</v>
          </cell>
          <cell r="H70">
            <v>1271.42</v>
          </cell>
          <cell r="I70">
            <v>1262.68</v>
          </cell>
          <cell r="J70">
            <v>34</v>
          </cell>
          <cell r="K70">
            <v>25.705882352941202</v>
          </cell>
          <cell r="L70" t="str">
            <v xml:space="preserve">Tramos Existentes </v>
          </cell>
          <cell r="M70" t="str">
            <v>Existente</v>
          </cell>
        </row>
        <row r="71">
          <cell r="B71">
            <v>568</v>
          </cell>
          <cell r="C71">
            <v>742</v>
          </cell>
          <cell r="D71">
            <v>1.4999999999999999E-2</v>
          </cell>
          <cell r="E71">
            <v>16</v>
          </cell>
          <cell r="F71">
            <v>1323.17</v>
          </cell>
          <cell r="G71">
            <v>1322.28</v>
          </cell>
          <cell r="H71">
            <v>1321.54</v>
          </cell>
          <cell r="I71">
            <v>1320.66</v>
          </cell>
          <cell r="J71">
            <v>17</v>
          </cell>
          <cell r="K71">
            <v>5.1764705882345989</v>
          </cell>
          <cell r="L71" t="str">
            <v xml:space="preserve">Tramos Existentes </v>
          </cell>
          <cell r="M71" t="str">
            <v>Existente</v>
          </cell>
        </row>
        <row r="72">
          <cell r="B72">
            <v>1117</v>
          </cell>
          <cell r="C72">
            <v>1118</v>
          </cell>
          <cell r="D72">
            <v>1.4999999999999999E-2</v>
          </cell>
          <cell r="E72">
            <v>16</v>
          </cell>
          <cell r="F72">
            <v>1280.5999999999999</v>
          </cell>
          <cell r="G72">
            <v>1279.82</v>
          </cell>
          <cell r="H72">
            <v>1275.04</v>
          </cell>
          <cell r="I72">
            <v>1274.97</v>
          </cell>
          <cell r="J72">
            <v>15.2</v>
          </cell>
          <cell r="K72">
            <v>0.4605263157890549</v>
          </cell>
          <cell r="L72" t="str">
            <v xml:space="preserve">Tramos Existentes </v>
          </cell>
          <cell r="M72" t="str">
            <v>Existente</v>
          </cell>
        </row>
        <row r="73">
          <cell r="B73">
            <v>1118</v>
          </cell>
          <cell r="C73">
            <v>1119</v>
          </cell>
          <cell r="D73">
            <v>1.4999999999999999E-2</v>
          </cell>
          <cell r="E73">
            <v>16</v>
          </cell>
          <cell r="F73">
            <v>1279.82</v>
          </cell>
          <cell r="G73">
            <v>1278.8900000000001</v>
          </cell>
          <cell r="H73">
            <v>1274.97</v>
          </cell>
          <cell r="I73">
            <v>1273.04</v>
          </cell>
          <cell r="J73">
            <v>50.1</v>
          </cell>
          <cell r="K73">
            <v>3.8522954091817634</v>
          </cell>
          <cell r="L73" t="str">
            <v xml:space="preserve">Tramos Existentes </v>
          </cell>
          <cell r="M73" t="str">
            <v>Existente</v>
          </cell>
        </row>
        <row r="74">
          <cell r="B74">
            <v>1119</v>
          </cell>
          <cell r="C74">
            <v>1120</v>
          </cell>
          <cell r="D74">
            <v>1.4999999999999999E-2</v>
          </cell>
          <cell r="E74">
            <v>16</v>
          </cell>
          <cell r="F74">
            <v>1278.8900000000001</v>
          </cell>
          <cell r="G74">
            <v>1276.8</v>
          </cell>
          <cell r="H74">
            <v>1273.04</v>
          </cell>
          <cell r="I74">
            <v>1275.7</v>
          </cell>
          <cell r="J74">
            <v>152.19999999999999</v>
          </cell>
          <cell r="K74">
            <v>-1.7477003942181879</v>
          </cell>
          <cell r="L74" t="str">
            <v xml:space="preserve">Tramos Existentes </v>
          </cell>
          <cell r="M74" t="str">
            <v>Existente</v>
          </cell>
        </row>
        <row r="75">
          <cell r="B75">
            <v>1120</v>
          </cell>
          <cell r="C75" t="str">
            <v>D26</v>
          </cell>
          <cell r="D75">
            <v>1.4999999999999999E-2</v>
          </cell>
          <cell r="E75">
            <v>16</v>
          </cell>
          <cell r="F75">
            <v>1276.8</v>
          </cell>
          <cell r="G75">
            <v>1268.8399999999999</v>
          </cell>
          <cell r="H75">
            <v>1275.7</v>
          </cell>
          <cell r="I75">
            <v>1268.8399999999999</v>
          </cell>
          <cell r="J75">
            <v>46.5</v>
          </cell>
          <cell r="K75">
            <v>14.752688172043285</v>
          </cell>
          <cell r="L75" t="str">
            <v>Inhabilitar</v>
          </cell>
          <cell r="M75" t="str">
            <v>Existente</v>
          </cell>
        </row>
        <row r="76">
          <cell r="B76">
            <v>889</v>
          </cell>
          <cell r="C76">
            <v>888</v>
          </cell>
          <cell r="D76">
            <v>1.4999999999999999E-2</v>
          </cell>
          <cell r="E76">
            <v>8</v>
          </cell>
          <cell r="F76">
            <v>1292.3699999999999</v>
          </cell>
          <cell r="G76">
            <v>1292.26</v>
          </cell>
          <cell r="H76">
            <v>1291.68</v>
          </cell>
          <cell r="I76">
            <v>1290.01</v>
          </cell>
          <cell r="J76">
            <v>21.6</v>
          </cell>
          <cell r="K76">
            <v>7.7314814814818185</v>
          </cell>
          <cell r="L76" t="str">
            <v xml:space="preserve">Tramos Existentes </v>
          </cell>
          <cell r="M76" t="str">
            <v>Existente</v>
          </cell>
        </row>
        <row r="77">
          <cell r="B77">
            <v>1104</v>
          </cell>
          <cell r="C77">
            <v>1105</v>
          </cell>
          <cell r="D77">
            <v>1.4999999999999999E-2</v>
          </cell>
          <cell r="E77">
            <v>16</v>
          </cell>
          <cell r="F77">
            <v>1294.54</v>
          </cell>
          <cell r="G77">
            <v>1293.4000000000001</v>
          </cell>
          <cell r="H77">
            <v>1290.72</v>
          </cell>
          <cell r="I77">
            <v>1288.51</v>
          </cell>
          <cell r="J77">
            <v>67.400000000000006</v>
          </cell>
          <cell r="K77">
            <v>3.2789317507418931</v>
          </cell>
          <cell r="L77" t="str">
            <v xml:space="preserve">Tramos Existentes </v>
          </cell>
          <cell r="M77" t="str">
            <v>Existente</v>
          </cell>
        </row>
        <row r="78">
          <cell r="B78">
            <v>1115</v>
          </cell>
          <cell r="C78">
            <v>1116</v>
          </cell>
          <cell r="D78">
            <v>1.4999999999999999E-2</v>
          </cell>
          <cell r="E78">
            <v>16</v>
          </cell>
          <cell r="F78">
            <v>1292.8599999999999</v>
          </cell>
          <cell r="G78">
            <v>1289.31</v>
          </cell>
          <cell r="H78">
            <v>1288.49</v>
          </cell>
          <cell r="I78">
            <v>1287.06</v>
          </cell>
          <cell r="J78">
            <v>29</v>
          </cell>
          <cell r="K78">
            <v>4.9310344827588404</v>
          </cell>
          <cell r="L78" t="str">
            <v xml:space="preserve">Tramos Existentes </v>
          </cell>
          <cell r="M78" t="str">
            <v>Existente</v>
          </cell>
        </row>
        <row r="79">
          <cell r="B79">
            <v>1116</v>
          </cell>
          <cell r="C79">
            <v>1121</v>
          </cell>
          <cell r="D79">
            <v>1.4999999999999999E-2</v>
          </cell>
          <cell r="E79">
            <v>16</v>
          </cell>
          <cell r="F79">
            <v>1289.31</v>
          </cell>
          <cell r="G79">
            <v>1289.5</v>
          </cell>
          <cell r="H79">
            <v>1287.06</v>
          </cell>
          <cell r="I79">
            <v>1287.02</v>
          </cell>
          <cell r="J79">
            <v>16.2</v>
          </cell>
          <cell r="K79">
            <v>0.24691358024668902</v>
          </cell>
          <cell r="L79" t="str">
            <v xml:space="preserve">Tramos Existentes </v>
          </cell>
          <cell r="M79" t="str">
            <v>Existente</v>
          </cell>
        </row>
        <row r="80">
          <cell r="B80">
            <v>1109</v>
          </cell>
          <cell r="C80">
            <v>1108</v>
          </cell>
          <cell r="D80">
            <v>1.4999999999999999E-2</v>
          </cell>
          <cell r="E80">
            <v>8</v>
          </cell>
          <cell r="F80">
            <v>1289.42</v>
          </cell>
          <cell r="G80">
            <v>1288.44</v>
          </cell>
          <cell r="H80">
            <v>1287.8</v>
          </cell>
          <cell r="I80">
            <v>1287.48</v>
          </cell>
          <cell r="J80">
            <v>44</v>
          </cell>
          <cell r="K80">
            <v>0.72727272727258263</v>
          </cell>
          <cell r="L80" t="str">
            <v xml:space="preserve">Tramos Existentes </v>
          </cell>
          <cell r="M80" t="str">
            <v>Existente</v>
          </cell>
        </row>
        <row r="81">
          <cell r="B81">
            <v>775</v>
          </cell>
          <cell r="C81">
            <v>774</v>
          </cell>
          <cell r="D81">
            <v>1.4999999999999999E-2</v>
          </cell>
          <cell r="E81">
            <v>16</v>
          </cell>
          <cell r="F81">
            <v>1287.72</v>
          </cell>
          <cell r="G81">
            <v>1273.98</v>
          </cell>
          <cell r="H81">
            <v>1284.51</v>
          </cell>
          <cell r="I81">
            <v>1271.42</v>
          </cell>
          <cell r="J81">
            <v>37.1</v>
          </cell>
          <cell r="K81">
            <v>35.283018867924305</v>
          </cell>
          <cell r="L81" t="str">
            <v xml:space="preserve">Tramos Existentes </v>
          </cell>
          <cell r="M81" t="str">
            <v>Existente</v>
          </cell>
        </row>
        <row r="82">
          <cell r="B82">
            <v>1102</v>
          </cell>
          <cell r="C82">
            <v>1103</v>
          </cell>
          <cell r="D82">
            <v>1.4999999999999999E-2</v>
          </cell>
          <cell r="E82">
            <v>10</v>
          </cell>
          <cell r="F82">
            <v>1299.5999999999999</v>
          </cell>
          <cell r="G82">
            <v>1287.6400000000001</v>
          </cell>
          <cell r="H82">
            <v>1294.43</v>
          </cell>
          <cell r="I82">
            <v>1282.43</v>
          </cell>
          <cell r="J82">
            <v>33.299999999999997</v>
          </cell>
          <cell r="K82">
            <v>36.036036036036037</v>
          </cell>
          <cell r="L82" t="str">
            <v xml:space="preserve">Tramos Existentes </v>
          </cell>
          <cell r="M82" t="str">
            <v>Existente</v>
          </cell>
        </row>
        <row r="83">
          <cell r="B83">
            <v>776</v>
          </cell>
          <cell r="C83">
            <v>777</v>
          </cell>
          <cell r="D83">
            <v>1.4999999999999999E-2</v>
          </cell>
          <cell r="E83">
            <v>16</v>
          </cell>
          <cell r="F83">
            <v>1267.1500000000001</v>
          </cell>
          <cell r="G83">
            <v>1263.6600000000001</v>
          </cell>
          <cell r="H83">
            <v>1262.68</v>
          </cell>
          <cell r="I83">
            <v>1261.5</v>
          </cell>
          <cell r="J83">
            <v>10.1</v>
          </cell>
          <cell r="K83">
            <v>11.683168316832313</v>
          </cell>
          <cell r="L83" t="str">
            <v xml:space="preserve">Tramos Existentes </v>
          </cell>
          <cell r="M83" t="str">
            <v>Existente</v>
          </cell>
        </row>
        <row r="84">
          <cell r="B84">
            <v>777</v>
          </cell>
          <cell r="C84">
            <v>778</v>
          </cell>
          <cell r="D84">
            <v>1.4999999999999999E-2</v>
          </cell>
          <cell r="E84">
            <v>16</v>
          </cell>
          <cell r="F84">
            <v>1263.6600000000001</v>
          </cell>
          <cell r="G84">
            <v>1260.6400000000001</v>
          </cell>
          <cell r="H84">
            <v>1261.5</v>
          </cell>
          <cell r="I84">
            <v>1257.4100000000001</v>
          </cell>
          <cell r="J84">
            <v>19.899999999999999</v>
          </cell>
          <cell r="K84">
            <v>20.55276381909507</v>
          </cell>
          <cell r="L84" t="str">
            <v xml:space="preserve">Tramos Existentes </v>
          </cell>
          <cell r="M84" t="str">
            <v>Existente</v>
          </cell>
        </row>
        <row r="85">
          <cell r="B85">
            <v>778</v>
          </cell>
          <cell r="C85">
            <v>779</v>
          </cell>
          <cell r="D85">
            <v>1.4999999999999999E-2</v>
          </cell>
          <cell r="E85">
            <v>16</v>
          </cell>
          <cell r="F85">
            <v>1260.6400000000001</v>
          </cell>
          <cell r="G85">
            <v>1256.03</v>
          </cell>
          <cell r="H85">
            <v>1257.4100000000001</v>
          </cell>
          <cell r="I85">
            <v>1252.22</v>
          </cell>
          <cell r="J85">
            <v>20.2</v>
          </cell>
          <cell r="K85">
            <v>25.693069306930965</v>
          </cell>
          <cell r="L85" t="str">
            <v xml:space="preserve">Tramos Existentes </v>
          </cell>
          <cell r="M85" t="str">
            <v>Existente</v>
          </cell>
        </row>
        <row r="86">
          <cell r="B86">
            <v>780</v>
          </cell>
          <cell r="C86">
            <v>841</v>
          </cell>
          <cell r="D86">
            <v>1.4999999999999999E-2</v>
          </cell>
          <cell r="E86">
            <v>14</v>
          </cell>
          <cell r="F86">
            <v>1251.6600000000001</v>
          </cell>
          <cell r="G86">
            <v>1247.49</v>
          </cell>
          <cell r="H86">
            <v>1249.33</v>
          </cell>
          <cell r="I86">
            <v>1245.44</v>
          </cell>
          <cell r="J86">
            <v>10.4</v>
          </cell>
          <cell r="K86">
            <v>37.403846153844924</v>
          </cell>
          <cell r="L86" t="str">
            <v>Inhabilitar</v>
          </cell>
          <cell r="M86" t="str">
            <v>Existente</v>
          </cell>
        </row>
        <row r="87">
          <cell r="B87">
            <v>841</v>
          </cell>
          <cell r="C87" t="str">
            <v>D20</v>
          </cell>
          <cell r="D87">
            <v>1.4999999999999999E-2</v>
          </cell>
          <cell r="E87">
            <v>14</v>
          </cell>
          <cell r="F87">
            <v>1247.49</v>
          </cell>
          <cell r="G87">
            <v>1245.1199999999999</v>
          </cell>
          <cell r="H87">
            <v>1245.44</v>
          </cell>
          <cell r="I87">
            <v>1245.1199999999999</v>
          </cell>
          <cell r="J87">
            <v>4</v>
          </cell>
          <cell r="K87">
            <v>8.0000000000040927</v>
          </cell>
          <cell r="L87" t="str">
            <v>Inhabilitar</v>
          </cell>
          <cell r="M87" t="str">
            <v>Existente</v>
          </cell>
        </row>
        <row r="88">
          <cell r="B88">
            <v>773</v>
          </cell>
          <cell r="C88">
            <v>575</v>
          </cell>
          <cell r="D88">
            <v>1.2999999999999999E-2</v>
          </cell>
          <cell r="E88">
            <v>8</v>
          </cell>
          <cell r="F88">
            <v>1292.8699999999999</v>
          </cell>
          <cell r="G88">
            <v>1292.72</v>
          </cell>
          <cell r="H88">
            <v>1291.73</v>
          </cell>
          <cell r="I88">
            <v>1290.82</v>
          </cell>
          <cell r="J88">
            <v>31.3</v>
          </cell>
          <cell r="K88">
            <v>2.907348242811763</v>
          </cell>
          <cell r="L88" t="str">
            <v xml:space="preserve">Tramos Existentes </v>
          </cell>
          <cell r="M88" t="str">
            <v>Existente</v>
          </cell>
        </row>
        <row r="89">
          <cell r="B89">
            <v>575</v>
          </cell>
          <cell r="C89">
            <v>574</v>
          </cell>
          <cell r="D89">
            <v>1.4999999999999999E-2</v>
          </cell>
          <cell r="E89">
            <v>10</v>
          </cell>
          <cell r="F89">
            <v>1292.72</v>
          </cell>
          <cell r="G89">
            <v>1292.9000000000001</v>
          </cell>
          <cell r="H89">
            <v>1290.82</v>
          </cell>
          <cell r="I89">
            <v>1290.2</v>
          </cell>
          <cell r="J89">
            <v>37.700000000000003</v>
          </cell>
          <cell r="K89">
            <v>1.6445623342172169</v>
          </cell>
          <cell r="L89" t="str">
            <v xml:space="preserve">Tramos Existentes </v>
          </cell>
          <cell r="M89" t="str">
            <v>Existente</v>
          </cell>
        </row>
        <row r="90">
          <cell r="B90">
            <v>574</v>
          </cell>
          <cell r="C90">
            <v>436</v>
          </cell>
          <cell r="D90">
            <v>1.4999999999999999E-2</v>
          </cell>
          <cell r="E90">
            <v>10</v>
          </cell>
          <cell r="F90">
            <v>1292.9000000000001</v>
          </cell>
          <cell r="G90">
            <v>1293.21</v>
          </cell>
          <cell r="H90">
            <v>1290.2</v>
          </cell>
          <cell r="I90">
            <v>1290.1099999999999</v>
          </cell>
          <cell r="J90">
            <v>21.4</v>
          </cell>
          <cell r="K90">
            <v>0.4205607476642314</v>
          </cell>
          <cell r="L90" t="str">
            <v xml:space="preserve">Tramos Existentes </v>
          </cell>
          <cell r="M90" t="str">
            <v>Existente</v>
          </cell>
        </row>
        <row r="91">
          <cell r="B91">
            <v>436</v>
          </cell>
          <cell r="C91">
            <v>1106</v>
          </cell>
          <cell r="D91">
            <v>1.4999999999999999E-2</v>
          </cell>
          <cell r="E91">
            <v>6</v>
          </cell>
          <cell r="F91">
            <v>1293.21</v>
          </cell>
          <cell r="G91">
            <v>1291.55</v>
          </cell>
          <cell r="H91">
            <v>1290.1099999999999</v>
          </cell>
          <cell r="I91">
            <v>1288.95</v>
          </cell>
          <cell r="J91">
            <v>51.3</v>
          </cell>
          <cell r="K91">
            <v>2.2612085769977672</v>
          </cell>
          <cell r="L91" t="str">
            <v xml:space="preserve">Tramos Existentes </v>
          </cell>
          <cell r="M91" t="str">
            <v>Existente</v>
          </cell>
        </row>
        <row r="92">
          <cell r="B92">
            <v>1121</v>
          </cell>
          <cell r="C92">
            <v>775</v>
          </cell>
          <cell r="D92">
            <v>1.4999999999999999E-2</v>
          </cell>
          <cell r="E92">
            <v>16</v>
          </cell>
          <cell r="F92">
            <v>1289.5</v>
          </cell>
          <cell r="G92">
            <v>1287.72</v>
          </cell>
          <cell r="H92">
            <v>1287.02</v>
          </cell>
          <cell r="I92">
            <v>1284.51</v>
          </cell>
          <cell r="J92">
            <v>34.5</v>
          </cell>
          <cell r="K92">
            <v>7.2753623188405534</v>
          </cell>
          <cell r="L92" t="str">
            <v xml:space="preserve">Tramos Existentes </v>
          </cell>
          <cell r="M92" t="str">
            <v>Existente</v>
          </cell>
        </row>
        <row r="93">
          <cell r="B93">
            <v>824</v>
          </cell>
          <cell r="C93">
            <v>976</v>
          </cell>
          <cell r="D93">
            <v>1.4999999999999999E-2</v>
          </cell>
          <cell r="E93">
            <v>12</v>
          </cell>
          <cell r="F93">
            <v>1310.6500000000001</v>
          </cell>
          <cell r="G93">
            <v>1311.88</v>
          </cell>
          <cell r="H93">
            <v>1308.95</v>
          </cell>
          <cell r="I93">
            <v>1308.1099999999999</v>
          </cell>
          <cell r="J93">
            <v>26.8</v>
          </cell>
          <cell r="K93">
            <v>3.1343283582094985</v>
          </cell>
          <cell r="L93" t="str">
            <v xml:space="preserve">Tramos Existentes </v>
          </cell>
          <cell r="M93" t="str">
            <v>Existente</v>
          </cell>
        </row>
        <row r="94">
          <cell r="B94">
            <v>1098</v>
          </cell>
          <cell r="C94">
            <v>1097</v>
          </cell>
          <cell r="D94">
            <v>0.01</v>
          </cell>
          <cell r="E94">
            <v>10</v>
          </cell>
          <cell r="F94">
            <v>1301.19</v>
          </cell>
          <cell r="G94">
            <v>1297.4100000000001</v>
          </cell>
          <cell r="H94">
            <v>1299.3</v>
          </cell>
          <cell r="I94">
            <v>1295.4100000000001</v>
          </cell>
          <cell r="J94">
            <v>31.9</v>
          </cell>
          <cell r="K94">
            <v>12.194357366770761</v>
          </cell>
          <cell r="L94" t="str">
            <v xml:space="preserve">Tramos Existentes </v>
          </cell>
          <cell r="M94" t="str">
            <v>Existente</v>
          </cell>
        </row>
        <row r="95">
          <cell r="B95">
            <v>1097</v>
          </cell>
          <cell r="C95">
            <v>1060</v>
          </cell>
          <cell r="D95">
            <v>0.01</v>
          </cell>
          <cell r="E95">
            <v>10</v>
          </cell>
          <cell r="F95">
            <v>1297.4100000000001</v>
          </cell>
          <cell r="G95">
            <v>1293.8</v>
          </cell>
          <cell r="H95">
            <v>1295.4100000000001</v>
          </cell>
          <cell r="I95">
            <v>1292.8</v>
          </cell>
          <cell r="J95">
            <v>11.6</v>
          </cell>
          <cell r="K95">
            <v>22.500000000001101</v>
          </cell>
          <cell r="L95" t="str">
            <v xml:space="preserve">Tramos Existentes </v>
          </cell>
          <cell r="M95" t="str">
            <v>Existente</v>
          </cell>
        </row>
        <row r="96">
          <cell r="B96">
            <v>1060</v>
          </cell>
          <cell r="C96" t="str">
            <v>D31</v>
          </cell>
          <cell r="D96">
            <v>0.01</v>
          </cell>
          <cell r="E96">
            <v>10</v>
          </cell>
          <cell r="F96">
            <v>1293.8</v>
          </cell>
          <cell r="G96">
            <v>1279.24</v>
          </cell>
          <cell r="H96">
            <v>1292.8</v>
          </cell>
          <cell r="I96">
            <v>1279.24</v>
          </cell>
          <cell r="J96">
            <v>15.3</v>
          </cell>
          <cell r="K96">
            <v>88.627450980391799</v>
          </cell>
          <cell r="L96" t="str">
            <v xml:space="preserve">Tramos Existentes </v>
          </cell>
          <cell r="M96" t="str">
            <v>Existente</v>
          </cell>
        </row>
        <row r="97">
          <cell r="B97">
            <v>921</v>
          </cell>
          <cell r="C97">
            <v>1063</v>
          </cell>
          <cell r="D97">
            <v>1.4999999999999999E-2</v>
          </cell>
          <cell r="E97">
            <v>8</v>
          </cell>
          <cell r="F97">
            <v>1302.83</v>
          </cell>
          <cell r="G97">
            <v>1303.77</v>
          </cell>
          <cell r="H97">
            <v>1301.8699999999999</v>
          </cell>
          <cell r="I97">
            <v>1301.8</v>
          </cell>
          <cell r="J97">
            <v>43</v>
          </cell>
          <cell r="K97">
            <v>0.16279069767427054</v>
          </cell>
          <cell r="L97" t="str">
            <v xml:space="preserve">Tramos Existentes </v>
          </cell>
          <cell r="M97" t="str">
            <v>Existente</v>
          </cell>
        </row>
        <row r="98">
          <cell r="B98">
            <v>1063</v>
          </cell>
          <cell r="C98">
            <v>1062</v>
          </cell>
          <cell r="D98">
            <v>1.4999999999999999E-2</v>
          </cell>
          <cell r="E98">
            <v>8</v>
          </cell>
          <cell r="F98">
            <v>1303.77</v>
          </cell>
          <cell r="G98">
            <v>1303.6400000000001</v>
          </cell>
          <cell r="H98">
            <v>1301.8</v>
          </cell>
          <cell r="I98">
            <v>1301.55</v>
          </cell>
          <cell r="J98">
            <v>4.3</v>
          </cell>
          <cell r="K98">
            <v>5.8139534883720927</v>
          </cell>
          <cell r="L98" t="str">
            <v xml:space="preserve">Renovacion </v>
          </cell>
          <cell r="M98" t="str">
            <v>Existente</v>
          </cell>
        </row>
        <row r="99">
          <cell r="B99">
            <v>1062</v>
          </cell>
          <cell r="C99" t="str">
            <v>AD15</v>
          </cell>
          <cell r="D99">
            <v>1.4999999999999999E-2</v>
          </cell>
          <cell r="E99">
            <v>12</v>
          </cell>
          <cell r="F99">
            <v>1303.6400000000001</v>
          </cell>
          <cell r="G99">
            <v>1294.74</v>
          </cell>
          <cell r="H99">
            <v>1301.55</v>
          </cell>
          <cell r="I99">
            <v>1293.1500000000001</v>
          </cell>
          <cell r="J99">
            <v>44.2</v>
          </cell>
          <cell r="K99">
            <v>19.004524886877519</v>
          </cell>
          <cell r="L99" t="str">
            <v xml:space="preserve">Renovacion </v>
          </cell>
          <cell r="M99" t="str">
            <v>Existente</v>
          </cell>
        </row>
        <row r="100">
          <cell r="B100" t="str">
            <v>AD15</v>
          </cell>
          <cell r="C100">
            <v>997</v>
          </cell>
          <cell r="D100">
            <v>1.4999999999999999E-2</v>
          </cell>
          <cell r="E100">
            <v>10</v>
          </cell>
          <cell r="F100">
            <v>1294.74</v>
          </cell>
          <cell r="G100">
            <v>1289.99</v>
          </cell>
          <cell r="H100">
            <v>1293.1500000000001</v>
          </cell>
          <cell r="I100">
            <v>1283.8900000000001</v>
          </cell>
          <cell r="J100">
            <v>7</v>
          </cell>
          <cell r="K100">
            <v>132.28571428571416</v>
          </cell>
          <cell r="L100" t="str">
            <v xml:space="preserve">Renovacion </v>
          </cell>
          <cell r="M100" t="str">
            <v>Existente</v>
          </cell>
        </row>
        <row r="101">
          <cell r="B101">
            <v>997</v>
          </cell>
          <cell r="C101">
            <v>999</v>
          </cell>
          <cell r="D101">
            <v>1.4999999999999999E-2</v>
          </cell>
          <cell r="E101">
            <v>12</v>
          </cell>
          <cell r="F101">
            <v>1289.99</v>
          </cell>
          <cell r="G101">
            <v>1285.81</v>
          </cell>
          <cell r="H101">
            <v>1283.8900000000001</v>
          </cell>
          <cell r="I101">
            <v>1281.55</v>
          </cell>
          <cell r="J101">
            <v>16.3</v>
          </cell>
          <cell r="K101">
            <v>14.355828220859786</v>
          </cell>
          <cell r="L101" t="str">
            <v xml:space="preserve">Tramos Existentes </v>
          </cell>
          <cell r="M101" t="str">
            <v>Existente</v>
          </cell>
        </row>
        <row r="102">
          <cell r="B102">
            <v>743</v>
          </cell>
          <cell r="C102">
            <v>744</v>
          </cell>
          <cell r="D102">
            <v>1.4999999999999999E-2</v>
          </cell>
          <cell r="E102">
            <v>16</v>
          </cell>
          <cell r="F102">
            <v>1320.93</v>
          </cell>
          <cell r="G102">
            <v>1321.12</v>
          </cell>
          <cell r="H102">
            <v>1319.22</v>
          </cell>
          <cell r="I102">
            <v>1318.02</v>
          </cell>
          <cell r="J102">
            <v>18.5</v>
          </cell>
          <cell r="K102">
            <v>6.4864864864867329</v>
          </cell>
          <cell r="L102" t="str">
            <v xml:space="preserve">Tramos Existentes </v>
          </cell>
          <cell r="M102" t="str">
            <v>Existente</v>
          </cell>
        </row>
        <row r="103">
          <cell r="B103">
            <v>823</v>
          </cell>
          <cell r="C103">
            <v>824</v>
          </cell>
          <cell r="D103">
            <v>1.4999999999999999E-2</v>
          </cell>
          <cell r="E103">
            <v>8</v>
          </cell>
          <cell r="F103">
            <v>1310.3699999999999</v>
          </cell>
          <cell r="G103">
            <v>1310.6500000000001</v>
          </cell>
          <cell r="H103">
            <v>1309.6199999999999</v>
          </cell>
          <cell r="I103">
            <v>1308.95</v>
          </cell>
          <cell r="J103">
            <v>28</v>
          </cell>
          <cell r="K103">
            <v>2.3928571428565908</v>
          </cell>
          <cell r="L103" t="str">
            <v xml:space="preserve">Tramos Existentes </v>
          </cell>
          <cell r="M103" t="str">
            <v>Existente</v>
          </cell>
        </row>
        <row r="104">
          <cell r="B104" t="str">
            <v>921i</v>
          </cell>
          <cell r="C104">
            <v>1064</v>
          </cell>
          <cell r="D104">
            <v>0.01</v>
          </cell>
          <cell r="E104">
            <v>6</v>
          </cell>
          <cell r="F104">
            <v>1302.83</v>
          </cell>
          <cell r="G104">
            <v>1302.1400000000001</v>
          </cell>
          <cell r="H104">
            <v>1301.8800000000001</v>
          </cell>
          <cell r="I104">
            <v>1301.03</v>
          </cell>
          <cell r="J104">
            <v>23.7</v>
          </cell>
          <cell r="K104">
            <v>3.5864978902959344</v>
          </cell>
          <cell r="L104" t="str">
            <v xml:space="preserve">Tramos Existentes </v>
          </cell>
          <cell r="M104" t="str">
            <v>Existente</v>
          </cell>
        </row>
        <row r="105">
          <cell r="B105">
            <v>976</v>
          </cell>
          <cell r="C105">
            <v>974</v>
          </cell>
          <cell r="D105">
            <v>1.4999999999999999E-2</v>
          </cell>
          <cell r="E105">
            <v>12</v>
          </cell>
          <cell r="F105">
            <v>1311.88</v>
          </cell>
          <cell r="G105">
            <v>1311.27</v>
          </cell>
          <cell r="H105">
            <v>1308.1099999999999</v>
          </cell>
          <cell r="I105">
            <v>1306.26</v>
          </cell>
          <cell r="J105">
            <v>23.9</v>
          </cell>
          <cell r="K105">
            <v>7.7405857740581983</v>
          </cell>
          <cell r="L105" t="str">
            <v xml:space="preserve">Tramos Existentes </v>
          </cell>
          <cell r="M105" t="str">
            <v>Existente</v>
          </cell>
        </row>
        <row r="106">
          <cell r="B106">
            <v>1067</v>
          </cell>
          <cell r="C106">
            <v>1066</v>
          </cell>
          <cell r="D106">
            <v>1.4999999999999999E-2</v>
          </cell>
          <cell r="E106">
            <v>12</v>
          </cell>
          <cell r="F106">
            <v>1314.09</v>
          </cell>
          <cell r="G106">
            <v>1314</v>
          </cell>
          <cell r="H106">
            <v>1310.88</v>
          </cell>
          <cell r="I106">
            <v>1307.22</v>
          </cell>
          <cell r="J106">
            <v>30.5</v>
          </cell>
          <cell r="K106">
            <v>12.000000000000268</v>
          </cell>
          <cell r="L106" t="str">
            <v xml:space="preserve">Renovacion </v>
          </cell>
          <cell r="M106" t="str">
            <v>Existente</v>
          </cell>
        </row>
        <row r="107">
          <cell r="B107">
            <v>1066</v>
          </cell>
          <cell r="C107">
            <v>662</v>
          </cell>
          <cell r="D107">
            <v>1.4999999999999999E-2</v>
          </cell>
          <cell r="E107">
            <v>12</v>
          </cell>
          <cell r="F107">
            <v>1314</v>
          </cell>
          <cell r="G107">
            <v>1313.81</v>
          </cell>
          <cell r="H107">
            <v>1307.22</v>
          </cell>
          <cell r="I107">
            <v>1306.78</v>
          </cell>
          <cell r="J107">
            <v>35.200000000000003</v>
          </cell>
          <cell r="K107">
            <v>1.250000000000155</v>
          </cell>
          <cell r="L107" t="str">
            <v xml:space="preserve">Tramos Existentes </v>
          </cell>
          <cell r="M107" t="str">
            <v>Existente</v>
          </cell>
        </row>
        <row r="108">
          <cell r="B108">
            <v>662</v>
          </cell>
          <cell r="C108">
            <v>727</v>
          </cell>
          <cell r="D108">
            <v>1.4999999999999999E-2</v>
          </cell>
          <cell r="E108">
            <v>12</v>
          </cell>
          <cell r="F108">
            <v>1313.81</v>
          </cell>
          <cell r="G108">
            <v>1309.54</v>
          </cell>
          <cell r="H108">
            <v>1306.78</v>
          </cell>
          <cell r="I108">
            <v>1306.53</v>
          </cell>
          <cell r="J108">
            <v>15.4</v>
          </cell>
          <cell r="K108">
            <v>1.6233766233766231</v>
          </cell>
          <cell r="L108" t="str">
            <v xml:space="preserve">Tramos Existentes </v>
          </cell>
          <cell r="M108" t="str">
            <v>Existente</v>
          </cell>
        </row>
        <row r="109">
          <cell r="B109">
            <v>727</v>
          </cell>
          <cell r="C109">
            <v>728</v>
          </cell>
          <cell r="D109">
            <v>0.01</v>
          </cell>
          <cell r="E109">
            <v>12</v>
          </cell>
          <cell r="F109">
            <v>1309.54</v>
          </cell>
          <cell r="G109">
            <v>1309</v>
          </cell>
          <cell r="H109">
            <v>1306.53</v>
          </cell>
          <cell r="I109">
            <v>1305.7</v>
          </cell>
          <cell r="J109">
            <v>28.8</v>
          </cell>
          <cell r="K109">
            <v>2.8819444444441915</v>
          </cell>
          <cell r="L109" t="str">
            <v xml:space="preserve">Tramos Existentes </v>
          </cell>
          <cell r="M109" t="str">
            <v>Existente</v>
          </cell>
        </row>
        <row r="110">
          <cell r="B110">
            <v>728</v>
          </cell>
          <cell r="C110">
            <v>978</v>
          </cell>
          <cell r="D110">
            <v>0.01</v>
          </cell>
          <cell r="E110">
            <v>12</v>
          </cell>
          <cell r="F110">
            <v>1309</v>
          </cell>
          <cell r="G110">
            <v>1308.3399999999999</v>
          </cell>
          <cell r="H110">
            <v>1305.7</v>
          </cell>
          <cell r="I110">
            <v>1305.1500000000001</v>
          </cell>
          <cell r="J110">
            <v>30.3</v>
          </cell>
          <cell r="K110">
            <v>1.8151815181516651</v>
          </cell>
          <cell r="L110" t="str">
            <v xml:space="preserve">Tramos Existentes </v>
          </cell>
          <cell r="M110" t="str">
            <v>Existente</v>
          </cell>
        </row>
        <row r="111">
          <cell r="B111" t="str">
            <v>853i</v>
          </cell>
          <cell r="C111">
            <v>854</v>
          </cell>
          <cell r="D111">
            <v>1.4999999999999999E-2</v>
          </cell>
          <cell r="E111">
            <v>10</v>
          </cell>
          <cell r="F111">
            <v>1315.85</v>
          </cell>
          <cell r="G111">
            <v>1315.19</v>
          </cell>
          <cell r="H111">
            <v>1313.31</v>
          </cell>
          <cell r="I111">
            <v>1313.13</v>
          </cell>
          <cell r="J111">
            <v>79.599999999999994</v>
          </cell>
          <cell r="K111">
            <v>0.226130653266126</v>
          </cell>
          <cell r="L111" t="str">
            <v xml:space="preserve">Tramos Existentes </v>
          </cell>
          <cell r="M111" t="str">
            <v>Existente</v>
          </cell>
        </row>
        <row r="112">
          <cell r="B112">
            <v>854</v>
          </cell>
          <cell r="C112">
            <v>856</v>
          </cell>
          <cell r="D112">
            <v>1.4999999999999999E-2</v>
          </cell>
          <cell r="E112">
            <v>10</v>
          </cell>
          <cell r="F112">
            <v>1315.19</v>
          </cell>
          <cell r="G112">
            <v>1313.36</v>
          </cell>
          <cell r="H112">
            <v>1313.13</v>
          </cell>
          <cell r="I112">
            <v>1311.28</v>
          </cell>
          <cell r="J112">
            <v>21.9</v>
          </cell>
          <cell r="K112">
            <v>8.4474885844755097</v>
          </cell>
          <cell r="L112" t="str">
            <v xml:space="preserve">Tramos Existentes </v>
          </cell>
          <cell r="M112" t="str">
            <v>Existente</v>
          </cell>
        </row>
        <row r="113">
          <cell r="B113">
            <v>856</v>
          </cell>
          <cell r="C113">
            <v>796</v>
          </cell>
          <cell r="D113">
            <v>0.01</v>
          </cell>
          <cell r="E113">
            <v>12</v>
          </cell>
          <cell r="F113">
            <v>1313.36</v>
          </cell>
          <cell r="G113">
            <v>1312.06</v>
          </cell>
          <cell r="H113">
            <v>1311.28</v>
          </cell>
          <cell r="I113">
            <v>1309.6600000000001</v>
          </cell>
          <cell r="J113">
            <v>68.5</v>
          </cell>
          <cell r="K113">
            <v>2.3649635036494758</v>
          </cell>
          <cell r="L113" t="str">
            <v xml:space="preserve">Tramos Existentes </v>
          </cell>
          <cell r="M113" t="str">
            <v>Existente</v>
          </cell>
        </row>
        <row r="114">
          <cell r="B114">
            <v>1065</v>
          </cell>
          <cell r="C114">
            <v>823</v>
          </cell>
          <cell r="D114">
            <v>0.01</v>
          </cell>
          <cell r="E114">
            <v>6</v>
          </cell>
          <cell r="F114">
            <v>1310.3599999999999</v>
          </cell>
          <cell r="G114">
            <v>1310.3699999999999</v>
          </cell>
          <cell r="H114">
            <v>1309.7</v>
          </cell>
          <cell r="I114">
            <v>1309.6199999999999</v>
          </cell>
          <cell r="J114">
            <v>3.2</v>
          </cell>
          <cell r="K114">
            <v>2.5000000000048317</v>
          </cell>
          <cell r="L114" t="str">
            <v xml:space="preserve">Tramos Existentes </v>
          </cell>
          <cell r="M114" t="str">
            <v>Existente</v>
          </cell>
        </row>
        <row r="115">
          <cell r="B115">
            <v>933</v>
          </cell>
          <cell r="C115">
            <v>853</v>
          </cell>
          <cell r="D115">
            <v>1.4999999999999999E-2</v>
          </cell>
          <cell r="E115">
            <v>10</v>
          </cell>
          <cell r="F115">
            <v>1316.77</v>
          </cell>
          <cell r="G115">
            <v>1315.85</v>
          </cell>
          <cell r="H115">
            <v>1315.2</v>
          </cell>
          <cell r="I115">
            <v>1312.57</v>
          </cell>
          <cell r="J115">
            <v>69.7</v>
          </cell>
          <cell r="K115">
            <v>3.773314203730429</v>
          </cell>
          <cell r="L115" t="str">
            <v xml:space="preserve">Tramos Existentes </v>
          </cell>
          <cell r="M115" t="str">
            <v>Existente</v>
          </cell>
        </row>
        <row r="116">
          <cell r="B116">
            <v>252</v>
          </cell>
          <cell r="C116">
            <v>255</v>
          </cell>
          <cell r="D116">
            <v>1.4999999999999999E-2</v>
          </cell>
          <cell r="E116">
            <v>8</v>
          </cell>
          <cell r="F116">
            <v>1309.7</v>
          </cell>
          <cell r="G116">
            <v>1309.75</v>
          </cell>
          <cell r="H116">
            <v>1308.5899999999999</v>
          </cell>
          <cell r="I116">
            <v>1308.32</v>
          </cell>
          <cell r="J116">
            <v>26</v>
          </cell>
          <cell r="K116">
            <v>1.0384615384614686</v>
          </cell>
          <cell r="L116" t="str">
            <v xml:space="preserve">Tramos Existentes </v>
          </cell>
          <cell r="M116" t="str">
            <v>Existente</v>
          </cell>
        </row>
        <row r="117">
          <cell r="B117">
            <v>785</v>
          </cell>
          <cell r="C117">
            <v>786</v>
          </cell>
          <cell r="D117">
            <v>1.4999999999999999E-2</v>
          </cell>
          <cell r="E117">
            <v>8</v>
          </cell>
          <cell r="F117">
            <v>1294.51</v>
          </cell>
          <cell r="G117">
            <v>1292.23</v>
          </cell>
          <cell r="H117">
            <v>1292.5</v>
          </cell>
          <cell r="I117">
            <v>1291.3900000000001</v>
          </cell>
          <cell r="J117">
            <v>108.6</v>
          </cell>
          <cell r="K117">
            <v>1.0220994475137202</v>
          </cell>
          <cell r="L117" t="str">
            <v xml:space="preserve">Tramos Existentes </v>
          </cell>
          <cell r="M117" t="str">
            <v>Existente</v>
          </cell>
        </row>
        <row r="118">
          <cell r="B118">
            <v>786</v>
          </cell>
          <cell r="C118">
            <v>787</v>
          </cell>
          <cell r="D118">
            <v>1.4999999999999999E-2</v>
          </cell>
          <cell r="E118">
            <v>8</v>
          </cell>
          <cell r="F118">
            <v>1292.23</v>
          </cell>
          <cell r="G118">
            <v>1292.6099999999999</v>
          </cell>
          <cell r="H118">
            <v>1291.3900000000001</v>
          </cell>
          <cell r="I118">
            <v>1290.8399999999999</v>
          </cell>
          <cell r="J118">
            <v>46.3</v>
          </cell>
          <cell r="K118">
            <v>1.1879049676029847</v>
          </cell>
          <cell r="L118" t="str">
            <v xml:space="preserve">Tramos Existentes </v>
          </cell>
          <cell r="M118" t="str">
            <v>Existente</v>
          </cell>
        </row>
        <row r="119">
          <cell r="B119">
            <v>787</v>
          </cell>
          <cell r="C119">
            <v>1051</v>
          </cell>
          <cell r="D119">
            <v>1.4999999999999999E-2</v>
          </cell>
          <cell r="E119">
            <v>10</v>
          </cell>
          <cell r="F119">
            <v>1292.6099999999999</v>
          </cell>
          <cell r="G119">
            <v>1290.3499999999999</v>
          </cell>
          <cell r="H119">
            <v>1290.8399999999999</v>
          </cell>
          <cell r="I119">
            <v>1288.83</v>
          </cell>
          <cell r="J119">
            <v>86.9</v>
          </cell>
          <cell r="K119">
            <v>2.3130034522439482</v>
          </cell>
          <cell r="L119" t="str">
            <v xml:space="preserve">Tramos Existentes </v>
          </cell>
          <cell r="M119" t="str">
            <v>Existente</v>
          </cell>
        </row>
        <row r="120">
          <cell r="B120">
            <v>1051</v>
          </cell>
          <cell r="C120">
            <v>1052</v>
          </cell>
          <cell r="D120">
            <v>1.4999999999999999E-2</v>
          </cell>
          <cell r="E120">
            <v>10</v>
          </cell>
          <cell r="F120">
            <v>1290.3499999999999</v>
          </cell>
          <cell r="G120">
            <v>1288.52</v>
          </cell>
          <cell r="H120">
            <v>1288.83</v>
          </cell>
          <cell r="I120">
            <v>1287.08</v>
          </cell>
          <cell r="J120">
            <v>61.7</v>
          </cell>
          <cell r="K120">
            <v>2.8363047001620743</v>
          </cell>
          <cell r="L120" t="str">
            <v xml:space="preserve">Tramos Existentes </v>
          </cell>
          <cell r="M120" t="str">
            <v>Existente</v>
          </cell>
        </row>
        <row r="121">
          <cell r="B121">
            <v>1052</v>
          </cell>
          <cell r="C121">
            <v>1053</v>
          </cell>
          <cell r="D121">
            <v>1.4999999999999999E-2</v>
          </cell>
          <cell r="E121">
            <v>10</v>
          </cell>
          <cell r="F121">
            <v>1288.52</v>
          </cell>
          <cell r="G121">
            <v>1288.4100000000001</v>
          </cell>
          <cell r="H121">
            <v>1287.08</v>
          </cell>
          <cell r="I121">
            <v>1286.8800000000001</v>
          </cell>
          <cell r="J121">
            <v>111.5</v>
          </cell>
          <cell r="K121">
            <v>0.17937219730925391</v>
          </cell>
          <cell r="L121" t="str">
            <v xml:space="preserve">Tramos Existentes </v>
          </cell>
          <cell r="M121" t="str">
            <v>Existente</v>
          </cell>
        </row>
        <row r="122">
          <cell r="B122">
            <v>1053</v>
          </cell>
          <cell r="C122">
            <v>1054</v>
          </cell>
          <cell r="D122">
            <v>1.4999999999999999E-2</v>
          </cell>
          <cell r="E122">
            <v>10</v>
          </cell>
          <cell r="F122">
            <v>1288.4100000000001</v>
          </cell>
          <cell r="G122">
            <v>1285.53</v>
          </cell>
          <cell r="H122">
            <v>1286.8800000000001</v>
          </cell>
          <cell r="I122">
            <v>1283.93</v>
          </cell>
          <cell r="J122">
            <v>87.4</v>
          </cell>
          <cell r="K122">
            <v>3.375286041189983</v>
          </cell>
          <cell r="L122" t="str">
            <v xml:space="preserve">Tramos Existentes </v>
          </cell>
          <cell r="M122" t="str">
            <v>Existente</v>
          </cell>
        </row>
        <row r="123">
          <cell r="B123">
            <v>1054</v>
          </cell>
          <cell r="C123">
            <v>1055</v>
          </cell>
          <cell r="D123">
            <v>1.4999999999999999E-2</v>
          </cell>
          <cell r="E123">
            <v>10</v>
          </cell>
          <cell r="F123">
            <v>1285.53</v>
          </cell>
          <cell r="G123">
            <v>1284.82</v>
          </cell>
          <cell r="H123">
            <v>1283.93</v>
          </cell>
          <cell r="I123">
            <v>1282.52</v>
          </cell>
          <cell r="J123">
            <v>40.299999999999997</v>
          </cell>
          <cell r="K123">
            <v>3.4987593052111214</v>
          </cell>
          <cell r="L123" t="str">
            <v xml:space="preserve">Tramos Existentes </v>
          </cell>
          <cell r="M123" t="str">
            <v>Existente</v>
          </cell>
        </row>
        <row r="124">
          <cell r="B124">
            <v>1055</v>
          </cell>
          <cell r="C124">
            <v>1057</v>
          </cell>
          <cell r="D124">
            <v>1.4999999999999999E-2</v>
          </cell>
          <cell r="E124">
            <v>10</v>
          </cell>
          <cell r="F124">
            <v>1284.82</v>
          </cell>
          <cell r="G124">
            <v>1285.0899999999999</v>
          </cell>
          <cell r="H124">
            <v>1282.52</v>
          </cell>
          <cell r="I124">
            <v>1282.18</v>
          </cell>
          <cell r="J124">
            <v>64.599999999999994</v>
          </cell>
          <cell r="K124">
            <v>0.52631578947355762</v>
          </cell>
          <cell r="L124" t="str">
            <v xml:space="preserve">Tramos Existentes </v>
          </cell>
          <cell r="M124" t="str">
            <v>Existente</v>
          </cell>
        </row>
        <row r="125">
          <cell r="B125">
            <v>922</v>
          </cell>
          <cell r="C125">
            <v>1098</v>
          </cell>
          <cell r="D125">
            <v>1.4999999999999999E-2</v>
          </cell>
          <cell r="E125">
            <v>8</v>
          </cell>
          <cell r="F125">
            <v>1301.8800000000001</v>
          </cell>
          <cell r="G125">
            <v>1301.19</v>
          </cell>
          <cell r="H125">
            <v>1300.03</v>
          </cell>
          <cell r="I125">
            <v>1299.3</v>
          </cell>
          <cell r="J125">
            <v>6.6</v>
          </cell>
          <cell r="K125">
            <v>11.060606060606338</v>
          </cell>
          <cell r="L125" t="str">
            <v xml:space="preserve">Tramos Existentes </v>
          </cell>
          <cell r="M125" t="str">
            <v>Existente</v>
          </cell>
        </row>
        <row r="126">
          <cell r="B126">
            <v>1056</v>
          </cell>
          <cell r="C126" t="str">
            <v>D38</v>
          </cell>
          <cell r="D126">
            <v>1.4999999999999999E-2</v>
          </cell>
          <cell r="E126">
            <v>10</v>
          </cell>
          <cell r="F126">
            <v>1284.2</v>
          </cell>
          <cell r="G126">
            <v>1281.25</v>
          </cell>
          <cell r="H126">
            <v>1281.26</v>
          </cell>
          <cell r="I126">
            <v>1281.25</v>
          </cell>
          <cell r="J126">
            <v>27.7</v>
          </cell>
          <cell r="K126">
            <v>3.6101083032458146E-2</v>
          </cell>
          <cell r="L126" t="str">
            <v xml:space="preserve">Tramos Existentes </v>
          </cell>
          <cell r="M126" t="str">
            <v>Existente</v>
          </cell>
        </row>
        <row r="127">
          <cell r="B127">
            <v>1064</v>
          </cell>
          <cell r="C127">
            <v>922</v>
          </cell>
          <cell r="D127">
            <v>1.4999999999999999E-2</v>
          </cell>
          <cell r="E127">
            <v>8</v>
          </cell>
          <cell r="F127">
            <v>1302.1400000000001</v>
          </cell>
          <cell r="G127">
            <v>1301.8800000000001</v>
          </cell>
          <cell r="H127">
            <v>1301.03</v>
          </cell>
          <cell r="I127">
            <v>1300.03</v>
          </cell>
          <cell r="J127">
            <v>34</v>
          </cell>
          <cell r="K127">
            <v>2.9411764705882351</v>
          </cell>
          <cell r="L127" t="str">
            <v xml:space="preserve">Tramos Existentes </v>
          </cell>
          <cell r="M127" t="str">
            <v>Existente</v>
          </cell>
        </row>
        <row r="128">
          <cell r="B128">
            <v>853</v>
          </cell>
          <cell r="C128">
            <v>851</v>
          </cell>
          <cell r="D128">
            <v>1.4999999999999999E-2</v>
          </cell>
          <cell r="E128">
            <v>10</v>
          </cell>
          <cell r="F128">
            <v>1315.85</v>
          </cell>
          <cell r="G128">
            <v>1311.92</v>
          </cell>
          <cell r="H128">
            <v>1312.57</v>
          </cell>
          <cell r="I128">
            <v>1308.48</v>
          </cell>
          <cell r="J128">
            <v>42.1</v>
          </cell>
          <cell r="K128">
            <v>9.7149643705461237</v>
          </cell>
          <cell r="L128" t="str">
            <v xml:space="preserve">Tramos Existentes </v>
          </cell>
          <cell r="M128" t="str">
            <v>Existente</v>
          </cell>
        </row>
        <row r="129">
          <cell r="B129">
            <v>851</v>
          </cell>
          <cell r="C129">
            <v>1058</v>
          </cell>
          <cell r="D129">
            <v>1.4999999999999999E-2</v>
          </cell>
          <cell r="E129">
            <v>10</v>
          </cell>
          <cell r="F129">
            <v>1311.92</v>
          </cell>
          <cell r="G129">
            <v>1311.88</v>
          </cell>
          <cell r="H129">
            <v>1308.48</v>
          </cell>
          <cell r="I129">
            <v>1308.3900000000001</v>
          </cell>
          <cell r="J129">
            <v>18.100000000000001</v>
          </cell>
          <cell r="K129">
            <v>0.49723756906032118</v>
          </cell>
          <cell r="L129" t="str">
            <v xml:space="preserve">Tramos Existentes </v>
          </cell>
          <cell r="M129" t="str">
            <v>Existente</v>
          </cell>
        </row>
        <row r="130">
          <cell r="B130">
            <v>1058</v>
          </cell>
          <cell r="C130">
            <v>789</v>
          </cell>
          <cell r="D130">
            <v>1.4999999999999999E-2</v>
          </cell>
          <cell r="E130">
            <v>10</v>
          </cell>
          <cell r="F130">
            <v>1311.88</v>
          </cell>
          <cell r="G130">
            <v>1307.8499999999999</v>
          </cell>
          <cell r="H130">
            <v>1308.3900000000001</v>
          </cell>
          <cell r="I130">
            <v>1303.8499999999999</v>
          </cell>
          <cell r="J130">
            <v>13.5</v>
          </cell>
          <cell r="K130">
            <v>33.629629629631047</v>
          </cell>
          <cell r="L130" t="str">
            <v xml:space="preserve">Tramos Existentes </v>
          </cell>
          <cell r="M130" t="str">
            <v>Existente</v>
          </cell>
        </row>
        <row r="131">
          <cell r="B131">
            <v>789</v>
          </cell>
          <cell r="C131">
            <v>696</v>
          </cell>
          <cell r="D131">
            <v>1.4999999999999999E-2</v>
          </cell>
          <cell r="E131">
            <v>10</v>
          </cell>
          <cell r="F131">
            <v>1307.8499999999999</v>
          </cell>
          <cell r="G131">
            <v>1302.32</v>
          </cell>
          <cell r="H131">
            <v>1303.8499999999999</v>
          </cell>
          <cell r="I131">
            <v>1299.3599999999999</v>
          </cell>
          <cell r="J131">
            <v>29.6</v>
          </cell>
          <cell r="K131">
            <v>15.16891891891895</v>
          </cell>
          <cell r="L131" t="str">
            <v xml:space="preserve">Tramos Existentes </v>
          </cell>
          <cell r="M131" t="str">
            <v>Existente</v>
          </cell>
        </row>
        <row r="132">
          <cell r="B132">
            <v>702</v>
          </cell>
          <cell r="C132">
            <v>704</v>
          </cell>
          <cell r="D132">
            <v>1.4999999999999999E-2</v>
          </cell>
          <cell r="E132">
            <v>32</v>
          </cell>
          <cell r="F132">
            <v>1301.99</v>
          </cell>
          <cell r="G132">
            <v>1294.8800000000001</v>
          </cell>
          <cell r="H132">
            <v>1293.02</v>
          </cell>
          <cell r="I132">
            <v>1292.8</v>
          </cell>
          <cell r="J132">
            <v>55</v>
          </cell>
          <cell r="K132">
            <v>0.40000000000004965</v>
          </cell>
          <cell r="L132" t="str">
            <v xml:space="preserve">Tramos Existentes </v>
          </cell>
          <cell r="M132" t="str">
            <v>Existente</v>
          </cell>
        </row>
        <row r="133">
          <cell r="B133">
            <v>704</v>
          </cell>
          <cell r="C133">
            <v>706</v>
          </cell>
          <cell r="D133">
            <v>1.4999999999999999E-2</v>
          </cell>
          <cell r="E133">
            <v>32</v>
          </cell>
          <cell r="F133">
            <v>1294.8800000000001</v>
          </cell>
          <cell r="G133">
            <v>1294.4100000000001</v>
          </cell>
          <cell r="H133">
            <v>1292.8</v>
          </cell>
          <cell r="I133">
            <v>1292.33</v>
          </cell>
          <cell r="J133">
            <v>24.4</v>
          </cell>
          <cell r="K133">
            <v>1.9262295081968333</v>
          </cell>
          <cell r="L133" t="str">
            <v xml:space="preserve">Tramos Existentes </v>
          </cell>
          <cell r="M133" t="str">
            <v>Existente</v>
          </cell>
        </row>
        <row r="134">
          <cell r="B134">
            <v>706</v>
          </cell>
          <cell r="C134">
            <v>705</v>
          </cell>
          <cell r="D134">
            <v>1.4999999999999999E-2</v>
          </cell>
          <cell r="E134">
            <v>32</v>
          </cell>
          <cell r="F134">
            <v>1294.4100000000001</v>
          </cell>
          <cell r="G134">
            <v>1286.1300000000001</v>
          </cell>
          <cell r="H134">
            <v>1292.33</v>
          </cell>
          <cell r="I134">
            <v>1284.26</v>
          </cell>
          <cell r="J134">
            <v>18.7</v>
          </cell>
          <cell r="K134">
            <v>43.155080213903403</v>
          </cell>
          <cell r="L134" t="str">
            <v xml:space="preserve">Tramos Existentes </v>
          </cell>
          <cell r="M134" t="str">
            <v>Existente</v>
          </cell>
        </row>
        <row r="135">
          <cell r="B135">
            <v>705</v>
          </cell>
          <cell r="C135" t="str">
            <v>D12</v>
          </cell>
          <cell r="D135">
            <v>1.4999999999999999E-2</v>
          </cell>
          <cell r="E135">
            <v>32</v>
          </cell>
          <cell r="F135">
            <v>1286.1300000000001</v>
          </cell>
          <cell r="G135">
            <v>1281.69</v>
          </cell>
          <cell r="H135">
            <v>1284.26</v>
          </cell>
          <cell r="I135">
            <v>1281.69</v>
          </cell>
          <cell r="J135">
            <v>29.3</v>
          </cell>
          <cell r="K135">
            <v>8.7713310580202588</v>
          </cell>
          <cell r="L135" t="str">
            <v>Inhabilitar</v>
          </cell>
          <cell r="M135" t="str">
            <v>Existente</v>
          </cell>
        </row>
        <row r="136">
          <cell r="B136">
            <v>799</v>
          </cell>
          <cell r="C136">
            <v>709</v>
          </cell>
          <cell r="D136">
            <v>1.4999999999999999E-2</v>
          </cell>
          <cell r="E136">
            <v>16</v>
          </cell>
          <cell r="F136">
            <v>1292.02</v>
          </cell>
          <cell r="G136">
            <v>1272.48</v>
          </cell>
          <cell r="H136">
            <v>1287.43</v>
          </cell>
          <cell r="I136">
            <v>1269.76</v>
          </cell>
          <cell r="J136">
            <v>66.599999999999994</v>
          </cell>
          <cell r="K136">
            <v>26.531531531531645</v>
          </cell>
          <cell r="L136" t="str">
            <v xml:space="preserve">Tramos Existentes </v>
          </cell>
          <cell r="M136" t="str">
            <v>Existente</v>
          </cell>
        </row>
        <row r="137">
          <cell r="B137">
            <v>1057</v>
          </cell>
          <cell r="C137">
            <v>1056</v>
          </cell>
          <cell r="D137">
            <v>1.4999999999999999E-2</v>
          </cell>
          <cell r="E137">
            <v>10</v>
          </cell>
          <cell r="F137">
            <v>1285.0899999999999</v>
          </cell>
          <cell r="G137">
            <v>1284.2</v>
          </cell>
          <cell r="H137">
            <v>1282.18</v>
          </cell>
          <cell r="I137">
            <v>1281.26</v>
          </cell>
          <cell r="J137">
            <v>72.400000000000006</v>
          </cell>
          <cell r="K137">
            <v>1.2707182320442993</v>
          </cell>
          <cell r="L137" t="str">
            <v xml:space="preserve">Tramos Existentes </v>
          </cell>
          <cell r="M137" t="str">
            <v>Existente</v>
          </cell>
        </row>
        <row r="138">
          <cell r="B138">
            <v>981</v>
          </cell>
          <cell r="C138">
            <v>108</v>
          </cell>
          <cell r="D138">
            <v>1.4999999999999999E-2</v>
          </cell>
          <cell r="E138">
            <v>8</v>
          </cell>
          <cell r="F138">
            <v>1294.44</v>
          </cell>
          <cell r="G138">
            <v>1287.77</v>
          </cell>
          <cell r="H138">
            <v>1291.94</v>
          </cell>
          <cell r="I138">
            <v>1284.2</v>
          </cell>
          <cell r="J138">
            <v>22.3</v>
          </cell>
          <cell r="K138">
            <v>34.708520179372236</v>
          </cell>
          <cell r="L138" t="str">
            <v xml:space="preserve">Tramos Existentes </v>
          </cell>
          <cell r="M138" t="str">
            <v>Existente</v>
          </cell>
        </row>
        <row r="139">
          <cell r="B139">
            <v>796</v>
          </cell>
          <cell r="C139">
            <v>797</v>
          </cell>
          <cell r="D139">
            <v>0.01</v>
          </cell>
          <cell r="E139">
            <v>12</v>
          </cell>
          <cell r="F139">
            <v>1312.06</v>
          </cell>
          <cell r="G139">
            <v>1307.72</v>
          </cell>
          <cell r="H139">
            <v>1309.6600000000001</v>
          </cell>
          <cell r="I139">
            <v>1303.94</v>
          </cell>
          <cell r="J139">
            <v>20.2</v>
          </cell>
          <cell r="K139">
            <v>28.316831683168452</v>
          </cell>
          <cell r="L139" t="str">
            <v xml:space="preserve">Tramos Existentes </v>
          </cell>
          <cell r="M139" t="str">
            <v>Existente</v>
          </cell>
        </row>
        <row r="140">
          <cell r="B140">
            <v>931</v>
          </cell>
          <cell r="C140">
            <v>1077</v>
          </cell>
          <cell r="D140">
            <v>1.4999999999999999E-2</v>
          </cell>
          <cell r="E140">
            <v>12</v>
          </cell>
          <cell r="F140">
            <v>1310.98</v>
          </cell>
          <cell r="G140">
            <v>1309.22</v>
          </cell>
          <cell r="H140">
            <v>1306.01</v>
          </cell>
          <cell r="I140">
            <v>1305.48</v>
          </cell>
          <cell r="J140">
            <v>28.1</v>
          </cell>
          <cell r="K140">
            <v>1.8861209964411838</v>
          </cell>
          <cell r="L140" t="str">
            <v xml:space="preserve">Tramos Existentes </v>
          </cell>
          <cell r="M140" t="str">
            <v>Existente</v>
          </cell>
        </row>
        <row r="141">
          <cell r="B141">
            <v>1077</v>
          </cell>
          <cell r="C141">
            <v>859</v>
          </cell>
          <cell r="D141">
            <v>1.4999999999999999E-2</v>
          </cell>
          <cell r="E141">
            <v>10</v>
          </cell>
          <cell r="F141">
            <v>1309.22</v>
          </cell>
          <cell r="G141">
            <v>1307.8699999999999</v>
          </cell>
          <cell r="H141">
            <v>1305.48</v>
          </cell>
          <cell r="I141">
            <v>1298.1199999999999</v>
          </cell>
          <cell r="J141">
            <v>47.5</v>
          </cell>
          <cell r="K141">
            <v>15.49473684210553</v>
          </cell>
          <cell r="L141" t="str">
            <v xml:space="preserve">Tramos Existentes </v>
          </cell>
          <cell r="M141" t="str">
            <v>Existente</v>
          </cell>
        </row>
        <row r="142">
          <cell r="B142">
            <v>859</v>
          </cell>
          <cell r="C142">
            <v>940</v>
          </cell>
          <cell r="D142">
            <v>1.4999999999999999E-2</v>
          </cell>
          <cell r="E142">
            <v>10</v>
          </cell>
          <cell r="F142">
            <v>1307.8699999999999</v>
          </cell>
          <cell r="G142">
            <v>1295.45</v>
          </cell>
          <cell r="H142">
            <v>1298.1199999999999</v>
          </cell>
          <cell r="I142">
            <v>1285.67</v>
          </cell>
          <cell r="J142">
            <v>24.6</v>
          </cell>
          <cell r="K142">
            <v>50.609756097560229</v>
          </cell>
          <cell r="L142" t="str">
            <v xml:space="preserve">Tramos Existentes </v>
          </cell>
          <cell r="M142" t="str">
            <v>Existente</v>
          </cell>
        </row>
        <row r="143">
          <cell r="B143">
            <v>940</v>
          </cell>
          <cell r="C143">
            <v>653</v>
          </cell>
          <cell r="D143">
            <v>1.4999999999999999E-2</v>
          </cell>
          <cell r="E143">
            <v>18</v>
          </cell>
          <cell r="F143">
            <v>1295.45</v>
          </cell>
          <cell r="G143">
            <v>1275.99</v>
          </cell>
          <cell r="H143">
            <v>1285.67</v>
          </cell>
          <cell r="I143">
            <v>1274.18</v>
          </cell>
          <cell r="J143">
            <v>99.3</v>
          </cell>
          <cell r="K143">
            <v>11.570996978851973</v>
          </cell>
          <cell r="L143" t="str">
            <v xml:space="preserve">Tramos Existentes </v>
          </cell>
          <cell r="M143" t="str">
            <v>Existente</v>
          </cell>
        </row>
        <row r="144">
          <cell r="B144" t="str">
            <v>579i</v>
          </cell>
          <cell r="C144">
            <v>719</v>
          </cell>
          <cell r="D144">
            <v>1.4999999999999999E-2</v>
          </cell>
          <cell r="E144">
            <v>16</v>
          </cell>
          <cell r="F144">
            <v>1315.81</v>
          </cell>
          <cell r="G144">
            <v>1311.44</v>
          </cell>
          <cell r="H144">
            <v>1313.15</v>
          </cell>
          <cell r="I144">
            <v>1307.9100000000001</v>
          </cell>
          <cell r="J144">
            <v>37.5</v>
          </cell>
          <cell r="K144">
            <v>13.973333333333358</v>
          </cell>
          <cell r="L144" t="str">
            <v xml:space="preserve">Tramos Existentes </v>
          </cell>
          <cell r="M144" t="str">
            <v>Existente</v>
          </cell>
        </row>
        <row r="145">
          <cell r="B145">
            <v>719</v>
          </cell>
          <cell r="C145">
            <v>720</v>
          </cell>
          <cell r="D145">
            <v>1.4999999999999999E-2</v>
          </cell>
          <cell r="E145">
            <v>16</v>
          </cell>
          <cell r="F145">
            <v>1311.44</v>
          </cell>
          <cell r="G145">
            <v>1308.43</v>
          </cell>
          <cell r="H145">
            <v>1307.9100000000001</v>
          </cell>
          <cell r="I145">
            <v>1305.52</v>
          </cell>
          <cell r="J145">
            <v>12.9</v>
          </cell>
          <cell r="K145">
            <v>18.527131782946512</v>
          </cell>
          <cell r="L145" t="str">
            <v xml:space="preserve">Tramos Existentes </v>
          </cell>
          <cell r="M145" t="str">
            <v>Existente</v>
          </cell>
        </row>
        <row r="146">
          <cell r="B146">
            <v>720</v>
          </cell>
          <cell r="C146">
            <v>801</v>
          </cell>
          <cell r="D146">
            <v>1.4999999999999999E-2</v>
          </cell>
          <cell r="E146">
            <v>14</v>
          </cell>
          <cell r="F146">
            <v>1308.43</v>
          </cell>
          <cell r="G146">
            <v>1307.6199999999999</v>
          </cell>
          <cell r="H146">
            <v>1305.52</v>
          </cell>
          <cell r="I146">
            <v>1304.68</v>
          </cell>
          <cell r="J146">
            <v>18.8</v>
          </cell>
          <cell r="K146">
            <v>4.4680851063825431</v>
          </cell>
          <cell r="L146" t="str">
            <v xml:space="preserve">Tramos Existentes </v>
          </cell>
          <cell r="M146" t="str">
            <v>Existente</v>
          </cell>
        </row>
        <row r="147">
          <cell r="B147">
            <v>801</v>
          </cell>
          <cell r="C147">
            <v>1079</v>
          </cell>
          <cell r="D147">
            <v>1.4999999999999999E-2</v>
          </cell>
          <cell r="E147">
            <v>12</v>
          </cell>
          <cell r="F147">
            <v>1307.6199999999999</v>
          </cell>
          <cell r="G147">
            <v>1307</v>
          </cell>
          <cell r="H147">
            <v>1304.68</v>
          </cell>
          <cell r="I147">
            <v>1304.08</v>
          </cell>
          <cell r="J147">
            <v>70.599999999999994</v>
          </cell>
          <cell r="K147">
            <v>0.84985835694070322</v>
          </cell>
          <cell r="L147" t="str">
            <v xml:space="preserve">Tramos Existentes </v>
          </cell>
          <cell r="M147" t="str">
            <v>Existente</v>
          </cell>
        </row>
        <row r="148">
          <cell r="B148">
            <v>860</v>
          </cell>
          <cell r="C148">
            <v>1077</v>
          </cell>
          <cell r="D148">
            <v>1.4999999999999999E-2</v>
          </cell>
          <cell r="E148">
            <v>10</v>
          </cell>
          <cell r="F148">
            <v>1308.3800000000001</v>
          </cell>
          <cell r="G148">
            <v>1309.22</v>
          </cell>
          <cell r="H148">
            <v>1305.57</v>
          </cell>
          <cell r="I148">
            <v>1305.48</v>
          </cell>
          <cell r="J148">
            <v>8.1999999999999993</v>
          </cell>
          <cell r="K148">
            <v>1.0975609756087581</v>
          </cell>
          <cell r="L148" t="str">
            <v xml:space="preserve">Tramos Existentes </v>
          </cell>
          <cell r="M148" t="str">
            <v>Existente</v>
          </cell>
        </row>
        <row r="149">
          <cell r="B149">
            <v>334</v>
          </cell>
          <cell r="C149">
            <v>333</v>
          </cell>
          <cell r="D149">
            <v>1.4999999999999999E-2</v>
          </cell>
          <cell r="E149">
            <v>18</v>
          </cell>
          <cell r="F149">
            <v>1302.5899999999999</v>
          </cell>
          <cell r="G149">
            <v>1300.6300000000001</v>
          </cell>
          <cell r="H149">
            <v>1299.6199999999999</v>
          </cell>
          <cell r="I149">
            <v>1299.46</v>
          </cell>
          <cell r="J149">
            <v>47.6</v>
          </cell>
          <cell r="K149">
            <v>0.33613445378120688</v>
          </cell>
          <cell r="L149" t="str">
            <v xml:space="preserve">Tramos Existentes </v>
          </cell>
          <cell r="M149" t="str">
            <v>Existente</v>
          </cell>
        </row>
        <row r="150">
          <cell r="B150">
            <v>1076</v>
          </cell>
          <cell r="C150">
            <v>860</v>
          </cell>
          <cell r="D150">
            <v>1.4999999999999999E-2</v>
          </cell>
          <cell r="E150">
            <v>10</v>
          </cell>
          <cell r="F150">
            <v>1309.1400000000001</v>
          </cell>
          <cell r="G150">
            <v>1308.3800000000001</v>
          </cell>
          <cell r="H150">
            <v>1306.6400000000001</v>
          </cell>
          <cell r="I150">
            <v>1305.57</v>
          </cell>
          <cell r="J150">
            <v>5.0999999999999996</v>
          </cell>
          <cell r="K150">
            <v>20.980392156865957</v>
          </cell>
          <cell r="L150" t="str">
            <v xml:space="preserve">Tramos Existentes </v>
          </cell>
          <cell r="M150" t="str">
            <v>Existente</v>
          </cell>
        </row>
        <row r="151">
          <cell r="B151">
            <v>108</v>
          </cell>
          <cell r="C151">
            <v>982</v>
          </cell>
          <cell r="D151">
            <v>1.4999999999999999E-2</v>
          </cell>
          <cell r="E151">
            <v>24</v>
          </cell>
          <cell r="F151">
            <v>1287.77</v>
          </cell>
          <cell r="G151">
            <v>1283.76</v>
          </cell>
          <cell r="H151">
            <v>1284.2</v>
          </cell>
          <cell r="I151">
            <v>1281.29</v>
          </cell>
          <cell r="J151">
            <v>10.199999999999999</v>
          </cell>
          <cell r="K151">
            <v>28.529411764706687</v>
          </cell>
          <cell r="L151" t="str">
            <v xml:space="preserve">Tramos Existentes </v>
          </cell>
          <cell r="M151" t="str">
            <v>Existente</v>
          </cell>
        </row>
        <row r="152">
          <cell r="B152" t="str">
            <v>878i</v>
          </cell>
          <cell r="C152">
            <v>879</v>
          </cell>
          <cell r="D152">
            <v>1.4999999999999999E-2</v>
          </cell>
          <cell r="E152">
            <v>10</v>
          </cell>
          <cell r="F152">
            <v>1318.61</v>
          </cell>
          <cell r="G152">
            <v>1315.55</v>
          </cell>
          <cell r="H152">
            <v>1316.76</v>
          </cell>
          <cell r="I152">
            <v>1312.85</v>
          </cell>
          <cell r="J152">
            <v>38.5</v>
          </cell>
          <cell r="K152">
            <v>10.155844155844369</v>
          </cell>
          <cell r="L152" t="str">
            <v xml:space="preserve">Tramos Existentes </v>
          </cell>
          <cell r="M152" t="str">
            <v>Existente</v>
          </cell>
        </row>
        <row r="153">
          <cell r="B153">
            <v>879</v>
          </cell>
          <cell r="C153">
            <v>992</v>
          </cell>
          <cell r="D153">
            <v>1.4999999999999999E-2</v>
          </cell>
          <cell r="E153">
            <v>10</v>
          </cell>
          <cell r="F153">
            <v>1315.55</v>
          </cell>
          <cell r="G153">
            <v>1313.22</v>
          </cell>
          <cell r="H153">
            <v>1312.85</v>
          </cell>
          <cell r="I153">
            <v>1309.17</v>
          </cell>
          <cell r="J153">
            <v>35.5</v>
          </cell>
          <cell r="K153">
            <v>10.36619718309813</v>
          </cell>
          <cell r="L153" t="str">
            <v xml:space="preserve">Tramos Existentes </v>
          </cell>
          <cell r="M153" t="str">
            <v>Existente</v>
          </cell>
        </row>
        <row r="154">
          <cell r="B154">
            <v>992</v>
          </cell>
          <cell r="C154">
            <v>1081</v>
          </cell>
          <cell r="D154">
            <v>1.4999999999999999E-2</v>
          </cell>
          <cell r="E154">
            <v>10</v>
          </cell>
          <cell r="F154">
            <v>1313.22</v>
          </cell>
          <cell r="G154">
            <v>1307.97</v>
          </cell>
          <cell r="H154">
            <v>1309.17</v>
          </cell>
          <cell r="I154">
            <v>1303.8800000000001</v>
          </cell>
          <cell r="J154">
            <v>44.3</v>
          </cell>
          <cell r="K154">
            <v>11.941309255078925</v>
          </cell>
          <cell r="L154" t="str">
            <v xml:space="preserve">Tramos Existentes </v>
          </cell>
          <cell r="M154" t="str">
            <v>Existente</v>
          </cell>
        </row>
        <row r="155">
          <cell r="B155">
            <v>1081</v>
          </cell>
          <cell r="C155">
            <v>1080</v>
          </cell>
          <cell r="D155">
            <v>0.01</v>
          </cell>
          <cell r="E155">
            <v>22</v>
          </cell>
          <cell r="F155">
            <v>1307.97</v>
          </cell>
          <cell r="G155">
            <v>1301.49</v>
          </cell>
          <cell r="H155">
            <v>1303.8800000000001</v>
          </cell>
          <cell r="I155">
            <v>1297.3599999999999</v>
          </cell>
          <cell r="J155">
            <v>18.2</v>
          </cell>
          <cell r="K155">
            <v>35.824175824176976</v>
          </cell>
          <cell r="L155" t="str">
            <v xml:space="preserve">Tramos Existentes </v>
          </cell>
          <cell r="M155" t="str">
            <v>Existente</v>
          </cell>
        </row>
        <row r="156">
          <cell r="B156">
            <v>1080</v>
          </cell>
          <cell r="C156">
            <v>993</v>
          </cell>
          <cell r="D156">
            <v>0.01</v>
          </cell>
          <cell r="E156">
            <v>22</v>
          </cell>
          <cell r="F156">
            <v>1301.49</v>
          </cell>
          <cell r="G156">
            <v>1295.44</v>
          </cell>
          <cell r="H156">
            <v>1297.3599999999999</v>
          </cell>
          <cell r="I156">
            <v>1293.28</v>
          </cell>
          <cell r="J156">
            <v>16.8</v>
          </cell>
          <cell r="K156">
            <v>24.285714285713851</v>
          </cell>
          <cell r="L156" t="str">
            <v xml:space="preserve">Tramos Existentes </v>
          </cell>
          <cell r="M156" t="str">
            <v>Existente</v>
          </cell>
        </row>
        <row r="157">
          <cell r="B157">
            <v>993</v>
          </cell>
          <cell r="C157">
            <v>995</v>
          </cell>
          <cell r="D157">
            <v>0.01</v>
          </cell>
          <cell r="E157">
            <v>22</v>
          </cell>
          <cell r="F157">
            <v>1295.44</v>
          </cell>
          <cell r="G157">
            <v>1295.1400000000001</v>
          </cell>
          <cell r="H157">
            <v>1293.28</v>
          </cell>
          <cell r="I157">
            <v>1292.98</v>
          </cell>
          <cell r="J157">
            <v>15.2</v>
          </cell>
          <cell r="K157">
            <v>1.9736842105260166</v>
          </cell>
          <cell r="L157" t="str">
            <v xml:space="preserve">Tramos Existentes </v>
          </cell>
          <cell r="M157" t="str">
            <v>Existente</v>
          </cell>
        </row>
        <row r="158">
          <cell r="B158">
            <v>995</v>
          </cell>
          <cell r="C158">
            <v>711</v>
          </cell>
          <cell r="D158">
            <v>0.01</v>
          </cell>
          <cell r="E158">
            <v>22</v>
          </cell>
          <cell r="F158">
            <v>1295.1400000000001</v>
          </cell>
          <cell r="G158">
            <v>1295.5899999999999</v>
          </cell>
          <cell r="H158">
            <v>1292.98</v>
          </cell>
          <cell r="I158">
            <v>1292.71</v>
          </cell>
          <cell r="J158">
            <v>38.1</v>
          </cell>
          <cell r="K158">
            <v>0.70866141732278687</v>
          </cell>
          <cell r="L158" t="str">
            <v xml:space="preserve">Tramos Existentes </v>
          </cell>
          <cell r="M158" t="str">
            <v>Existente</v>
          </cell>
        </row>
        <row r="159">
          <cell r="B159">
            <v>570</v>
          </cell>
          <cell r="C159">
            <v>568</v>
          </cell>
          <cell r="D159">
            <v>1.4999999999999999E-2</v>
          </cell>
          <cell r="E159">
            <v>8</v>
          </cell>
          <cell r="F159">
            <v>1323.83</v>
          </cell>
          <cell r="G159">
            <v>1323.17</v>
          </cell>
          <cell r="H159">
            <v>1322.25</v>
          </cell>
          <cell r="I159">
            <v>1321.54</v>
          </cell>
          <cell r="J159">
            <v>37</v>
          </cell>
          <cell r="K159">
            <v>1.9189189189190172</v>
          </cell>
          <cell r="L159" t="str">
            <v xml:space="preserve">Tramos Existentes </v>
          </cell>
          <cell r="M159" t="str">
            <v>Existente</v>
          </cell>
        </row>
        <row r="160">
          <cell r="B160">
            <v>1079</v>
          </cell>
          <cell r="C160">
            <v>334</v>
          </cell>
          <cell r="D160">
            <v>1.4999999999999999E-2</v>
          </cell>
          <cell r="E160">
            <v>18</v>
          </cell>
          <cell r="F160">
            <v>1307</v>
          </cell>
          <cell r="G160">
            <v>1302.5899999999999</v>
          </cell>
          <cell r="H160">
            <v>1304.08</v>
          </cell>
          <cell r="I160">
            <v>1299.6199999999999</v>
          </cell>
          <cell r="J160">
            <v>102.7</v>
          </cell>
          <cell r="K160">
            <v>4.3427458617332393</v>
          </cell>
          <cell r="L160" t="str">
            <v xml:space="preserve">Tramos Existentes </v>
          </cell>
          <cell r="M160" t="str">
            <v>Existente</v>
          </cell>
        </row>
        <row r="161">
          <cell r="B161">
            <v>451</v>
          </cell>
          <cell r="C161">
            <v>840</v>
          </cell>
          <cell r="D161">
            <v>1.4999999999999999E-2</v>
          </cell>
          <cell r="E161">
            <v>16</v>
          </cell>
          <cell r="F161">
            <v>1307.22</v>
          </cell>
          <cell r="G161">
            <v>1306.33</v>
          </cell>
          <cell r="H161">
            <v>1303.81</v>
          </cell>
          <cell r="I161">
            <v>1300.3499999999999</v>
          </cell>
          <cell r="J161">
            <v>20.8</v>
          </cell>
          <cell r="K161">
            <v>16.634615384615557</v>
          </cell>
          <cell r="L161" t="str">
            <v xml:space="preserve">Tramos Existentes </v>
          </cell>
          <cell r="M161" t="str">
            <v>Existente</v>
          </cell>
        </row>
        <row r="162">
          <cell r="B162">
            <v>161</v>
          </cell>
          <cell r="C162">
            <v>162</v>
          </cell>
          <cell r="D162">
            <v>0.01</v>
          </cell>
          <cell r="E162">
            <v>4</v>
          </cell>
          <cell r="F162">
            <v>1305</v>
          </cell>
          <cell r="G162">
            <v>1303.28</v>
          </cell>
          <cell r="H162">
            <v>1304.33</v>
          </cell>
          <cell r="I162">
            <v>1302.57</v>
          </cell>
          <cell r="J162">
            <v>17.7</v>
          </cell>
          <cell r="K162">
            <v>9.9435028248587063</v>
          </cell>
          <cell r="L162" t="str">
            <v xml:space="preserve">Tramos Existentes </v>
          </cell>
          <cell r="M162" t="str">
            <v>Existente</v>
          </cell>
        </row>
        <row r="163">
          <cell r="B163">
            <v>1074</v>
          </cell>
          <cell r="C163">
            <v>1073</v>
          </cell>
          <cell r="D163">
            <v>1.4999999999999999E-2</v>
          </cell>
          <cell r="E163">
            <v>12</v>
          </cell>
          <cell r="F163">
            <v>1269.52</v>
          </cell>
          <cell r="G163">
            <v>1262.6099999999999</v>
          </cell>
          <cell r="H163">
            <v>1267.01</v>
          </cell>
          <cell r="I163">
            <v>1260.9000000000001</v>
          </cell>
          <cell r="J163">
            <v>40.9</v>
          </cell>
          <cell r="K163">
            <v>14.938875305623228</v>
          </cell>
          <cell r="L163" t="str">
            <v xml:space="preserve">Tramos Existentes </v>
          </cell>
          <cell r="M163" t="str">
            <v>Existente</v>
          </cell>
        </row>
        <row r="164">
          <cell r="B164">
            <v>1073</v>
          </cell>
          <cell r="C164">
            <v>1069</v>
          </cell>
          <cell r="D164">
            <v>1.4999999999999999E-2</v>
          </cell>
          <cell r="E164">
            <v>12</v>
          </cell>
          <cell r="F164">
            <v>1262.6099999999999</v>
          </cell>
          <cell r="G164">
            <v>1260.82</v>
          </cell>
          <cell r="H164">
            <v>1260.9000000000001</v>
          </cell>
          <cell r="I164">
            <v>1256.01</v>
          </cell>
          <cell r="J164">
            <v>17.100000000000001</v>
          </cell>
          <cell r="K164">
            <v>28.596491228070757</v>
          </cell>
          <cell r="L164" t="str">
            <v xml:space="preserve">Tramos Existentes </v>
          </cell>
          <cell r="M164" t="str">
            <v>Existente</v>
          </cell>
        </row>
        <row r="165">
          <cell r="B165">
            <v>1068</v>
          </cell>
          <cell r="C165" t="str">
            <v>D32</v>
          </cell>
          <cell r="D165">
            <v>1.4999999999999999E-2</v>
          </cell>
          <cell r="E165">
            <v>12</v>
          </cell>
          <cell r="F165">
            <v>1251.29</v>
          </cell>
          <cell r="G165">
            <v>1249.49</v>
          </cell>
          <cell r="H165">
            <v>1249.5999999999999</v>
          </cell>
          <cell r="I165">
            <v>1249.49</v>
          </cell>
          <cell r="J165">
            <v>14.5</v>
          </cell>
          <cell r="K165">
            <v>0.75862068965448248</v>
          </cell>
          <cell r="L165" t="str">
            <v>Inhabilitar</v>
          </cell>
          <cell r="M165" t="str">
            <v>Existente</v>
          </cell>
        </row>
        <row r="166">
          <cell r="B166">
            <v>1070</v>
          </cell>
          <cell r="C166">
            <v>795</v>
          </cell>
          <cell r="D166">
            <v>1.4999999999999999E-2</v>
          </cell>
          <cell r="E166">
            <v>6</v>
          </cell>
          <cell r="F166">
            <v>1266.08</v>
          </cell>
          <cell r="G166">
            <v>1260.99</v>
          </cell>
          <cell r="H166">
            <v>1264.94</v>
          </cell>
          <cell r="I166">
            <v>1259.75</v>
          </cell>
          <cell r="J166">
            <v>27.8</v>
          </cell>
          <cell r="K166">
            <v>18.669064748201635</v>
          </cell>
          <cell r="L166" t="str">
            <v xml:space="preserve">Tramos Existentes </v>
          </cell>
          <cell r="M166" t="str">
            <v>Existente</v>
          </cell>
        </row>
        <row r="167">
          <cell r="B167">
            <v>795</v>
          </cell>
          <cell r="C167">
            <v>794</v>
          </cell>
          <cell r="D167">
            <v>1.4999999999999999E-2</v>
          </cell>
          <cell r="E167">
            <v>8</v>
          </cell>
          <cell r="F167">
            <v>1260.99</v>
          </cell>
          <cell r="G167">
            <v>1259.79</v>
          </cell>
          <cell r="H167">
            <v>1259.75</v>
          </cell>
          <cell r="I167">
            <v>1258.52</v>
          </cell>
          <cell r="J167">
            <v>19.100000000000001</v>
          </cell>
          <cell r="K167">
            <v>6.4397905759163248</v>
          </cell>
          <cell r="L167" t="str">
            <v xml:space="preserve">Tramos Existentes </v>
          </cell>
          <cell r="M167" t="str">
            <v>Existente</v>
          </cell>
        </row>
        <row r="168">
          <cell r="B168">
            <v>794</v>
          </cell>
          <cell r="C168">
            <v>792</v>
          </cell>
          <cell r="D168">
            <v>1.4999999999999999E-2</v>
          </cell>
          <cell r="E168">
            <v>16</v>
          </cell>
          <cell r="F168">
            <v>1259.79</v>
          </cell>
          <cell r="G168">
            <v>1259.3800000000001</v>
          </cell>
          <cell r="H168">
            <v>1258.52</v>
          </cell>
          <cell r="I168">
            <v>1257.9100000000001</v>
          </cell>
          <cell r="J168">
            <v>40</v>
          </cell>
          <cell r="K168">
            <v>1.5249999999997499</v>
          </cell>
          <cell r="L168" t="str">
            <v xml:space="preserve">Tramos Existentes </v>
          </cell>
          <cell r="M168" t="str">
            <v>Existente</v>
          </cell>
        </row>
        <row r="169">
          <cell r="B169">
            <v>792</v>
          </cell>
          <cell r="C169">
            <v>793</v>
          </cell>
          <cell r="D169">
            <v>1.4999999999999999E-2</v>
          </cell>
          <cell r="E169">
            <v>16</v>
          </cell>
          <cell r="F169">
            <v>1259.3800000000001</v>
          </cell>
          <cell r="G169">
            <v>1259.71</v>
          </cell>
          <cell r="H169">
            <v>1257.9100000000001</v>
          </cell>
          <cell r="I169">
            <v>1257.81</v>
          </cell>
          <cell r="J169">
            <v>55.8</v>
          </cell>
          <cell r="K169">
            <v>0.17921146953429468</v>
          </cell>
          <cell r="L169" t="str">
            <v xml:space="preserve">Tramos Existentes </v>
          </cell>
          <cell r="M169" t="str">
            <v>Existente</v>
          </cell>
        </row>
        <row r="170">
          <cell r="B170" t="str">
            <v>1071i</v>
          </cell>
          <cell r="C170">
            <v>522</v>
          </cell>
          <cell r="D170">
            <v>1.4999999999999999E-2</v>
          </cell>
          <cell r="E170">
            <v>8</v>
          </cell>
          <cell r="F170">
            <v>1311.96</v>
          </cell>
          <cell r="G170">
            <v>1310.07</v>
          </cell>
          <cell r="H170">
            <v>1310.3900000000001</v>
          </cell>
          <cell r="I170">
            <v>1307.96</v>
          </cell>
          <cell r="J170">
            <v>52.8</v>
          </cell>
          <cell r="K170">
            <v>4.6022727272728474</v>
          </cell>
          <cell r="L170" t="str">
            <v xml:space="preserve">Tramos Existentes </v>
          </cell>
          <cell r="M170" t="str">
            <v>Existente</v>
          </cell>
        </row>
        <row r="171">
          <cell r="B171">
            <v>932</v>
          </cell>
          <cell r="C171">
            <v>931</v>
          </cell>
          <cell r="D171">
            <v>1.4999999999999999E-2</v>
          </cell>
          <cell r="E171">
            <v>12</v>
          </cell>
          <cell r="F171">
            <v>1316.66</v>
          </cell>
          <cell r="G171">
            <v>1310.98</v>
          </cell>
          <cell r="H171">
            <v>1314.84</v>
          </cell>
          <cell r="I171">
            <v>1306.01</v>
          </cell>
          <cell r="J171">
            <v>70.599999999999994</v>
          </cell>
          <cell r="K171">
            <v>12.507082152974402</v>
          </cell>
          <cell r="L171" t="str">
            <v xml:space="preserve">Tramos Existentes </v>
          </cell>
          <cell r="M171" t="str">
            <v>Existente</v>
          </cell>
        </row>
        <row r="172">
          <cell r="B172">
            <v>1071</v>
          </cell>
          <cell r="C172">
            <v>455</v>
          </cell>
          <cell r="D172">
            <v>1.4999999999999999E-2</v>
          </cell>
          <cell r="E172">
            <v>12</v>
          </cell>
          <cell r="F172">
            <v>1311.96</v>
          </cell>
          <cell r="G172">
            <v>1311.6</v>
          </cell>
          <cell r="H172">
            <v>1310.3800000000001</v>
          </cell>
          <cell r="I172">
            <v>1309.77</v>
          </cell>
          <cell r="J172">
            <v>26.9</v>
          </cell>
          <cell r="K172">
            <v>2.2676579925655291</v>
          </cell>
          <cell r="L172" t="str">
            <v xml:space="preserve">Tramos Existentes </v>
          </cell>
          <cell r="M172" t="str">
            <v>Existente</v>
          </cell>
        </row>
        <row r="173">
          <cell r="B173">
            <v>797</v>
          </cell>
          <cell r="C173">
            <v>798</v>
          </cell>
          <cell r="D173">
            <v>1.4999999999999999E-2</v>
          </cell>
          <cell r="E173">
            <v>12</v>
          </cell>
          <cell r="F173">
            <v>1307.72</v>
          </cell>
          <cell r="G173">
            <v>1293.68</v>
          </cell>
          <cell r="H173">
            <v>1303.94</v>
          </cell>
          <cell r="I173">
            <v>1289.5</v>
          </cell>
          <cell r="J173">
            <v>35.5</v>
          </cell>
          <cell r="K173">
            <v>40.676056338028324</v>
          </cell>
          <cell r="L173" t="str">
            <v xml:space="preserve">Tramos Existentes </v>
          </cell>
          <cell r="M173" t="str">
            <v>Existente</v>
          </cell>
        </row>
        <row r="174">
          <cell r="B174">
            <v>840</v>
          </cell>
          <cell r="C174">
            <v>839</v>
          </cell>
          <cell r="D174">
            <v>1.4999999999999999E-2</v>
          </cell>
          <cell r="E174">
            <v>16</v>
          </cell>
          <cell r="F174">
            <v>1306.33</v>
          </cell>
          <cell r="G174">
            <v>1299.25</v>
          </cell>
          <cell r="H174">
            <v>1300.3499999999999</v>
          </cell>
          <cell r="I174">
            <v>1295.96</v>
          </cell>
          <cell r="J174">
            <v>69.5</v>
          </cell>
          <cell r="K174">
            <v>6.3165467625897449</v>
          </cell>
          <cell r="L174" t="str">
            <v xml:space="preserve">Tramos Existentes </v>
          </cell>
          <cell r="M174" t="str">
            <v>Existente</v>
          </cell>
        </row>
        <row r="175">
          <cell r="B175">
            <v>839</v>
          </cell>
          <cell r="C175">
            <v>837</v>
          </cell>
          <cell r="D175">
            <v>1.4999999999999999E-2</v>
          </cell>
          <cell r="E175">
            <v>16</v>
          </cell>
          <cell r="F175">
            <v>1299.25</v>
          </cell>
          <cell r="G175">
            <v>1295.8599999999999</v>
          </cell>
          <cell r="H175">
            <v>1295.96</v>
          </cell>
          <cell r="I175">
            <v>1293.77</v>
          </cell>
          <cell r="J175">
            <v>74.400000000000006</v>
          </cell>
          <cell r="K175">
            <v>2.9435483870968473</v>
          </cell>
          <cell r="L175" t="str">
            <v xml:space="preserve">Tramos Existentes </v>
          </cell>
          <cell r="M175" t="str">
            <v>Existente</v>
          </cell>
        </row>
        <row r="176">
          <cell r="B176">
            <v>837</v>
          </cell>
          <cell r="C176">
            <v>835</v>
          </cell>
          <cell r="D176">
            <v>1.4999999999999999E-2</v>
          </cell>
          <cell r="E176">
            <v>16</v>
          </cell>
          <cell r="F176">
            <v>1295.8599999999999</v>
          </cell>
          <cell r="G176">
            <v>1294.8599999999999</v>
          </cell>
          <cell r="H176">
            <v>1293.77</v>
          </cell>
          <cell r="I176">
            <v>1292.68</v>
          </cell>
          <cell r="J176">
            <v>65.3</v>
          </cell>
          <cell r="K176">
            <v>1.6692189892801197</v>
          </cell>
          <cell r="L176" t="str">
            <v xml:space="preserve">Tramos Existentes </v>
          </cell>
          <cell r="M176" t="str">
            <v>Existente</v>
          </cell>
        </row>
        <row r="177">
          <cell r="B177">
            <v>1072</v>
          </cell>
          <cell r="C177">
            <v>599</v>
          </cell>
          <cell r="D177">
            <v>1.4999999999999999E-2</v>
          </cell>
          <cell r="E177">
            <v>12</v>
          </cell>
          <cell r="F177">
            <v>1315.16</v>
          </cell>
          <cell r="G177">
            <v>1315.3</v>
          </cell>
          <cell r="H177">
            <v>1312.84</v>
          </cell>
          <cell r="I177">
            <v>1311.83</v>
          </cell>
          <cell r="J177">
            <v>5.3</v>
          </cell>
          <cell r="K177">
            <v>19.056603773584733</v>
          </cell>
          <cell r="L177" t="str">
            <v xml:space="preserve">Renovacion </v>
          </cell>
          <cell r="M177" t="str">
            <v>Existente</v>
          </cell>
        </row>
        <row r="178">
          <cell r="B178">
            <v>599</v>
          </cell>
          <cell r="C178">
            <v>597</v>
          </cell>
          <cell r="D178">
            <v>1.4999999999999999E-2</v>
          </cell>
          <cell r="E178">
            <v>12</v>
          </cell>
          <cell r="F178">
            <v>1315.3</v>
          </cell>
          <cell r="G178">
            <v>1315.87</v>
          </cell>
          <cell r="H178">
            <v>1311.83</v>
          </cell>
          <cell r="I178">
            <v>1311.23</v>
          </cell>
          <cell r="J178">
            <v>24.3</v>
          </cell>
          <cell r="K178">
            <v>2.4691358024687613</v>
          </cell>
          <cell r="L178" t="str">
            <v xml:space="preserve">Renovacion </v>
          </cell>
          <cell r="M178" t="str">
            <v>Existente</v>
          </cell>
        </row>
        <row r="179">
          <cell r="B179">
            <v>597</v>
          </cell>
          <cell r="C179">
            <v>596</v>
          </cell>
          <cell r="D179">
            <v>1.4999999999999999E-2</v>
          </cell>
          <cell r="E179">
            <v>12</v>
          </cell>
          <cell r="F179">
            <v>1315.87</v>
          </cell>
          <cell r="G179">
            <v>1313.92</v>
          </cell>
          <cell r="H179">
            <v>1311.23</v>
          </cell>
          <cell r="I179">
            <v>1308.6400000000001</v>
          </cell>
          <cell r="J179">
            <v>29.2</v>
          </cell>
          <cell r="K179">
            <v>8.8698630136983496</v>
          </cell>
          <cell r="L179" t="str">
            <v xml:space="preserve">Tramos Existentes </v>
          </cell>
          <cell r="M179" t="str">
            <v>Existente</v>
          </cell>
        </row>
        <row r="180">
          <cell r="B180">
            <v>596</v>
          </cell>
          <cell r="C180">
            <v>728</v>
          </cell>
          <cell r="D180">
            <v>0.01</v>
          </cell>
          <cell r="E180">
            <v>12</v>
          </cell>
          <cell r="F180">
            <v>1313.92</v>
          </cell>
          <cell r="G180">
            <v>1309</v>
          </cell>
          <cell r="H180">
            <v>1308.6400000000001</v>
          </cell>
          <cell r="I180">
            <v>1305.7</v>
          </cell>
          <cell r="J180">
            <v>15.7</v>
          </cell>
          <cell r="K180">
            <v>18.726114649681875</v>
          </cell>
          <cell r="L180" t="str">
            <v xml:space="preserve">Tramos Existentes </v>
          </cell>
          <cell r="M180" t="str">
            <v>Existente</v>
          </cell>
        </row>
        <row r="181">
          <cell r="B181">
            <v>85</v>
          </cell>
          <cell r="C181">
            <v>1075</v>
          </cell>
          <cell r="D181">
            <v>1.4999999999999999E-2</v>
          </cell>
          <cell r="E181">
            <v>10</v>
          </cell>
          <cell r="F181">
            <v>1311.93</v>
          </cell>
          <cell r="G181">
            <v>1303.19</v>
          </cell>
          <cell r="H181">
            <v>1309.4100000000001</v>
          </cell>
          <cell r="I181">
            <v>1294.0899999999999</v>
          </cell>
          <cell r="J181">
            <v>47.9</v>
          </cell>
          <cell r="K181">
            <v>31.983298538622474</v>
          </cell>
          <cell r="L181" t="str">
            <v xml:space="preserve">Tramos Existentes </v>
          </cell>
          <cell r="M181" t="str">
            <v>Existente</v>
          </cell>
        </row>
        <row r="182">
          <cell r="B182">
            <v>1075</v>
          </cell>
          <cell r="C182">
            <v>380</v>
          </cell>
          <cell r="D182">
            <v>1.4999999999999999E-2</v>
          </cell>
          <cell r="E182">
            <v>24</v>
          </cell>
          <cell r="F182">
            <v>1303.19</v>
          </cell>
          <cell r="G182">
            <v>1303.8599999999999</v>
          </cell>
          <cell r="H182">
            <v>1294.0899999999999</v>
          </cell>
          <cell r="I182">
            <v>1294.03</v>
          </cell>
          <cell r="J182">
            <v>204.5</v>
          </cell>
          <cell r="K182">
            <v>2.9339853300706813E-2</v>
          </cell>
          <cell r="L182" t="str">
            <v xml:space="preserve">Tramos Existentes </v>
          </cell>
          <cell r="M182" t="str">
            <v>Existente</v>
          </cell>
        </row>
        <row r="183">
          <cell r="B183">
            <v>522</v>
          </cell>
          <cell r="C183">
            <v>452</v>
          </cell>
          <cell r="D183">
            <v>1.4999999999999999E-2</v>
          </cell>
          <cell r="E183">
            <v>12</v>
          </cell>
          <cell r="F183">
            <v>1310.07</v>
          </cell>
          <cell r="G183">
            <v>1310</v>
          </cell>
          <cell r="H183">
            <v>1307.96</v>
          </cell>
          <cell r="I183">
            <v>1303.8499999999999</v>
          </cell>
          <cell r="J183">
            <v>24.3</v>
          </cell>
          <cell r="K183">
            <v>16.913580246914105</v>
          </cell>
          <cell r="L183" t="str">
            <v xml:space="preserve">Tramos Existentes </v>
          </cell>
          <cell r="M183" t="str">
            <v>Existente</v>
          </cell>
        </row>
        <row r="184">
          <cell r="B184" t="str">
            <v>217i</v>
          </cell>
          <cell r="C184">
            <v>805</v>
          </cell>
          <cell r="D184">
            <v>1.4999999999999999E-2</v>
          </cell>
          <cell r="E184">
            <v>16</v>
          </cell>
          <cell r="F184">
            <v>1311.22</v>
          </cell>
          <cell r="G184">
            <v>1305.8</v>
          </cell>
          <cell r="H184">
            <v>1309.33</v>
          </cell>
          <cell r="I184">
            <v>1301.83</v>
          </cell>
          <cell r="J184">
            <v>73.5</v>
          </cell>
          <cell r="K184">
            <v>10.204081632653061</v>
          </cell>
          <cell r="L184" t="str">
            <v xml:space="preserve">Tramos Existentes </v>
          </cell>
          <cell r="M184" t="str">
            <v>Existente</v>
          </cell>
        </row>
        <row r="185">
          <cell r="B185">
            <v>205</v>
          </cell>
          <cell r="C185">
            <v>207</v>
          </cell>
          <cell r="D185">
            <v>1.4999999999999999E-2</v>
          </cell>
          <cell r="E185">
            <v>12</v>
          </cell>
          <cell r="F185">
            <v>1318.96</v>
          </cell>
          <cell r="G185">
            <v>1318.64</v>
          </cell>
          <cell r="H185">
            <v>1317.25</v>
          </cell>
          <cell r="I185">
            <v>1316.4</v>
          </cell>
          <cell r="J185">
            <v>35.299999999999997</v>
          </cell>
          <cell r="K185">
            <v>2.4079320113311873</v>
          </cell>
          <cell r="L185" t="str">
            <v xml:space="preserve">Tramos Existentes </v>
          </cell>
          <cell r="M185" t="str">
            <v>Existente</v>
          </cell>
        </row>
        <row r="186">
          <cell r="B186">
            <v>206</v>
          </cell>
          <cell r="C186">
            <v>914</v>
          </cell>
          <cell r="D186">
            <v>1.4999999999999999E-2</v>
          </cell>
          <cell r="E186">
            <v>12</v>
          </cell>
          <cell r="F186">
            <v>1319.04</v>
          </cell>
          <cell r="G186">
            <v>1318.92</v>
          </cell>
          <cell r="H186">
            <v>1317.58</v>
          </cell>
          <cell r="I186">
            <v>1316.21</v>
          </cell>
          <cell r="J186">
            <v>69.599999999999994</v>
          </cell>
          <cell r="K186">
            <v>1.9683908045975445</v>
          </cell>
          <cell r="L186" t="str">
            <v xml:space="preserve">Tramos Existentes </v>
          </cell>
          <cell r="M186" t="str">
            <v>Existente</v>
          </cell>
        </row>
        <row r="187">
          <cell r="B187">
            <v>914</v>
          </cell>
          <cell r="C187">
            <v>903</v>
          </cell>
          <cell r="D187">
            <v>1.4999999999999999E-2</v>
          </cell>
          <cell r="E187">
            <v>12</v>
          </cell>
          <cell r="F187">
            <v>1318.92</v>
          </cell>
          <cell r="G187">
            <v>1319.13</v>
          </cell>
          <cell r="H187">
            <v>1316.21</v>
          </cell>
          <cell r="I187">
            <v>1315.2</v>
          </cell>
          <cell r="J187">
            <v>43.3</v>
          </cell>
          <cell r="K187">
            <v>2.332563510392589</v>
          </cell>
          <cell r="L187" t="str">
            <v xml:space="preserve">Tramos Existentes </v>
          </cell>
          <cell r="M187" t="str">
            <v>Existente</v>
          </cell>
        </row>
        <row r="188">
          <cell r="B188">
            <v>903</v>
          </cell>
          <cell r="C188">
            <v>906</v>
          </cell>
          <cell r="D188">
            <v>1.4999999999999999E-2</v>
          </cell>
          <cell r="E188">
            <v>12</v>
          </cell>
          <cell r="F188">
            <v>1319.13</v>
          </cell>
          <cell r="G188">
            <v>1320.61</v>
          </cell>
          <cell r="H188">
            <v>1315.2</v>
          </cell>
          <cell r="I188">
            <v>1313.27</v>
          </cell>
          <cell r="J188">
            <v>45.1</v>
          </cell>
          <cell r="K188">
            <v>4.2793791574280791</v>
          </cell>
          <cell r="L188" t="str">
            <v xml:space="preserve">Tramos Existentes </v>
          </cell>
          <cell r="M188" t="str">
            <v>Existente</v>
          </cell>
        </row>
        <row r="189">
          <cell r="B189">
            <v>210</v>
          </cell>
          <cell r="C189">
            <v>211</v>
          </cell>
          <cell r="D189">
            <v>1.4999999999999999E-2</v>
          </cell>
          <cell r="E189">
            <v>12</v>
          </cell>
          <cell r="F189">
            <v>1318.42</v>
          </cell>
          <cell r="G189">
            <v>1315.61</v>
          </cell>
          <cell r="H189">
            <v>1317.14</v>
          </cell>
          <cell r="I189">
            <v>1313.94</v>
          </cell>
          <cell r="J189">
            <v>73</v>
          </cell>
          <cell r="K189">
            <v>4.3835616438356793</v>
          </cell>
          <cell r="L189" t="str">
            <v xml:space="preserve">Tramos Existentes </v>
          </cell>
          <cell r="M189" t="str">
            <v>Existente</v>
          </cell>
        </row>
        <row r="190">
          <cell r="B190">
            <v>211</v>
          </cell>
          <cell r="C190">
            <v>213</v>
          </cell>
          <cell r="D190">
            <v>1.4999999999999999E-2</v>
          </cell>
          <cell r="E190">
            <v>12</v>
          </cell>
          <cell r="F190">
            <v>1315.61</v>
          </cell>
          <cell r="G190">
            <v>1315.51</v>
          </cell>
          <cell r="H190">
            <v>1313.94</v>
          </cell>
          <cell r="I190">
            <v>1313.61</v>
          </cell>
          <cell r="J190">
            <v>23.1</v>
          </cell>
          <cell r="K190">
            <v>1.4285714285720978</v>
          </cell>
          <cell r="L190" t="str">
            <v xml:space="preserve">Tramos Existentes </v>
          </cell>
          <cell r="M190" t="str">
            <v>Existente</v>
          </cell>
        </row>
        <row r="191">
          <cell r="B191">
            <v>213</v>
          </cell>
          <cell r="C191">
            <v>214</v>
          </cell>
          <cell r="D191">
            <v>1.4999999999999999E-2</v>
          </cell>
          <cell r="E191">
            <v>12</v>
          </cell>
          <cell r="F191">
            <v>1315.51</v>
          </cell>
          <cell r="G191">
            <v>1315.68</v>
          </cell>
          <cell r="H191">
            <v>1313.61</v>
          </cell>
          <cell r="I191">
            <v>1312.27</v>
          </cell>
          <cell r="J191">
            <v>53</v>
          </cell>
          <cell r="K191">
            <v>2.5283018867922986</v>
          </cell>
          <cell r="L191" t="str">
            <v xml:space="preserve">Tramos Existentes </v>
          </cell>
          <cell r="M191" t="str">
            <v>Existente</v>
          </cell>
        </row>
        <row r="192">
          <cell r="B192">
            <v>212</v>
          </cell>
          <cell r="C192">
            <v>658</v>
          </cell>
          <cell r="D192">
            <v>1.4999999999999999E-2</v>
          </cell>
          <cell r="E192">
            <v>12</v>
          </cell>
          <cell r="F192">
            <v>1315</v>
          </cell>
          <cell r="G192">
            <v>1313.47</v>
          </cell>
          <cell r="H192">
            <v>1313.24</v>
          </cell>
          <cell r="I192">
            <v>1310.17</v>
          </cell>
          <cell r="J192">
            <v>46.8</v>
          </cell>
          <cell r="K192">
            <v>6.5598290598289237</v>
          </cell>
          <cell r="L192" t="str">
            <v xml:space="preserve">Tramos Existentes </v>
          </cell>
          <cell r="M192" t="str">
            <v>Existente</v>
          </cell>
        </row>
        <row r="193">
          <cell r="B193" t="str">
            <v>185i</v>
          </cell>
          <cell r="C193">
            <v>184</v>
          </cell>
          <cell r="D193">
            <v>1.4999999999999999E-2</v>
          </cell>
          <cell r="E193">
            <v>12</v>
          </cell>
          <cell r="F193">
            <v>1302.43</v>
          </cell>
          <cell r="G193">
            <v>1296.22</v>
          </cell>
          <cell r="H193">
            <v>1300.81</v>
          </cell>
          <cell r="I193">
            <v>1290.92</v>
          </cell>
          <cell r="J193">
            <v>43.3</v>
          </cell>
          <cell r="K193">
            <v>22.840646651269918</v>
          </cell>
          <cell r="L193" t="str">
            <v xml:space="preserve">Tramos Existentes </v>
          </cell>
          <cell r="M193" t="str">
            <v>Existente</v>
          </cell>
        </row>
        <row r="194">
          <cell r="B194">
            <v>790</v>
          </cell>
          <cell r="C194">
            <v>789</v>
          </cell>
          <cell r="D194">
            <v>1.4999999999999999E-2</v>
          </cell>
          <cell r="E194">
            <v>12</v>
          </cell>
          <cell r="F194">
            <v>1311.18</v>
          </cell>
          <cell r="G194">
            <v>1307.8499999999999</v>
          </cell>
          <cell r="H194">
            <v>1306.98</v>
          </cell>
          <cell r="I194">
            <v>1303.8499999999999</v>
          </cell>
          <cell r="J194">
            <v>26.9</v>
          </cell>
          <cell r="K194">
            <v>11.635687732342413</v>
          </cell>
          <cell r="L194" t="str">
            <v xml:space="preserve">Tramos Existentes </v>
          </cell>
          <cell r="M194" t="str">
            <v>Existente</v>
          </cell>
        </row>
        <row r="195">
          <cell r="B195" t="str">
            <v>205i</v>
          </cell>
          <cell r="C195">
            <v>204</v>
          </cell>
          <cell r="D195">
            <v>1.4999999999999999E-2</v>
          </cell>
          <cell r="E195">
            <v>12</v>
          </cell>
          <cell r="F195">
            <v>1318.96</v>
          </cell>
          <cell r="G195">
            <v>1317.32</v>
          </cell>
          <cell r="H195">
            <v>1317.29</v>
          </cell>
          <cell r="I195">
            <v>1314.61</v>
          </cell>
          <cell r="J195">
            <v>37.9</v>
          </cell>
          <cell r="K195">
            <v>7.0712401055410652</v>
          </cell>
          <cell r="L195" t="str">
            <v xml:space="preserve">Tramos Existentes </v>
          </cell>
          <cell r="M195" t="str">
            <v>Existente</v>
          </cell>
        </row>
        <row r="196">
          <cell r="B196">
            <v>805</v>
          </cell>
          <cell r="C196">
            <v>142</v>
          </cell>
          <cell r="D196">
            <v>1.4999999999999999E-2</v>
          </cell>
          <cell r="E196">
            <v>28</v>
          </cell>
          <cell r="F196">
            <v>1305.8</v>
          </cell>
          <cell r="G196">
            <v>1304.44</v>
          </cell>
          <cell r="H196">
            <v>1301.83</v>
          </cell>
          <cell r="I196">
            <v>1299.93</v>
          </cell>
          <cell r="J196">
            <v>71.8</v>
          </cell>
          <cell r="K196">
            <v>2.6462395543173587</v>
          </cell>
          <cell r="L196" t="str">
            <v xml:space="preserve">Tramos Existentes </v>
          </cell>
          <cell r="M196" t="str">
            <v>Existente</v>
          </cell>
        </row>
        <row r="197">
          <cell r="B197" t="str">
            <v>655i</v>
          </cell>
          <cell r="C197">
            <v>217</v>
          </cell>
          <cell r="D197">
            <v>1.4999999999999999E-2</v>
          </cell>
          <cell r="E197">
            <v>12</v>
          </cell>
          <cell r="F197">
            <v>1315.43</v>
          </cell>
          <cell r="G197">
            <v>1311.22</v>
          </cell>
          <cell r="H197">
            <v>1313.87</v>
          </cell>
          <cell r="I197">
            <v>1308.8599999999999</v>
          </cell>
          <cell r="J197">
            <v>72.900000000000006</v>
          </cell>
          <cell r="K197">
            <v>6.8724279835390814</v>
          </cell>
          <cell r="L197" t="str">
            <v xml:space="preserve">Tramos Existentes </v>
          </cell>
          <cell r="M197" t="str">
            <v>Existente</v>
          </cell>
        </row>
        <row r="198">
          <cell r="B198">
            <v>217</v>
          </cell>
          <cell r="C198">
            <v>99</v>
          </cell>
          <cell r="D198">
            <v>0.01</v>
          </cell>
          <cell r="E198">
            <v>24</v>
          </cell>
          <cell r="F198">
            <v>1311.22</v>
          </cell>
          <cell r="G198">
            <v>1310.6600000000001</v>
          </cell>
          <cell r="H198">
            <v>1308.8599999999999</v>
          </cell>
          <cell r="I198">
            <v>1307.5999999999999</v>
          </cell>
          <cell r="J198">
            <v>72</v>
          </cell>
          <cell r="K198">
            <v>1.7499999999999873</v>
          </cell>
          <cell r="L198" t="str">
            <v xml:space="preserve">Tramos Existentes </v>
          </cell>
          <cell r="M198" t="str">
            <v>Existente</v>
          </cell>
        </row>
        <row r="199">
          <cell r="B199">
            <v>218</v>
          </cell>
          <cell r="C199">
            <v>219</v>
          </cell>
          <cell r="D199">
            <v>1.4999999999999999E-2</v>
          </cell>
          <cell r="E199">
            <v>12</v>
          </cell>
          <cell r="F199">
            <v>1311.77</v>
          </cell>
          <cell r="G199">
            <v>1311.74</v>
          </cell>
          <cell r="H199">
            <v>1310.72</v>
          </cell>
          <cell r="I199">
            <v>1309.33</v>
          </cell>
          <cell r="J199">
            <v>49</v>
          </cell>
          <cell r="K199">
            <v>2.8367346938777551</v>
          </cell>
          <cell r="L199" t="str">
            <v xml:space="preserve">Tramos Existentes </v>
          </cell>
          <cell r="M199" t="str">
            <v>Existente</v>
          </cell>
        </row>
        <row r="200">
          <cell r="B200">
            <v>219</v>
          </cell>
          <cell r="C200">
            <v>722</v>
          </cell>
          <cell r="D200">
            <v>1.4999999999999999E-2</v>
          </cell>
          <cell r="E200">
            <v>12</v>
          </cell>
          <cell r="F200">
            <v>1311.74</v>
          </cell>
          <cell r="G200">
            <v>1311.74</v>
          </cell>
          <cell r="H200">
            <v>1309.33</v>
          </cell>
          <cell r="I200">
            <v>1308.74</v>
          </cell>
          <cell r="J200">
            <v>27.8</v>
          </cell>
          <cell r="K200">
            <v>2.122302158273087</v>
          </cell>
          <cell r="L200" t="str">
            <v xml:space="preserve">Tramos Existentes </v>
          </cell>
          <cell r="M200" t="str">
            <v>Existente</v>
          </cell>
        </row>
        <row r="201">
          <cell r="B201">
            <v>722</v>
          </cell>
          <cell r="C201">
            <v>723</v>
          </cell>
          <cell r="D201">
            <v>1.4999999999999999E-2</v>
          </cell>
          <cell r="E201">
            <v>12</v>
          </cell>
          <cell r="F201">
            <v>1311.74</v>
          </cell>
          <cell r="G201">
            <v>1311.78</v>
          </cell>
          <cell r="H201">
            <v>1308.74</v>
          </cell>
          <cell r="I201">
            <v>1308.3900000000001</v>
          </cell>
          <cell r="J201">
            <v>29.4</v>
          </cell>
          <cell r="K201">
            <v>1.1904761904758812</v>
          </cell>
          <cell r="L201" t="str">
            <v xml:space="preserve">Tramos Existentes </v>
          </cell>
          <cell r="M201" t="str">
            <v>Existente</v>
          </cell>
        </row>
        <row r="202">
          <cell r="B202">
            <v>723</v>
          </cell>
          <cell r="C202">
            <v>725</v>
          </cell>
          <cell r="D202">
            <v>1.4999999999999999E-2</v>
          </cell>
          <cell r="E202">
            <v>12</v>
          </cell>
          <cell r="F202">
            <v>1311.78</v>
          </cell>
          <cell r="G202">
            <v>1311.77</v>
          </cell>
          <cell r="H202">
            <v>1308.3900000000001</v>
          </cell>
          <cell r="I202">
            <v>1307.83</v>
          </cell>
          <cell r="J202">
            <v>27.1</v>
          </cell>
          <cell r="K202">
            <v>2.0664206642072793</v>
          </cell>
          <cell r="L202" t="str">
            <v xml:space="preserve">Tramos Existentes </v>
          </cell>
          <cell r="M202" t="str">
            <v>Existente</v>
          </cell>
        </row>
        <row r="203">
          <cell r="B203">
            <v>725</v>
          </cell>
          <cell r="C203">
            <v>726</v>
          </cell>
          <cell r="D203">
            <v>1.4999999999999999E-2</v>
          </cell>
          <cell r="E203">
            <v>12</v>
          </cell>
          <cell r="F203">
            <v>1311.77</v>
          </cell>
          <cell r="G203">
            <v>1312.28</v>
          </cell>
          <cell r="H203">
            <v>1307.83</v>
          </cell>
          <cell r="I203">
            <v>1307.6600000000001</v>
          </cell>
          <cell r="J203">
            <v>31.4</v>
          </cell>
          <cell r="K203">
            <v>0.54140127388485793</v>
          </cell>
          <cell r="L203" t="str">
            <v xml:space="preserve">Tramos Existentes </v>
          </cell>
          <cell r="M203" t="str">
            <v>Existente</v>
          </cell>
        </row>
        <row r="204">
          <cell r="B204">
            <v>726</v>
          </cell>
          <cell r="C204">
            <v>900</v>
          </cell>
          <cell r="D204">
            <v>1.4999999999999999E-2</v>
          </cell>
          <cell r="E204">
            <v>12</v>
          </cell>
          <cell r="F204">
            <v>1312.28</v>
          </cell>
          <cell r="G204">
            <v>1312.36</v>
          </cell>
          <cell r="H204">
            <v>1307.6600000000001</v>
          </cell>
          <cell r="I204">
            <v>1307.56</v>
          </cell>
          <cell r="J204">
            <v>15</v>
          </cell>
          <cell r="K204">
            <v>0.66666666666757612</v>
          </cell>
          <cell r="L204" t="str">
            <v xml:space="preserve">Tramos Existentes </v>
          </cell>
          <cell r="M204" t="str">
            <v>Existente</v>
          </cell>
        </row>
        <row r="205">
          <cell r="B205">
            <v>658</v>
          </cell>
          <cell r="C205">
            <v>790</v>
          </cell>
          <cell r="D205">
            <v>1.4999999999999999E-2</v>
          </cell>
          <cell r="E205">
            <v>12</v>
          </cell>
          <cell r="F205">
            <v>1313.47</v>
          </cell>
          <cell r="G205">
            <v>1311.18</v>
          </cell>
          <cell r="H205">
            <v>1310.17</v>
          </cell>
          <cell r="I205">
            <v>1306.98</v>
          </cell>
          <cell r="J205">
            <v>34.6</v>
          </cell>
          <cell r="K205">
            <v>9.2196531791909084</v>
          </cell>
          <cell r="L205" t="str">
            <v xml:space="preserve">Tramos Existentes </v>
          </cell>
          <cell r="M205" t="str">
            <v>Existente</v>
          </cell>
        </row>
        <row r="206">
          <cell r="B206" t="str">
            <v>2i</v>
          </cell>
          <cell r="C206">
            <v>1</v>
          </cell>
          <cell r="D206">
            <v>1.4999999999999999E-2</v>
          </cell>
          <cell r="E206">
            <v>8</v>
          </cell>
          <cell r="F206">
            <v>1305.6600000000001</v>
          </cell>
          <cell r="G206">
            <v>1303.77</v>
          </cell>
          <cell r="H206">
            <v>1304.3599999999999</v>
          </cell>
          <cell r="I206">
            <v>1302.03</v>
          </cell>
          <cell r="J206">
            <v>74.3</v>
          </cell>
          <cell r="K206">
            <v>3.1359353970389332</v>
          </cell>
          <cell r="L206" t="str">
            <v xml:space="preserve">Tramos Existentes </v>
          </cell>
          <cell r="M206" t="str">
            <v>Existente</v>
          </cell>
        </row>
        <row r="207">
          <cell r="B207">
            <v>452</v>
          </cell>
          <cell r="C207">
            <v>451</v>
          </cell>
          <cell r="D207">
            <v>1.4999999999999999E-2</v>
          </cell>
          <cell r="E207">
            <v>12</v>
          </cell>
          <cell r="F207">
            <v>1310</v>
          </cell>
          <cell r="G207">
            <v>1307.22</v>
          </cell>
          <cell r="H207">
            <v>1303.8499999999999</v>
          </cell>
          <cell r="I207">
            <v>1303.81</v>
          </cell>
          <cell r="J207">
            <v>35.6</v>
          </cell>
          <cell r="K207">
            <v>0.11235955056169557</v>
          </cell>
          <cell r="L207" t="str">
            <v xml:space="preserve">Tramos Existentes </v>
          </cell>
          <cell r="M207" t="str">
            <v>Existente</v>
          </cell>
        </row>
        <row r="208">
          <cell r="B208">
            <v>186</v>
          </cell>
          <cell r="C208">
            <v>187</v>
          </cell>
          <cell r="D208">
            <v>0.01</v>
          </cell>
          <cell r="E208">
            <v>10</v>
          </cell>
          <cell r="F208">
            <v>1301.95</v>
          </cell>
          <cell r="G208">
            <v>1296.96</v>
          </cell>
          <cell r="H208">
            <v>1299.3900000000001</v>
          </cell>
          <cell r="I208">
            <v>1294.76</v>
          </cell>
          <cell r="J208">
            <v>20.100000000000001</v>
          </cell>
          <cell r="K208">
            <v>23.034825870647307</v>
          </cell>
          <cell r="L208" t="str">
            <v xml:space="preserve">Tramos Existentes </v>
          </cell>
          <cell r="M208" t="str">
            <v>Existente</v>
          </cell>
        </row>
        <row r="209">
          <cell r="B209">
            <v>187</v>
          </cell>
          <cell r="C209">
            <v>188</v>
          </cell>
          <cell r="D209">
            <v>0.01</v>
          </cell>
          <cell r="E209">
            <v>10</v>
          </cell>
          <cell r="F209">
            <v>1296.96</v>
          </cell>
          <cell r="G209">
            <v>1290.81</v>
          </cell>
          <cell r="H209">
            <v>1294.76</v>
          </cell>
          <cell r="I209">
            <v>1287.82</v>
          </cell>
          <cell r="J209">
            <v>19.3</v>
          </cell>
          <cell r="K209">
            <v>35.958549222798212</v>
          </cell>
          <cell r="L209" t="str">
            <v xml:space="preserve">Tramos Existentes </v>
          </cell>
          <cell r="M209" t="str">
            <v>Existente</v>
          </cell>
        </row>
        <row r="210">
          <cell r="B210">
            <v>188</v>
          </cell>
          <cell r="C210">
            <v>189</v>
          </cell>
          <cell r="D210">
            <v>0.01</v>
          </cell>
          <cell r="E210">
            <v>12</v>
          </cell>
          <cell r="F210">
            <v>1290.81</v>
          </cell>
          <cell r="G210">
            <v>1289.75</v>
          </cell>
          <cell r="H210">
            <v>1287.82</v>
          </cell>
          <cell r="I210">
            <v>1285.76</v>
          </cell>
          <cell r="J210">
            <v>26.3</v>
          </cell>
          <cell r="K210">
            <v>7.8326996197716543</v>
          </cell>
          <cell r="L210" t="str">
            <v xml:space="preserve">Tramos Existentes </v>
          </cell>
          <cell r="M210" t="str">
            <v>Existente</v>
          </cell>
        </row>
        <row r="211">
          <cell r="B211">
            <v>189</v>
          </cell>
          <cell r="C211">
            <v>943</v>
          </cell>
          <cell r="D211">
            <v>1.4999999999999999E-2</v>
          </cell>
          <cell r="E211">
            <v>12</v>
          </cell>
          <cell r="F211">
            <v>1289.75</v>
          </cell>
          <cell r="G211">
            <v>1279.1500000000001</v>
          </cell>
          <cell r="H211">
            <v>1285.76</v>
          </cell>
          <cell r="I211">
            <v>1274.93</v>
          </cell>
          <cell r="J211">
            <v>18.3</v>
          </cell>
          <cell r="K211">
            <v>59.180327868852054</v>
          </cell>
          <cell r="L211" t="str">
            <v xml:space="preserve">Tramos Existentes </v>
          </cell>
          <cell r="M211" t="str">
            <v>Existente</v>
          </cell>
        </row>
        <row r="212">
          <cell r="B212">
            <v>944</v>
          </cell>
          <cell r="C212" t="str">
            <v>D14</v>
          </cell>
          <cell r="D212">
            <v>0.01</v>
          </cell>
          <cell r="E212">
            <v>24</v>
          </cell>
          <cell r="F212">
            <v>1277.8</v>
          </cell>
          <cell r="G212">
            <v>1274.25</v>
          </cell>
          <cell r="H212">
            <v>1274.76</v>
          </cell>
          <cell r="I212">
            <v>1274.25</v>
          </cell>
          <cell r="J212">
            <v>19.100000000000001</v>
          </cell>
          <cell r="K212">
            <v>2.6701570680627795</v>
          </cell>
          <cell r="L212" t="str">
            <v>Inhabilitar</v>
          </cell>
          <cell r="M212" t="str">
            <v>Existente</v>
          </cell>
        </row>
        <row r="213">
          <cell r="B213">
            <v>192</v>
          </cell>
          <cell r="C213">
            <v>191</v>
          </cell>
          <cell r="D213">
            <v>0.01</v>
          </cell>
          <cell r="E213">
            <v>10</v>
          </cell>
          <cell r="F213">
            <v>1301.69</v>
          </cell>
          <cell r="G213">
            <v>1297</v>
          </cell>
          <cell r="H213">
            <v>1300.0899999999999</v>
          </cell>
          <cell r="I213">
            <v>1295.1199999999999</v>
          </cell>
          <cell r="J213">
            <v>18.399999999999999</v>
          </cell>
          <cell r="K213">
            <v>27.010869565217543</v>
          </cell>
          <cell r="L213" t="str">
            <v xml:space="preserve">Tramos Existentes </v>
          </cell>
          <cell r="M213" t="str">
            <v>Existente</v>
          </cell>
        </row>
        <row r="214">
          <cell r="B214">
            <v>191</v>
          </cell>
          <cell r="C214">
            <v>190</v>
          </cell>
          <cell r="D214">
            <v>0.01</v>
          </cell>
          <cell r="E214">
            <v>10</v>
          </cell>
          <cell r="F214">
            <v>1297</v>
          </cell>
          <cell r="G214">
            <v>1291.76</v>
          </cell>
          <cell r="H214">
            <v>1295.1199999999999</v>
          </cell>
          <cell r="I214">
            <v>1290.29</v>
          </cell>
          <cell r="J214">
            <v>14.5</v>
          </cell>
          <cell r="K214">
            <v>33.310344827585702</v>
          </cell>
          <cell r="L214" t="str">
            <v xml:space="preserve">Tramos Existentes </v>
          </cell>
          <cell r="M214" t="str">
            <v>Existente</v>
          </cell>
        </row>
        <row r="215">
          <cell r="B215">
            <v>190</v>
          </cell>
          <cell r="C215">
            <v>189</v>
          </cell>
          <cell r="D215">
            <v>0.01</v>
          </cell>
          <cell r="E215">
            <v>12</v>
          </cell>
          <cell r="F215">
            <v>1291.76</v>
          </cell>
          <cell r="G215">
            <v>1289.75</v>
          </cell>
          <cell r="H215">
            <v>1290.29</v>
          </cell>
          <cell r="I215">
            <v>1285.76</v>
          </cell>
          <cell r="J215">
            <v>9.8000000000000007</v>
          </cell>
          <cell r="K215">
            <v>46.224489795918082</v>
          </cell>
          <cell r="L215" t="str">
            <v xml:space="preserve">Tramos Existentes </v>
          </cell>
          <cell r="M215" t="str">
            <v>Existente</v>
          </cell>
        </row>
        <row r="216">
          <cell r="B216">
            <v>203</v>
          </cell>
          <cell r="C216">
            <v>201</v>
          </cell>
          <cell r="D216">
            <v>1.4999999999999999E-2</v>
          </cell>
          <cell r="E216">
            <v>12</v>
          </cell>
          <cell r="F216">
            <v>1314.39</v>
          </cell>
          <cell r="G216">
            <v>1315.63</v>
          </cell>
          <cell r="H216">
            <v>1313.1</v>
          </cell>
          <cell r="I216">
            <v>1311.67</v>
          </cell>
          <cell r="J216">
            <v>25.7</v>
          </cell>
          <cell r="K216">
            <v>5.5642023346297131</v>
          </cell>
          <cell r="L216" t="str">
            <v xml:space="preserve">Tramos Existentes </v>
          </cell>
          <cell r="M216" t="str">
            <v>Existente</v>
          </cell>
        </row>
        <row r="217">
          <cell r="B217">
            <v>194</v>
          </cell>
          <cell r="C217">
            <v>189</v>
          </cell>
          <cell r="D217">
            <v>0.01</v>
          </cell>
          <cell r="E217">
            <v>12</v>
          </cell>
          <cell r="F217">
            <v>1291.99</v>
          </cell>
          <cell r="G217">
            <v>1289.75</v>
          </cell>
          <cell r="H217">
            <v>1289.33</v>
          </cell>
          <cell r="I217">
            <v>1285.76</v>
          </cell>
          <cell r="J217">
            <v>27.9</v>
          </cell>
          <cell r="K217">
            <v>12.795698924730955</v>
          </cell>
          <cell r="L217" t="str">
            <v xml:space="preserve">Tramos Existentes </v>
          </cell>
          <cell r="M217" t="str">
            <v>Existente</v>
          </cell>
        </row>
        <row r="218">
          <cell r="B218">
            <v>204</v>
          </cell>
          <cell r="C218">
            <v>203</v>
          </cell>
          <cell r="D218">
            <v>1.4999999999999999E-2</v>
          </cell>
          <cell r="E218">
            <v>12</v>
          </cell>
          <cell r="F218">
            <v>1317.32</v>
          </cell>
          <cell r="G218">
            <v>1314.39</v>
          </cell>
          <cell r="H218">
            <v>1314.61</v>
          </cell>
          <cell r="I218">
            <v>1313.1</v>
          </cell>
          <cell r="J218">
            <v>94.4</v>
          </cell>
          <cell r="K218">
            <v>1.599576271186431</v>
          </cell>
          <cell r="L218" t="str">
            <v xml:space="preserve">Tramos Existentes </v>
          </cell>
          <cell r="M218" t="str">
            <v>Existente</v>
          </cell>
        </row>
        <row r="219">
          <cell r="B219" t="str">
            <v>20i</v>
          </cell>
          <cell r="C219">
            <v>16</v>
          </cell>
          <cell r="D219">
            <v>1.4999999999999999E-2</v>
          </cell>
          <cell r="E219">
            <v>12</v>
          </cell>
          <cell r="F219">
            <v>1309.57</v>
          </cell>
          <cell r="G219">
            <v>1308.6500000000001</v>
          </cell>
          <cell r="H219">
            <v>1308.1099999999999</v>
          </cell>
          <cell r="I219">
            <v>1306.68</v>
          </cell>
          <cell r="J219">
            <v>72.900000000000006</v>
          </cell>
          <cell r="K219">
            <v>1.9615912208502555</v>
          </cell>
          <cell r="L219" t="str">
            <v xml:space="preserve">Tramos Existentes </v>
          </cell>
          <cell r="M219" t="str">
            <v>Existente</v>
          </cell>
        </row>
        <row r="220">
          <cell r="B220">
            <v>41</v>
          </cell>
          <cell r="C220">
            <v>20</v>
          </cell>
          <cell r="D220">
            <v>1.4999999999999999E-2</v>
          </cell>
          <cell r="E220">
            <v>10</v>
          </cell>
          <cell r="F220">
            <v>1311.23</v>
          </cell>
          <cell r="G220">
            <v>1309.57</v>
          </cell>
          <cell r="H220">
            <v>1310.08</v>
          </cell>
          <cell r="I220">
            <v>1308.01</v>
          </cell>
          <cell r="J220">
            <v>74.2</v>
          </cell>
          <cell r="K220">
            <v>2.7897574123988358</v>
          </cell>
          <cell r="L220" t="str">
            <v xml:space="preserve">Tramos Existentes </v>
          </cell>
          <cell r="M220" t="str">
            <v>Existente</v>
          </cell>
        </row>
        <row r="221">
          <cell r="B221">
            <v>20</v>
          </cell>
          <cell r="C221">
            <v>19</v>
          </cell>
          <cell r="D221">
            <v>1.4999999999999999E-2</v>
          </cell>
          <cell r="E221">
            <v>12</v>
          </cell>
          <cell r="F221">
            <v>1309.57</v>
          </cell>
          <cell r="G221">
            <v>1306.6300000000001</v>
          </cell>
          <cell r="H221">
            <v>1308.01</v>
          </cell>
          <cell r="I221">
            <v>1304.68</v>
          </cell>
          <cell r="J221">
            <v>76.5</v>
          </cell>
          <cell r="K221">
            <v>4.3529411764704928</v>
          </cell>
          <cell r="L221" t="str">
            <v xml:space="preserve">Tramos Existentes </v>
          </cell>
          <cell r="M221" t="str">
            <v>Existente</v>
          </cell>
        </row>
        <row r="222">
          <cell r="B222">
            <v>209</v>
          </cell>
          <cell r="C222">
            <v>202</v>
          </cell>
          <cell r="D222">
            <v>1.4999999999999999E-2</v>
          </cell>
          <cell r="E222">
            <v>12</v>
          </cell>
          <cell r="F222">
            <v>1318.26</v>
          </cell>
          <cell r="G222">
            <v>1316.29</v>
          </cell>
          <cell r="H222">
            <v>1316.66</v>
          </cell>
          <cell r="I222">
            <v>1313.03</v>
          </cell>
          <cell r="J222">
            <v>52.1</v>
          </cell>
          <cell r="K222">
            <v>6.9673704414589421</v>
          </cell>
          <cell r="L222" t="str">
            <v xml:space="preserve">Tramos Existentes </v>
          </cell>
          <cell r="M222" t="str">
            <v>Existente</v>
          </cell>
        </row>
        <row r="223">
          <cell r="B223">
            <v>202</v>
          </cell>
          <cell r="C223">
            <v>201</v>
          </cell>
          <cell r="D223">
            <v>1.4999999999999999E-2</v>
          </cell>
          <cell r="E223">
            <v>12</v>
          </cell>
          <cell r="F223">
            <v>1316.29</v>
          </cell>
          <cell r="G223">
            <v>1315.63</v>
          </cell>
          <cell r="H223">
            <v>1313.03</v>
          </cell>
          <cell r="I223">
            <v>1311.67</v>
          </cell>
          <cell r="J223">
            <v>15.4</v>
          </cell>
          <cell r="K223">
            <v>8.8311688311681813</v>
          </cell>
          <cell r="L223" t="str">
            <v xml:space="preserve">Tramos Existentes </v>
          </cell>
          <cell r="M223" t="str">
            <v>Existente</v>
          </cell>
        </row>
        <row r="224">
          <cell r="B224">
            <v>201</v>
          </cell>
          <cell r="C224">
            <v>660</v>
          </cell>
          <cell r="D224">
            <v>1.4999999999999999E-2</v>
          </cell>
          <cell r="E224">
            <v>18</v>
          </cell>
          <cell r="F224">
            <v>1315.63</v>
          </cell>
          <cell r="G224">
            <v>1312.45</v>
          </cell>
          <cell r="H224">
            <v>1311.67</v>
          </cell>
          <cell r="I224">
            <v>1309.55</v>
          </cell>
          <cell r="J224">
            <v>38.299999999999997</v>
          </cell>
          <cell r="K224">
            <v>5.5352480417757661</v>
          </cell>
          <cell r="L224" t="str">
            <v xml:space="preserve">Tramos Existentes </v>
          </cell>
          <cell r="M224" t="str">
            <v>Existente</v>
          </cell>
        </row>
        <row r="225">
          <cell r="B225">
            <v>660</v>
          </cell>
          <cell r="C225">
            <v>697</v>
          </cell>
          <cell r="D225">
            <v>1.4999999999999999E-2</v>
          </cell>
          <cell r="E225">
            <v>12</v>
          </cell>
          <cell r="F225">
            <v>1312.45</v>
          </cell>
          <cell r="G225">
            <v>1304.71</v>
          </cell>
          <cell r="H225">
            <v>1309.55</v>
          </cell>
          <cell r="I225">
            <v>1301.26</v>
          </cell>
          <cell r="J225">
            <v>18.7</v>
          </cell>
          <cell r="K225">
            <v>44.33155080213885</v>
          </cell>
          <cell r="L225" t="str">
            <v xml:space="preserve">Tramos Existentes </v>
          </cell>
          <cell r="M225" t="str">
            <v>Existente</v>
          </cell>
        </row>
        <row r="226">
          <cell r="B226">
            <v>697</v>
          </cell>
          <cell r="C226">
            <v>696</v>
          </cell>
          <cell r="D226">
            <v>1.4999999999999999E-2</v>
          </cell>
          <cell r="E226">
            <v>24</v>
          </cell>
          <cell r="F226">
            <v>1304.71</v>
          </cell>
          <cell r="G226">
            <v>1302.32</v>
          </cell>
          <cell r="H226">
            <v>1301.26</v>
          </cell>
          <cell r="I226">
            <v>1299.3599999999999</v>
          </cell>
          <cell r="J226">
            <v>66</v>
          </cell>
          <cell r="K226">
            <v>2.8787878787880166</v>
          </cell>
          <cell r="L226" t="str">
            <v xml:space="preserve">Tramos Existentes </v>
          </cell>
          <cell r="M226" t="str">
            <v>Existente</v>
          </cell>
        </row>
        <row r="227">
          <cell r="B227">
            <v>721</v>
          </cell>
          <cell r="C227" t="str">
            <v>D16</v>
          </cell>
          <cell r="D227">
            <v>1.4999999999999999E-2</v>
          </cell>
          <cell r="E227">
            <v>12</v>
          </cell>
          <cell r="F227">
            <v>1292.8800000000001</v>
          </cell>
          <cell r="G227">
            <v>1282.06</v>
          </cell>
          <cell r="H227">
            <v>1289.28</v>
          </cell>
          <cell r="I227">
            <v>1282.06</v>
          </cell>
          <cell r="J227">
            <v>13.1</v>
          </cell>
          <cell r="K227">
            <v>55.114503816794105</v>
          </cell>
          <cell r="L227" t="str">
            <v xml:space="preserve">Tramos Existentes </v>
          </cell>
          <cell r="M227" t="str">
            <v>Existente</v>
          </cell>
        </row>
        <row r="228">
          <cell r="B228">
            <v>193</v>
          </cell>
          <cell r="C228">
            <v>194</v>
          </cell>
          <cell r="D228">
            <v>0.01</v>
          </cell>
          <cell r="E228">
            <v>10</v>
          </cell>
          <cell r="F228">
            <v>1301.6300000000001</v>
          </cell>
          <cell r="G228">
            <v>1291.99</v>
          </cell>
          <cell r="H228">
            <v>1298.6199999999999</v>
          </cell>
          <cell r="I228">
            <v>1289.33</v>
          </cell>
          <cell r="J228">
            <v>43.6</v>
          </cell>
          <cell r="K228">
            <v>21.307339449541203</v>
          </cell>
          <cell r="L228" t="str">
            <v xml:space="preserve">Tramos Existentes </v>
          </cell>
          <cell r="M228" t="str">
            <v>Existente</v>
          </cell>
        </row>
        <row r="229">
          <cell r="B229">
            <v>371</v>
          </cell>
          <cell r="C229">
            <v>772</v>
          </cell>
          <cell r="D229">
            <v>1.4999999999999999E-2</v>
          </cell>
          <cell r="E229">
            <v>12</v>
          </cell>
          <cell r="F229">
            <v>1311.93</v>
          </cell>
          <cell r="G229">
            <v>1310.3399999999999</v>
          </cell>
          <cell r="H229">
            <v>1308.6199999999999</v>
          </cell>
          <cell r="I229">
            <v>1307.77</v>
          </cell>
          <cell r="J229">
            <v>77.400000000000006</v>
          </cell>
          <cell r="K229">
            <v>1.0981912144701667</v>
          </cell>
          <cell r="L229" t="str">
            <v xml:space="preserve">Tramos Existentes </v>
          </cell>
          <cell r="M229" t="str">
            <v>Existente</v>
          </cell>
        </row>
        <row r="230">
          <cell r="B230">
            <v>724</v>
          </cell>
          <cell r="C230">
            <v>220</v>
          </cell>
          <cell r="D230">
            <v>1.4999999999999999E-2</v>
          </cell>
          <cell r="E230">
            <v>12</v>
          </cell>
          <cell r="F230">
            <v>1311.77</v>
          </cell>
          <cell r="G230">
            <v>1311.74</v>
          </cell>
          <cell r="H230">
            <v>1310.23</v>
          </cell>
          <cell r="I230">
            <v>1307.04</v>
          </cell>
          <cell r="J230">
            <v>29.6</v>
          </cell>
          <cell r="K230">
            <v>10.777027027027211</v>
          </cell>
          <cell r="L230" t="str">
            <v xml:space="preserve">Tramos Existentes </v>
          </cell>
          <cell r="M230" t="str">
            <v>Existente</v>
          </cell>
        </row>
        <row r="231">
          <cell r="B231">
            <v>234</v>
          </cell>
          <cell r="C231">
            <v>232</v>
          </cell>
          <cell r="D231">
            <v>1.4999999999999999E-2</v>
          </cell>
          <cell r="E231">
            <v>14</v>
          </cell>
          <cell r="F231">
            <v>1295.93</v>
          </cell>
          <cell r="G231">
            <v>1293.05</v>
          </cell>
          <cell r="H231">
            <v>1292.75</v>
          </cell>
          <cell r="I231">
            <v>1290.1199999999999</v>
          </cell>
          <cell r="J231">
            <v>56.9</v>
          </cell>
          <cell r="K231">
            <v>4.6221441124782237</v>
          </cell>
          <cell r="L231" t="str">
            <v xml:space="preserve">Tramos Existentes </v>
          </cell>
          <cell r="M231" t="str">
            <v>Existente</v>
          </cell>
        </row>
        <row r="232">
          <cell r="B232">
            <v>237</v>
          </cell>
          <cell r="C232">
            <v>235</v>
          </cell>
          <cell r="D232">
            <v>1.4999999999999999E-2</v>
          </cell>
          <cell r="E232">
            <v>10</v>
          </cell>
          <cell r="F232">
            <v>1299.6400000000001</v>
          </cell>
          <cell r="G232">
            <v>1296.42</v>
          </cell>
          <cell r="H232">
            <v>1298.01</v>
          </cell>
          <cell r="I232">
            <v>1293.8399999999999</v>
          </cell>
          <cell r="J232">
            <v>28.6</v>
          </cell>
          <cell r="K232">
            <v>14.580419580419834</v>
          </cell>
          <cell r="L232" t="str">
            <v xml:space="preserve">Tramos Existentes </v>
          </cell>
          <cell r="M232" t="str">
            <v>Existente</v>
          </cell>
        </row>
        <row r="233">
          <cell r="B233">
            <v>301</v>
          </cell>
          <cell r="C233">
            <v>240</v>
          </cell>
          <cell r="D233">
            <v>1.4999999999999999E-2</v>
          </cell>
          <cell r="E233">
            <v>12</v>
          </cell>
          <cell r="F233">
            <v>1310.75</v>
          </cell>
          <cell r="G233">
            <v>1306.75</v>
          </cell>
          <cell r="H233">
            <v>1309</v>
          </cell>
          <cell r="I233">
            <v>1305.55</v>
          </cell>
          <cell r="J233">
            <v>86.5</v>
          </cell>
          <cell r="K233">
            <v>3.9884393063584342</v>
          </cell>
          <cell r="L233" t="str">
            <v xml:space="preserve">Tramos Existentes </v>
          </cell>
          <cell r="M233" t="str">
            <v>Existente</v>
          </cell>
        </row>
        <row r="234">
          <cell r="B234" t="str">
            <v>241i</v>
          </cell>
          <cell r="C234">
            <v>983</v>
          </cell>
          <cell r="D234">
            <v>1.4999999999999999E-2</v>
          </cell>
          <cell r="E234">
            <v>10</v>
          </cell>
          <cell r="F234">
            <v>1299.1099999999999</v>
          </cell>
          <cell r="G234">
            <v>1292.94</v>
          </cell>
          <cell r="H234">
            <v>1296.76</v>
          </cell>
          <cell r="I234">
            <v>1287.79</v>
          </cell>
          <cell r="J234">
            <v>34.5</v>
          </cell>
          <cell r="K234">
            <v>26.000000000000078</v>
          </cell>
          <cell r="L234" t="str">
            <v xml:space="preserve">Tramos Existentes </v>
          </cell>
          <cell r="M234" t="str">
            <v>Existente</v>
          </cell>
        </row>
        <row r="235">
          <cell r="B235">
            <v>983</v>
          </cell>
          <cell r="C235">
            <v>984</v>
          </cell>
          <cell r="D235">
            <v>1.4999999999999999E-2</v>
          </cell>
          <cell r="E235">
            <v>10</v>
          </cell>
          <cell r="F235">
            <v>1292.94</v>
          </cell>
          <cell r="G235">
            <v>1286.42</v>
          </cell>
          <cell r="H235">
            <v>1287.79</v>
          </cell>
          <cell r="I235">
            <v>1281.23</v>
          </cell>
          <cell r="J235">
            <v>8.4</v>
          </cell>
          <cell r="K235">
            <v>78.095238095237434</v>
          </cell>
          <cell r="L235" t="str">
            <v xml:space="preserve">Tramos Existentes </v>
          </cell>
          <cell r="M235" t="str">
            <v>Existente</v>
          </cell>
        </row>
        <row r="236">
          <cell r="B236">
            <v>984</v>
          </cell>
          <cell r="C236">
            <v>281</v>
          </cell>
          <cell r="D236">
            <v>0.01</v>
          </cell>
          <cell r="E236">
            <v>12</v>
          </cell>
          <cell r="F236">
            <v>1286.42</v>
          </cell>
          <cell r="G236">
            <v>1279.49</v>
          </cell>
          <cell r="H236">
            <v>1281.23</v>
          </cell>
          <cell r="I236">
            <v>1277.8499999999999</v>
          </cell>
          <cell r="J236">
            <v>29.8</v>
          </cell>
          <cell r="K236">
            <v>11.342281879194998</v>
          </cell>
          <cell r="L236" t="str">
            <v xml:space="preserve">Tramos Existentes </v>
          </cell>
          <cell r="M236" t="str">
            <v>Existente</v>
          </cell>
        </row>
        <row r="237">
          <cell r="B237">
            <v>242</v>
          </cell>
          <cell r="C237">
            <v>241</v>
          </cell>
          <cell r="D237">
            <v>1.4999999999999999E-2</v>
          </cell>
          <cell r="E237">
            <v>10</v>
          </cell>
          <cell r="F237">
            <v>1298.0899999999999</v>
          </cell>
          <cell r="G237">
            <v>1299.1099999999999</v>
          </cell>
          <cell r="H237">
            <v>1296.8900000000001</v>
          </cell>
          <cell r="I237">
            <v>1296.23</v>
          </cell>
          <cell r="J237">
            <v>23.7</v>
          </cell>
          <cell r="K237">
            <v>2.7848101265826242</v>
          </cell>
          <cell r="L237" t="str">
            <v xml:space="preserve">Tramos Existentes </v>
          </cell>
          <cell r="M237" t="str">
            <v>Existente</v>
          </cell>
        </row>
        <row r="238">
          <cell r="B238">
            <v>246</v>
          </cell>
          <cell r="C238">
            <v>245</v>
          </cell>
          <cell r="D238">
            <v>1.4999999999999999E-2</v>
          </cell>
          <cell r="E238">
            <v>10</v>
          </cell>
          <cell r="F238">
            <v>1302.54</v>
          </cell>
          <cell r="G238">
            <v>1300.0999999999999</v>
          </cell>
          <cell r="H238">
            <v>1300.47</v>
          </cell>
          <cell r="I238">
            <v>1298.21</v>
          </cell>
          <cell r="J238">
            <v>38.4</v>
          </cell>
          <cell r="K238">
            <v>5.885416666666643</v>
          </cell>
          <cell r="L238" t="str">
            <v xml:space="preserve">Tramos Existentes </v>
          </cell>
          <cell r="M238" t="str">
            <v>Existente</v>
          </cell>
        </row>
        <row r="239">
          <cell r="B239">
            <v>236</v>
          </cell>
          <cell r="C239">
            <v>235</v>
          </cell>
          <cell r="D239">
            <v>1.4999999999999999E-2</v>
          </cell>
          <cell r="E239">
            <v>14</v>
          </cell>
          <cell r="F239">
            <v>1295.8900000000001</v>
          </cell>
          <cell r="G239">
            <v>1296.42</v>
          </cell>
          <cell r="H239">
            <v>1293.8699999999999</v>
          </cell>
          <cell r="I239">
            <v>1293.8399999999999</v>
          </cell>
          <cell r="J239">
            <v>16.399999999999999</v>
          </cell>
          <cell r="K239">
            <v>0.18292682926812634</v>
          </cell>
          <cell r="L239" t="str">
            <v xml:space="preserve">Tramos Existentes </v>
          </cell>
          <cell r="M239" t="str">
            <v>Existente</v>
          </cell>
        </row>
        <row r="240">
          <cell r="B240">
            <v>249</v>
          </cell>
          <cell r="C240">
            <v>371</v>
          </cell>
          <cell r="D240">
            <v>1.4999999999999999E-2</v>
          </cell>
          <cell r="E240">
            <v>12</v>
          </cell>
          <cell r="F240">
            <v>1312.18</v>
          </cell>
          <cell r="G240">
            <v>1311.93</v>
          </cell>
          <cell r="H240">
            <v>1310.6600000000001</v>
          </cell>
          <cell r="I240">
            <v>1308.6199999999999</v>
          </cell>
          <cell r="J240">
            <v>33.1</v>
          </cell>
          <cell r="K240">
            <v>6.1631419939582806</v>
          </cell>
          <cell r="L240" t="str">
            <v xml:space="preserve">Tramos Existentes </v>
          </cell>
          <cell r="M240" t="str">
            <v>Existente</v>
          </cell>
        </row>
        <row r="241">
          <cell r="B241">
            <v>232</v>
          </cell>
          <cell r="C241">
            <v>226</v>
          </cell>
          <cell r="D241">
            <v>1.4999999999999999E-2</v>
          </cell>
          <cell r="E241">
            <v>16</v>
          </cell>
          <cell r="F241">
            <v>1293.05</v>
          </cell>
          <cell r="G241">
            <v>1294.8</v>
          </cell>
          <cell r="H241">
            <v>1290.1199999999999</v>
          </cell>
          <cell r="I241">
            <v>1287.8900000000001</v>
          </cell>
          <cell r="J241">
            <v>61.9</v>
          </cell>
          <cell r="K241">
            <v>3.6025848142161401</v>
          </cell>
          <cell r="L241" t="str">
            <v xml:space="preserve">Tramos Existentes </v>
          </cell>
          <cell r="M241" t="str">
            <v>Existente</v>
          </cell>
        </row>
        <row r="242">
          <cell r="B242">
            <v>772</v>
          </cell>
          <cell r="C242">
            <v>303</v>
          </cell>
          <cell r="D242">
            <v>1.4999999999999999E-2</v>
          </cell>
          <cell r="E242">
            <v>12</v>
          </cell>
          <cell r="F242">
            <v>1310.3399999999999</v>
          </cell>
          <cell r="G242">
            <v>1310.08</v>
          </cell>
          <cell r="H242">
            <v>1307.77</v>
          </cell>
          <cell r="I242">
            <v>1307.45</v>
          </cell>
          <cell r="J242">
            <v>5.3</v>
          </cell>
          <cell r="K242">
            <v>6.0377358490554025</v>
          </cell>
          <cell r="L242" t="str">
            <v xml:space="preserve">Tramos Existentes </v>
          </cell>
          <cell r="M242" t="str">
            <v>Existente</v>
          </cell>
        </row>
        <row r="243">
          <cell r="B243">
            <v>25</v>
          </cell>
          <cell r="C243">
            <v>24</v>
          </cell>
          <cell r="D243">
            <v>1.4999999999999999E-2</v>
          </cell>
          <cell r="E243">
            <v>12</v>
          </cell>
          <cell r="F243">
            <v>1298.3800000000001</v>
          </cell>
          <cell r="G243">
            <v>1298.8</v>
          </cell>
          <cell r="H243">
            <v>1297.02</v>
          </cell>
          <cell r="I243">
            <v>1296.3599999999999</v>
          </cell>
          <cell r="J243">
            <v>30.8</v>
          </cell>
          <cell r="K243">
            <v>2.1428571428574088</v>
          </cell>
          <cell r="L243" t="str">
            <v xml:space="preserve">Renovacion </v>
          </cell>
          <cell r="M243" t="str">
            <v>Existente</v>
          </cell>
        </row>
        <row r="244">
          <cell r="B244">
            <v>250</v>
          </cell>
          <cell r="C244">
            <v>371</v>
          </cell>
          <cell r="D244">
            <v>0.01</v>
          </cell>
          <cell r="E244">
            <v>12</v>
          </cell>
          <cell r="F244">
            <v>1311.03</v>
          </cell>
          <cell r="G244">
            <v>1311.93</v>
          </cell>
          <cell r="H244">
            <v>1308.8900000000001</v>
          </cell>
          <cell r="I244">
            <v>1308.6199999999999</v>
          </cell>
          <cell r="J244">
            <v>58.2</v>
          </cell>
          <cell r="K244">
            <v>0.46391752577355533</v>
          </cell>
          <cell r="L244" t="str">
            <v xml:space="preserve">Tramos Existentes </v>
          </cell>
          <cell r="M244" t="str">
            <v>Existente</v>
          </cell>
        </row>
        <row r="245">
          <cell r="B245">
            <v>767</v>
          </cell>
          <cell r="C245">
            <v>251</v>
          </cell>
          <cell r="D245">
            <v>1.4999999999999999E-2</v>
          </cell>
          <cell r="E245">
            <v>8</v>
          </cell>
          <cell r="F245">
            <v>1310.3</v>
          </cell>
          <cell r="G245">
            <v>1309.71</v>
          </cell>
          <cell r="H245">
            <v>1308.8900000000001</v>
          </cell>
          <cell r="I245">
            <v>1308.05</v>
          </cell>
          <cell r="J245">
            <v>78.3</v>
          </cell>
          <cell r="K245">
            <v>1.0727969348660862</v>
          </cell>
          <cell r="L245" t="str">
            <v xml:space="preserve">Tramos Existentes </v>
          </cell>
          <cell r="M245" t="str">
            <v>Existente</v>
          </cell>
        </row>
        <row r="246">
          <cell r="B246">
            <v>256</v>
          </cell>
          <cell r="C246">
            <v>257</v>
          </cell>
          <cell r="D246">
            <v>1.4999999999999999E-2</v>
          </cell>
          <cell r="E246">
            <v>10</v>
          </cell>
          <cell r="F246">
            <v>1309.75</v>
          </cell>
          <cell r="G246">
            <v>1309.75</v>
          </cell>
          <cell r="H246">
            <v>1307.8800000000001</v>
          </cell>
          <cell r="I246">
            <v>1307.1600000000001</v>
          </cell>
          <cell r="J246">
            <v>10.8</v>
          </cell>
          <cell r="K246">
            <v>6.6666666666669192</v>
          </cell>
          <cell r="L246" t="str">
            <v xml:space="preserve">Tramos Existentes </v>
          </cell>
          <cell r="M246" t="str">
            <v>Existente</v>
          </cell>
        </row>
        <row r="247">
          <cell r="B247">
            <v>257</v>
          </cell>
          <cell r="C247">
            <v>322</v>
          </cell>
          <cell r="D247">
            <v>1.4999999999999999E-2</v>
          </cell>
          <cell r="E247">
            <v>10</v>
          </cell>
          <cell r="F247">
            <v>1309.75</v>
          </cell>
          <cell r="G247">
            <v>1309.32</v>
          </cell>
          <cell r="H247">
            <v>1307.1600000000001</v>
          </cell>
          <cell r="I247">
            <v>1304.92</v>
          </cell>
          <cell r="J247">
            <v>62.3</v>
          </cell>
          <cell r="K247">
            <v>3.5955056179775431</v>
          </cell>
          <cell r="L247" t="str">
            <v xml:space="preserve">Tramos Existentes </v>
          </cell>
          <cell r="M247" t="str">
            <v>Existente</v>
          </cell>
        </row>
        <row r="248">
          <cell r="B248">
            <v>322</v>
          </cell>
          <cell r="C248">
            <v>671</v>
          </cell>
          <cell r="D248">
            <v>1.4999999999999999E-2</v>
          </cell>
          <cell r="E248">
            <v>24</v>
          </cell>
          <cell r="F248">
            <v>1309.32</v>
          </cell>
          <cell r="G248">
            <v>1303.6400000000001</v>
          </cell>
          <cell r="H248">
            <v>1304.92</v>
          </cell>
          <cell r="I248">
            <v>1298.6600000000001</v>
          </cell>
          <cell r="J248">
            <v>28.1</v>
          </cell>
          <cell r="K248">
            <v>22.277580071174345</v>
          </cell>
          <cell r="L248" t="str">
            <v xml:space="preserve">Tramos Existentes </v>
          </cell>
          <cell r="M248" t="str">
            <v>Existente</v>
          </cell>
        </row>
        <row r="249">
          <cell r="B249">
            <v>671</v>
          </cell>
          <cell r="C249" t="str">
            <v>D7</v>
          </cell>
          <cell r="D249">
            <v>1.4999999999999999E-2</v>
          </cell>
          <cell r="E249">
            <v>20</v>
          </cell>
          <cell r="F249">
            <v>1303.6400000000001</v>
          </cell>
          <cell r="G249">
            <v>1255.76</v>
          </cell>
          <cell r="H249">
            <v>1298.6600000000001</v>
          </cell>
          <cell r="I249">
            <v>1287.4100000000001</v>
          </cell>
          <cell r="J249">
            <v>73.7</v>
          </cell>
          <cell r="K249">
            <v>15.264586160108548</v>
          </cell>
          <cell r="L249" t="str">
            <v xml:space="preserve">Tramos Existentes </v>
          </cell>
          <cell r="M249" t="str">
            <v>Existente</v>
          </cell>
        </row>
        <row r="250">
          <cell r="B250">
            <v>766</v>
          </cell>
          <cell r="C250">
            <v>252</v>
          </cell>
          <cell r="D250">
            <v>1.4999999999999999E-2</v>
          </cell>
          <cell r="E250">
            <v>8</v>
          </cell>
          <cell r="F250">
            <v>1310.26</v>
          </cell>
          <cell r="G250">
            <v>1309.7</v>
          </cell>
          <cell r="H250">
            <v>1309.5</v>
          </cell>
          <cell r="I250">
            <v>1308.5899999999999</v>
          </cell>
          <cell r="J250">
            <v>74</v>
          </cell>
          <cell r="K250">
            <v>1.2297297297298404</v>
          </cell>
          <cell r="L250" t="str">
            <v xml:space="preserve">Tramos Existentes </v>
          </cell>
          <cell r="M250" t="str">
            <v>Existente</v>
          </cell>
        </row>
        <row r="251">
          <cell r="B251">
            <v>245</v>
          </cell>
          <cell r="C251">
            <v>244</v>
          </cell>
          <cell r="D251">
            <v>1.4999999999999999E-2</v>
          </cell>
          <cell r="E251">
            <v>10</v>
          </cell>
          <cell r="F251">
            <v>1300.0999999999999</v>
          </cell>
          <cell r="G251">
            <v>1299.44</v>
          </cell>
          <cell r="H251">
            <v>1298.21</v>
          </cell>
          <cell r="I251">
            <v>1297.5</v>
          </cell>
          <cell r="J251">
            <v>7</v>
          </cell>
          <cell r="K251">
            <v>10.142857142857663</v>
          </cell>
          <cell r="L251" t="str">
            <v xml:space="preserve">Tramos Existentes </v>
          </cell>
          <cell r="M251" t="str">
            <v>Existente</v>
          </cell>
        </row>
        <row r="252">
          <cell r="B252">
            <v>266</v>
          </cell>
          <cell r="C252">
            <v>227</v>
          </cell>
          <cell r="D252">
            <v>1.4999999999999999E-2</v>
          </cell>
          <cell r="E252">
            <v>12</v>
          </cell>
          <cell r="F252">
            <v>1305.69</v>
          </cell>
          <cell r="G252">
            <v>1294.8800000000001</v>
          </cell>
          <cell r="H252">
            <v>1303.74</v>
          </cell>
          <cell r="I252">
            <v>1292.3</v>
          </cell>
          <cell r="J252">
            <v>96.2</v>
          </cell>
          <cell r="K252">
            <v>11.891891891891948</v>
          </cell>
          <cell r="L252" t="str">
            <v xml:space="preserve">Tramos Existentes </v>
          </cell>
          <cell r="M252" t="str">
            <v>Existente</v>
          </cell>
        </row>
        <row r="253">
          <cell r="B253">
            <v>180</v>
          </cell>
          <cell r="C253">
            <v>179</v>
          </cell>
          <cell r="D253">
            <v>1.4999999999999999E-2</v>
          </cell>
          <cell r="E253">
            <v>12</v>
          </cell>
          <cell r="F253">
            <v>1294.96</v>
          </cell>
          <cell r="G253">
            <v>1294.8399999999999</v>
          </cell>
          <cell r="H253">
            <v>1293.03</v>
          </cell>
          <cell r="I253">
            <v>1292.42</v>
          </cell>
          <cell r="J253">
            <v>9.3000000000000007</v>
          </cell>
          <cell r="K253">
            <v>6.5591397849451605</v>
          </cell>
          <cell r="L253" t="str">
            <v xml:space="preserve">Tramos Existentes </v>
          </cell>
          <cell r="M253" t="str">
            <v>Existente</v>
          </cell>
        </row>
        <row r="254">
          <cell r="B254">
            <v>267</v>
          </cell>
          <cell r="C254">
            <v>268</v>
          </cell>
          <cell r="D254">
            <v>1.4999999999999999E-2</v>
          </cell>
          <cell r="E254">
            <v>10</v>
          </cell>
          <cell r="F254">
            <v>1296.46</v>
          </cell>
          <cell r="G254">
            <v>1295.82</v>
          </cell>
          <cell r="H254">
            <v>1294.8800000000001</v>
          </cell>
          <cell r="I254">
            <v>1293.95</v>
          </cell>
          <cell r="J254">
            <v>38</v>
          </cell>
          <cell r="K254">
            <v>2.4473684210527988</v>
          </cell>
          <cell r="L254" t="str">
            <v xml:space="preserve">Tramos Existentes </v>
          </cell>
          <cell r="M254" t="str">
            <v>Existente</v>
          </cell>
        </row>
        <row r="255">
          <cell r="B255">
            <v>268</v>
          </cell>
          <cell r="C255">
            <v>222</v>
          </cell>
          <cell r="D255">
            <v>1.4999999999999999E-2</v>
          </cell>
          <cell r="E255">
            <v>10</v>
          </cell>
          <cell r="F255">
            <v>1295.82</v>
          </cell>
          <cell r="G255">
            <v>1293.4100000000001</v>
          </cell>
          <cell r="H255">
            <v>1293.95</v>
          </cell>
          <cell r="I255">
            <v>1291.26</v>
          </cell>
          <cell r="J255">
            <v>39.9</v>
          </cell>
          <cell r="K255">
            <v>6.741854636591615</v>
          </cell>
          <cell r="L255" t="str">
            <v xml:space="preserve">Tramos Existentes </v>
          </cell>
          <cell r="M255" t="str">
            <v>Existente</v>
          </cell>
        </row>
        <row r="256">
          <cell r="B256">
            <v>222</v>
          </cell>
          <cell r="C256">
            <v>224</v>
          </cell>
          <cell r="D256">
            <v>1.4999999999999999E-2</v>
          </cell>
          <cell r="E256">
            <v>16</v>
          </cell>
          <cell r="F256">
            <v>1293.4100000000001</v>
          </cell>
          <cell r="G256">
            <v>1293.01</v>
          </cell>
          <cell r="H256">
            <v>1291.26</v>
          </cell>
          <cell r="I256">
            <v>1290.04</v>
          </cell>
          <cell r="J256">
            <v>42.3</v>
          </cell>
          <cell r="K256">
            <v>2.8841607565012466</v>
          </cell>
          <cell r="L256" t="str">
            <v xml:space="preserve">Tramos Existentes </v>
          </cell>
          <cell r="M256" t="str">
            <v>Existente</v>
          </cell>
        </row>
        <row r="257">
          <cell r="B257">
            <v>816</v>
          </cell>
          <cell r="C257">
            <v>225</v>
          </cell>
          <cell r="D257">
            <v>0.01</v>
          </cell>
          <cell r="E257">
            <v>10</v>
          </cell>
          <cell r="F257">
            <v>1303.82</v>
          </cell>
          <cell r="G257">
            <v>1302.48</v>
          </cell>
          <cell r="H257">
            <v>1302.57</v>
          </cell>
          <cell r="I257">
            <v>1299.0899999999999</v>
          </cell>
          <cell r="J257">
            <v>25.9</v>
          </cell>
          <cell r="K257">
            <v>13.436293436293505</v>
          </cell>
          <cell r="L257" t="str">
            <v xml:space="preserve">Tramos Existentes </v>
          </cell>
          <cell r="M257" t="str">
            <v>Existente</v>
          </cell>
        </row>
        <row r="258">
          <cell r="B258">
            <v>225</v>
          </cell>
          <cell r="C258">
            <v>1099</v>
          </cell>
          <cell r="D258">
            <v>0.01</v>
          </cell>
          <cell r="E258">
            <v>10</v>
          </cell>
          <cell r="F258">
            <v>1302.48</v>
          </cell>
          <cell r="G258">
            <v>1293.19</v>
          </cell>
          <cell r="H258">
            <v>1299.0899999999999</v>
          </cell>
          <cell r="I258">
            <v>1283.8</v>
          </cell>
          <cell r="J258">
            <v>103.3</v>
          </cell>
          <cell r="K258">
            <v>14.801548886737622</v>
          </cell>
          <cell r="L258" t="str">
            <v xml:space="preserve">Tramos Existentes </v>
          </cell>
          <cell r="M258" t="str">
            <v>Existente</v>
          </cell>
        </row>
        <row r="259">
          <cell r="B259" t="str">
            <v>240i</v>
          </cell>
          <cell r="C259">
            <v>261</v>
          </cell>
          <cell r="D259">
            <v>1.4999999999999999E-2</v>
          </cell>
          <cell r="E259">
            <v>12</v>
          </cell>
          <cell r="F259">
            <v>1306.75</v>
          </cell>
          <cell r="G259">
            <v>1306.48</v>
          </cell>
          <cell r="H259">
            <v>1305.8399999999999</v>
          </cell>
          <cell r="I259">
            <v>1305.55</v>
          </cell>
          <cell r="J259">
            <v>18</v>
          </cell>
          <cell r="K259">
            <v>1.6111111111109091</v>
          </cell>
          <cell r="L259" t="str">
            <v xml:space="preserve">Tramos Existentes </v>
          </cell>
          <cell r="M259" t="str">
            <v>Existente</v>
          </cell>
        </row>
        <row r="260">
          <cell r="B260">
            <v>262</v>
          </cell>
          <cell r="C260">
            <v>263</v>
          </cell>
          <cell r="D260">
            <v>1.4999999999999999E-2</v>
          </cell>
          <cell r="E260">
            <v>8</v>
          </cell>
          <cell r="F260">
            <v>1306.55</v>
          </cell>
          <cell r="G260">
            <v>1306.6099999999999</v>
          </cell>
          <cell r="H260">
            <v>1305.19</v>
          </cell>
          <cell r="I260">
            <v>1304.6199999999999</v>
          </cell>
          <cell r="J260">
            <v>32.1</v>
          </cell>
          <cell r="K260">
            <v>1.775700934579949</v>
          </cell>
          <cell r="L260" t="str">
            <v xml:space="preserve">Tramos Existentes </v>
          </cell>
          <cell r="M260" t="str">
            <v>Existente</v>
          </cell>
        </row>
        <row r="261">
          <cell r="B261">
            <v>263</v>
          </cell>
          <cell r="C261">
            <v>264</v>
          </cell>
          <cell r="D261">
            <v>1.4999999999999999E-2</v>
          </cell>
          <cell r="E261">
            <v>8</v>
          </cell>
          <cell r="F261">
            <v>1306.6099999999999</v>
          </cell>
          <cell r="G261">
            <v>1306.95</v>
          </cell>
          <cell r="H261">
            <v>1304.6199999999999</v>
          </cell>
          <cell r="I261">
            <v>1304.0899999999999</v>
          </cell>
          <cell r="J261">
            <v>27.4</v>
          </cell>
          <cell r="K261">
            <v>1.934306569342966</v>
          </cell>
          <cell r="L261" t="str">
            <v xml:space="preserve">Tramos Existentes </v>
          </cell>
          <cell r="M261" t="str">
            <v>Existente</v>
          </cell>
        </row>
        <row r="262">
          <cell r="B262">
            <v>235</v>
          </cell>
          <cell r="C262">
            <v>234</v>
          </cell>
          <cell r="D262">
            <v>1.4999999999999999E-2</v>
          </cell>
          <cell r="E262">
            <v>14</v>
          </cell>
          <cell r="F262">
            <v>1296.42</v>
          </cell>
          <cell r="G262">
            <v>1295.93</v>
          </cell>
          <cell r="H262">
            <v>1293.8399999999999</v>
          </cell>
          <cell r="I262">
            <v>1292.75</v>
          </cell>
          <cell r="J262">
            <v>4.8</v>
          </cell>
          <cell r="K262">
            <v>22.70833333333163</v>
          </cell>
          <cell r="L262" t="str">
            <v xml:space="preserve">Tramos Existentes </v>
          </cell>
          <cell r="M262" t="str">
            <v>Existente</v>
          </cell>
        </row>
        <row r="263">
          <cell r="B263">
            <v>265</v>
          </cell>
          <cell r="C263">
            <v>266</v>
          </cell>
          <cell r="D263">
            <v>1.4999999999999999E-2</v>
          </cell>
          <cell r="E263">
            <v>10</v>
          </cell>
          <cell r="F263">
            <v>1306.58</v>
          </cell>
          <cell r="G263">
            <v>1305.69</v>
          </cell>
          <cell r="H263">
            <v>1303.98</v>
          </cell>
          <cell r="I263">
            <v>1303.74</v>
          </cell>
          <cell r="J263">
            <v>35.299999999999997</v>
          </cell>
          <cell r="K263">
            <v>0.67988668555243381</v>
          </cell>
          <cell r="L263" t="str">
            <v xml:space="preserve">Tramos Existentes </v>
          </cell>
          <cell r="M263" t="str">
            <v>Existente</v>
          </cell>
        </row>
        <row r="264">
          <cell r="B264">
            <v>220</v>
          </cell>
          <cell r="C264">
            <v>721</v>
          </cell>
          <cell r="D264">
            <v>1.4999999999999999E-2</v>
          </cell>
          <cell r="E264">
            <v>12</v>
          </cell>
          <cell r="F264">
            <v>1311.74</v>
          </cell>
          <cell r="G264">
            <v>1292.8800000000001</v>
          </cell>
          <cell r="H264">
            <v>1307.04</v>
          </cell>
          <cell r="I264">
            <v>1289.28</v>
          </cell>
          <cell r="J264">
            <v>34.799999999999997</v>
          </cell>
          <cell r="K264">
            <v>51.034482758620669</v>
          </cell>
          <cell r="L264" t="str">
            <v xml:space="preserve">Tramos Existentes </v>
          </cell>
          <cell r="M264" t="str">
            <v>Existente</v>
          </cell>
        </row>
        <row r="265">
          <cell r="B265">
            <v>227</v>
          </cell>
          <cell r="C265">
            <v>226</v>
          </cell>
          <cell r="D265">
            <v>0.01</v>
          </cell>
          <cell r="E265">
            <v>16</v>
          </cell>
          <cell r="F265">
            <v>1294.8800000000001</v>
          </cell>
          <cell r="G265">
            <v>1294.8</v>
          </cell>
          <cell r="H265">
            <v>1292.3</v>
          </cell>
          <cell r="I265">
            <v>1287.8900000000001</v>
          </cell>
          <cell r="J265">
            <v>4.2</v>
          </cell>
          <cell r="K265">
            <v>104.99999999999655</v>
          </cell>
          <cell r="L265" t="str">
            <v xml:space="preserve">Tramos Existentes </v>
          </cell>
          <cell r="M265" t="str">
            <v>Existente</v>
          </cell>
        </row>
        <row r="266">
          <cell r="B266">
            <v>226</v>
          </cell>
          <cell r="C266">
            <v>229</v>
          </cell>
          <cell r="D266">
            <v>1.4999999999999999E-2</v>
          </cell>
          <cell r="E266">
            <v>10</v>
          </cell>
          <cell r="F266">
            <v>1294.8</v>
          </cell>
          <cell r="G266">
            <v>1293.69</v>
          </cell>
          <cell r="H266">
            <v>1287.8900000000001</v>
          </cell>
          <cell r="I266">
            <v>1283.8399999999999</v>
          </cell>
          <cell r="J266">
            <v>41.6</v>
          </cell>
          <cell r="K266">
            <v>9.7355769230773603</v>
          </cell>
          <cell r="L266" t="str">
            <v xml:space="preserve">Tramos Existentes </v>
          </cell>
          <cell r="M266" t="str">
            <v>Existente</v>
          </cell>
        </row>
        <row r="267">
          <cell r="B267">
            <v>229</v>
          </cell>
          <cell r="C267">
            <v>1099</v>
          </cell>
          <cell r="D267">
            <v>1.4999999999999999E-2</v>
          </cell>
          <cell r="E267">
            <v>10</v>
          </cell>
          <cell r="F267">
            <v>1293.69</v>
          </cell>
          <cell r="G267">
            <v>1293.19</v>
          </cell>
          <cell r="H267">
            <v>1283.8399999999999</v>
          </cell>
          <cell r="I267">
            <v>1283.8</v>
          </cell>
          <cell r="J267">
            <v>54.5</v>
          </cell>
          <cell r="K267">
            <v>7.3394495412777289E-2</v>
          </cell>
          <cell r="L267" t="str">
            <v xml:space="preserve">Tramos Existentes </v>
          </cell>
          <cell r="M267" t="str">
            <v>Existente</v>
          </cell>
        </row>
        <row r="268">
          <cell r="B268">
            <v>111</v>
          </cell>
          <cell r="C268">
            <v>112</v>
          </cell>
          <cell r="D268">
            <v>1.2999999999999999E-2</v>
          </cell>
          <cell r="E268">
            <v>27</v>
          </cell>
          <cell r="F268">
            <v>1301.22</v>
          </cell>
          <cell r="G268">
            <v>1301.32</v>
          </cell>
          <cell r="H268">
            <v>1270.67</v>
          </cell>
          <cell r="I268">
            <v>1270.6300000000001</v>
          </cell>
          <cell r="J268">
            <v>21.8</v>
          </cell>
          <cell r="K268">
            <v>0.18348623853194321</v>
          </cell>
          <cell r="L268" t="str">
            <v>Unificacion de Vertimientos</v>
          </cell>
          <cell r="M268" t="str">
            <v>Nuevo</v>
          </cell>
        </row>
        <row r="269">
          <cell r="B269">
            <v>231</v>
          </cell>
          <cell r="C269">
            <v>230</v>
          </cell>
          <cell r="D269">
            <v>1.4999999999999999E-2</v>
          </cell>
          <cell r="E269">
            <v>10</v>
          </cell>
          <cell r="F269">
            <v>1294.32</v>
          </cell>
          <cell r="G269">
            <v>1292.75</v>
          </cell>
          <cell r="H269">
            <v>1292.1099999999999</v>
          </cell>
          <cell r="I269">
            <v>1290.74</v>
          </cell>
          <cell r="J269">
            <v>8.1999999999999993</v>
          </cell>
          <cell r="K269">
            <v>16.707317073169403</v>
          </cell>
          <cell r="L269" t="str">
            <v xml:space="preserve">Tramos Existentes </v>
          </cell>
          <cell r="M269" t="str">
            <v>Existente</v>
          </cell>
        </row>
        <row r="270">
          <cell r="B270">
            <v>110</v>
          </cell>
          <cell r="C270">
            <v>111</v>
          </cell>
          <cell r="D270">
            <v>1.2999999999999999E-2</v>
          </cell>
          <cell r="E270">
            <v>27</v>
          </cell>
          <cell r="F270">
            <v>1299.8900000000001</v>
          </cell>
          <cell r="G270">
            <v>1301.22</v>
          </cell>
          <cell r="H270">
            <v>1270.72</v>
          </cell>
          <cell r="I270">
            <v>1270.67</v>
          </cell>
          <cell r="J270">
            <v>24.8</v>
          </cell>
          <cell r="K270">
            <v>0.20161290322562309</v>
          </cell>
          <cell r="L270" t="str">
            <v>Unificacion de Vertimientos</v>
          </cell>
          <cell r="M270" t="str">
            <v>Nuevo</v>
          </cell>
        </row>
        <row r="271">
          <cell r="B271">
            <v>228</v>
          </cell>
          <cell r="C271">
            <v>229</v>
          </cell>
          <cell r="D271">
            <v>1.4999999999999999E-2</v>
          </cell>
          <cell r="E271">
            <v>10</v>
          </cell>
          <cell r="F271">
            <v>1292.67</v>
          </cell>
          <cell r="G271">
            <v>1293.69</v>
          </cell>
          <cell r="H271">
            <v>1289.27</v>
          </cell>
          <cell r="I271">
            <v>1283.8399999999999</v>
          </cell>
          <cell r="J271">
            <v>16.2</v>
          </cell>
          <cell r="K271">
            <v>33.518518518518917</v>
          </cell>
          <cell r="L271" t="str">
            <v xml:space="preserve">Tramos Existentes </v>
          </cell>
          <cell r="M271" t="str">
            <v>Existente</v>
          </cell>
        </row>
        <row r="272">
          <cell r="B272">
            <v>238</v>
          </cell>
          <cell r="C272">
            <v>233</v>
          </cell>
          <cell r="D272">
            <v>1.4999999999999999E-2</v>
          </cell>
          <cell r="E272">
            <v>10</v>
          </cell>
          <cell r="F272">
            <v>1300.54</v>
          </cell>
          <cell r="G272">
            <v>1293.23</v>
          </cell>
          <cell r="H272">
            <v>1298.6199999999999</v>
          </cell>
          <cell r="I272">
            <v>1291.07</v>
          </cell>
          <cell r="J272">
            <v>40.9</v>
          </cell>
          <cell r="K272">
            <v>18.459657701711382</v>
          </cell>
          <cell r="L272" t="str">
            <v xml:space="preserve">Tramos Existentes </v>
          </cell>
          <cell r="M272" t="str">
            <v>Existente</v>
          </cell>
        </row>
        <row r="273">
          <cell r="B273">
            <v>233</v>
          </cell>
          <cell r="C273">
            <v>232</v>
          </cell>
          <cell r="D273">
            <v>1.4999999999999999E-2</v>
          </cell>
          <cell r="E273">
            <v>12</v>
          </cell>
          <cell r="F273">
            <v>1293.23</v>
          </cell>
          <cell r="G273">
            <v>1293.05</v>
          </cell>
          <cell r="H273">
            <v>1291.07</v>
          </cell>
          <cell r="I273">
            <v>1290.1199999999999</v>
          </cell>
          <cell r="J273">
            <v>27.6</v>
          </cell>
          <cell r="K273">
            <v>3.4420289855074109</v>
          </cell>
          <cell r="L273" t="str">
            <v xml:space="preserve">Tramos Existentes </v>
          </cell>
          <cell r="M273" t="str">
            <v>Existente</v>
          </cell>
        </row>
        <row r="274">
          <cell r="B274">
            <v>264</v>
          </cell>
          <cell r="C274">
            <v>265</v>
          </cell>
          <cell r="D274">
            <v>1.4999999999999999E-2</v>
          </cell>
          <cell r="E274">
            <v>10</v>
          </cell>
          <cell r="F274">
            <v>1306.95</v>
          </cell>
          <cell r="G274">
            <v>1306.58</v>
          </cell>
          <cell r="H274">
            <v>1304.0899999999999</v>
          </cell>
          <cell r="I274">
            <v>1303.98</v>
          </cell>
          <cell r="J274">
            <v>30.9</v>
          </cell>
          <cell r="K274">
            <v>0.35598705501585748</v>
          </cell>
          <cell r="L274" t="str">
            <v xml:space="preserve">Tramos Existentes </v>
          </cell>
          <cell r="M274" t="str">
            <v>Existente</v>
          </cell>
        </row>
        <row r="275">
          <cell r="B275" t="str">
            <v>14i</v>
          </cell>
          <cell r="C275">
            <v>10</v>
          </cell>
          <cell r="D275">
            <v>1.4999999999999999E-2</v>
          </cell>
          <cell r="E275">
            <v>12</v>
          </cell>
          <cell r="F275">
            <v>1309.31</v>
          </cell>
          <cell r="G275">
            <v>1310.04</v>
          </cell>
          <cell r="H275">
            <v>1307.78</v>
          </cell>
          <cell r="I275">
            <v>1306.51</v>
          </cell>
          <cell r="J275">
            <v>76.599999999999994</v>
          </cell>
          <cell r="K275">
            <v>1.6579634464751722</v>
          </cell>
          <cell r="L275" t="str">
            <v xml:space="preserve">Tramos Existentes </v>
          </cell>
          <cell r="M275" t="str">
            <v>Existente</v>
          </cell>
        </row>
        <row r="276">
          <cell r="B276" t="str">
            <v>133i</v>
          </cell>
          <cell r="C276">
            <v>132</v>
          </cell>
          <cell r="D276">
            <v>1.4999999999999999E-2</v>
          </cell>
          <cell r="E276">
            <v>10</v>
          </cell>
          <cell r="F276">
            <v>1296.27</v>
          </cell>
          <cell r="G276">
            <v>1270</v>
          </cell>
          <cell r="H276">
            <v>1294.69</v>
          </cell>
          <cell r="I276">
            <v>1293.18</v>
          </cell>
          <cell r="J276">
            <v>71.5</v>
          </cell>
          <cell r="K276">
            <v>2.1118881118880992</v>
          </cell>
          <cell r="L276" t="str">
            <v xml:space="preserve">Tramos Existentes </v>
          </cell>
          <cell r="M276" t="str">
            <v>Existente</v>
          </cell>
        </row>
        <row r="277">
          <cell r="B277">
            <v>132</v>
          </cell>
          <cell r="C277">
            <v>131</v>
          </cell>
          <cell r="D277">
            <v>1.4999999999999999E-2</v>
          </cell>
          <cell r="E277">
            <v>10</v>
          </cell>
          <cell r="F277">
            <v>1270</v>
          </cell>
          <cell r="G277">
            <v>1269.8800000000001</v>
          </cell>
          <cell r="H277">
            <v>1293.18</v>
          </cell>
          <cell r="I277">
            <v>1291.54</v>
          </cell>
          <cell r="J277">
            <v>8.6</v>
          </cell>
          <cell r="K277">
            <v>19.069767441861629</v>
          </cell>
          <cell r="L277" t="str">
            <v xml:space="preserve">Tramos Existentes </v>
          </cell>
          <cell r="M277" t="str">
            <v>Existente</v>
          </cell>
        </row>
        <row r="278">
          <cell r="B278">
            <v>134</v>
          </cell>
          <cell r="C278">
            <v>133</v>
          </cell>
          <cell r="D278">
            <v>1.4999999999999999E-2</v>
          </cell>
          <cell r="E278">
            <v>10</v>
          </cell>
          <cell r="F278">
            <v>1270</v>
          </cell>
          <cell r="G278">
            <v>1269.6500000000001</v>
          </cell>
          <cell r="H278">
            <v>1295.44</v>
          </cell>
          <cell r="I278">
            <v>1294.3399999999999</v>
          </cell>
          <cell r="J278">
            <v>25.2</v>
          </cell>
          <cell r="K278">
            <v>4.3650793650799065</v>
          </cell>
          <cell r="L278" t="str">
            <v xml:space="preserve">Tramos Existentes </v>
          </cell>
          <cell r="M278" t="str">
            <v>Existente</v>
          </cell>
        </row>
        <row r="279">
          <cell r="B279">
            <v>133</v>
          </cell>
          <cell r="C279">
            <v>135</v>
          </cell>
          <cell r="D279">
            <v>1.4999999999999999E-2</v>
          </cell>
          <cell r="E279">
            <v>10</v>
          </cell>
          <cell r="F279">
            <v>1269.6500000000001</v>
          </cell>
          <cell r="G279">
            <v>1270.67</v>
          </cell>
          <cell r="H279">
            <v>1294.3399999999999</v>
          </cell>
          <cell r="I279">
            <v>1292.07</v>
          </cell>
          <cell r="J279">
            <v>76.5</v>
          </cell>
          <cell r="K279">
            <v>2.9673202614378846</v>
          </cell>
          <cell r="L279" t="str">
            <v xml:space="preserve">Tramos Existentes </v>
          </cell>
          <cell r="M279" t="str">
            <v>Existente</v>
          </cell>
        </row>
        <row r="280">
          <cell r="B280">
            <v>135</v>
          </cell>
          <cell r="C280">
            <v>136</v>
          </cell>
          <cell r="D280">
            <v>1.4999999999999999E-2</v>
          </cell>
          <cell r="E280">
            <v>12</v>
          </cell>
          <cell r="F280">
            <v>1270.67</v>
          </cell>
          <cell r="G280">
            <v>1270.0999999999999</v>
          </cell>
          <cell r="H280">
            <v>1292.07</v>
          </cell>
          <cell r="I280">
            <v>1273.73</v>
          </cell>
          <cell r="J280">
            <v>73.599999999999994</v>
          </cell>
          <cell r="K280">
            <v>24.918478260869456</v>
          </cell>
          <cell r="L280" t="str">
            <v xml:space="preserve">Tramos Existentes </v>
          </cell>
          <cell r="M280" t="str">
            <v>Existente</v>
          </cell>
        </row>
        <row r="281">
          <cell r="B281">
            <v>136</v>
          </cell>
          <cell r="C281" t="str">
            <v>D25</v>
          </cell>
          <cell r="D281">
            <v>0.01</v>
          </cell>
          <cell r="E281">
            <v>12</v>
          </cell>
          <cell r="F281">
            <v>1270.0999999999999</v>
          </cell>
          <cell r="G281">
            <v>1273.01</v>
          </cell>
          <cell r="H281">
            <v>1273.73</v>
          </cell>
          <cell r="I281">
            <v>1273.01</v>
          </cell>
          <cell r="J281">
            <v>5.5</v>
          </cell>
          <cell r="K281">
            <v>13.090909090909586</v>
          </cell>
          <cell r="L281" t="str">
            <v xml:space="preserve">Tramos Existentes </v>
          </cell>
          <cell r="M281" t="str">
            <v>Existente</v>
          </cell>
        </row>
        <row r="282">
          <cell r="B282">
            <v>138</v>
          </cell>
          <cell r="C282">
            <v>137</v>
          </cell>
          <cell r="D282">
            <v>1.4999999999999999E-2</v>
          </cell>
          <cell r="E282">
            <v>10</v>
          </cell>
          <cell r="F282">
            <v>1262.56</v>
          </cell>
          <cell r="G282">
            <v>1265</v>
          </cell>
          <cell r="H282">
            <v>1297.08</v>
          </cell>
          <cell r="I282">
            <v>1296.07</v>
          </cell>
          <cell r="J282">
            <v>1.8</v>
          </cell>
          <cell r="K282">
            <v>56.111111111110603</v>
          </cell>
          <cell r="L282" t="str">
            <v xml:space="preserve">Tramos Existentes </v>
          </cell>
          <cell r="M282" t="str">
            <v>Existente</v>
          </cell>
        </row>
        <row r="283">
          <cell r="B283">
            <v>137</v>
          </cell>
          <cell r="C283">
            <v>135</v>
          </cell>
          <cell r="D283">
            <v>1.4999999999999999E-2</v>
          </cell>
          <cell r="E283">
            <v>10</v>
          </cell>
          <cell r="F283">
            <v>1265</v>
          </cell>
          <cell r="G283">
            <v>1270.67</v>
          </cell>
          <cell r="H283">
            <v>1296.07</v>
          </cell>
          <cell r="I283">
            <v>1292.07</v>
          </cell>
          <cell r="J283">
            <v>74.8</v>
          </cell>
          <cell r="K283">
            <v>5.3475935828877006</v>
          </cell>
          <cell r="L283" t="str">
            <v xml:space="preserve">Tramos Existentes </v>
          </cell>
          <cell r="M283" t="str">
            <v>Existente</v>
          </cell>
        </row>
        <row r="284">
          <cell r="B284">
            <v>184</v>
          </cell>
          <cell r="C284">
            <v>181</v>
          </cell>
          <cell r="D284">
            <v>1.4999999999999999E-2</v>
          </cell>
          <cell r="E284">
            <v>12</v>
          </cell>
          <cell r="F284">
            <v>1296.22</v>
          </cell>
          <cell r="G284">
            <v>1290.73</v>
          </cell>
          <cell r="H284">
            <v>1290.92</v>
          </cell>
          <cell r="I284">
            <v>1287.19</v>
          </cell>
          <cell r="J284">
            <v>39.5</v>
          </cell>
          <cell r="K284">
            <v>9.4430379746835911</v>
          </cell>
          <cell r="L284" t="str">
            <v xml:space="preserve">Tramos Existentes </v>
          </cell>
          <cell r="M284" t="str">
            <v>Existente</v>
          </cell>
        </row>
        <row r="285">
          <cell r="B285">
            <v>139</v>
          </cell>
          <cell r="C285">
            <v>137</v>
          </cell>
          <cell r="D285">
            <v>1.4999999999999999E-2</v>
          </cell>
          <cell r="E285">
            <v>10</v>
          </cell>
          <cell r="F285">
            <v>1260</v>
          </cell>
          <cell r="G285">
            <v>1265</v>
          </cell>
          <cell r="H285">
            <v>1297.1400000000001</v>
          </cell>
          <cell r="I285">
            <v>1296.07</v>
          </cell>
          <cell r="J285">
            <v>62.4</v>
          </cell>
          <cell r="K285">
            <v>1.7147435897438521</v>
          </cell>
          <cell r="L285" t="str">
            <v xml:space="preserve">Tramos Existentes </v>
          </cell>
          <cell r="M285" t="str">
            <v>Existente</v>
          </cell>
        </row>
        <row r="286">
          <cell r="B286" t="str">
            <v>13i</v>
          </cell>
          <cell r="C286">
            <v>14</v>
          </cell>
          <cell r="D286">
            <v>1.4999999999999999E-2</v>
          </cell>
          <cell r="E286">
            <v>8</v>
          </cell>
          <cell r="F286">
            <v>1309.29</v>
          </cell>
          <cell r="G286">
            <v>1309.31</v>
          </cell>
          <cell r="H286">
            <v>1306.8499999999999</v>
          </cell>
          <cell r="I286">
            <v>1306.81</v>
          </cell>
          <cell r="J286">
            <v>1.6</v>
          </cell>
          <cell r="K286">
            <v>2.4999999999977263</v>
          </cell>
          <cell r="L286" t="str">
            <v xml:space="preserve">Tramos Existentes </v>
          </cell>
          <cell r="M286" t="str">
            <v>Existente</v>
          </cell>
        </row>
        <row r="287">
          <cell r="B287" t="str">
            <v>247i</v>
          </cell>
          <cell r="C287">
            <v>248</v>
          </cell>
          <cell r="D287">
            <v>1.4999999999999999E-2</v>
          </cell>
          <cell r="E287">
            <v>8</v>
          </cell>
          <cell r="F287">
            <v>1304.74</v>
          </cell>
          <cell r="G287">
            <v>1302.21</v>
          </cell>
          <cell r="H287">
            <v>1303.1300000000001</v>
          </cell>
          <cell r="I287">
            <v>1300.53</v>
          </cell>
          <cell r="J287">
            <v>37.799999999999997</v>
          </cell>
          <cell r="K287">
            <v>6.8783068783072405</v>
          </cell>
          <cell r="L287" t="str">
            <v xml:space="preserve">Tramos Existentes </v>
          </cell>
          <cell r="M287" t="str">
            <v>Existente</v>
          </cell>
        </row>
        <row r="288">
          <cell r="B288">
            <v>248</v>
          </cell>
          <cell r="C288">
            <v>200</v>
          </cell>
          <cell r="D288">
            <v>1.4999999999999999E-2</v>
          </cell>
          <cell r="E288">
            <v>10</v>
          </cell>
          <cell r="F288">
            <v>1302.21</v>
          </cell>
          <cell r="G288">
            <v>1300.94</v>
          </cell>
          <cell r="H288">
            <v>1300.53</v>
          </cell>
          <cell r="I288">
            <v>1299.25</v>
          </cell>
          <cell r="J288">
            <v>37.799999999999997</v>
          </cell>
          <cell r="K288">
            <v>3.3862433862433141</v>
          </cell>
          <cell r="L288" t="str">
            <v xml:space="preserve">Tramos Existentes </v>
          </cell>
          <cell r="M288" t="str">
            <v>Existente</v>
          </cell>
        </row>
        <row r="289">
          <cell r="B289">
            <v>140</v>
          </cell>
          <cell r="C289">
            <v>133</v>
          </cell>
          <cell r="D289">
            <v>1.4999999999999999E-2</v>
          </cell>
          <cell r="E289">
            <v>10</v>
          </cell>
          <cell r="F289">
            <v>1260.2</v>
          </cell>
          <cell r="G289">
            <v>1269.6500000000001</v>
          </cell>
          <cell r="H289">
            <v>1297.1400000000001</v>
          </cell>
          <cell r="I289">
            <v>1294.3399999999999</v>
          </cell>
          <cell r="J289">
            <v>76.099999999999994</v>
          </cell>
          <cell r="K289">
            <v>3.6793692509857845</v>
          </cell>
          <cell r="L289" t="str">
            <v xml:space="preserve">Tramos Existentes </v>
          </cell>
          <cell r="M289" t="str">
            <v>Existente</v>
          </cell>
        </row>
        <row r="290">
          <cell r="B290">
            <v>145</v>
          </cell>
          <cell r="C290">
            <v>146</v>
          </cell>
          <cell r="D290">
            <v>1.4999999999999999E-2</v>
          </cell>
          <cell r="E290">
            <v>16</v>
          </cell>
          <cell r="F290">
            <v>1304.79</v>
          </cell>
          <cell r="G290">
            <v>1303.98</v>
          </cell>
          <cell r="H290">
            <v>1303.2</v>
          </cell>
          <cell r="I290">
            <v>1299.78</v>
          </cell>
          <cell r="J290">
            <v>72.3</v>
          </cell>
          <cell r="K290">
            <v>4.7302904564316366</v>
          </cell>
          <cell r="L290" t="str">
            <v xml:space="preserve">Tramos Existentes </v>
          </cell>
          <cell r="M290" t="str">
            <v>Existente</v>
          </cell>
        </row>
        <row r="291">
          <cell r="B291">
            <v>146</v>
          </cell>
          <cell r="C291">
            <v>147</v>
          </cell>
          <cell r="D291">
            <v>1.4999999999999999E-2</v>
          </cell>
          <cell r="E291">
            <v>28</v>
          </cell>
          <cell r="F291">
            <v>1303.98</v>
          </cell>
          <cell r="G291">
            <v>1303.92</v>
          </cell>
          <cell r="H291">
            <v>1299.78</v>
          </cell>
          <cell r="I291">
            <v>1296.6099999999999</v>
          </cell>
          <cell r="J291">
            <v>2.4</v>
          </cell>
          <cell r="K291">
            <v>132.08333333333638</v>
          </cell>
          <cell r="L291" t="str">
            <v xml:space="preserve">Tramos Existentes </v>
          </cell>
          <cell r="M291" t="str">
            <v>Existente</v>
          </cell>
        </row>
        <row r="292">
          <cell r="B292">
            <v>152</v>
          </cell>
          <cell r="C292">
            <v>149</v>
          </cell>
          <cell r="D292">
            <v>1.4999999999999999E-2</v>
          </cell>
          <cell r="E292">
            <v>10</v>
          </cell>
          <cell r="F292">
            <v>1304.6099999999999</v>
          </cell>
          <cell r="G292">
            <v>1303.46</v>
          </cell>
          <cell r="H292">
            <v>1301.43</v>
          </cell>
          <cell r="I292">
            <v>1300.21</v>
          </cell>
          <cell r="J292">
            <v>45.7</v>
          </cell>
          <cell r="K292">
            <v>2.669584245076646</v>
          </cell>
          <cell r="L292" t="str">
            <v xml:space="preserve">Tramos Existentes </v>
          </cell>
          <cell r="M292" t="str">
            <v>Existente</v>
          </cell>
        </row>
        <row r="293">
          <cell r="B293">
            <v>149</v>
          </cell>
          <cell r="C293">
            <v>146</v>
          </cell>
          <cell r="D293">
            <v>1.4999999999999999E-2</v>
          </cell>
          <cell r="E293">
            <v>18</v>
          </cell>
          <cell r="F293">
            <v>1303.46</v>
          </cell>
          <cell r="G293">
            <v>1303.98</v>
          </cell>
          <cell r="H293">
            <v>1300.21</v>
          </cell>
          <cell r="I293">
            <v>1299.78</v>
          </cell>
          <cell r="J293">
            <v>25.4</v>
          </cell>
          <cell r="K293">
            <v>1.6929133858270224</v>
          </cell>
          <cell r="L293" t="str">
            <v xml:space="preserve">Tramos Existentes </v>
          </cell>
          <cell r="M293" t="str">
            <v>Existente</v>
          </cell>
        </row>
        <row r="294">
          <cell r="B294" t="str">
            <v>15i</v>
          </cell>
          <cell r="C294">
            <v>16</v>
          </cell>
          <cell r="D294">
            <v>1.4999999999999999E-2</v>
          </cell>
          <cell r="E294">
            <v>10</v>
          </cell>
          <cell r="F294">
            <v>1308.67</v>
          </cell>
          <cell r="G294">
            <v>1308.6500000000001</v>
          </cell>
          <cell r="H294">
            <v>1307.25</v>
          </cell>
          <cell r="I294">
            <v>1306.68</v>
          </cell>
          <cell r="J294">
            <v>3.3</v>
          </cell>
          <cell r="K294">
            <v>17.272727272725344</v>
          </cell>
          <cell r="L294" t="str">
            <v xml:space="preserve">Tramos Existentes </v>
          </cell>
          <cell r="M294" t="str">
            <v>Existente</v>
          </cell>
        </row>
        <row r="295">
          <cell r="B295">
            <v>16</v>
          </cell>
          <cell r="C295">
            <v>2</v>
          </cell>
          <cell r="D295">
            <v>1.4999999999999999E-2</v>
          </cell>
          <cell r="E295">
            <v>12</v>
          </cell>
          <cell r="F295">
            <v>1308.6500000000001</v>
          </cell>
          <cell r="G295">
            <v>1305.6600000000001</v>
          </cell>
          <cell r="H295">
            <v>1306.68</v>
          </cell>
          <cell r="I295">
            <v>1302.76</v>
          </cell>
          <cell r="J295">
            <v>75.400000000000006</v>
          </cell>
          <cell r="K295">
            <v>5.1989389920425362</v>
          </cell>
          <cell r="L295" t="str">
            <v xml:space="preserve">Tramos Existentes </v>
          </cell>
          <cell r="M295" t="str">
            <v>Existente</v>
          </cell>
        </row>
        <row r="296">
          <cell r="B296" t="str">
            <v>137i</v>
          </cell>
          <cell r="C296">
            <v>286</v>
          </cell>
          <cell r="D296">
            <v>0.01</v>
          </cell>
          <cell r="E296">
            <v>10</v>
          </cell>
          <cell r="F296">
            <v>1298.0899999999999</v>
          </cell>
          <cell r="G296">
            <v>1277.01</v>
          </cell>
          <cell r="H296">
            <v>1296.0899999999999</v>
          </cell>
          <cell r="I296">
            <v>1275.25</v>
          </cell>
          <cell r="J296">
            <v>67.2</v>
          </cell>
          <cell r="K296">
            <v>31.011904761904642</v>
          </cell>
          <cell r="L296" t="str">
            <v xml:space="preserve">Tramos Existentes </v>
          </cell>
          <cell r="M296" t="str">
            <v>Existente</v>
          </cell>
        </row>
        <row r="297">
          <cell r="B297">
            <v>128</v>
          </cell>
          <cell r="C297">
            <v>127</v>
          </cell>
          <cell r="D297">
            <v>1.4999999999999999E-2</v>
          </cell>
          <cell r="E297">
            <v>10</v>
          </cell>
          <cell r="F297">
            <v>1267.02</v>
          </cell>
          <cell r="G297">
            <v>1267.5999999999999</v>
          </cell>
          <cell r="H297">
            <v>1300.6400000000001</v>
          </cell>
          <cell r="I297">
            <v>1299.79</v>
          </cell>
          <cell r="J297">
            <v>26.1</v>
          </cell>
          <cell r="K297">
            <v>3.2567049808434341</v>
          </cell>
          <cell r="L297" t="str">
            <v xml:space="preserve">Tramos Existentes </v>
          </cell>
          <cell r="M297" t="str">
            <v>Existente</v>
          </cell>
        </row>
        <row r="298">
          <cell r="B298">
            <v>162</v>
          </cell>
          <cell r="C298">
            <v>163</v>
          </cell>
          <cell r="D298">
            <v>0.01</v>
          </cell>
          <cell r="E298">
            <v>6</v>
          </cell>
          <cell r="F298">
            <v>1303.28</v>
          </cell>
          <cell r="G298">
            <v>1302.27</v>
          </cell>
          <cell r="H298">
            <v>1302.57</v>
          </cell>
          <cell r="I298">
            <v>1301.52</v>
          </cell>
          <cell r="J298">
            <v>17.600000000000001</v>
          </cell>
          <cell r="K298">
            <v>5.9659090909088324</v>
          </cell>
          <cell r="L298" t="str">
            <v xml:space="preserve">Tramos Existentes </v>
          </cell>
          <cell r="M298" t="str">
            <v>Existente</v>
          </cell>
        </row>
        <row r="299">
          <cell r="B299">
            <v>163</v>
          </cell>
          <cell r="C299">
            <v>166</v>
          </cell>
          <cell r="D299">
            <v>0.01</v>
          </cell>
          <cell r="E299">
            <v>6</v>
          </cell>
          <cell r="F299">
            <v>1302.27</v>
          </cell>
          <cell r="G299">
            <v>1302</v>
          </cell>
          <cell r="H299">
            <v>1301.52</v>
          </cell>
          <cell r="I299">
            <v>1300.19</v>
          </cell>
          <cell r="J299">
            <v>19.7</v>
          </cell>
          <cell r="K299">
            <v>6.7512690355326255</v>
          </cell>
          <cell r="L299" t="str">
            <v xml:space="preserve">Tramos Existentes </v>
          </cell>
          <cell r="M299" t="str">
            <v>Existente</v>
          </cell>
        </row>
        <row r="300">
          <cell r="B300">
            <v>166</v>
          </cell>
          <cell r="C300" t="str">
            <v>P8</v>
          </cell>
          <cell r="D300">
            <v>1.4999999999999999E-2</v>
          </cell>
          <cell r="E300">
            <v>6</v>
          </cell>
          <cell r="F300">
            <v>1302</v>
          </cell>
          <cell r="G300">
            <v>1300.42</v>
          </cell>
          <cell r="H300">
            <v>1300.19</v>
          </cell>
          <cell r="I300">
            <v>1298.58</v>
          </cell>
          <cell r="J300">
            <v>10.199999999999999</v>
          </cell>
          <cell r="K300">
            <v>15.784313725491444</v>
          </cell>
          <cell r="L300" t="str">
            <v xml:space="preserve">Tramos Existentes </v>
          </cell>
          <cell r="M300" t="str">
            <v>Existente</v>
          </cell>
        </row>
        <row r="301">
          <cell r="B301" t="str">
            <v>P8</v>
          </cell>
          <cell r="C301">
            <v>169</v>
          </cell>
          <cell r="D301">
            <v>1.4999999999999999E-2</v>
          </cell>
          <cell r="E301">
            <v>8</v>
          </cell>
          <cell r="F301">
            <v>1300.42</v>
          </cell>
          <cell r="G301">
            <v>1299.76</v>
          </cell>
          <cell r="H301">
            <v>1298.58</v>
          </cell>
          <cell r="I301">
            <v>1297.6600000000001</v>
          </cell>
          <cell r="J301">
            <v>3.9</v>
          </cell>
          <cell r="K301">
            <v>23.589743589739626</v>
          </cell>
          <cell r="L301" t="str">
            <v xml:space="preserve">Tramos Existentes </v>
          </cell>
          <cell r="M301" t="str">
            <v>Existente</v>
          </cell>
        </row>
        <row r="302">
          <cell r="B302">
            <v>79</v>
          </cell>
          <cell r="C302">
            <v>121</v>
          </cell>
          <cell r="D302">
            <v>1.4999999999999999E-2</v>
          </cell>
          <cell r="E302">
            <v>10</v>
          </cell>
          <cell r="F302">
            <v>1298.42</v>
          </cell>
          <cell r="G302">
            <v>1271.45</v>
          </cell>
          <cell r="H302">
            <v>1295.81</v>
          </cell>
          <cell r="I302">
            <v>1295.25</v>
          </cell>
          <cell r="J302">
            <v>21.4</v>
          </cell>
          <cell r="K302">
            <v>2.616822429906287</v>
          </cell>
          <cell r="L302" t="str">
            <v xml:space="preserve">Tramos Existentes </v>
          </cell>
          <cell r="M302" t="str">
            <v>Existente</v>
          </cell>
        </row>
        <row r="303">
          <cell r="B303">
            <v>121</v>
          </cell>
          <cell r="C303">
            <v>123</v>
          </cell>
          <cell r="D303">
            <v>1.4999999999999999E-2</v>
          </cell>
          <cell r="E303">
            <v>10</v>
          </cell>
          <cell r="F303">
            <v>1271.45</v>
          </cell>
          <cell r="G303">
            <v>1269.1400000000001</v>
          </cell>
          <cell r="H303">
            <v>1295.25</v>
          </cell>
          <cell r="I303">
            <v>1293.3599999999999</v>
          </cell>
          <cell r="J303">
            <v>26.5</v>
          </cell>
          <cell r="K303">
            <v>7.1320754716984904</v>
          </cell>
          <cell r="L303" t="str">
            <v xml:space="preserve">Tramos Existentes </v>
          </cell>
          <cell r="M303" t="str">
            <v>Existente</v>
          </cell>
        </row>
        <row r="304">
          <cell r="B304">
            <v>123</v>
          </cell>
          <cell r="C304">
            <v>125</v>
          </cell>
          <cell r="D304">
            <v>1.4999999999999999E-2</v>
          </cell>
          <cell r="E304">
            <v>10</v>
          </cell>
          <cell r="F304">
            <v>1269.1400000000001</v>
          </cell>
          <cell r="G304">
            <v>1270</v>
          </cell>
          <cell r="H304">
            <v>1293.3599999999999</v>
          </cell>
          <cell r="I304">
            <v>1292.31</v>
          </cell>
          <cell r="J304">
            <v>26.6</v>
          </cell>
          <cell r="K304">
            <v>3.9473684210524604</v>
          </cell>
          <cell r="L304" t="str">
            <v xml:space="preserve">Tramos Existentes </v>
          </cell>
          <cell r="M304" t="str">
            <v>Existente</v>
          </cell>
        </row>
        <row r="305">
          <cell r="B305">
            <v>125</v>
          </cell>
          <cell r="C305">
            <v>126</v>
          </cell>
          <cell r="D305">
            <v>1.4999999999999999E-2</v>
          </cell>
          <cell r="E305">
            <v>12</v>
          </cell>
          <cell r="F305">
            <v>1270</v>
          </cell>
          <cell r="G305">
            <v>1266.78</v>
          </cell>
          <cell r="H305">
            <v>1292.31</v>
          </cell>
          <cell r="I305">
            <v>1283.43</v>
          </cell>
          <cell r="J305">
            <v>25.1</v>
          </cell>
          <cell r="K305">
            <v>35.37848605577642</v>
          </cell>
          <cell r="L305" t="str">
            <v xml:space="preserve">Tramos Existentes </v>
          </cell>
          <cell r="M305" t="str">
            <v>Existente</v>
          </cell>
        </row>
        <row r="306">
          <cell r="B306">
            <v>126</v>
          </cell>
          <cell r="C306">
            <v>634</v>
          </cell>
          <cell r="D306">
            <v>0.01</v>
          </cell>
          <cell r="E306">
            <v>12</v>
          </cell>
          <cell r="F306">
            <v>1266.78</v>
          </cell>
          <cell r="G306">
            <v>1280.93</v>
          </cell>
          <cell r="H306">
            <v>1283.43</v>
          </cell>
          <cell r="I306">
            <v>1278.6199999999999</v>
          </cell>
          <cell r="J306">
            <v>7.7</v>
          </cell>
          <cell r="K306">
            <v>62.467532467534717</v>
          </cell>
          <cell r="L306" t="str">
            <v xml:space="preserve">Tramos Existentes </v>
          </cell>
          <cell r="M306" t="str">
            <v>Existente</v>
          </cell>
        </row>
        <row r="307">
          <cell r="B307">
            <v>5</v>
          </cell>
          <cell r="C307">
            <v>4</v>
          </cell>
          <cell r="D307">
            <v>1.4999999999999999E-2</v>
          </cell>
          <cell r="E307">
            <v>10</v>
          </cell>
          <cell r="F307">
            <v>1302.53</v>
          </cell>
          <cell r="G307">
            <v>1302.46</v>
          </cell>
          <cell r="H307">
            <v>1301.01</v>
          </cell>
          <cell r="I307">
            <v>1299.0899999999999</v>
          </cell>
          <cell r="J307">
            <v>4.2</v>
          </cell>
          <cell r="K307">
            <v>45.714285714287442</v>
          </cell>
          <cell r="L307" t="str">
            <v xml:space="preserve">Tramos Existentes </v>
          </cell>
          <cell r="M307" t="str">
            <v>Existente</v>
          </cell>
        </row>
        <row r="308">
          <cell r="B308">
            <v>124</v>
          </cell>
          <cell r="C308">
            <v>125</v>
          </cell>
          <cell r="D308">
            <v>1.4999999999999999E-2</v>
          </cell>
          <cell r="E308">
            <v>12</v>
          </cell>
          <cell r="F308">
            <v>1269.22</v>
          </cell>
          <cell r="G308">
            <v>1270</v>
          </cell>
          <cell r="H308">
            <v>1292.8599999999999</v>
          </cell>
          <cell r="I308">
            <v>1292.31</v>
          </cell>
          <cell r="J308">
            <v>52.8</v>
          </cell>
          <cell r="K308">
            <v>1.0416666666665806</v>
          </cell>
          <cell r="L308" t="str">
            <v xml:space="preserve">Tramos Existentes </v>
          </cell>
          <cell r="M308" t="str">
            <v>Existente</v>
          </cell>
        </row>
        <row r="309">
          <cell r="B309">
            <v>14</v>
          </cell>
          <cell r="C309">
            <v>5</v>
          </cell>
          <cell r="D309">
            <v>1.4999999999999999E-2</v>
          </cell>
          <cell r="E309">
            <v>12</v>
          </cell>
          <cell r="F309">
            <v>1309.31</v>
          </cell>
          <cell r="G309">
            <v>1302.53</v>
          </cell>
          <cell r="H309">
            <v>1306.81</v>
          </cell>
          <cell r="I309">
            <v>1301.01</v>
          </cell>
          <cell r="J309">
            <v>71.2</v>
          </cell>
          <cell r="K309">
            <v>8.1460674157302719</v>
          </cell>
          <cell r="L309" t="str">
            <v xml:space="preserve">Tramos Existentes </v>
          </cell>
          <cell r="M309" t="str">
            <v>Existente</v>
          </cell>
        </row>
        <row r="310">
          <cell r="B310">
            <v>127</v>
          </cell>
          <cell r="C310">
            <v>75</v>
          </cell>
          <cell r="D310">
            <v>1.4999999999999999E-2</v>
          </cell>
          <cell r="E310">
            <v>10</v>
          </cell>
          <cell r="F310">
            <v>1267.5999999999999</v>
          </cell>
          <cell r="G310">
            <v>1300.83</v>
          </cell>
          <cell r="H310">
            <v>1299.79</v>
          </cell>
          <cell r="I310">
            <v>1299.19</v>
          </cell>
          <cell r="J310">
            <v>21.3</v>
          </cell>
          <cell r="K310">
            <v>2.8169014084502773</v>
          </cell>
          <cell r="L310" t="str">
            <v xml:space="preserve">Tramos Existentes </v>
          </cell>
          <cell r="M310" t="str">
            <v>Existente</v>
          </cell>
        </row>
        <row r="311">
          <cell r="B311">
            <v>76</v>
          </cell>
          <cell r="C311">
            <v>77</v>
          </cell>
          <cell r="D311">
            <v>1.4999999999999999E-2</v>
          </cell>
          <cell r="E311">
            <v>10</v>
          </cell>
          <cell r="F311">
            <v>1298.8599999999999</v>
          </cell>
          <cell r="G311">
            <v>1298.25</v>
          </cell>
          <cell r="H311">
            <v>1297.3900000000001</v>
          </cell>
          <cell r="I311">
            <v>1295.3599999999999</v>
          </cell>
          <cell r="J311">
            <v>16.2</v>
          </cell>
          <cell r="K311">
            <v>12.530864197532098</v>
          </cell>
          <cell r="L311" t="str">
            <v xml:space="preserve">Tramos Existentes </v>
          </cell>
          <cell r="M311" t="str">
            <v>Existente</v>
          </cell>
        </row>
        <row r="312">
          <cell r="B312">
            <v>196</v>
          </cell>
          <cell r="C312">
            <v>195</v>
          </cell>
          <cell r="D312">
            <v>1.4999999999999999E-2</v>
          </cell>
          <cell r="E312">
            <v>10</v>
          </cell>
          <cell r="F312">
            <v>1302.83</v>
          </cell>
          <cell r="G312">
            <v>1302.5999999999999</v>
          </cell>
          <cell r="H312">
            <v>1301.4000000000001</v>
          </cell>
          <cell r="I312">
            <v>1299.44</v>
          </cell>
          <cell r="J312">
            <v>69.099999999999994</v>
          </cell>
          <cell r="K312">
            <v>2.8364688856729909</v>
          </cell>
          <cell r="L312" t="str">
            <v xml:space="preserve">Tramos Existentes </v>
          </cell>
          <cell r="M312" t="str">
            <v>Existente</v>
          </cell>
        </row>
        <row r="313">
          <cell r="B313">
            <v>195</v>
          </cell>
          <cell r="C313">
            <v>185</v>
          </cell>
          <cell r="D313">
            <v>1.4999999999999999E-2</v>
          </cell>
          <cell r="E313">
            <v>10</v>
          </cell>
          <cell r="F313">
            <v>1302.5999999999999</v>
          </cell>
          <cell r="G313">
            <v>1302.43</v>
          </cell>
          <cell r="H313">
            <v>1299.44</v>
          </cell>
          <cell r="I313">
            <v>1297.97</v>
          </cell>
          <cell r="J313">
            <v>80.900000000000006</v>
          </cell>
          <cell r="K313">
            <v>1.8170580964153613</v>
          </cell>
          <cell r="L313" t="str">
            <v xml:space="preserve">Tramos Existentes </v>
          </cell>
          <cell r="M313" t="str">
            <v>Existente</v>
          </cell>
        </row>
        <row r="314">
          <cell r="B314">
            <v>185</v>
          </cell>
          <cell r="C314">
            <v>129</v>
          </cell>
          <cell r="D314">
            <v>1.4999999999999999E-2</v>
          </cell>
          <cell r="E314">
            <v>10</v>
          </cell>
          <cell r="F314">
            <v>1302.43</v>
          </cell>
          <cell r="G314">
            <v>1267</v>
          </cell>
          <cell r="H314">
            <v>1297.97</v>
          </cell>
          <cell r="I314">
            <v>1297.93</v>
          </cell>
          <cell r="J314">
            <v>75.099999999999994</v>
          </cell>
          <cell r="K314">
            <v>5.3262316910737184E-2</v>
          </cell>
          <cell r="L314" t="str">
            <v xml:space="preserve">Tramos Existentes </v>
          </cell>
          <cell r="M314" t="str">
            <v>Existente</v>
          </cell>
        </row>
        <row r="315">
          <cell r="B315">
            <v>129</v>
          </cell>
          <cell r="C315">
            <v>130</v>
          </cell>
          <cell r="D315">
            <v>1.4999999999999999E-2</v>
          </cell>
          <cell r="E315">
            <v>10</v>
          </cell>
          <cell r="F315">
            <v>1267</v>
          </cell>
          <cell r="G315">
            <v>1266.28</v>
          </cell>
          <cell r="H315">
            <v>1297.93</v>
          </cell>
          <cell r="I315">
            <v>1297.6199999999999</v>
          </cell>
          <cell r="J315">
            <v>6.5</v>
          </cell>
          <cell r="K315">
            <v>4.7692307692334275</v>
          </cell>
          <cell r="L315" t="str">
            <v xml:space="preserve">Tramos Existentes </v>
          </cell>
          <cell r="M315" t="str">
            <v>Existente</v>
          </cell>
        </row>
        <row r="316">
          <cell r="B316">
            <v>130</v>
          </cell>
          <cell r="C316">
            <v>131</v>
          </cell>
          <cell r="D316">
            <v>1.4999999999999999E-2</v>
          </cell>
          <cell r="E316">
            <v>10</v>
          </cell>
          <cell r="F316">
            <v>1266.28</v>
          </cell>
          <cell r="G316">
            <v>1269.8800000000001</v>
          </cell>
          <cell r="H316">
            <v>1297.6199999999999</v>
          </cell>
          <cell r="I316">
            <v>1291.54</v>
          </cell>
          <cell r="J316">
            <v>46.5</v>
          </cell>
          <cell r="K316">
            <v>13.075268817204144</v>
          </cell>
          <cell r="L316" t="str">
            <v xml:space="preserve">Tramos Existentes </v>
          </cell>
          <cell r="M316" t="str">
            <v>Existente</v>
          </cell>
        </row>
        <row r="317">
          <cell r="B317">
            <v>131</v>
          </cell>
          <cell r="C317">
            <v>181</v>
          </cell>
          <cell r="D317">
            <v>1.4999999999999999E-2</v>
          </cell>
          <cell r="E317">
            <v>10</v>
          </cell>
          <cell r="F317">
            <v>1269.8800000000001</v>
          </cell>
          <cell r="G317">
            <v>1290.73</v>
          </cell>
          <cell r="H317">
            <v>1291.54</v>
          </cell>
          <cell r="I317">
            <v>1287.19</v>
          </cell>
          <cell r="J317">
            <v>38.299999999999997</v>
          </cell>
          <cell r="K317">
            <v>11.357702349869216</v>
          </cell>
          <cell r="L317" t="str">
            <v xml:space="preserve">Tramos Existentes </v>
          </cell>
          <cell r="M317" t="str">
            <v>Existente</v>
          </cell>
        </row>
        <row r="318">
          <cell r="B318">
            <v>4</v>
          </cell>
          <cell r="C318">
            <v>6</v>
          </cell>
          <cell r="D318">
            <v>1.4999999999999999E-2</v>
          </cell>
          <cell r="E318">
            <v>18</v>
          </cell>
          <cell r="F318">
            <v>1302.46</v>
          </cell>
          <cell r="G318">
            <v>1300.6199999999999</v>
          </cell>
          <cell r="H318">
            <v>1299.0899999999999</v>
          </cell>
          <cell r="I318">
            <v>1298.08</v>
          </cell>
          <cell r="J318">
            <v>39</v>
          </cell>
          <cell r="K318">
            <v>2.5897435897435663</v>
          </cell>
          <cell r="L318" t="str">
            <v xml:space="preserve">Tramos Existentes </v>
          </cell>
          <cell r="M318" t="str">
            <v>Existente</v>
          </cell>
        </row>
        <row r="319">
          <cell r="B319">
            <v>122</v>
          </cell>
          <cell r="C319">
            <v>123</v>
          </cell>
          <cell r="D319">
            <v>1.4999999999999999E-2</v>
          </cell>
          <cell r="E319">
            <v>10</v>
          </cell>
          <cell r="F319">
            <v>1270.1300000000001</v>
          </cell>
          <cell r="G319">
            <v>1269.1400000000001</v>
          </cell>
          <cell r="H319">
            <v>1294.48</v>
          </cell>
          <cell r="I319">
            <v>1293.3599999999999</v>
          </cell>
          <cell r="J319">
            <v>58.7</v>
          </cell>
          <cell r="K319">
            <v>1.9080068143102524</v>
          </cell>
          <cell r="L319" t="str">
            <v xml:space="preserve">Tramos Existentes </v>
          </cell>
          <cell r="M319" t="str">
            <v>Existente</v>
          </cell>
        </row>
        <row r="320">
          <cell r="B320">
            <v>179</v>
          </cell>
          <cell r="C320">
            <v>223</v>
          </cell>
          <cell r="D320">
            <v>1.4999999999999999E-2</v>
          </cell>
          <cell r="E320">
            <v>16</v>
          </cell>
          <cell r="F320">
            <v>1294.8399999999999</v>
          </cell>
          <cell r="G320">
            <v>1294.71</v>
          </cell>
          <cell r="H320">
            <v>1292.42</v>
          </cell>
          <cell r="I320">
            <v>1292.4000000000001</v>
          </cell>
          <cell r="J320">
            <v>5.2</v>
          </cell>
          <cell r="K320">
            <v>0.38461538461503481</v>
          </cell>
          <cell r="L320" t="str">
            <v xml:space="preserve">Tramos Existentes </v>
          </cell>
          <cell r="M320" t="str">
            <v>Existente</v>
          </cell>
        </row>
        <row r="321">
          <cell r="B321">
            <v>2</v>
          </cell>
          <cell r="C321">
            <v>3</v>
          </cell>
          <cell r="D321">
            <v>1.4999999999999999E-2</v>
          </cell>
          <cell r="E321">
            <v>12</v>
          </cell>
          <cell r="F321">
            <v>1305.6600000000001</v>
          </cell>
          <cell r="G321">
            <v>1303.6600000000001</v>
          </cell>
          <cell r="H321">
            <v>1302.76</v>
          </cell>
          <cell r="I321">
            <v>1300.4000000000001</v>
          </cell>
          <cell r="J321">
            <v>45.9</v>
          </cell>
          <cell r="K321">
            <v>5.141612200435512</v>
          </cell>
          <cell r="L321" t="str">
            <v xml:space="preserve">Tramos Existentes </v>
          </cell>
          <cell r="M321" t="str">
            <v>Existente</v>
          </cell>
        </row>
        <row r="322">
          <cell r="B322">
            <v>247</v>
          </cell>
          <cell r="C322">
            <v>197</v>
          </cell>
          <cell r="D322">
            <v>1.4999999999999999E-2</v>
          </cell>
          <cell r="E322">
            <v>12</v>
          </cell>
          <cell r="F322">
            <v>1304.74</v>
          </cell>
          <cell r="G322">
            <v>1302.95</v>
          </cell>
          <cell r="H322">
            <v>1303.04</v>
          </cell>
          <cell r="I322">
            <v>1300.57</v>
          </cell>
          <cell r="J322">
            <v>72.099999999999994</v>
          </cell>
          <cell r="K322">
            <v>3.4257975034674448</v>
          </cell>
          <cell r="L322" t="str">
            <v xml:space="preserve">Tramos Existentes </v>
          </cell>
          <cell r="M322" t="str">
            <v>Existente</v>
          </cell>
        </row>
        <row r="323">
          <cell r="B323">
            <v>165</v>
          </cell>
          <cell r="C323">
            <v>164</v>
          </cell>
          <cell r="D323">
            <v>0.01</v>
          </cell>
          <cell r="E323">
            <v>6</v>
          </cell>
          <cell r="F323">
            <v>1302.23</v>
          </cell>
          <cell r="G323">
            <v>1302.1500000000001</v>
          </cell>
          <cell r="H323">
            <v>1300.3900000000001</v>
          </cell>
          <cell r="I323">
            <v>1300.27</v>
          </cell>
          <cell r="J323">
            <v>16.899999999999999</v>
          </cell>
          <cell r="K323">
            <v>0.71005917159833276</v>
          </cell>
          <cell r="L323" t="str">
            <v xml:space="preserve">Tramos Existentes </v>
          </cell>
          <cell r="M323" t="str">
            <v>Existente</v>
          </cell>
        </row>
        <row r="324">
          <cell r="B324">
            <v>164</v>
          </cell>
          <cell r="C324">
            <v>167</v>
          </cell>
          <cell r="D324">
            <v>0.01</v>
          </cell>
          <cell r="E324">
            <v>6</v>
          </cell>
          <cell r="F324">
            <v>1302.1500000000001</v>
          </cell>
          <cell r="G324">
            <v>1301.24</v>
          </cell>
          <cell r="H324">
            <v>1300.27</v>
          </cell>
          <cell r="I324">
            <v>1298.92</v>
          </cell>
          <cell r="J324">
            <v>19.100000000000001</v>
          </cell>
          <cell r="K324">
            <v>7.0680628272246544</v>
          </cell>
          <cell r="L324" t="str">
            <v xml:space="preserve">Tramos Existentes </v>
          </cell>
          <cell r="M324" t="str">
            <v>Existente</v>
          </cell>
        </row>
        <row r="325">
          <cell r="B325">
            <v>167</v>
          </cell>
          <cell r="C325" t="str">
            <v>P8</v>
          </cell>
          <cell r="D325">
            <v>1.4999999999999999E-2</v>
          </cell>
          <cell r="E325">
            <v>10</v>
          </cell>
          <cell r="F325">
            <v>1301.24</v>
          </cell>
          <cell r="G325">
            <v>1300.42</v>
          </cell>
          <cell r="H325">
            <v>1298.92</v>
          </cell>
          <cell r="I325">
            <v>1298.58</v>
          </cell>
          <cell r="J325">
            <v>5.2</v>
          </cell>
          <cell r="K325">
            <v>6.538461538464337</v>
          </cell>
          <cell r="L325" t="str">
            <v xml:space="preserve">Tramos Existentes </v>
          </cell>
          <cell r="M325" t="str">
            <v>Existente</v>
          </cell>
        </row>
        <row r="326">
          <cell r="B326">
            <v>168</v>
          </cell>
          <cell r="C326">
            <v>167</v>
          </cell>
          <cell r="D326">
            <v>0.01</v>
          </cell>
          <cell r="E326">
            <v>6</v>
          </cell>
          <cell r="F326">
            <v>1302.49</v>
          </cell>
          <cell r="G326">
            <v>1301.24</v>
          </cell>
          <cell r="H326">
            <v>1300.83</v>
          </cell>
          <cell r="I326">
            <v>1298.92</v>
          </cell>
          <cell r="J326">
            <v>18.100000000000001</v>
          </cell>
          <cell r="K326">
            <v>10.552486187844499</v>
          </cell>
          <cell r="L326" t="str">
            <v xml:space="preserve">Tramos Existentes </v>
          </cell>
          <cell r="M326" t="str">
            <v>Existente</v>
          </cell>
        </row>
        <row r="327">
          <cell r="B327" t="str">
            <v>P9</v>
          </cell>
          <cell r="C327">
            <v>175</v>
          </cell>
          <cell r="D327">
            <v>0.01</v>
          </cell>
          <cell r="E327">
            <v>6</v>
          </cell>
          <cell r="F327">
            <v>1307.33</v>
          </cell>
          <cell r="G327">
            <v>1306.6600000000001</v>
          </cell>
          <cell r="H327">
            <v>1306.44</v>
          </cell>
          <cell r="I327">
            <v>1305.7</v>
          </cell>
          <cell r="J327">
            <v>56.8</v>
          </cell>
          <cell r="K327">
            <v>1.3028169014084667</v>
          </cell>
          <cell r="L327" t="str">
            <v xml:space="preserve">Tramos Existentes </v>
          </cell>
          <cell r="M327" t="str">
            <v>Existente</v>
          </cell>
        </row>
        <row r="328">
          <cell r="B328">
            <v>175</v>
          </cell>
          <cell r="C328">
            <v>174</v>
          </cell>
          <cell r="D328">
            <v>0.01</v>
          </cell>
          <cell r="E328">
            <v>8</v>
          </cell>
          <cell r="F328">
            <v>1306.6600000000001</v>
          </cell>
          <cell r="G328">
            <v>1306.3599999999999</v>
          </cell>
          <cell r="H328">
            <v>1305.7</v>
          </cell>
          <cell r="I328">
            <v>1304.07</v>
          </cell>
          <cell r="J328">
            <v>8.9</v>
          </cell>
          <cell r="K328">
            <v>18.314606741574259</v>
          </cell>
          <cell r="L328" t="str">
            <v xml:space="preserve">Tramos Existentes </v>
          </cell>
          <cell r="M328" t="str">
            <v>Existente</v>
          </cell>
        </row>
        <row r="329">
          <cell r="B329">
            <v>174</v>
          </cell>
          <cell r="C329">
            <v>169</v>
          </cell>
          <cell r="D329">
            <v>1.4999999999999999E-2</v>
          </cell>
          <cell r="E329">
            <v>12</v>
          </cell>
          <cell r="F329">
            <v>1306.3599999999999</v>
          </cell>
          <cell r="G329">
            <v>1299.76</v>
          </cell>
          <cell r="H329">
            <v>1304.07</v>
          </cell>
          <cell r="I329">
            <v>1297.6600000000001</v>
          </cell>
          <cell r="J329">
            <v>69.099999999999994</v>
          </cell>
          <cell r="K329">
            <v>9.2764109985526115</v>
          </cell>
          <cell r="L329" t="str">
            <v xml:space="preserve">Tramos Existentes </v>
          </cell>
          <cell r="M329" t="str">
            <v>Existente</v>
          </cell>
        </row>
        <row r="330">
          <cell r="B330">
            <v>17</v>
          </cell>
          <cell r="C330">
            <v>18</v>
          </cell>
          <cell r="D330">
            <v>1.4999999999999999E-2</v>
          </cell>
          <cell r="E330">
            <v>8</v>
          </cell>
          <cell r="F330">
            <v>1307.5</v>
          </cell>
          <cell r="G330">
            <v>1307.43</v>
          </cell>
          <cell r="H330">
            <v>1305.9000000000001</v>
          </cell>
          <cell r="I330">
            <v>1305.8699999999999</v>
          </cell>
          <cell r="J330">
            <v>6.6</v>
          </cell>
          <cell r="K330">
            <v>0.45454545454848622</v>
          </cell>
          <cell r="L330" t="str">
            <v xml:space="preserve">Tramos Existentes </v>
          </cell>
          <cell r="M330" t="str">
            <v>Existente</v>
          </cell>
        </row>
        <row r="331">
          <cell r="B331">
            <v>170</v>
          </cell>
          <cell r="C331">
            <v>179</v>
          </cell>
          <cell r="D331">
            <v>1.4999999999999999E-2</v>
          </cell>
          <cell r="E331">
            <v>16</v>
          </cell>
          <cell r="F331">
            <v>1299</v>
          </cell>
          <cell r="G331">
            <v>1294.8399999999999</v>
          </cell>
          <cell r="H331">
            <v>1296.8900000000001</v>
          </cell>
          <cell r="I331">
            <v>1292.42</v>
          </cell>
          <cell r="J331">
            <v>67.3</v>
          </cell>
          <cell r="K331">
            <v>6.6419019316493717</v>
          </cell>
          <cell r="L331" t="str">
            <v xml:space="preserve">Tramos Existentes </v>
          </cell>
          <cell r="M331" t="str">
            <v>Existente</v>
          </cell>
        </row>
        <row r="332">
          <cell r="B332" t="str">
            <v>16i</v>
          </cell>
          <cell r="C332">
            <v>17</v>
          </cell>
          <cell r="D332">
            <v>1.4999999999999999E-2</v>
          </cell>
          <cell r="E332">
            <v>8</v>
          </cell>
          <cell r="F332">
            <v>1308.6500000000001</v>
          </cell>
          <cell r="G332">
            <v>1307.5</v>
          </cell>
          <cell r="H332">
            <v>1306.73</v>
          </cell>
          <cell r="I332">
            <v>1305.9000000000001</v>
          </cell>
          <cell r="J332">
            <v>75.400000000000006</v>
          </cell>
          <cell r="K332">
            <v>1.1007957559680732</v>
          </cell>
          <cell r="L332" t="str">
            <v xml:space="preserve">Tramos Existentes </v>
          </cell>
          <cell r="M332" t="str">
            <v>Existente</v>
          </cell>
        </row>
        <row r="333">
          <cell r="B333" t="str">
            <v>17i</v>
          </cell>
          <cell r="C333">
            <v>19</v>
          </cell>
          <cell r="D333">
            <v>1.4999999999999999E-2</v>
          </cell>
          <cell r="E333">
            <v>12</v>
          </cell>
          <cell r="F333">
            <v>1307.5</v>
          </cell>
          <cell r="G333">
            <v>1306.6300000000001</v>
          </cell>
          <cell r="H333">
            <v>1305.97</v>
          </cell>
          <cell r="I333">
            <v>1304.68</v>
          </cell>
          <cell r="J333">
            <v>74.3</v>
          </cell>
          <cell r="K333">
            <v>1.7362045760430198</v>
          </cell>
          <cell r="L333" t="str">
            <v xml:space="preserve">Tramos Existentes </v>
          </cell>
          <cell r="M333" t="str">
            <v>Existente</v>
          </cell>
        </row>
        <row r="334">
          <cell r="B334">
            <v>19</v>
          </cell>
          <cell r="C334">
            <v>244</v>
          </cell>
          <cell r="D334">
            <v>1.4999999999999999E-2</v>
          </cell>
          <cell r="E334">
            <v>12</v>
          </cell>
          <cell r="F334">
            <v>1306.6300000000001</v>
          </cell>
          <cell r="G334">
            <v>1299.44</v>
          </cell>
          <cell r="H334">
            <v>1304.68</v>
          </cell>
          <cell r="I334">
            <v>1297.5</v>
          </cell>
          <cell r="J334">
            <v>76.900000000000006</v>
          </cell>
          <cell r="K334">
            <v>9.3368010403121762</v>
          </cell>
          <cell r="L334" t="str">
            <v xml:space="preserve">Tramos Existentes </v>
          </cell>
          <cell r="M334" t="str">
            <v>Existente</v>
          </cell>
        </row>
        <row r="335">
          <cell r="B335">
            <v>244</v>
          </cell>
          <cell r="C335">
            <v>243</v>
          </cell>
          <cell r="D335">
            <v>1.4999999999999999E-2</v>
          </cell>
          <cell r="E335">
            <v>12</v>
          </cell>
          <cell r="F335">
            <v>1299.44</v>
          </cell>
          <cell r="G335">
            <v>1297.32</v>
          </cell>
          <cell r="H335">
            <v>1297.5</v>
          </cell>
          <cell r="I335">
            <v>1291.7</v>
          </cell>
          <cell r="J335">
            <v>23.4</v>
          </cell>
          <cell r="K335">
            <v>24.786324786324592</v>
          </cell>
          <cell r="L335" t="str">
            <v xml:space="preserve">Tramos Existentes </v>
          </cell>
          <cell r="M335" t="str">
            <v>Existente</v>
          </cell>
        </row>
        <row r="336">
          <cell r="B336">
            <v>172</v>
          </cell>
          <cell r="C336">
            <v>174</v>
          </cell>
          <cell r="D336">
            <v>1.4999999999999999E-2</v>
          </cell>
          <cell r="E336">
            <v>10</v>
          </cell>
          <cell r="F336">
            <v>1307.46</v>
          </cell>
          <cell r="G336">
            <v>1306.3599999999999</v>
          </cell>
          <cell r="H336">
            <v>1305.51</v>
          </cell>
          <cell r="I336">
            <v>1304.07</v>
          </cell>
          <cell r="J336">
            <v>70.3</v>
          </cell>
          <cell r="K336">
            <v>2.0483641536273893</v>
          </cell>
          <cell r="L336" t="str">
            <v xml:space="preserve">Tramos Existentes </v>
          </cell>
          <cell r="M336" t="str">
            <v>Existente</v>
          </cell>
        </row>
        <row r="337">
          <cell r="B337">
            <v>173</v>
          </cell>
          <cell r="C337">
            <v>171</v>
          </cell>
          <cell r="D337">
            <v>1.4999999999999999E-2</v>
          </cell>
          <cell r="E337">
            <v>10</v>
          </cell>
          <cell r="F337">
            <v>1308.0899999999999</v>
          </cell>
          <cell r="G337">
            <v>1307.31</v>
          </cell>
          <cell r="H337">
            <v>1305.8499999999999</v>
          </cell>
          <cell r="I337">
            <v>1304.02</v>
          </cell>
          <cell r="J337">
            <v>17.100000000000001</v>
          </cell>
          <cell r="K337">
            <v>10.701754385964486</v>
          </cell>
          <cell r="L337" t="str">
            <v xml:space="preserve">Tramos Existentes </v>
          </cell>
          <cell r="M337" t="str">
            <v>Existente</v>
          </cell>
        </row>
        <row r="338">
          <cell r="B338">
            <v>176</v>
          </cell>
          <cell r="C338">
            <v>178</v>
          </cell>
          <cell r="D338">
            <v>0.01</v>
          </cell>
          <cell r="E338">
            <v>6</v>
          </cell>
          <cell r="F338">
            <v>1306.46</v>
          </cell>
          <cell r="G338">
            <v>1304.3399999999999</v>
          </cell>
          <cell r="H338">
            <v>1305.3800000000001</v>
          </cell>
          <cell r="I338">
            <v>1303.22</v>
          </cell>
          <cell r="J338">
            <v>16.8</v>
          </cell>
          <cell r="K338">
            <v>12.857142857143344</v>
          </cell>
          <cell r="L338" t="str">
            <v xml:space="preserve">Tramos Existentes </v>
          </cell>
          <cell r="M338" t="str">
            <v>Existente</v>
          </cell>
        </row>
        <row r="339">
          <cell r="B339">
            <v>178</v>
          </cell>
          <cell r="C339">
            <v>177</v>
          </cell>
          <cell r="D339">
            <v>0.01</v>
          </cell>
          <cell r="E339">
            <v>6</v>
          </cell>
          <cell r="F339">
            <v>1304.3399999999999</v>
          </cell>
          <cell r="G339">
            <v>1302.99</v>
          </cell>
          <cell r="H339">
            <v>1303.22</v>
          </cell>
          <cell r="I339">
            <v>1301.82</v>
          </cell>
          <cell r="J339">
            <v>16.100000000000001</v>
          </cell>
          <cell r="K339">
            <v>8.6956521739136079</v>
          </cell>
          <cell r="L339" t="str">
            <v xml:space="preserve">Tramos Existentes </v>
          </cell>
          <cell r="M339" t="str">
            <v>Existente</v>
          </cell>
        </row>
        <row r="340">
          <cell r="B340">
            <v>177</v>
          </cell>
          <cell r="C340">
            <v>166</v>
          </cell>
          <cell r="D340">
            <v>0.01</v>
          </cell>
          <cell r="E340">
            <v>6</v>
          </cell>
          <cell r="F340">
            <v>1302.99</v>
          </cell>
          <cell r="G340">
            <v>1302</v>
          </cell>
          <cell r="H340">
            <v>1301.82</v>
          </cell>
          <cell r="I340">
            <v>1300.19</v>
          </cell>
          <cell r="J340">
            <v>17.5</v>
          </cell>
          <cell r="K340">
            <v>9.3142857142850382</v>
          </cell>
          <cell r="L340" t="str">
            <v xml:space="preserve">Tramos Existentes </v>
          </cell>
          <cell r="M340" t="str">
            <v>Existente</v>
          </cell>
        </row>
        <row r="341">
          <cell r="B341">
            <v>221</v>
          </cell>
          <cell r="C341">
            <v>180</v>
          </cell>
          <cell r="D341">
            <v>1.4999999999999999E-2</v>
          </cell>
          <cell r="E341">
            <v>8</v>
          </cell>
          <cell r="F341">
            <v>1295.49</v>
          </cell>
          <cell r="G341">
            <v>1294.96</v>
          </cell>
          <cell r="H341">
            <v>1294.05</v>
          </cell>
          <cell r="I341">
            <v>1293.03</v>
          </cell>
          <cell r="J341">
            <v>28.4</v>
          </cell>
          <cell r="K341">
            <v>3.591549295774584</v>
          </cell>
          <cell r="L341" t="str">
            <v xml:space="preserve">Tramos Existentes </v>
          </cell>
          <cell r="M341" t="str">
            <v>Existente</v>
          </cell>
        </row>
        <row r="342">
          <cell r="B342">
            <v>169</v>
          </cell>
          <cell r="C342">
            <v>170</v>
          </cell>
          <cell r="D342">
            <v>1.4999999999999999E-2</v>
          </cell>
          <cell r="E342">
            <v>14</v>
          </cell>
          <cell r="F342">
            <v>1299.76</v>
          </cell>
          <cell r="G342">
            <v>1299</v>
          </cell>
          <cell r="H342">
            <v>1297.6600000000001</v>
          </cell>
          <cell r="I342">
            <v>1296.8900000000001</v>
          </cell>
          <cell r="J342">
            <v>7.8</v>
          </cell>
          <cell r="K342">
            <v>9.8717948717946378</v>
          </cell>
          <cell r="L342" t="str">
            <v xml:space="preserve">Tramos Existentes </v>
          </cell>
          <cell r="M342" t="str">
            <v>Existente</v>
          </cell>
        </row>
        <row r="343">
          <cell r="B343">
            <v>157</v>
          </cell>
          <cell r="C343">
            <v>111</v>
          </cell>
          <cell r="D343">
            <v>1.4999999999999999E-2</v>
          </cell>
          <cell r="E343">
            <v>8</v>
          </cell>
          <cell r="F343">
            <v>1303.5</v>
          </cell>
          <cell r="G343">
            <v>1301.22</v>
          </cell>
          <cell r="H343">
            <v>1301.05</v>
          </cell>
          <cell r="I343">
            <v>1293.74</v>
          </cell>
          <cell r="J343">
            <v>76.5</v>
          </cell>
          <cell r="K343">
            <v>9.5555555555554843</v>
          </cell>
          <cell r="L343" t="str">
            <v xml:space="preserve">Tramos Existentes </v>
          </cell>
          <cell r="M343" t="str">
            <v>Existente</v>
          </cell>
        </row>
        <row r="344">
          <cell r="B344">
            <v>781</v>
          </cell>
          <cell r="C344">
            <v>782</v>
          </cell>
          <cell r="D344">
            <v>1.4999999999999999E-2</v>
          </cell>
          <cell r="E344">
            <v>10</v>
          </cell>
          <cell r="F344">
            <v>1297.8900000000001</v>
          </cell>
          <cell r="G344">
            <v>1296.3499999999999</v>
          </cell>
          <cell r="H344">
            <v>1295.8</v>
          </cell>
          <cell r="I344">
            <v>1294.2</v>
          </cell>
          <cell r="J344">
            <v>100.2</v>
          </cell>
          <cell r="K344">
            <v>1.5968063872254583</v>
          </cell>
          <cell r="L344" t="str">
            <v xml:space="preserve">Tramos Existentes </v>
          </cell>
          <cell r="M344" t="str">
            <v>Existente</v>
          </cell>
        </row>
        <row r="345">
          <cell r="B345">
            <v>6</v>
          </cell>
          <cell r="C345">
            <v>7</v>
          </cell>
          <cell r="D345">
            <v>1.4999999999999999E-2</v>
          </cell>
          <cell r="E345">
            <v>18</v>
          </cell>
          <cell r="F345">
            <v>1300.6199999999999</v>
          </cell>
          <cell r="G345">
            <v>1301.97</v>
          </cell>
          <cell r="H345">
            <v>1298.08</v>
          </cell>
          <cell r="I345">
            <v>1297.07</v>
          </cell>
          <cell r="J345">
            <v>35.799999999999997</v>
          </cell>
          <cell r="K345">
            <v>2.8212290502793045</v>
          </cell>
          <cell r="L345" t="str">
            <v xml:space="preserve">Tramos Existentes </v>
          </cell>
          <cell r="M345" t="str">
            <v>Existente</v>
          </cell>
        </row>
        <row r="346">
          <cell r="B346">
            <v>7</v>
          </cell>
          <cell r="C346">
            <v>109</v>
          </cell>
          <cell r="D346">
            <v>1.4999999999999999E-2</v>
          </cell>
          <cell r="E346">
            <v>24</v>
          </cell>
          <cell r="F346">
            <v>1301.97</v>
          </cell>
          <cell r="G346">
            <v>1299.9100000000001</v>
          </cell>
          <cell r="H346">
            <v>1297.07</v>
          </cell>
          <cell r="I346">
            <v>1293.69</v>
          </cell>
          <cell r="J346">
            <v>44.7</v>
          </cell>
          <cell r="K346">
            <v>7.5615212527961546</v>
          </cell>
          <cell r="L346" t="str">
            <v xml:space="preserve">Tramos Existentes </v>
          </cell>
          <cell r="M346" t="str">
            <v>Existente</v>
          </cell>
        </row>
        <row r="347">
          <cell r="B347" t="str">
            <v>P3</v>
          </cell>
          <cell r="C347">
            <v>15</v>
          </cell>
          <cell r="D347">
            <v>1.4999999999999999E-2</v>
          </cell>
          <cell r="E347">
            <v>8</v>
          </cell>
          <cell r="F347">
            <v>1309.6199999999999</v>
          </cell>
          <cell r="G347">
            <v>1308.67</v>
          </cell>
          <cell r="H347">
            <v>1308.42</v>
          </cell>
          <cell r="I347">
            <v>1307.25</v>
          </cell>
          <cell r="J347">
            <v>60.7</v>
          </cell>
          <cell r="K347">
            <v>1.9275123558485547</v>
          </cell>
          <cell r="L347" t="str">
            <v xml:space="preserve">Tramos Existentes </v>
          </cell>
          <cell r="M347" t="str">
            <v>Existente</v>
          </cell>
        </row>
        <row r="348">
          <cell r="B348">
            <v>15</v>
          </cell>
          <cell r="C348">
            <v>14</v>
          </cell>
          <cell r="D348">
            <v>1.4999999999999999E-2</v>
          </cell>
          <cell r="E348">
            <v>10</v>
          </cell>
          <cell r="F348">
            <v>1308.67</v>
          </cell>
          <cell r="G348">
            <v>1309.31</v>
          </cell>
          <cell r="H348">
            <v>1307.25</v>
          </cell>
          <cell r="I348">
            <v>1306.81</v>
          </cell>
          <cell r="J348">
            <v>72.8</v>
          </cell>
          <cell r="K348">
            <v>0.60439560439567941</v>
          </cell>
          <cell r="L348" t="str">
            <v xml:space="preserve">Tramos Existentes </v>
          </cell>
          <cell r="M348" t="str">
            <v>Existente</v>
          </cell>
        </row>
        <row r="349">
          <cell r="B349">
            <v>155</v>
          </cell>
          <cell r="C349">
            <v>151</v>
          </cell>
          <cell r="D349">
            <v>1.4999999999999999E-2</v>
          </cell>
          <cell r="E349">
            <v>10</v>
          </cell>
          <cell r="F349">
            <v>1303.8800000000001</v>
          </cell>
          <cell r="G349">
            <v>1304.6400000000001</v>
          </cell>
          <cell r="H349">
            <v>1302.23</v>
          </cell>
          <cell r="I349">
            <v>1301.51</v>
          </cell>
          <cell r="J349">
            <v>55.9</v>
          </cell>
          <cell r="K349">
            <v>1.2880143112701741</v>
          </cell>
          <cell r="L349" t="str">
            <v xml:space="preserve">Tramos Existentes </v>
          </cell>
          <cell r="M349" t="str">
            <v>Existente</v>
          </cell>
        </row>
        <row r="350">
          <cell r="B350">
            <v>151</v>
          </cell>
          <cell r="C350">
            <v>150</v>
          </cell>
          <cell r="D350">
            <v>1.4999999999999999E-2</v>
          </cell>
          <cell r="E350">
            <v>16</v>
          </cell>
          <cell r="F350">
            <v>1304.6400000000001</v>
          </cell>
          <cell r="G350">
            <v>1304.57</v>
          </cell>
          <cell r="H350">
            <v>1301.51</v>
          </cell>
          <cell r="I350">
            <v>1294.71</v>
          </cell>
          <cell r="J350">
            <v>2.7</v>
          </cell>
          <cell r="K350">
            <v>251.85185185185017</v>
          </cell>
          <cell r="L350" t="str">
            <v xml:space="preserve">Tramos Existentes </v>
          </cell>
          <cell r="M350" t="str">
            <v>Existente</v>
          </cell>
        </row>
        <row r="351">
          <cell r="B351">
            <v>153</v>
          </cell>
          <cell r="C351">
            <v>89</v>
          </cell>
          <cell r="D351">
            <v>1.4999999999999999E-2</v>
          </cell>
          <cell r="E351">
            <v>10</v>
          </cell>
          <cell r="F351">
            <v>1304.19</v>
          </cell>
          <cell r="G351">
            <v>1302.26</v>
          </cell>
          <cell r="H351">
            <v>1302.71</v>
          </cell>
          <cell r="I351">
            <v>1300</v>
          </cell>
          <cell r="J351">
            <v>67.599999999999994</v>
          </cell>
          <cell r="K351">
            <v>4.0088757396450241</v>
          </cell>
          <cell r="L351" t="str">
            <v xml:space="preserve">Tramos Existentes </v>
          </cell>
          <cell r="M351" t="str">
            <v>Existente</v>
          </cell>
        </row>
        <row r="352">
          <cell r="B352">
            <v>89</v>
          </cell>
          <cell r="C352">
            <v>91</v>
          </cell>
          <cell r="D352">
            <v>1.4999999999999999E-2</v>
          </cell>
          <cell r="E352">
            <v>14</v>
          </cell>
          <cell r="F352">
            <v>1302.26</v>
          </cell>
          <cell r="G352">
            <v>1302.19</v>
          </cell>
          <cell r="H352">
            <v>1300</v>
          </cell>
          <cell r="I352">
            <v>1296.05</v>
          </cell>
          <cell r="J352">
            <v>2.1</v>
          </cell>
          <cell r="K352">
            <v>188.09523809524023</v>
          </cell>
          <cell r="L352" t="str">
            <v xml:space="preserve">Tramos Existentes </v>
          </cell>
          <cell r="M352" t="str">
            <v>Existente</v>
          </cell>
        </row>
        <row r="353">
          <cell r="B353">
            <v>18</v>
          </cell>
          <cell r="C353">
            <v>247</v>
          </cell>
          <cell r="D353">
            <v>1.4999999999999999E-2</v>
          </cell>
          <cell r="E353">
            <v>10</v>
          </cell>
          <cell r="F353">
            <v>1307.43</v>
          </cell>
          <cell r="G353">
            <v>1304.74</v>
          </cell>
          <cell r="H353">
            <v>1305.8699999999999</v>
          </cell>
          <cell r="I353">
            <v>1303.04</v>
          </cell>
          <cell r="J353">
            <v>69.099999999999994</v>
          </cell>
          <cell r="K353">
            <v>4.0955137481909221</v>
          </cell>
          <cell r="L353" t="str">
            <v xml:space="preserve">Tramos Existentes </v>
          </cell>
          <cell r="M353" t="str">
            <v>Existente</v>
          </cell>
        </row>
        <row r="354">
          <cell r="B354">
            <v>154</v>
          </cell>
          <cell r="C354">
            <v>157</v>
          </cell>
          <cell r="D354">
            <v>1.4999999999999999E-2</v>
          </cell>
          <cell r="E354">
            <v>12</v>
          </cell>
          <cell r="F354">
            <v>1304.68</v>
          </cell>
          <cell r="G354">
            <v>1303.5</v>
          </cell>
          <cell r="H354">
            <v>1303.07</v>
          </cell>
          <cell r="I354">
            <v>1301.05</v>
          </cell>
          <cell r="J354">
            <v>70.900000000000006</v>
          </cell>
          <cell r="K354">
            <v>2.8490832157968713</v>
          </cell>
          <cell r="L354" t="str">
            <v xml:space="preserve">Tramos Existentes </v>
          </cell>
          <cell r="M354" t="str">
            <v>Existente</v>
          </cell>
        </row>
        <row r="355">
          <cell r="B355">
            <v>3</v>
          </cell>
          <cell r="C355">
            <v>4</v>
          </cell>
          <cell r="D355">
            <v>1.4999999999999999E-2</v>
          </cell>
          <cell r="E355">
            <v>18</v>
          </cell>
          <cell r="F355">
            <v>1303.6600000000001</v>
          </cell>
          <cell r="G355">
            <v>1302.46</v>
          </cell>
          <cell r="H355">
            <v>1300.4000000000001</v>
          </cell>
          <cell r="I355">
            <v>1299.0899999999999</v>
          </cell>
          <cell r="J355">
            <v>31.2</v>
          </cell>
          <cell r="K355">
            <v>4.1987179487185031</v>
          </cell>
          <cell r="L355" t="str">
            <v xml:space="preserve">Tramos Existentes </v>
          </cell>
          <cell r="M355" t="str">
            <v>Existente</v>
          </cell>
        </row>
        <row r="356">
          <cell r="B356">
            <v>158</v>
          </cell>
          <cell r="C356">
            <v>157</v>
          </cell>
          <cell r="D356">
            <v>1.4999999999999999E-2</v>
          </cell>
          <cell r="E356">
            <v>16</v>
          </cell>
          <cell r="F356">
            <v>1303.8399999999999</v>
          </cell>
          <cell r="G356">
            <v>1303.5</v>
          </cell>
          <cell r="H356">
            <v>1302.03</v>
          </cell>
          <cell r="I356">
            <v>1301.05</v>
          </cell>
          <cell r="J356">
            <v>15.9</v>
          </cell>
          <cell r="K356">
            <v>6.1635220125787304</v>
          </cell>
          <cell r="L356" t="str">
            <v xml:space="preserve">Tramos Existentes </v>
          </cell>
          <cell r="M356" t="str">
            <v>Existente</v>
          </cell>
        </row>
        <row r="357">
          <cell r="B357" t="str">
            <v>159i</v>
          </cell>
          <cell r="C357">
            <v>171</v>
          </cell>
          <cell r="D357">
            <v>1.4999999999999999E-2</v>
          </cell>
          <cell r="E357">
            <v>12</v>
          </cell>
          <cell r="F357">
            <v>1310.71</v>
          </cell>
          <cell r="G357">
            <v>1307.31</v>
          </cell>
          <cell r="H357">
            <v>1309.23</v>
          </cell>
          <cell r="I357">
            <v>1304.02</v>
          </cell>
          <cell r="J357">
            <v>77.599999999999994</v>
          </cell>
          <cell r="K357">
            <v>6.7139175257732431</v>
          </cell>
          <cell r="L357" t="str">
            <v xml:space="preserve">Tramos Existentes </v>
          </cell>
          <cell r="M357" t="str">
            <v>Existente</v>
          </cell>
        </row>
        <row r="358">
          <cell r="B358">
            <v>171</v>
          </cell>
          <cell r="C358">
            <v>114</v>
          </cell>
          <cell r="D358">
            <v>1.4999999999999999E-2</v>
          </cell>
          <cell r="E358">
            <v>12</v>
          </cell>
          <cell r="F358">
            <v>1307.31</v>
          </cell>
          <cell r="G358">
            <v>1274</v>
          </cell>
          <cell r="H358">
            <v>1304.02</v>
          </cell>
          <cell r="I358">
            <v>1302.6500000000001</v>
          </cell>
          <cell r="J358">
            <v>34.299999999999997</v>
          </cell>
          <cell r="K358">
            <v>3.9941690962095948</v>
          </cell>
          <cell r="L358" t="str">
            <v xml:space="preserve">Tramos Existentes </v>
          </cell>
          <cell r="M358" t="str">
            <v>Existente</v>
          </cell>
        </row>
        <row r="359">
          <cell r="B359">
            <v>159</v>
          </cell>
          <cell r="C359">
            <v>302</v>
          </cell>
          <cell r="D359">
            <v>1.4999999999999999E-2</v>
          </cell>
          <cell r="E359">
            <v>14</v>
          </cell>
          <cell r="F359">
            <v>1310.71</v>
          </cell>
          <cell r="G359">
            <v>1310.3699999999999</v>
          </cell>
          <cell r="H359">
            <v>1309.1600000000001</v>
          </cell>
          <cell r="I359">
            <v>1308.01</v>
          </cell>
          <cell r="J359">
            <v>71.400000000000006</v>
          </cell>
          <cell r="K359">
            <v>1.6106442577032083</v>
          </cell>
          <cell r="L359" t="str">
            <v xml:space="preserve">Tramos Existentes </v>
          </cell>
          <cell r="M359" t="str">
            <v>Existente</v>
          </cell>
        </row>
        <row r="360">
          <cell r="B360">
            <v>302</v>
          </cell>
          <cell r="C360">
            <v>303</v>
          </cell>
          <cell r="D360">
            <v>1.4999999999999999E-2</v>
          </cell>
          <cell r="E360">
            <v>14</v>
          </cell>
          <cell r="F360">
            <v>1310.3699999999999</v>
          </cell>
          <cell r="G360">
            <v>1310.08</v>
          </cell>
          <cell r="H360">
            <v>1308.01</v>
          </cell>
          <cell r="I360">
            <v>1307.45</v>
          </cell>
          <cell r="J360">
            <v>7.4</v>
          </cell>
          <cell r="K360">
            <v>7.5675675675668295</v>
          </cell>
          <cell r="L360" t="str">
            <v xml:space="preserve">Tramos Existentes </v>
          </cell>
          <cell r="M360" t="str">
            <v>Existente</v>
          </cell>
        </row>
        <row r="361">
          <cell r="B361">
            <v>303</v>
          </cell>
          <cell r="C361">
            <v>151</v>
          </cell>
          <cell r="D361">
            <v>1.4999999999999999E-2</v>
          </cell>
          <cell r="E361">
            <v>10</v>
          </cell>
          <cell r="F361">
            <v>1310.08</v>
          </cell>
          <cell r="G361">
            <v>1304.6400000000001</v>
          </cell>
          <cell r="H361">
            <v>1307.45</v>
          </cell>
          <cell r="I361">
            <v>1301.51</v>
          </cell>
          <cell r="J361">
            <v>67.8</v>
          </cell>
          <cell r="K361">
            <v>8.7610619469027355</v>
          </cell>
          <cell r="L361" t="str">
            <v xml:space="preserve">Tramos Existentes </v>
          </cell>
          <cell r="M361" t="str">
            <v>Existente</v>
          </cell>
        </row>
        <row r="362">
          <cell r="B362" t="str">
            <v>159ii</v>
          </cell>
          <cell r="C362">
            <v>160</v>
          </cell>
          <cell r="D362">
            <v>1.4999999999999999E-2</v>
          </cell>
          <cell r="E362">
            <v>12</v>
          </cell>
          <cell r="F362">
            <v>1310.71</v>
          </cell>
          <cell r="G362">
            <v>1311.05</v>
          </cell>
          <cell r="H362">
            <v>1309.31</v>
          </cell>
          <cell r="I362">
            <v>1307.77</v>
          </cell>
          <cell r="J362">
            <v>72.599999999999994</v>
          </cell>
          <cell r="K362">
            <v>2.1212121212120714</v>
          </cell>
          <cell r="L362" t="str">
            <v xml:space="preserve">Tramos Existentes </v>
          </cell>
          <cell r="M362" t="str">
            <v>Existente</v>
          </cell>
        </row>
        <row r="363">
          <cell r="B363">
            <v>160</v>
          </cell>
          <cell r="C363">
            <v>239</v>
          </cell>
          <cell r="D363">
            <v>1.4999999999999999E-2</v>
          </cell>
          <cell r="E363">
            <v>12</v>
          </cell>
          <cell r="F363">
            <v>1311.05</v>
          </cell>
          <cell r="G363">
            <v>1307.4100000000001</v>
          </cell>
          <cell r="H363">
            <v>1307.77</v>
          </cell>
          <cell r="I363">
            <v>1304.8499999999999</v>
          </cell>
          <cell r="J363">
            <v>77.099999999999994</v>
          </cell>
          <cell r="K363">
            <v>3.7872892347601468</v>
          </cell>
          <cell r="L363" t="str">
            <v xml:space="preserve">Tramos Existentes </v>
          </cell>
          <cell r="M363" t="str">
            <v>Existente</v>
          </cell>
        </row>
        <row r="364">
          <cell r="B364">
            <v>239</v>
          </cell>
          <cell r="C364">
            <v>171</v>
          </cell>
          <cell r="D364">
            <v>1.4999999999999999E-2</v>
          </cell>
          <cell r="E364">
            <v>12</v>
          </cell>
          <cell r="F364">
            <v>1307.4100000000001</v>
          </cell>
          <cell r="G364">
            <v>1307.31</v>
          </cell>
          <cell r="H364">
            <v>1304.8499999999999</v>
          </cell>
          <cell r="I364">
            <v>1304.02</v>
          </cell>
          <cell r="J364">
            <v>74.599999999999994</v>
          </cell>
          <cell r="K364">
            <v>1.1126005361929321</v>
          </cell>
          <cell r="L364" t="str">
            <v xml:space="preserve">Tramos Existentes </v>
          </cell>
          <cell r="M364" t="str">
            <v>Existente</v>
          </cell>
        </row>
        <row r="365">
          <cell r="B365">
            <v>91</v>
          </cell>
          <cell r="C365">
            <v>150</v>
          </cell>
          <cell r="D365">
            <v>1.4999999999999999E-2</v>
          </cell>
          <cell r="E365">
            <v>20</v>
          </cell>
          <cell r="F365">
            <v>1302.19</v>
          </cell>
          <cell r="G365">
            <v>1304.57</v>
          </cell>
          <cell r="H365">
            <v>1296.05</v>
          </cell>
          <cell r="I365">
            <v>1294.71</v>
          </cell>
          <cell r="J365">
            <v>76.400000000000006</v>
          </cell>
          <cell r="K365">
            <v>1.7539267015705733</v>
          </cell>
          <cell r="L365" t="str">
            <v xml:space="preserve">Tramos Existentes </v>
          </cell>
          <cell r="M365" t="str">
            <v>Existente</v>
          </cell>
        </row>
        <row r="366">
          <cell r="B366" t="str">
            <v>BV47</v>
          </cell>
          <cell r="C366" t="str">
            <v>BV48</v>
          </cell>
          <cell r="D366">
            <v>1.2999999999999999E-2</v>
          </cell>
          <cell r="E366">
            <v>24</v>
          </cell>
          <cell r="F366">
            <v>1252.46</v>
          </cell>
          <cell r="G366">
            <v>1252.54</v>
          </cell>
          <cell r="H366">
            <v>1250.03</v>
          </cell>
          <cell r="I366">
            <v>1249.8900000000001</v>
          </cell>
          <cell r="J366">
            <v>28</v>
          </cell>
          <cell r="K366">
            <v>0.49999999999954525</v>
          </cell>
          <cell r="L366" t="str">
            <v>Unificacion de Vertimientos</v>
          </cell>
          <cell r="M366" t="str">
            <v>Nuevo</v>
          </cell>
        </row>
        <row r="367">
          <cell r="B367" t="str">
            <v>BV31</v>
          </cell>
          <cell r="C367" t="str">
            <v>BV32</v>
          </cell>
          <cell r="D367">
            <v>1.2999999999999999E-2</v>
          </cell>
          <cell r="E367">
            <v>24</v>
          </cell>
          <cell r="F367">
            <v>1254.6199999999999</v>
          </cell>
          <cell r="G367">
            <v>1255.42</v>
          </cell>
          <cell r="H367">
            <v>1250.94</v>
          </cell>
          <cell r="I367">
            <v>1250.8900000000001</v>
          </cell>
          <cell r="J367">
            <v>23.2</v>
          </cell>
          <cell r="K367">
            <v>0.21551724137911432</v>
          </cell>
          <cell r="L367" t="str">
            <v>Unificacion de Vertimientos</v>
          </cell>
          <cell r="M367" t="str">
            <v>Nuevo</v>
          </cell>
        </row>
        <row r="368">
          <cell r="B368" t="str">
            <v>BV32</v>
          </cell>
          <cell r="C368" t="str">
            <v>BV33</v>
          </cell>
          <cell r="D368">
            <v>1.2999999999999999E-2</v>
          </cell>
          <cell r="E368">
            <v>24</v>
          </cell>
          <cell r="F368">
            <v>1255.42</v>
          </cell>
          <cell r="G368">
            <v>1255.3</v>
          </cell>
          <cell r="H368">
            <v>1250.8900000000001</v>
          </cell>
          <cell r="I368">
            <v>1250.81</v>
          </cell>
          <cell r="J368">
            <v>38</v>
          </cell>
          <cell r="K368">
            <v>0.21052631578988057</v>
          </cell>
          <cell r="L368" t="str">
            <v>Unificacion de Vertimientos</v>
          </cell>
          <cell r="M368" t="str">
            <v>Nuevo</v>
          </cell>
        </row>
        <row r="369">
          <cell r="B369" t="str">
            <v>BV33</v>
          </cell>
          <cell r="C369" t="str">
            <v>BV40</v>
          </cell>
          <cell r="D369">
            <v>1.2999999999999999E-2</v>
          </cell>
          <cell r="E369">
            <v>24</v>
          </cell>
          <cell r="F369">
            <v>1255.3</v>
          </cell>
          <cell r="G369">
            <v>1256.1500000000001</v>
          </cell>
          <cell r="H369">
            <v>1250.81</v>
          </cell>
          <cell r="I369">
            <v>1250.74</v>
          </cell>
          <cell r="J369">
            <v>36.4</v>
          </cell>
          <cell r="K369">
            <v>0.1923076923075174</v>
          </cell>
          <cell r="L369" t="str">
            <v>Unificacion de Vertimientos</v>
          </cell>
          <cell r="M369" t="str">
            <v>Nuevo</v>
          </cell>
        </row>
        <row r="370">
          <cell r="B370" t="str">
            <v>BV40</v>
          </cell>
          <cell r="C370" t="str">
            <v>BV41</v>
          </cell>
          <cell r="D370">
            <v>1.2999999999999999E-2</v>
          </cell>
          <cell r="E370">
            <v>24</v>
          </cell>
          <cell r="F370">
            <v>1256.1500000000001</v>
          </cell>
          <cell r="G370">
            <v>1253.3900000000001</v>
          </cell>
          <cell r="H370">
            <v>1250.74</v>
          </cell>
          <cell r="I370">
            <v>1250.6500000000001</v>
          </cell>
          <cell r="J370">
            <v>43.5</v>
          </cell>
          <cell r="K370">
            <v>0.20689655172394977</v>
          </cell>
          <cell r="L370" t="str">
            <v>Unificacion de Vertimientos</v>
          </cell>
          <cell r="M370" t="str">
            <v>Nuevo</v>
          </cell>
        </row>
        <row r="371">
          <cell r="B371" t="str">
            <v>BV41</v>
          </cell>
          <cell r="C371" t="str">
            <v>BV42</v>
          </cell>
          <cell r="D371">
            <v>1.2999999999999999E-2</v>
          </cell>
          <cell r="E371">
            <v>24</v>
          </cell>
          <cell r="F371">
            <v>1253.3900000000001</v>
          </cell>
          <cell r="G371">
            <v>1253.78</v>
          </cell>
          <cell r="H371">
            <v>1250.6500000000001</v>
          </cell>
          <cell r="I371">
            <v>1250.5999999999999</v>
          </cell>
          <cell r="J371">
            <v>26.6</v>
          </cell>
          <cell r="K371">
            <v>0.18796992481271391</v>
          </cell>
          <cell r="L371" t="str">
            <v>Unificacion de Vertimientos</v>
          </cell>
          <cell r="M371" t="str">
            <v>Nuevo</v>
          </cell>
        </row>
        <row r="372">
          <cell r="B372" t="str">
            <v>BV42</v>
          </cell>
          <cell r="C372" t="str">
            <v>BV43</v>
          </cell>
          <cell r="D372">
            <v>1.2999999999999999E-2</v>
          </cell>
          <cell r="E372">
            <v>24</v>
          </cell>
          <cell r="F372">
            <v>1253.78</v>
          </cell>
          <cell r="G372">
            <v>1253.46</v>
          </cell>
          <cell r="H372">
            <v>1250.5999999999999</v>
          </cell>
          <cell r="I372">
            <v>1250.48</v>
          </cell>
          <cell r="J372">
            <v>60.4</v>
          </cell>
          <cell r="K372">
            <v>0.19867549668856105</v>
          </cell>
          <cell r="L372" t="str">
            <v>Unificacion de Vertimientos</v>
          </cell>
          <cell r="M372" t="str">
            <v>Nuevo</v>
          </cell>
        </row>
        <row r="373">
          <cell r="B373" t="str">
            <v>BV43</v>
          </cell>
          <cell r="C373" t="str">
            <v>BV44</v>
          </cell>
          <cell r="D373">
            <v>1.2999999999999999E-2</v>
          </cell>
          <cell r="E373">
            <v>24</v>
          </cell>
          <cell r="F373">
            <v>1253.46</v>
          </cell>
          <cell r="G373">
            <v>1253.8800000000001</v>
          </cell>
          <cell r="H373">
            <v>1250.48</v>
          </cell>
          <cell r="I373">
            <v>1250.5999999999999</v>
          </cell>
          <cell r="J373">
            <v>78.3</v>
          </cell>
          <cell r="K373">
            <v>-0.15325670498070354</v>
          </cell>
          <cell r="L373" t="str">
            <v>Unificacion de Vertimientos</v>
          </cell>
          <cell r="M373" t="str">
            <v>Nuevo</v>
          </cell>
        </row>
        <row r="374">
          <cell r="B374" t="str">
            <v>BV44</v>
          </cell>
          <cell r="C374" t="str">
            <v>BV45</v>
          </cell>
          <cell r="D374">
            <v>1.2999999999999999E-2</v>
          </cell>
          <cell r="E374">
            <v>24</v>
          </cell>
          <cell r="F374">
            <v>1253.8800000000001</v>
          </cell>
          <cell r="G374">
            <v>1252.6400000000001</v>
          </cell>
          <cell r="H374">
            <v>1250.5999999999999</v>
          </cell>
          <cell r="I374">
            <v>1250.24</v>
          </cell>
          <cell r="J374">
            <v>38.799999999999997</v>
          </cell>
          <cell r="K374">
            <v>0.92783505154613399</v>
          </cell>
          <cell r="L374" t="str">
            <v>Unificacion de Vertimientos</v>
          </cell>
          <cell r="M374" t="str">
            <v>Nuevo</v>
          </cell>
        </row>
        <row r="375">
          <cell r="B375">
            <v>1060</v>
          </cell>
          <cell r="C375" t="str">
            <v>AD19</v>
          </cell>
          <cell r="D375">
            <v>1.2999999999999999E-2</v>
          </cell>
          <cell r="E375">
            <v>10</v>
          </cell>
          <cell r="F375">
            <v>1293.8</v>
          </cell>
          <cell r="G375">
            <v>1294.05</v>
          </cell>
          <cell r="H375">
            <v>1292.8</v>
          </cell>
          <cell r="I375">
            <v>1292.77</v>
          </cell>
          <cell r="J375">
            <v>9.9</v>
          </cell>
          <cell r="K375">
            <v>0.30303030303002743</v>
          </cell>
          <cell r="L375" t="str">
            <v>Unificacion de Vertimientos</v>
          </cell>
          <cell r="M375" t="str">
            <v>Nuevo</v>
          </cell>
        </row>
        <row r="376">
          <cell r="B376" t="str">
            <v>BV46</v>
          </cell>
          <cell r="C376" t="str">
            <v>BV47</v>
          </cell>
          <cell r="D376">
            <v>1.2999999999999999E-2</v>
          </cell>
          <cell r="E376">
            <v>24</v>
          </cell>
          <cell r="F376">
            <v>1254.01</v>
          </cell>
          <cell r="G376">
            <v>1252.46</v>
          </cell>
          <cell r="H376">
            <v>1250.0899999999999</v>
          </cell>
          <cell r="I376">
            <v>1250.03</v>
          </cell>
          <cell r="J376">
            <v>32.799999999999997</v>
          </cell>
          <cell r="K376">
            <v>0.18292682926812634</v>
          </cell>
          <cell r="L376" t="str">
            <v>Unificacion de Vertimientos</v>
          </cell>
          <cell r="M376" t="str">
            <v>Nuevo</v>
          </cell>
        </row>
        <row r="377">
          <cell r="B377" t="str">
            <v>BV39</v>
          </cell>
          <cell r="C377" t="str">
            <v>BV29</v>
          </cell>
          <cell r="D377">
            <v>1.2999999999999999E-2</v>
          </cell>
          <cell r="E377">
            <v>12</v>
          </cell>
          <cell r="F377">
            <v>1266.3499999999999</v>
          </cell>
          <cell r="G377">
            <v>1254.43</v>
          </cell>
          <cell r="H377">
            <v>1264.95</v>
          </cell>
          <cell r="I377">
            <v>1251.1199999999999</v>
          </cell>
          <cell r="J377">
            <v>43.4</v>
          </cell>
          <cell r="K377">
            <v>31.866359447004967</v>
          </cell>
          <cell r="L377" t="str">
            <v>Unificacion de Vertimientos</v>
          </cell>
          <cell r="M377" t="str">
            <v>Nuevo</v>
          </cell>
        </row>
        <row r="378">
          <cell r="B378" t="str">
            <v>BV48</v>
          </cell>
          <cell r="C378" t="str">
            <v>BV49</v>
          </cell>
          <cell r="D378">
            <v>1.2999999999999999E-2</v>
          </cell>
          <cell r="E378">
            <v>27</v>
          </cell>
          <cell r="F378">
            <v>1252.54</v>
          </cell>
          <cell r="G378">
            <v>1252.71</v>
          </cell>
          <cell r="H378">
            <v>1249.8900000000001</v>
          </cell>
          <cell r="I378">
            <v>1249.73</v>
          </cell>
          <cell r="J378">
            <v>53.5</v>
          </cell>
          <cell r="K378">
            <v>0.29906542056090063</v>
          </cell>
          <cell r="L378" t="str">
            <v>Unificacion de Vertimientos</v>
          </cell>
          <cell r="M378" t="str">
            <v>Nuevo</v>
          </cell>
        </row>
        <row r="379">
          <cell r="B379" t="str">
            <v>BV49</v>
          </cell>
          <cell r="C379" t="str">
            <v>BV50</v>
          </cell>
          <cell r="D379">
            <v>1.2999999999999999E-2</v>
          </cell>
          <cell r="E379">
            <v>27</v>
          </cell>
          <cell r="F379">
            <v>1252.71</v>
          </cell>
          <cell r="G379">
            <v>1253</v>
          </cell>
          <cell r="H379">
            <v>1249.73</v>
          </cell>
          <cell r="I379">
            <v>1249.6400000000001</v>
          </cell>
          <cell r="J379">
            <v>57.5</v>
          </cell>
          <cell r="K379">
            <v>0.15652173913029244</v>
          </cell>
          <cell r="L379" t="str">
            <v>Unificacion de Vertimientos</v>
          </cell>
          <cell r="M379" t="str">
            <v>Nuevo</v>
          </cell>
        </row>
        <row r="380">
          <cell r="B380" t="str">
            <v>BV50</v>
          </cell>
          <cell r="C380" t="str">
            <v>BV51</v>
          </cell>
          <cell r="D380">
            <v>1.2999999999999999E-2</v>
          </cell>
          <cell r="E380">
            <v>27</v>
          </cell>
          <cell r="F380">
            <v>1253</v>
          </cell>
          <cell r="G380">
            <v>1255</v>
          </cell>
          <cell r="H380">
            <v>1249.6400000000001</v>
          </cell>
          <cell r="I380">
            <v>1249.57</v>
          </cell>
          <cell r="J380">
            <v>48.1</v>
          </cell>
          <cell r="K380">
            <v>0.14553014553048588</v>
          </cell>
          <cell r="L380" t="str">
            <v>Unificacion de Vertimientos</v>
          </cell>
          <cell r="M380" t="str">
            <v>Nuevo</v>
          </cell>
        </row>
        <row r="381">
          <cell r="B381" t="str">
            <v>BV52</v>
          </cell>
          <cell r="C381" t="str">
            <v>BV53</v>
          </cell>
          <cell r="D381">
            <v>1.2999999999999999E-2</v>
          </cell>
          <cell r="E381">
            <v>27</v>
          </cell>
          <cell r="F381">
            <v>1257.0899999999999</v>
          </cell>
          <cell r="G381">
            <v>1253.1500000000001</v>
          </cell>
          <cell r="H381">
            <v>1249.47</v>
          </cell>
          <cell r="I381">
            <v>1249.3499999999999</v>
          </cell>
          <cell r="J381">
            <v>119.1</v>
          </cell>
          <cell r="K381">
            <v>0.10075566750639652</v>
          </cell>
          <cell r="L381" t="str">
            <v>Unificacion de Vertimientos</v>
          </cell>
          <cell r="M381" t="str">
            <v>Nuevo</v>
          </cell>
        </row>
        <row r="382">
          <cell r="B382" t="str">
            <v>BV53</v>
          </cell>
          <cell r="C382" t="str">
            <v>BV54</v>
          </cell>
          <cell r="D382">
            <v>1.2999999999999999E-2</v>
          </cell>
          <cell r="E382">
            <v>27</v>
          </cell>
          <cell r="F382">
            <v>1253.1500000000001</v>
          </cell>
          <cell r="G382">
            <v>1252.56</v>
          </cell>
          <cell r="H382">
            <v>1249.3499999999999</v>
          </cell>
          <cell r="I382">
            <v>1249.23</v>
          </cell>
          <cell r="J382">
            <v>115.2</v>
          </cell>
          <cell r="K382">
            <v>0.10416666666657193</v>
          </cell>
          <cell r="L382" t="str">
            <v>Unificacion de Vertimientos</v>
          </cell>
          <cell r="M382" t="str">
            <v>Nuevo</v>
          </cell>
        </row>
        <row r="383">
          <cell r="B383" t="str">
            <v>BV54</v>
          </cell>
          <cell r="C383" t="str">
            <v>BV55</v>
          </cell>
          <cell r="D383">
            <v>1.2999999999999999E-2</v>
          </cell>
          <cell r="E383">
            <v>27</v>
          </cell>
          <cell r="F383">
            <v>1252.56</v>
          </cell>
          <cell r="G383">
            <v>1252.25</v>
          </cell>
          <cell r="H383">
            <v>1249.23</v>
          </cell>
          <cell r="I383">
            <v>1249.18</v>
          </cell>
          <cell r="J383">
            <v>48.7</v>
          </cell>
          <cell r="K383">
            <v>0.10266940451736041</v>
          </cell>
          <cell r="L383" t="str">
            <v>Unificacion de Vertimientos</v>
          </cell>
          <cell r="M383" t="str">
            <v>Nuevo</v>
          </cell>
        </row>
        <row r="384">
          <cell r="B384" t="str">
            <v>BV55</v>
          </cell>
          <cell r="C384" t="str">
            <v>BV56</v>
          </cell>
          <cell r="D384">
            <v>1.2999999999999999E-2</v>
          </cell>
          <cell r="E384">
            <v>27</v>
          </cell>
          <cell r="F384">
            <v>1252.25</v>
          </cell>
          <cell r="G384">
            <v>1250.02</v>
          </cell>
          <cell r="H384">
            <v>1249.18</v>
          </cell>
          <cell r="I384">
            <v>1249.1300000000001</v>
          </cell>
          <cell r="J384">
            <v>46.6</v>
          </cell>
          <cell r="K384">
            <v>0.10729613733895821</v>
          </cell>
          <cell r="L384" t="str">
            <v>Unificacion de Vertimientos</v>
          </cell>
          <cell r="M384" t="str">
            <v>Nuevo</v>
          </cell>
        </row>
        <row r="385">
          <cell r="B385" t="str">
            <v>BV56</v>
          </cell>
          <cell r="C385" t="str">
            <v>BV57</v>
          </cell>
          <cell r="D385">
            <v>1.2999999999999999E-2</v>
          </cell>
          <cell r="E385">
            <v>27</v>
          </cell>
          <cell r="F385">
            <v>1250.02</v>
          </cell>
          <cell r="G385">
            <v>1252.01</v>
          </cell>
          <cell r="H385">
            <v>1249.1300000000001</v>
          </cell>
          <cell r="I385">
            <v>1248.8</v>
          </cell>
          <cell r="J385">
            <v>216.8</v>
          </cell>
          <cell r="K385">
            <v>0.15221402214029273</v>
          </cell>
          <cell r="L385" t="str">
            <v>Unificacion de Vertimientos</v>
          </cell>
          <cell r="M385" t="str">
            <v>Nuevo</v>
          </cell>
        </row>
        <row r="386">
          <cell r="B386" t="str">
            <v>BV57</v>
          </cell>
          <cell r="C386" t="str">
            <v>BV58</v>
          </cell>
          <cell r="D386">
            <v>1.2999999999999999E-2</v>
          </cell>
          <cell r="E386">
            <v>27</v>
          </cell>
          <cell r="F386">
            <v>1252.01</v>
          </cell>
          <cell r="G386">
            <v>1250</v>
          </cell>
          <cell r="H386">
            <v>1248.8</v>
          </cell>
          <cell r="I386">
            <v>1248.21</v>
          </cell>
          <cell r="J386">
            <v>52.8</v>
          </cell>
          <cell r="K386">
            <v>1.1174242424240874</v>
          </cell>
          <cell r="L386" t="str">
            <v>Unificacion de Vertimientos</v>
          </cell>
          <cell r="M386" t="str">
            <v>Nuevo</v>
          </cell>
        </row>
        <row r="387">
          <cell r="B387" t="str">
            <v>BV45</v>
          </cell>
          <cell r="C387" t="str">
            <v>BV46</v>
          </cell>
          <cell r="D387">
            <v>1.2999999999999999E-2</v>
          </cell>
          <cell r="E387">
            <v>24</v>
          </cell>
          <cell r="F387">
            <v>1252.6400000000001</v>
          </cell>
          <cell r="G387">
            <v>1254.01</v>
          </cell>
          <cell r="H387">
            <v>1250.24</v>
          </cell>
          <cell r="I387">
            <v>1250.0899999999999</v>
          </cell>
          <cell r="J387">
            <v>73.8</v>
          </cell>
          <cell r="K387">
            <v>0.20325203252044843</v>
          </cell>
          <cell r="L387" t="str">
            <v>Unificacion de Vertimientos</v>
          </cell>
          <cell r="M387" t="str">
            <v>Nuevo</v>
          </cell>
        </row>
        <row r="388">
          <cell r="B388" t="str">
            <v>MR11</v>
          </cell>
          <cell r="C388" t="str">
            <v>MR12</v>
          </cell>
          <cell r="D388">
            <v>1.2999999999999999E-2</v>
          </cell>
          <cell r="E388">
            <v>12</v>
          </cell>
          <cell r="F388">
            <v>1277.6500000000001</v>
          </cell>
          <cell r="G388">
            <v>1276.01</v>
          </cell>
          <cell r="H388">
            <v>1275.24</v>
          </cell>
          <cell r="I388">
            <v>1275.1400000000001</v>
          </cell>
          <cell r="J388">
            <v>34.5</v>
          </cell>
          <cell r="K388">
            <v>0.2898550724635045</v>
          </cell>
          <cell r="L388" t="str">
            <v>Unificacion de Vertimientos</v>
          </cell>
          <cell r="M388" t="str">
            <v>Nuevo</v>
          </cell>
        </row>
        <row r="389">
          <cell r="B389" t="str">
            <v>AD14</v>
          </cell>
          <cell r="C389" t="str">
            <v>AD15</v>
          </cell>
          <cell r="D389">
            <v>1.2999999999999999E-2</v>
          </cell>
          <cell r="E389">
            <v>10</v>
          </cell>
          <cell r="F389">
            <v>1294.5899999999999</v>
          </cell>
          <cell r="G389">
            <v>1294.74</v>
          </cell>
          <cell r="H389">
            <v>1293.23</v>
          </cell>
          <cell r="I389">
            <v>1293.1500000000001</v>
          </cell>
          <cell r="J389">
            <v>10.1</v>
          </cell>
          <cell r="K389">
            <v>0.79207920792007169</v>
          </cell>
          <cell r="L389" t="str">
            <v>Unificacion de Vertimientos</v>
          </cell>
          <cell r="M389" t="str">
            <v>Nuevo</v>
          </cell>
        </row>
        <row r="390">
          <cell r="B390" t="str">
            <v>MR0</v>
          </cell>
          <cell r="C390" t="str">
            <v>MR1</v>
          </cell>
          <cell r="D390">
            <v>1.2999999999999999E-2</v>
          </cell>
          <cell r="E390">
            <v>12</v>
          </cell>
          <cell r="F390">
            <v>1282.18</v>
          </cell>
          <cell r="G390">
            <v>1282.83</v>
          </cell>
          <cell r="H390">
            <v>1276.49</v>
          </cell>
          <cell r="I390">
            <v>1276.44</v>
          </cell>
          <cell r="J390">
            <v>20</v>
          </cell>
          <cell r="K390">
            <v>0.24999999999977263</v>
          </cell>
          <cell r="L390" t="str">
            <v>Unificacion de Vertimientos</v>
          </cell>
          <cell r="M390" t="str">
            <v>Nuevo</v>
          </cell>
        </row>
        <row r="391">
          <cell r="B391" t="str">
            <v>MR1</v>
          </cell>
          <cell r="C391" t="str">
            <v>MR2</v>
          </cell>
          <cell r="D391">
            <v>1.2999999999999999E-2</v>
          </cell>
          <cell r="E391">
            <v>12</v>
          </cell>
          <cell r="F391">
            <v>1282.83</v>
          </cell>
          <cell r="G391">
            <v>1279.3900000000001</v>
          </cell>
          <cell r="H391">
            <v>1276.44</v>
          </cell>
          <cell r="I391">
            <v>1276.3</v>
          </cell>
          <cell r="J391">
            <v>52.3</v>
          </cell>
          <cell r="K391">
            <v>0.26768642447437868</v>
          </cell>
          <cell r="L391" t="str">
            <v>Unificacion de Vertimientos</v>
          </cell>
          <cell r="M391" t="str">
            <v>Nuevo</v>
          </cell>
        </row>
        <row r="392">
          <cell r="B392" t="str">
            <v>MR2</v>
          </cell>
          <cell r="C392" t="str">
            <v>MR3</v>
          </cell>
          <cell r="D392">
            <v>1.2999999999999999E-2</v>
          </cell>
          <cell r="E392">
            <v>12</v>
          </cell>
          <cell r="F392">
            <v>1279.3900000000001</v>
          </cell>
          <cell r="G392">
            <v>1279.23</v>
          </cell>
          <cell r="H392">
            <v>1276.3</v>
          </cell>
          <cell r="I392">
            <v>1276.1500000000001</v>
          </cell>
          <cell r="J392">
            <v>57.5</v>
          </cell>
          <cell r="K392">
            <v>0.26086956521715404</v>
          </cell>
          <cell r="L392" t="str">
            <v>Unificacion de Vertimientos</v>
          </cell>
          <cell r="M392" t="str">
            <v>Nuevo</v>
          </cell>
        </row>
        <row r="393">
          <cell r="B393" t="str">
            <v>MR3</v>
          </cell>
          <cell r="C393" t="str">
            <v>MR4</v>
          </cell>
          <cell r="D393">
            <v>1.2999999999999999E-2</v>
          </cell>
          <cell r="E393">
            <v>12</v>
          </cell>
          <cell r="F393">
            <v>1279.23</v>
          </cell>
          <cell r="G393">
            <v>1276.75</v>
          </cell>
          <cell r="H393">
            <v>1276.1500000000001</v>
          </cell>
          <cell r="I393">
            <v>1276.05</v>
          </cell>
          <cell r="J393">
            <v>38.1</v>
          </cell>
          <cell r="K393">
            <v>0.26246719160140791</v>
          </cell>
          <cell r="L393" t="str">
            <v>Unificacion de Vertimientos</v>
          </cell>
          <cell r="M393" t="str">
            <v>Nuevo</v>
          </cell>
        </row>
        <row r="394">
          <cell r="B394" t="str">
            <v>MR4</v>
          </cell>
          <cell r="C394" t="str">
            <v>MR5</v>
          </cell>
          <cell r="D394">
            <v>1.2999999999999999E-2</v>
          </cell>
          <cell r="E394">
            <v>12</v>
          </cell>
          <cell r="F394">
            <v>1276.75</v>
          </cell>
          <cell r="G394">
            <v>1280.02</v>
          </cell>
          <cell r="H394">
            <v>1276.05</v>
          </cell>
          <cell r="I394">
            <v>1275.97</v>
          </cell>
          <cell r="J394">
            <v>29.7</v>
          </cell>
          <cell r="K394">
            <v>0.26936026936002438</v>
          </cell>
          <cell r="L394" t="str">
            <v>Unificacion de Vertimientos</v>
          </cell>
          <cell r="M394" t="str">
            <v>Nuevo</v>
          </cell>
        </row>
        <row r="395">
          <cell r="B395" t="str">
            <v>MR5</v>
          </cell>
          <cell r="C395" t="str">
            <v>MR5A</v>
          </cell>
          <cell r="D395">
            <v>1.2999999999999999E-2</v>
          </cell>
          <cell r="E395">
            <v>12</v>
          </cell>
          <cell r="F395">
            <v>1280.02</v>
          </cell>
          <cell r="G395">
            <v>1279.3699999999999</v>
          </cell>
          <cell r="H395">
            <v>1275.97</v>
          </cell>
          <cell r="I395">
            <v>1275.9000000000001</v>
          </cell>
          <cell r="J395">
            <v>23.2</v>
          </cell>
          <cell r="K395">
            <v>0.30172413793076008</v>
          </cell>
          <cell r="L395" t="str">
            <v>Unificacion de Vertimientos</v>
          </cell>
          <cell r="M395" t="str">
            <v>Nuevo</v>
          </cell>
        </row>
        <row r="396">
          <cell r="B396" t="str">
            <v>MR5A</v>
          </cell>
          <cell r="C396" t="str">
            <v>MR6</v>
          </cell>
          <cell r="D396">
            <v>1.2999999999999999E-2</v>
          </cell>
          <cell r="E396">
            <v>12</v>
          </cell>
          <cell r="F396">
            <v>1279.3699999999999</v>
          </cell>
          <cell r="G396">
            <v>1278.95</v>
          </cell>
          <cell r="H396">
            <v>1275.9000000000001</v>
          </cell>
          <cell r="I396">
            <v>1275.76</v>
          </cell>
          <cell r="J396">
            <v>51.8</v>
          </cell>
          <cell r="K396">
            <v>0.27027027027046341</v>
          </cell>
          <cell r="L396" t="str">
            <v>Unificacion de Vertimientos</v>
          </cell>
          <cell r="M396" t="str">
            <v>Nuevo</v>
          </cell>
        </row>
        <row r="397">
          <cell r="B397" t="str">
            <v>MR8</v>
          </cell>
          <cell r="C397" t="str">
            <v>MR9</v>
          </cell>
          <cell r="D397">
            <v>1.2999999999999999E-2</v>
          </cell>
          <cell r="E397">
            <v>12</v>
          </cell>
          <cell r="F397">
            <v>1277.7</v>
          </cell>
          <cell r="G397">
            <v>1277.7</v>
          </cell>
          <cell r="H397">
            <v>1275.49</v>
          </cell>
          <cell r="I397">
            <v>1275.3599999999999</v>
          </cell>
          <cell r="J397">
            <v>50.9</v>
          </cell>
          <cell r="K397">
            <v>0.25540275049137356</v>
          </cell>
          <cell r="L397" t="str">
            <v>Unificacion de Vertimientos</v>
          </cell>
          <cell r="M397" t="str">
            <v>Nuevo</v>
          </cell>
        </row>
        <row r="398">
          <cell r="B398" t="str">
            <v>BV30</v>
          </cell>
          <cell r="C398" t="str">
            <v>BV31</v>
          </cell>
          <cell r="D398">
            <v>1.2999999999999999E-2</v>
          </cell>
          <cell r="E398">
            <v>24</v>
          </cell>
          <cell r="F398">
            <v>1255.19</v>
          </cell>
          <cell r="G398">
            <v>1254.6199999999999</v>
          </cell>
          <cell r="H398">
            <v>1251.01</v>
          </cell>
          <cell r="I398">
            <v>1250.94</v>
          </cell>
          <cell r="J398">
            <v>33.5</v>
          </cell>
          <cell r="K398">
            <v>0.20895522388040697</v>
          </cell>
          <cell r="L398" t="str">
            <v>Unificacion de Vertimientos</v>
          </cell>
          <cell r="M398" t="str">
            <v>Nuevo</v>
          </cell>
        </row>
        <row r="399">
          <cell r="B399" t="str">
            <v>MR10</v>
          </cell>
          <cell r="C399" t="str">
            <v>MR11</v>
          </cell>
          <cell r="D399">
            <v>1.2999999999999999E-2</v>
          </cell>
          <cell r="E399">
            <v>12</v>
          </cell>
          <cell r="F399">
            <v>1278.19</v>
          </cell>
          <cell r="G399">
            <v>1277.6500000000001</v>
          </cell>
          <cell r="H399">
            <v>1275.32</v>
          </cell>
          <cell r="I399">
            <v>1275.24</v>
          </cell>
          <cell r="J399">
            <v>29.6</v>
          </cell>
          <cell r="K399">
            <v>0.27027027027002443</v>
          </cell>
          <cell r="L399" t="str">
            <v>Unificacion de Vertimientos</v>
          </cell>
          <cell r="M399" t="str">
            <v>Nuevo</v>
          </cell>
        </row>
        <row r="400">
          <cell r="B400" t="str">
            <v>BV29</v>
          </cell>
          <cell r="C400" t="str">
            <v>BV30</v>
          </cell>
          <cell r="D400">
            <v>1.2999999999999999E-2</v>
          </cell>
          <cell r="E400">
            <v>24</v>
          </cell>
          <cell r="F400">
            <v>1254.43</v>
          </cell>
          <cell r="G400">
            <v>1255.19</v>
          </cell>
          <cell r="H400">
            <v>1251.1199999999999</v>
          </cell>
          <cell r="I400">
            <v>1251.01</v>
          </cell>
          <cell r="J400">
            <v>52.9</v>
          </cell>
          <cell r="K400">
            <v>0.20793950850642715</v>
          </cell>
          <cell r="L400" t="str">
            <v>Unificacion de Vertimientos</v>
          </cell>
          <cell r="M400" t="str">
            <v>Nuevo</v>
          </cell>
        </row>
        <row r="401">
          <cell r="B401" t="str">
            <v>MR12</v>
          </cell>
          <cell r="C401" t="str">
            <v>MR23</v>
          </cell>
          <cell r="D401">
            <v>1.2999999999999999E-2</v>
          </cell>
          <cell r="E401">
            <v>12</v>
          </cell>
          <cell r="F401">
            <v>1276.01</v>
          </cell>
          <cell r="G401">
            <v>1275.02</v>
          </cell>
          <cell r="H401">
            <v>1275.1400000000001</v>
          </cell>
          <cell r="I401">
            <v>1272.1099999999999</v>
          </cell>
          <cell r="J401">
            <v>36.700000000000003</v>
          </cell>
          <cell r="K401">
            <v>8.2561307901912802</v>
          </cell>
          <cell r="L401" t="str">
            <v>Viaducto</v>
          </cell>
          <cell r="M401" t="str">
            <v>Nuevo</v>
          </cell>
        </row>
        <row r="402">
          <cell r="B402" t="str">
            <v>MR23</v>
          </cell>
          <cell r="C402" t="str">
            <v>MR24</v>
          </cell>
          <cell r="D402">
            <v>1.2999999999999999E-2</v>
          </cell>
          <cell r="E402">
            <v>12</v>
          </cell>
          <cell r="F402">
            <v>1275.02</v>
          </cell>
          <cell r="G402">
            <v>1274.08</v>
          </cell>
          <cell r="H402">
            <v>1272.1099999999999</v>
          </cell>
          <cell r="I402">
            <v>1272.06</v>
          </cell>
          <cell r="J402">
            <v>25.9</v>
          </cell>
          <cell r="K402">
            <v>0.19305019305001747</v>
          </cell>
          <cell r="L402" t="str">
            <v>Unificacion de Vertimientos</v>
          </cell>
          <cell r="M402" t="str">
            <v>Nuevo</v>
          </cell>
        </row>
        <row r="403">
          <cell r="B403" t="str">
            <v>BV34</v>
          </cell>
          <cell r="C403" t="str">
            <v>BV35</v>
          </cell>
          <cell r="D403">
            <v>1.2999999999999999E-2</v>
          </cell>
          <cell r="E403">
            <v>12</v>
          </cell>
          <cell r="F403">
            <v>1285.55</v>
          </cell>
          <cell r="G403">
            <v>1280.75</v>
          </cell>
          <cell r="H403">
            <v>1284.54</v>
          </cell>
          <cell r="I403">
            <v>1279.7</v>
          </cell>
          <cell r="J403">
            <v>43.7</v>
          </cell>
          <cell r="K403">
            <v>11.075514874141689</v>
          </cell>
          <cell r="L403" t="str">
            <v>Unificacion de Vertimientos</v>
          </cell>
          <cell r="M403" t="str">
            <v>Nuevo</v>
          </cell>
        </row>
        <row r="404">
          <cell r="B404" t="str">
            <v>BV35</v>
          </cell>
          <cell r="C404" t="str">
            <v>D10</v>
          </cell>
          <cell r="D404">
            <v>1.2999999999999999E-2</v>
          </cell>
          <cell r="E404">
            <v>12</v>
          </cell>
          <cell r="F404">
            <v>1280.75</v>
          </cell>
          <cell r="G404">
            <v>1279.08</v>
          </cell>
          <cell r="H404">
            <v>1279.7</v>
          </cell>
          <cell r="I404">
            <v>1275.96</v>
          </cell>
          <cell r="J404">
            <v>39.299999999999997</v>
          </cell>
          <cell r="K404">
            <v>9.5165394402035872</v>
          </cell>
          <cell r="L404" t="str">
            <v>Unificacion de Vertimientos</v>
          </cell>
          <cell r="M404" t="str">
            <v>Nuevo</v>
          </cell>
        </row>
        <row r="405">
          <cell r="B405" t="str">
            <v>D10</v>
          </cell>
          <cell r="C405" t="str">
            <v>BV36</v>
          </cell>
          <cell r="D405">
            <v>1.2999999999999999E-2</v>
          </cell>
          <cell r="E405">
            <v>12</v>
          </cell>
          <cell r="F405">
            <v>1279.08</v>
          </cell>
          <cell r="G405">
            <v>1280.07</v>
          </cell>
          <cell r="H405">
            <v>1275.96</v>
          </cell>
          <cell r="I405">
            <v>1275.83</v>
          </cell>
          <cell r="J405">
            <v>24</v>
          </cell>
          <cell r="K405">
            <v>0.54166666666712149</v>
          </cell>
          <cell r="L405" t="str">
            <v>Unificacion de Vertimientos</v>
          </cell>
          <cell r="M405" t="str">
            <v>Nuevo</v>
          </cell>
        </row>
        <row r="406">
          <cell r="B406" t="str">
            <v>BV36</v>
          </cell>
          <cell r="C406" t="str">
            <v>BV37</v>
          </cell>
          <cell r="D406">
            <v>1.2999999999999999E-2</v>
          </cell>
          <cell r="E406">
            <v>12</v>
          </cell>
          <cell r="F406">
            <v>1280.07</v>
          </cell>
          <cell r="G406">
            <v>1276.8699999999999</v>
          </cell>
          <cell r="H406">
            <v>1275.83</v>
          </cell>
          <cell r="I406">
            <v>1275.54</v>
          </cell>
          <cell r="J406">
            <v>41.1</v>
          </cell>
          <cell r="K406">
            <v>0.7055961070558725</v>
          </cell>
          <cell r="L406" t="str">
            <v>Unificacion de Vertimientos</v>
          </cell>
          <cell r="M406" t="str">
            <v>Nuevo</v>
          </cell>
        </row>
        <row r="407">
          <cell r="B407" t="str">
            <v>BV37</v>
          </cell>
          <cell r="C407" t="str">
            <v>BV38</v>
          </cell>
          <cell r="D407">
            <v>1.2999999999999999E-2</v>
          </cell>
          <cell r="E407">
            <v>12</v>
          </cell>
          <cell r="F407">
            <v>1276.8699999999999</v>
          </cell>
          <cell r="G407">
            <v>1272</v>
          </cell>
          <cell r="H407">
            <v>1275.54</v>
          </cell>
          <cell r="I407">
            <v>1270.92</v>
          </cell>
          <cell r="J407">
            <v>42.8</v>
          </cell>
          <cell r="K407">
            <v>10.794392523364232</v>
          </cell>
          <cell r="L407" t="str">
            <v>Unificacion de Vertimientos</v>
          </cell>
          <cell r="M407" t="str">
            <v>Nuevo</v>
          </cell>
        </row>
        <row r="408">
          <cell r="B408" t="str">
            <v>BV38</v>
          </cell>
          <cell r="C408" t="str">
            <v>BV39</v>
          </cell>
          <cell r="D408">
            <v>1.2999999999999999E-2</v>
          </cell>
          <cell r="E408">
            <v>12</v>
          </cell>
          <cell r="F408">
            <v>1272</v>
          </cell>
          <cell r="G408">
            <v>1266.3499999999999</v>
          </cell>
          <cell r="H408">
            <v>1270.92</v>
          </cell>
          <cell r="I408">
            <v>1264.95</v>
          </cell>
          <cell r="J408">
            <v>56.6</v>
          </cell>
          <cell r="K408">
            <v>10.547703180212062</v>
          </cell>
          <cell r="L408" t="str">
            <v>Unificacion de Vertimientos</v>
          </cell>
          <cell r="M408" t="str">
            <v>Nuevo</v>
          </cell>
        </row>
        <row r="409">
          <cell r="B409" t="str">
            <v>BV60</v>
          </cell>
          <cell r="C409" t="str">
            <v>BV61</v>
          </cell>
          <cell r="D409">
            <v>1.2999999999999999E-2</v>
          </cell>
          <cell r="E409">
            <v>27</v>
          </cell>
          <cell r="F409">
            <v>1251.19</v>
          </cell>
          <cell r="G409">
            <v>1250.1199999999999</v>
          </cell>
          <cell r="H409">
            <v>1248.0899999999999</v>
          </cell>
          <cell r="I409">
            <v>1247.92</v>
          </cell>
          <cell r="J409">
            <v>51</v>
          </cell>
          <cell r="K409">
            <v>0.33333333333303017</v>
          </cell>
          <cell r="L409" t="str">
            <v>Unificacion de Vertimientos</v>
          </cell>
          <cell r="M409" t="str">
            <v>Nuevo</v>
          </cell>
        </row>
        <row r="410">
          <cell r="B410" t="str">
            <v>MR9</v>
          </cell>
          <cell r="C410" t="str">
            <v>MR10</v>
          </cell>
          <cell r="D410">
            <v>1.2999999999999999E-2</v>
          </cell>
          <cell r="E410">
            <v>12</v>
          </cell>
          <cell r="F410">
            <v>1277.7</v>
          </cell>
          <cell r="G410">
            <v>1278.19</v>
          </cell>
          <cell r="H410">
            <v>1275.3599999999999</v>
          </cell>
          <cell r="I410">
            <v>1275.32</v>
          </cell>
          <cell r="J410">
            <v>11.4</v>
          </cell>
          <cell r="K410">
            <v>0.35087719298213699</v>
          </cell>
          <cell r="L410" t="str">
            <v>Unificacion de Vertimientos</v>
          </cell>
          <cell r="M410" t="str">
            <v>Nuevo</v>
          </cell>
        </row>
        <row r="411">
          <cell r="B411" t="str">
            <v>MH-237</v>
          </cell>
          <cell r="C411" t="str">
            <v>BV52</v>
          </cell>
          <cell r="D411">
            <v>1.2999999999999999E-2</v>
          </cell>
          <cell r="E411">
            <v>27</v>
          </cell>
          <cell r="F411">
            <v>1253.73</v>
          </cell>
          <cell r="G411">
            <v>1257.0899999999999</v>
          </cell>
          <cell r="H411">
            <v>1250.7</v>
          </cell>
          <cell r="I411">
            <v>1249.47</v>
          </cell>
          <cell r="J411">
            <v>50.8</v>
          </cell>
          <cell r="K411">
            <v>2.4212598425197207</v>
          </cell>
          <cell r="L411" t="str">
            <v>Unificacion de Vertimientos</v>
          </cell>
          <cell r="M411" t="str">
            <v>Nuevo</v>
          </cell>
        </row>
        <row r="412">
          <cell r="B412" t="str">
            <v>BV58</v>
          </cell>
          <cell r="C412" t="str">
            <v>BV59</v>
          </cell>
          <cell r="D412">
            <v>1.2999999999999999E-2</v>
          </cell>
          <cell r="E412">
            <v>27</v>
          </cell>
          <cell r="F412">
            <v>1250</v>
          </cell>
          <cell r="G412">
            <v>1250.8399999999999</v>
          </cell>
          <cell r="H412">
            <v>1248.21</v>
          </cell>
          <cell r="I412">
            <v>1248.1600000000001</v>
          </cell>
          <cell r="J412">
            <v>26.4</v>
          </cell>
          <cell r="K412">
            <v>0.18939393939376714</v>
          </cell>
          <cell r="L412" t="str">
            <v>Unificacion de Vertimientos</v>
          </cell>
          <cell r="M412" t="str">
            <v>Nuevo</v>
          </cell>
        </row>
        <row r="413">
          <cell r="B413" t="str">
            <v>BV7</v>
          </cell>
          <cell r="C413" t="str">
            <v>BV9</v>
          </cell>
          <cell r="D413">
            <v>1.2999999999999999E-2</v>
          </cell>
          <cell r="E413">
            <v>18</v>
          </cell>
          <cell r="F413">
            <v>1256.5999999999999</v>
          </cell>
          <cell r="G413">
            <v>1256.5899999999999</v>
          </cell>
          <cell r="H413">
            <v>1253.4000000000001</v>
          </cell>
          <cell r="I413">
            <v>1253.3</v>
          </cell>
          <cell r="J413">
            <v>43.9</v>
          </cell>
          <cell r="K413">
            <v>0.2277904328021331</v>
          </cell>
          <cell r="L413" t="str">
            <v>Unificacion de Vertimientos</v>
          </cell>
          <cell r="M413" t="str">
            <v>Nuevo</v>
          </cell>
        </row>
        <row r="414">
          <cell r="B414" t="str">
            <v>BV9</v>
          </cell>
          <cell r="C414" t="str">
            <v>BV10</v>
          </cell>
          <cell r="D414">
            <v>1.2999999999999999E-2</v>
          </cell>
          <cell r="E414">
            <v>18</v>
          </cell>
          <cell r="F414">
            <v>1256.5899999999999</v>
          </cell>
          <cell r="G414">
            <v>1258.19</v>
          </cell>
          <cell r="H414">
            <v>1253.3</v>
          </cell>
          <cell r="I414">
            <v>1253.0899999999999</v>
          </cell>
          <cell r="J414">
            <v>22.5</v>
          </cell>
          <cell r="K414">
            <v>0.93333333333349511</v>
          </cell>
          <cell r="L414" t="str">
            <v>Unificacion de Vertimientos</v>
          </cell>
          <cell r="M414" t="str">
            <v>Nuevo</v>
          </cell>
        </row>
        <row r="415">
          <cell r="B415" t="str">
            <v>BV10</v>
          </cell>
          <cell r="C415" t="str">
            <v>D3</v>
          </cell>
          <cell r="D415">
            <v>1.2999999999999999E-2</v>
          </cell>
          <cell r="E415">
            <v>18</v>
          </cell>
          <cell r="F415">
            <v>1258.19</v>
          </cell>
          <cell r="G415">
            <v>1251</v>
          </cell>
          <cell r="H415">
            <v>1253.0899999999999</v>
          </cell>
          <cell r="I415">
            <v>1249.6600000000001</v>
          </cell>
          <cell r="J415">
            <v>42.8</v>
          </cell>
          <cell r="K415">
            <v>8.0140186915884044</v>
          </cell>
          <cell r="L415" t="str">
            <v>Unificacion de Vertimientos</v>
          </cell>
          <cell r="M415" t="str">
            <v>Nuevo</v>
          </cell>
        </row>
        <row r="416">
          <cell r="B416" t="str">
            <v>D3</v>
          </cell>
          <cell r="C416" t="str">
            <v>BV12</v>
          </cell>
          <cell r="D416">
            <v>1.2999999999999999E-2</v>
          </cell>
          <cell r="E416">
            <v>18</v>
          </cell>
          <cell r="F416">
            <v>1251</v>
          </cell>
          <cell r="G416">
            <v>1251.33</v>
          </cell>
          <cell r="H416">
            <v>1249.6600000000001</v>
          </cell>
          <cell r="I416">
            <v>1249.5899999999999</v>
          </cell>
          <cell r="J416">
            <v>31.6</v>
          </cell>
          <cell r="K416">
            <v>0.2215189873422902</v>
          </cell>
          <cell r="L416" t="str">
            <v>Unificacion de Vertimientos</v>
          </cell>
          <cell r="M416" t="str">
            <v>Nuevo</v>
          </cell>
        </row>
        <row r="417">
          <cell r="B417" t="str">
            <v>BV12</v>
          </cell>
          <cell r="C417" t="str">
            <v>BV13</v>
          </cell>
          <cell r="D417">
            <v>1.2999999999999999E-2</v>
          </cell>
          <cell r="E417">
            <v>18</v>
          </cell>
          <cell r="F417">
            <v>1251.33</v>
          </cell>
          <cell r="G417">
            <v>1252.6300000000001</v>
          </cell>
          <cell r="H417">
            <v>1249.5899999999999</v>
          </cell>
          <cell r="I417">
            <v>1249.53</v>
          </cell>
          <cell r="J417">
            <v>23</v>
          </cell>
          <cell r="K417">
            <v>0.26086956521715404</v>
          </cell>
          <cell r="L417" t="str">
            <v>Unificacion de Vertimientos</v>
          </cell>
          <cell r="M417" t="str">
            <v>Nuevo</v>
          </cell>
        </row>
        <row r="418">
          <cell r="B418" t="str">
            <v>BV13</v>
          </cell>
          <cell r="C418" t="str">
            <v>BV14</v>
          </cell>
          <cell r="D418">
            <v>1.2999999999999999E-2</v>
          </cell>
          <cell r="E418">
            <v>18</v>
          </cell>
          <cell r="F418">
            <v>1252.6300000000001</v>
          </cell>
          <cell r="G418">
            <v>1253</v>
          </cell>
          <cell r="H418">
            <v>1249.53</v>
          </cell>
          <cell r="I418">
            <v>1249.44</v>
          </cell>
          <cell r="J418">
            <v>40.200000000000003</v>
          </cell>
          <cell r="K418">
            <v>0.22388059701472174</v>
          </cell>
          <cell r="L418" t="str">
            <v>Unificacion de Vertimientos</v>
          </cell>
          <cell r="M418" t="str">
            <v>Nuevo</v>
          </cell>
        </row>
        <row r="419">
          <cell r="B419" t="str">
            <v>BV14</v>
          </cell>
          <cell r="C419" t="str">
            <v>BV15</v>
          </cell>
          <cell r="D419">
            <v>1.2999999999999999E-2</v>
          </cell>
          <cell r="E419">
            <v>18</v>
          </cell>
          <cell r="F419">
            <v>1253</v>
          </cell>
          <cell r="G419">
            <v>1253.2</v>
          </cell>
          <cell r="H419">
            <v>1249.44</v>
          </cell>
          <cell r="I419">
            <v>1252.27</v>
          </cell>
          <cell r="J419">
            <v>20.2</v>
          </cell>
          <cell r="K419">
            <v>-14.00990099009865</v>
          </cell>
          <cell r="L419" t="str">
            <v>Unificacion de Vertimientos</v>
          </cell>
          <cell r="M419" t="str">
            <v>Nuevo</v>
          </cell>
        </row>
        <row r="420">
          <cell r="B420" t="str">
            <v>P37</v>
          </cell>
          <cell r="C420" t="str">
            <v>BV7</v>
          </cell>
          <cell r="D420">
            <v>1.2999999999999999E-2</v>
          </cell>
          <cell r="E420">
            <v>12</v>
          </cell>
          <cell r="F420">
            <v>1256.21</v>
          </cell>
          <cell r="G420">
            <v>1256.5999999999999</v>
          </cell>
          <cell r="H420">
            <v>1254.9100000000001</v>
          </cell>
          <cell r="I420">
            <v>1253.4000000000001</v>
          </cell>
          <cell r="J420">
            <v>79.099999999999994</v>
          </cell>
          <cell r="K420">
            <v>1.9089759797724288</v>
          </cell>
          <cell r="L420" t="str">
            <v>Unificacion de Vertimientos</v>
          </cell>
          <cell r="M420" t="str">
            <v>Nuevo</v>
          </cell>
        </row>
        <row r="421">
          <cell r="B421" t="str">
            <v>BV5</v>
          </cell>
          <cell r="C421" t="str">
            <v>BV6</v>
          </cell>
          <cell r="D421">
            <v>1.2999999999999999E-2</v>
          </cell>
          <cell r="E421">
            <v>10</v>
          </cell>
          <cell r="F421">
            <v>1275.72</v>
          </cell>
          <cell r="G421">
            <v>1265.6500000000001</v>
          </cell>
          <cell r="H421">
            <v>1273.93</v>
          </cell>
          <cell r="I421">
            <v>1264.31</v>
          </cell>
          <cell r="J421">
            <v>75.400000000000006</v>
          </cell>
          <cell r="K421">
            <v>12.758620689655329</v>
          </cell>
          <cell r="L421" t="str">
            <v>Unificacion de Vertimientos</v>
          </cell>
          <cell r="M421" t="str">
            <v>Nuevo</v>
          </cell>
        </row>
        <row r="422">
          <cell r="B422" t="str">
            <v>BV51</v>
          </cell>
          <cell r="C422" t="str">
            <v>MH-237</v>
          </cell>
          <cell r="D422">
            <v>1.2999999999999999E-2</v>
          </cell>
          <cell r="E422">
            <v>27</v>
          </cell>
          <cell r="F422">
            <v>1255</v>
          </cell>
          <cell r="G422">
            <v>1253.73</v>
          </cell>
          <cell r="H422">
            <v>1249.57</v>
          </cell>
          <cell r="I422">
            <v>1250.7</v>
          </cell>
          <cell r="J422">
            <v>15.9</v>
          </cell>
          <cell r="K422">
            <v>-7.1069182389943979</v>
          </cell>
          <cell r="L422" t="str">
            <v>Unificacion de Vertimientos</v>
          </cell>
          <cell r="M422" t="str">
            <v>Nuevo</v>
          </cell>
        </row>
        <row r="423">
          <cell r="B423" t="str">
            <v>BV4</v>
          </cell>
          <cell r="C423" t="str">
            <v>BV5</v>
          </cell>
          <cell r="D423">
            <v>1.2999999999999999E-2</v>
          </cell>
          <cell r="E423">
            <v>10</v>
          </cell>
          <cell r="F423">
            <v>1281</v>
          </cell>
          <cell r="G423">
            <v>1275.72</v>
          </cell>
          <cell r="H423">
            <v>1279.74</v>
          </cell>
          <cell r="I423">
            <v>1273.93</v>
          </cell>
          <cell r="J423">
            <v>40.6</v>
          </cell>
          <cell r="K423">
            <v>14.310344827586071</v>
          </cell>
          <cell r="L423" t="str">
            <v>Unificacion de Vertimientos</v>
          </cell>
          <cell r="M423" t="str">
            <v>Nuevo</v>
          </cell>
        </row>
        <row r="424">
          <cell r="B424">
            <v>115</v>
          </cell>
          <cell r="C424">
            <v>701</v>
          </cell>
          <cell r="D424">
            <v>1.2999999999999999E-2</v>
          </cell>
          <cell r="E424">
            <v>27</v>
          </cell>
          <cell r="F424">
            <v>1272.6099999999999</v>
          </cell>
          <cell r="G424">
            <v>1268.31</v>
          </cell>
          <cell r="H424">
            <v>1269.8499999999999</v>
          </cell>
          <cell r="I424">
            <v>1269.8</v>
          </cell>
          <cell r="J424">
            <v>24.1</v>
          </cell>
          <cell r="K424">
            <v>0.20746887966786109</v>
          </cell>
          <cell r="L424" t="str">
            <v>Unificacion de Vertimientos</v>
          </cell>
          <cell r="M424" t="str">
            <v>Nuevo</v>
          </cell>
        </row>
        <row r="425">
          <cell r="B425" t="str">
            <v>BV16</v>
          </cell>
          <cell r="C425" t="str">
            <v>MH-238</v>
          </cell>
          <cell r="D425">
            <v>1.2999999999999999E-2</v>
          </cell>
          <cell r="E425">
            <v>12</v>
          </cell>
          <cell r="F425">
            <v>1295.56</v>
          </cell>
          <cell r="G425">
            <v>1294.49</v>
          </cell>
          <cell r="H425">
            <v>1289.8699999999999</v>
          </cell>
          <cell r="I425">
            <v>1288.5</v>
          </cell>
          <cell r="J425">
            <v>32.6</v>
          </cell>
          <cell r="K425">
            <v>4.2024539877297258</v>
          </cell>
          <cell r="L425" t="str">
            <v>Unificacion de Vertimientos</v>
          </cell>
          <cell r="M425" t="str">
            <v>Nuevo</v>
          </cell>
        </row>
        <row r="426">
          <cell r="B426" t="str">
            <v>MH-238</v>
          </cell>
          <cell r="C426" t="str">
            <v>BV17</v>
          </cell>
          <cell r="D426">
            <v>1.2999999999999999E-2</v>
          </cell>
          <cell r="E426">
            <v>12</v>
          </cell>
          <cell r="F426">
            <v>1294.49</v>
          </cell>
          <cell r="G426">
            <v>1283.0899999999999</v>
          </cell>
          <cell r="H426">
            <v>1288.5</v>
          </cell>
          <cell r="I426">
            <v>1281.97</v>
          </cell>
          <cell r="J426">
            <v>39.1</v>
          </cell>
          <cell r="K426">
            <v>16.700767263427039</v>
          </cell>
          <cell r="L426" t="str">
            <v>Unificacion de Vertimientos</v>
          </cell>
          <cell r="M426" t="str">
            <v>Nuevo</v>
          </cell>
        </row>
        <row r="427">
          <cell r="B427" t="str">
            <v>A8</v>
          </cell>
          <cell r="C427" t="str">
            <v>MH-239</v>
          </cell>
          <cell r="D427">
            <v>1.2999999999999999E-2</v>
          </cell>
          <cell r="E427">
            <v>16</v>
          </cell>
          <cell r="F427">
            <v>1293.5</v>
          </cell>
          <cell r="G427">
            <v>1293</v>
          </cell>
          <cell r="H427">
            <v>1288.55</v>
          </cell>
          <cell r="I427">
            <v>1288.5</v>
          </cell>
          <cell r="J427">
            <v>10.8</v>
          </cell>
          <cell r="K427">
            <v>0.46296296296254186</v>
          </cell>
          <cell r="L427" t="str">
            <v>Unificacion de Vertimientos</v>
          </cell>
          <cell r="M427" t="str">
            <v>Nuevo</v>
          </cell>
        </row>
        <row r="428">
          <cell r="B428" t="str">
            <v>MH-239</v>
          </cell>
          <cell r="C428" t="str">
            <v>A9</v>
          </cell>
          <cell r="D428">
            <v>1.2999999999999999E-2</v>
          </cell>
          <cell r="E428">
            <v>16</v>
          </cell>
          <cell r="F428">
            <v>1293</v>
          </cell>
          <cell r="G428">
            <v>1292.3499999999999</v>
          </cell>
          <cell r="H428">
            <v>1288.5</v>
          </cell>
          <cell r="I428">
            <v>1288.43</v>
          </cell>
          <cell r="J428">
            <v>32.9</v>
          </cell>
          <cell r="K428">
            <v>0.212765957446615</v>
          </cell>
          <cell r="L428" t="str">
            <v>Unificacion de Vertimientos</v>
          </cell>
          <cell r="M428" t="str">
            <v>Nuevo</v>
          </cell>
        </row>
        <row r="429">
          <cell r="B429">
            <v>681</v>
          </cell>
          <cell r="C429" t="str">
            <v>A11</v>
          </cell>
          <cell r="D429">
            <v>1.2999999999999999E-2</v>
          </cell>
          <cell r="E429">
            <v>12</v>
          </cell>
          <cell r="F429">
            <v>1289.1400000000001</v>
          </cell>
          <cell r="G429">
            <v>1292</v>
          </cell>
          <cell r="H429">
            <v>1286.28</v>
          </cell>
          <cell r="I429">
            <v>1288.24</v>
          </cell>
          <cell r="J429">
            <v>9.4</v>
          </cell>
          <cell r="K429">
            <v>-20.85106382978762</v>
          </cell>
          <cell r="L429" t="str">
            <v>Unificacion de Vertimientos</v>
          </cell>
          <cell r="M429" t="str">
            <v>Nuevo</v>
          </cell>
        </row>
        <row r="430">
          <cell r="B430" t="str">
            <v>MH-240</v>
          </cell>
          <cell r="C430" t="str">
            <v>A12</v>
          </cell>
          <cell r="D430">
            <v>1.2999999999999999E-2</v>
          </cell>
          <cell r="E430">
            <v>12</v>
          </cell>
          <cell r="F430">
            <v>1285.8800000000001</v>
          </cell>
          <cell r="G430">
            <v>1292.5</v>
          </cell>
          <cell r="H430">
            <v>1284.8</v>
          </cell>
          <cell r="I430">
            <v>1288.1400000000001</v>
          </cell>
          <cell r="J430">
            <v>9.1999999999999993</v>
          </cell>
          <cell r="K430">
            <v>-36.304347826088538</v>
          </cell>
          <cell r="L430" t="str">
            <v>Unificacion de Vertimientos</v>
          </cell>
          <cell r="M430" t="str">
            <v>Nuevo</v>
          </cell>
        </row>
        <row r="431">
          <cell r="B431" t="str">
            <v>AD12</v>
          </cell>
          <cell r="C431" t="str">
            <v>AD13</v>
          </cell>
          <cell r="D431">
            <v>1.2999999999999999E-2</v>
          </cell>
          <cell r="E431">
            <v>10</v>
          </cell>
          <cell r="F431">
            <v>1296.6400000000001</v>
          </cell>
          <cell r="G431">
            <v>1297.57</v>
          </cell>
          <cell r="H431">
            <v>1294.71</v>
          </cell>
          <cell r="I431">
            <v>1293.3399999999999</v>
          </cell>
          <cell r="J431">
            <v>19.100000000000001</v>
          </cell>
          <cell r="K431">
            <v>7.1727748691105671</v>
          </cell>
          <cell r="L431" t="str">
            <v>Unificacion de Vertimientos</v>
          </cell>
          <cell r="M431" t="str">
            <v>Nuevo</v>
          </cell>
        </row>
        <row r="432">
          <cell r="B432">
            <v>784</v>
          </cell>
          <cell r="C432">
            <v>785</v>
          </cell>
          <cell r="D432">
            <v>1.4999999999999999E-2</v>
          </cell>
          <cell r="E432">
            <v>8</v>
          </cell>
          <cell r="F432">
            <v>1295.1400000000001</v>
          </cell>
          <cell r="G432">
            <v>1294.51</v>
          </cell>
          <cell r="H432">
            <v>1293.24</v>
          </cell>
          <cell r="I432">
            <v>1292.5</v>
          </cell>
          <cell r="J432">
            <v>47.4</v>
          </cell>
          <cell r="K432">
            <v>1.5611814345991755</v>
          </cell>
          <cell r="L432" t="str">
            <v xml:space="preserve">Tramos Existentes </v>
          </cell>
          <cell r="M432" t="str">
            <v>Nuevo</v>
          </cell>
        </row>
        <row r="433">
          <cell r="B433">
            <v>705</v>
          </cell>
          <cell r="C433" t="str">
            <v>MH-222</v>
          </cell>
          <cell r="D433">
            <v>1.2999999999999999E-2</v>
          </cell>
          <cell r="E433">
            <v>12</v>
          </cell>
          <cell r="F433">
            <v>1286.1300000000001</v>
          </cell>
          <cell r="G433">
            <v>1285.5</v>
          </cell>
          <cell r="H433">
            <v>1284.26</v>
          </cell>
          <cell r="I433">
            <v>1283</v>
          </cell>
          <cell r="J433">
            <v>25</v>
          </cell>
          <cell r="K433">
            <v>5.0399999999999636</v>
          </cell>
          <cell r="L433" t="str">
            <v>Unificacion de Vertimientos</v>
          </cell>
          <cell r="M433" t="str">
            <v>Nuevo</v>
          </cell>
        </row>
        <row r="434">
          <cell r="B434" t="str">
            <v>BV22</v>
          </cell>
          <cell r="C434" t="str">
            <v>D7</v>
          </cell>
          <cell r="D434">
            <v>1.2999999999999999E-2</v>
          </cell>
          <cell r="E434">
            <v>18</v>
          </cell>
          <cell r="F434">
            <v>1255.4100000000001</v>
          </cell>
          <cell r="G434">
            <v>1255.76</v>
          </cell>
          <cell r="H434">
            <v>1251.92</v>
          </cell>
          <cell r="I434">
            <v>1251.82</v>
          </cell>
          <cell r="J434">
            <v>48.7</v>
          </cell>
          <cell r="K434">
            <v>0.20533880903518772</v>
          </cell>
          <cell r="L434" t="str">
            <v>Unificacion de Vertimientos</v>
          </cell>
          <cell r="M434" t="str">
            <v>Nuevo</v>
          </cell>
        </row>
        <row r="435">
          <cell r="B435" t="str">
            <v>AD18</v>
          </cell>
          <cell r="C435">
            <v>1060</v>
          </cell>
          <cell r="D435">
            <v>1.2999999999999999E-2</v>
          </cell>
          <cell r="E435">
            <v>10</v>
          </cell>
          <cell r="F435">
            <v>1294.4100000000001</v>
          </cell>
          <cell r="G435">
            <v>1293.8</v>
          </cell>
          <cell r="H435">
            <v>1292.8699999999999</v>
          </cell>
          <cell r="I435">
            <v>1292.8</v>
          </cell>
          <cell r="J435">
            <v>11.5</v>
          </cell>
          <cell r="K435">
            <v>0.60869565217335941</v>
          </cell>
          <cell r="L435" t="str">
            <v>Unificacion de Vertimientos</v>
          </cell>
          <cell r="M435" t="str">
            <v>Nuevo</v>
          </cell>
        </row>
        <row r="436">
          <cell r="B436" t="str">
            <v>BV61</v>
          </cell>
          <cell r="C436" t="str">
            <v>BV62</v>
          </cell>
          <cell r="D436">
            <v>1.2999999999999999E-2</v>
          </cell>
          <cell r="E436">
            <v>27</v>
          </cell>
          <cell r="F436">
            <v>1250.1199999999999</v>
          </cell>
          <cell r="G436">
            <v>1250.48</v>
          </cell>
          <cell r="H436">
            <v>1247.92</v>
          </cell>
          <cell r="I436">
            <v>1247.8699999999999</v>
          </cell>
          <cell r="J436">
            <v>28.6</v>
          </cell>
          <cell r="K436">
            <v>0.17482517482581081</v>
          </cell>
          <cell r="L436" t="str">
            <v>Unificacion de Vertimientos</v>
          </cell>
          <cell r="M436" t="str">
            <v>Nuevo</v>
          </cell>
        </row>
        <row r="437">
          <cell r="B437" t="str">
            <v>BV62</v>
          </cell>
          <cell r="C437" t="str">
            <v>BV63</v>
          </cell>
          <cell r="D437">
            <v>1.2999999999999999E-2</v>
          </cell>
          <cell r="E437">
            <v>27</v>
          </cell>
          <cell r="F437">
            <v>1250.48</v>
          </cell>
          <cell r="G437">
            <v>1251.1500000000001</v>
          </cell>
          <cell r="H437">
            <v>1247.8699999999999</v>
          </cell>
          <cell r="I437">
            <v>1247.74</v>
          </cell>
          <cell r="J437">
            <v>75.5</v>
          </cell>
          <cell r="K437">
            <v>0.17218543046341955</v>
          </cell>
          <cell r="L437" t="str">
            <v>Viaducto</v>
          </cell>
          <cell r="M437" t="str">
            <v>Nuevo</v>
          </cell>
        </row>
        <row r="438">
          <cell r="B438" t="str">
            <v>BV63</v>
          </cell>
          <cell r="C438" t="str">
            <v>BV64</v>
          </cell>
          <cell r="D438">
            <v>1.2999999999999999E-2</v>
          </cell>
          <cell r="E438">
            <v>27</v>
          </cell>
          <cell r="F438">
            <v>1251.1500000000001</v>
          </cell>
          <cell r="G438">
            <v>1250.51</v>
          </cell>
          <cell r="H438">
            <v>1247.74</v>
          </cell>
          <cell r="I438">
            <v>1247.6199999999999</v>
          </cell>
          <cell r="J438">
            <v>72.099999999999994</v>
          </cell>
          <cell r="K438">
            <v>0.1664355062414955</v>
          </cell>
          <cell r="L438" t="str">
            <v>Unificacion de Vertimientos</v>
          </cell>
          <cell r="M438" t="str">
            <v>Nuevo</v>
          </cell>
        </row>
        <row r="439">
          <cell r="B439" t="str">
            <v>BV64</v>
          </cell>
          <cell r="C439" t="str">
            <v>BV65</v>
          </cell>
          <cell r="D439">
            <v>1.2999999999999999E-2</v>
          </cell>
          <cell r="E439">
            <v>27</v>
          </cell>
          <cell r="F439">
            <v>1250.51</v>
          </cell>
          <cell r="G439">
            <v>1250.6199999999999</v>
          </cell>
          <cell r="H439">
            <v>1247.6199999999999</v>
          </cell>
          <cell r="I439">
            <v>1247.54</v>
          </cell>
          <cell r="J439">
            <v>13.7</v>
          </cell>
          <cell r="K439">
            <v>0.58394160583888499</v>
          </cell>
          <cell r="L439" t="str">
            <v>Unificacion de Vertimientos</v>
          </cell>
          <cell r="M439" t="str">
            <v>Nuevo</v>
          </cell>
        </row>
        <row r="440">
          <cell r="B440" t="str">
            <v>D4</v>
          </cell>
          <cell r="C440" t="str">
            <v>BV16</v>
          </cell>
          <cell r="D440">
            <v>1.2999999999999999E-2</v>
          </cell>
          <cell r="E440">
            <v>12</v>
          </cell>
          <cell r="F440">
            <v>1295.17</v>
          </cell>
          <cell r="G440">
            <v>1295.56</v>
          </cell>
          <cell r="H440">
            <v>1290.04</v>
          </cell>
          <cell r="I440">
            <v>1289.8699999999999</v>
          </cell>
          <cell r="J440">
            <v>5.9</v>
          </cell>
          <cell r="K440">
            <v>2.8813559322046229</v>
          </cell>
          <cell r="L440" t="str">
            <v>Unificacion de Vertimientos</v>
          </cell>
          <cell r="M440" t="str">
            <v>Nuevo</v>
          </cell>
        </row>
        <row r="441">
          <cell r="B441" t="str">
            <v>BV17</v>
          </cell>
          <cell r="C441" t="str">
            <v>D6</v>
          </cell>
          <cell r="D441">
            <v>1.2999999999999999E-2</v>
          </cell>
          <cell r="E441">
            <v>12</v>
          </cell>
          <cell r="F441">
            <v>1283.0899999999999</v>
          </cell>
          <cell r="G441">
            <v>1279.07</v>
          </cell>
          <cell r="H441">
            <v>1281.97</v>
          </cell>
          <cell r="I441">
            <v>1275.06</v>
          </cell>
          <cell r="J441">
            <v>25.2</v>
          </cell>
          <cell r="K441">
            <v>27.420634920635244</v>
          </cell>
          <cell r="L441" t="str">
            <v>Unificacion de Vertimientos</v>
          </cell>
          <cell r="M441" t="str">
            <v>Nuevo</v>
          </cell>
        </row>
        <row r="442">
          <cell r="B442" t="str">
            <v>BV19</v>
          </cell>
          <cell r="C442" t="str">
            <v>BV20</v>
          </cell>
          <cell r="D442">
            <v>1.2999999999999999E-2</v>
          </cell>
          <cell r="E442">
            <v>12</v>
          </cell>
          <cell r="F442">
            <v>1268.53</v>
          </cell>
          <cell r="G442">
            <v>1261.8</v>
          </cell>
          <cell r="H442">
            <v>1266.3599999999999</v>
          </cell>
          <cell r="I442">
            <v>1259.21</v>
          </cell>
          <cell r="J442">
            <v>39.6</v>
          </cell>
          <cell r="K442">
            <v>18.055555555555213</v>
          </cell>
          <cell r="L442" t="str">
            <v>Unificacion de Vertimientos</v>
          </cell>
          <cell r="M442" t="str">
            <v>Nuevo</v>
          </cell>
        </row>
        <row r="443">
          <cell r="B443" t="str">
            <v>BV20</v>
          </cell>
          <cell r="C443" t="str">
            <v>BV15</v>
          </cell>
          <cell r="D443">
            <v>1.2999999999999999E-2</v>
          </cell>
          <cell r="E443">
            <v>12</v>
          </cell>
          <cell r="F443">
            <v>1261.8</v>
          </cell>
          <cell r="G443">
            <v>1253.2</v>
          </cell>
          <cell r="H443">
            <v>1259.21</v>
          </cell>
          <cell r="I443">
            <v>1252.27</v>
          </cell>
          <cell r="J443">
            <v>12</v>
          </cell>
          <cell r="K443">
            <v>57.83333333333379</v>
          </cell>
          <cell r="L443" t="str">
            <v>Unificacion de Vertimientos</v>
          </cell>
          <cell r="M443" t="str">
            <v>Nuevo</v>
          </cell>
        </row>
        <row r="444">
          <cell r="B444" t="str">
            <v>BV6</v>
          </cell>
          <cell r="C444" t="str">
            <v>BV7</v>
          </cell>
          <cell r="D444">
            <v>1.2999999999999999E-2</v>
          </cell>
          <cell r="E444">
            <v>10</v>
          </cell>
          <cell r="F444">
            <v>1265.6500000000001</v>
          </cell>
          <cell r="G444">
            <v>1256.5999999999999</v>
          </cell>
          <cell r="H444">
            <v>1264.31</v>
          </cell>
          <cell r="I444">
            <v>1253.4000000000001</v>
          </cell>
          <cell r="J444">
            <v>60.2</v>
          </cell>
          <cell r="K444">
            <v>18.122923588039626</v>
          </cell>
          <cell r="L444" t="str">
            <v>Unificacion de Vertimientos</v>
          </cell>
          <cell r="M444" t="str">
            <v>Nuevo</v>
          </cell>
        </row>
        <row r="445">
          <cell r="B445" t="str">
            <v>BV21</v>
          </cell>
          <cell r="C445" t="str">
            <v>BV22</v>
          </cell>
          <cell r="D445">
            <v>1.2999999999999999E-2</v>
          </cell>
          <cell r="E445">
            <v>18</v>
          </cell>
          <cell r="F445">
            <v>1254.25</v>
          </cell>
          <cell r="G445">
            <v>1255.4100000000001</v>
          </cell>
          <cell r="H445">
            <v>1251.99</v>
          </cell>
          <cell r="I445">
            <v>1251.92</v>
          </cell>
          <cell r="J445">
            <v>33.299999999999997</v>
          </cell>
          <cell r="K445">
            <v>0.21021021021001904</v>
          </cell>
          <cell r="L445" t="str">
            <v>Unificacion de Vertimientos</v>
          </cell>
          <cell r="M445" t="str">
            <v>Nuevo</v>
          </cell>
        </row>
        <row r="446">
          <cell r="B446" t="str">
            <v>BV59</v>
          </cell>
          <cell r="C446" t="str">
            <v>BV60</v>
          </cell>
          <cell r="D446">
            <v>1.2999999999999999E-2</v>
          </cell>
          <cell r="E446">
            <v>27</v>
          </cell>
          <cell r="F446">
            <v>1250.8399999999999</v>
          </cell>
          <cell r="G446">
            <v>1251.19</v>
          </cell>
          <cell r="H446">
            <v>1248.1600000000001</v>
          </cell>
          <cell r="I446">
            <v>1248.0899999999999</v>
          </cell>
          <cell r="J446">
            <v>41.1</v>
          </cell>
          <cell r="K446">
            <v>0.17031630170356132</v>
          </cell>
          <cell r="L446" t="str">
            <v>Unificacion de Vertimientos</v>
          </cell>
          <cell r="M446" t="str">
            <v>Nuevo</v>
          </cell>
        </row>
        <row r="447">
          <cell r="B447" t="str">
            <v>D7</v>
          </cell>
          <cell r="C447" t="str">
            <v>BV23</v>
          </cell>
          <cell r="D447">
            <v>1.2999999999999999E-2</v>
          </cell>
          <cell r="E447">
            <v>18</v>
          </cell>
          <cell r="F447">
            <v>1255.76</v>
          </cell>
          <cell r="G447">
            <v>1256.04</v>
          </cell>
          <cell r="H447">
            <v>1251.82</v>
          </cell>
          <cell r="I447">
            <v>1251.77</v>
          </cell>
          <cell r="J447">
            <v>26</v>
          </cell>
          <cell r="K447">
            <v>0.1923076923075174</v>
          </cell>
          <cell r="L447" t="str">
            <v>Unificacion de Vertimientos</v>
          </cell>
          <cell r="M447" t="str">
            <v>Nuevo</v>
          </cell>
        </row>
        <row r="448">
          <cell r="B448" t="str">
            <v>BV23</v>
          </cell>
          <cell r="C448" t="str">
            <v>BV24</v>
          </cell>
          <cell r="D448">
            <v>1.2999999999999999E-2</v>
          </cell>
          <cell r="E448">
            <v>18</v>
          </cell>
          <cell r="F448">
            <v>1256.04</v>
          </cell>
          <cell r="G448">
            <v>1255.1199999999999</v>
          </cell>
          <cell r="H448">
            <v>1251.77</v>
          </cell>
          <cell r="I448">
            <v>1251.6300000000001</v>
          </cell>
          <cell r="J448">
            <v>24.3</v>
          </cell>
          <cell r="K448">
            <v>0.57613168724227437</v>
          </cell>
          <cell r="L448" t="str">
            <v>Unificacion de Vertimientos</v>
          </cell>
          <cell r="M448" t="str">
            <v>Nuevo</v>
          </cell>
        </row>
        <row r="449">
          <cell r="B449" t="str">
            <v>BV24</v>
          </cell>
          <cell r="C449" t="str">
            <v>D8</v>
          </cell>
          <cell r="D449">
            <v>1.2999999999999999E-2</v>
          </cell>
          <cell r="E449">
            <v>18</v>
          </cell>
          <cell r="F449">
            <v>1255.1199999999999</v>
          </cell>
          <cell r="G449">
            <v>1255.51</v>
          </cell>
          <cell r="H449">
            <v>1251.6300000000001</v>
          </cell>
          <cell r="I449">
            <v>1251.6300000000001</v>
          </cell>
          <cell r="J449">
            <v>44.3</v>
          </cell>
          <cell r="K449">
            <v>0</v>
          </cell>
          <cell r="L449" t="str">
            <v>Unificacion de Vertimientos</v>
          </cell>
          <cell r="M449" t="str">
            <v>Nuevo</v>
          </cell>
        </row>
        <row r="450">
          <cell r="B450" t="str">
            <v>D8</v>
          </cell>
          <cell r="C450" t="str">
            <v>BV27</v>
          </cell>
          <cell r="D450">
            <v>1.2999999999999999E-2</v>
          </cell>
          <cell r="E450">
            <v>18</v>
          </cell>
          <cell r="F450">
            <v>1255.51</v>
          </cell>
          <cell r="G450">
            <v>1256</v>
          </cell>
          <cell r="H450">
            <v>1251.6300000000001</v>
          </cell>
          <cell r="I450">
            <v>1251.46</v>
          </cell>
          <cell r="J450">
            <v>88.3</v>
          </cell>
          <cell r="K450">
            <v>0.19252548131378569</v>
          </cell>
          <cell r="L450" t="str">
            <v>Unificacion de Vertimientos</v>
          </cell>
          <cell r="M450" t="str">
            <v>Nuevo</v>
          </cell>
        </row>
        <row r="451">
          <cell r="B451" t="str">
            <v>BV27</v>
          </cell>
          <cell r="C451" t="str">
            <v>BV28</v>
          </cell>
          <cell r="D451">
            <v>1.2999999999999999E-2</v>
          </cell>
          <cell r="E451">
            <v>18</v>
          </cell>
          <cell r="F451">
            <v>1256</v>
          </cell>
          <cell r="G451">
            <v>1252.3900000000001</v>
          </cell>
          <cell r="H451">
            <v>1251.46</v>
          </cell>
          <cell r="I451">
            <v>1251.33</v>
          </cell>
          <cell r="J451">
            <v>61.2</v>
          </cell>
          <cell r="K451">
            <v>0.2124183006537731</v>
          </cell>
          <cell r="L451" t="str">
            <v>Unificacion de Vertimientos</v>
          </cell>
          <cell r="M451" t="str">
            <v>Nuevo</v>
          </cell>
        </row>
        <row r="452">
          <cell r="B452" t="str">
            <v>BV28</v>
          </cell>
          <cell r="C452" t="str">
            <v>BV29</v>
          </cell>
          <cell r="D452">
            <v>1.2999999999999999E-2</v>
          </cell>
          <cell r="E452">
            <v>18</v>
          </cell>
          <cell r="F452">
            <v>1252.3900000000001</v>
          </cell>
          <cell r="G452">
            <v>1254.43</v>
          </cell>
          <cell r="H452">
            <v>1251.33</v>
          </cell>
          <cell r="I452">
            <v>1251.1199999999999</v>
          </cell>
          <cell r="J452">
            <v>32.299999999999997</v>
          </cell>
          <cell r="K452">
            <v>0.65015479876172255</v>
          </cell>
          <cell r="L452" t="str">
            <v>Viaducto</v>
          </cell>
          <cell r="M452" t="str">
            <v>Nuevo</v>
          </cell>
        </row>
        <row r="453">
          <cell r="B453" t="str">
            <v>MH-222</v>
          </cell>
          <cell r="C453" t="str">
            <v>BV2</v>
          </cell>
          <cell r="D453">
            <v>1.2999999999999999E-2</v>
          </cell>
          <cell r="E453">
            <v>10</v>
          </cell>
          <cell r="F453">
            <v>1285.5</v>
          </cell>
          <cell r="G453">
            <v>1285.02</v>
          </cell>
          <cell r="H453">
            <v>1283</v>
          </cell>
          <cell r="I453">
            <v>1282.46</v>
          </cell>
          <cell r="J453">
            <v>10.8</v>
          </cell>
          <cell r="K453">
            <v>4.9999999999996634</v>
          </cell>
          <cell r="L453" t="str">
            <v>Unificacion de Vertimientos</v>
          </cell>
          <cell r="M453" t="str">
            <v>Nuevo</v>
          </cell>
        </row>
        <row r="454">
          <cell r="B454" t="str">
            <v>BV2</v>
          </cell>
          <cell r="C454" t="str">
            <v>BV3</v>
          </cell>
          <cell r="D454">
            <v>1.2999999999999999E-2</v>
          </cell>
          <cell r="E454">
            <v>10</v>
          </cell>
          <cell r="F454">
            <v>1285.02</v>
          </cell>
          <cell r="G454">
            <v>1283.02</v>
          </cell>
          <cell r="H454">
            <v>1282.46</v>
          </cell>
          <cell r="I454">
            <v>1281.31</v>
          </cell>
          <cell r="J454">
            <v>50</v>
          </cell>
          <cell r="K454">
            <v>2.3000000000001819</v>
          </cell>
          <cell r="L454" t="str">
            <v>Unificacion de Vertimientos</v>
          </cell>
          <cell r="M454" t="str">
            <v>Nuevo</v>
          </cell>
        </row>
        <row r="455">
          <cell r="B455" t="str">
            <v>BV3</v>
          </cell>
          <cell r="C455" t="str">
            <v>BV4</v>
          </cell>
          <cell r="D455">
            <v>1.2999999999999999E-2</v>
          </cell>
          <cell r="E455">
            <v>10</v>
          </cell>
          <cell r="F455">
            <v>1283.02</v>
          </cell>
          <cell r="G455">
            <v>1281</v>
          </cell>
          <cell r="H455">
            <v>1281.31</v>
          </cell>
          <cell r="I455">
            <v>1279.74</v>
          </cell>
          <cell r="J455">
            <v>42.8</v>
          </cell>
          <cell r="K455">
            <v>3.6682242990652725</v>
          </cell>
          <cell r="L455" t="str">
            <v>Unificacion de Vertimientos</v>
          </cell>
          <cell r="M455" t="str">
            <v>Nuevo</v>
          </cell>
        </row>
        <row r="456">
          <cell r="B456" t="str">
            <v>BV15</v>
          </cell>
          <cell r="C456" t="str">
            <v>BV21</v>
          </cell>
          <cell r="D456">
            <v>1.2999999999999999E-2</v>
          </cell>
          <cell r="E456">
            <v>18</v>
          </cell>
          <cell r="F456">
            <v>1253.2</v>
          </cell>
          <cell r="G456">
            <v>1254.25</v>
          </cell>
          <cell r="H456">
            <v>1252.27</v>
          </cell>
          <cell r="I456">
            <v>1251.99</v>
          </cell>
          <cell r="J456">
            <v>37.9</v>
          </cell>
          <cell r="K456">
            <v>0.73878627968330535</v>
          </cell>
          <cell r="L456" t="str">
            <v>Unificacion de Vertimientos</v>
          </cell>
          <cell r="M456" t="str">
            <v>Nuevo</v>
          </cell>
        </row>
        <row r="457">
          <cell r="B457" t="str">
            <v>BV69</v>
          </cell>
          <cell r="C457" t="str">
            <v>BV70</v>
          </cell>
          <cell r="D457">
            <v>1.2999999999999999E-2</v>
          </cell>
          <cell r="E457">
            <v>27</v>
          </cell>
          <cell r="F457">
            <v>1250.71</v>
          </cell>
          <cell r="G457">
            <v>1250.54</v>
          </cell>
          <cell r="H457">
            <v>1247.4000000000001</v>
          </cell>
          <cell r="I457">
            <v>1247.3699999999999</v>
          </cell>
          <cell r="J457">
            <v>20.9</v>
          </cell>
          <cell r="K457">
            <v>0.1435406698574167</v>
          </cell>
          <cell r="L457" t="str">
            <v>Unificacion de Vertimientos</v>
          </cell>
          <cell r="M457" t="str">
            <v>Nuevo</v>
          </cell>
        </row>
        <row r="458">
          <cell r="B458">
            <v>136</v>
          </cell>
          <cell r="C458">
            <v>137</v>
          </cell>
          <cell r="D458">
            <v>1.2999999999999999E-2</v>
          </cell>
          <cell r="E458">
            <v>27</v>
          </cell>
          <cell r="F458">
            <v>1270.0999999999999</v>
          </cell>
          <cell r="G458">
            <v>1265</v>
          </cell>
          <cell r="H458">
            <v>1263.9100000000001</v>
          </cell>
          <cell r="I458">
            <v>1262.3900000000001</v>
          </cell>
          <cell r="J458">
            <v>70.3</v>
          </cell>
          <cell r="K458">
            <v>2.1621621621621361</v>
          </cell>
          <cell r="L458" t="str">
            <v>Unificacion de Vertimientos</v>
          </cell>
          <cell r="M458" t="str">
            <v>Nuevo</v>
          </cell>
        </row>
        <row r="459">
          <cell r="B459">
            <v>137</v>
          </cell>
          <cell r="C459">
            <v>138</v>
          </cell>
          <cell r="D459">
            <v>1.2999999999999999E-2</v>
          </cell>
          <cell r="E459">
            <v>27</v>
          </cell>
          <cell r="F459">
            <v>1265</v>
          </cell>
          <cell r="G459">
            <v>1262.56</v>
          </cell>
          <cell r="H459">
            <v>1262.3900000000001</v>
          </cell>
          <cell r="I459">
            <v>1260.3900000000001</v>
          </cell>
          <cell r="J459">
            <v>30.7</v>
          </cell>
          <cell r="K459">
            <v>6.5146579804560263</v>
          </cell>
          <cell r="L459" t="str">
            <v>Unificacion de Vertimientos</v>
          </cell>
          <cell r="M459" t="str">
            <v>Nuevo</v>
          </cell>
        </row>
        <row r="460">
          <cell r="B460">
            <v>138</v>
          </cell>
          <cell r="C460">
            <v>139</v>
          </cell>
          <cell r="D460">
            <v>1.2999999999999999E-2</v>
          </cell>
          <cell r="E460">
            <v>27</v>
          </cell>
          <cell r="F460">
            <v>1262.56</v>
          </cell>
          <cell r="G460">
            <v>1260</v>
          </cell>
          <cell r="H460">
            <v>1260.3900000000001</v>
          </cell>
          <cell r="I460">
            <v>1258.71</v>
          </cell>
          <cell r="J460">
            <v>41.7</v>
          </cell>
          <cell r="K460">
            <v>4.0287769784174188</v>
          </cell>
          <cell r="L460" t="str">
            <v>Unificacion de Vertimientos</v>
          </cell>
          <cell r="M460" t="str">
            <v>Nuevo</v>
          </cell>
        </row>
        <row r="461">
          <cell r="B461">
            <v>139</v>
          </cell>
          <cell r="C461">
            <v>140</v>
          </cell>
          <cell r="D461">
            <v>1.2999999999999999E-2</v>
          </cell>
          <cell r="E461">
            <v>27</v>
          </cell>
          <cell r="F461">
            <v>1260</v>
          </cell>
          <cell r="G461">
            <v>1260.2</v>
          </cell>
          <cell r="H461">
            <v>1258.71</v>
          </cell>
          <cell r="I461">
            <v>1258.58</v>
          </cell>
          <cell r="J461">
            <v>57.9</v>
          </cell>
          <cell r="K461">
            <v>0.22452504317808142</v>
          </cell>
          <cell r="L461" t="str">
            <v>Unificacion de Vertimientos</v>
          </cell>
          <cell r="M461" t="str">
            <v>Nuevo</v>
          </cell>
        </row>
        <row r="462">
          <cell r="B462">
            <v>140</v>
          </cell>
          <cell r="C462">
            <v>141</v>
          </cell>
          <cell r="D462">
            <v>1.2999999999999999E-2</v>
          </cell>
          <cell r="E462">
            <v>27</v>
          </cell>
          <cell r="F462">
            <v>1260.2</v>
          </cell>
          <cell r="G462">
            <v>1260.22</v>
          </cell>
          <cell r="H462">
            <v>1258.58</v>
          </cell>
          <cell r="I462">
            <v>1258.45</v>
          </cell>
          <cell r="J462">
            <v>58.6</v>
          </cell>
          <cell r="K462">
            <v>0.2218430034127675</v>
          </cell>
          <cell r="L462" t="str">
            <v>Unificacion de Vertimientos</v>
          </cell>
          <cell r="M462" t="str">
            <v>Nuevo</v>
          </cell>
        </row>
        <row r="463">
          <cell r="B463">
            <v>141</v>
          </cell>
          <cell r="C463" t="str">
            <v>BV65</v>
          </cell>
          <cell r="D463">
            <v>1.2999999999999999E-2</v>
          </cell>
          <cell r="E463">
            <v>27</v>
          </cell>
          <cell r="F463">
            <v>1260.22</v>
          </cell>
          <cell r="G463">
            <v>1250.6199999999999</v>
          </cell>
          <cell r="H463">
            <v>1258.45</v>
          </cell>
          <cell r="I463">
            <v>1247.54</v>
          </cell>
          <cell r="J463">
            <v>25.2</v>
          </cell>
          <cell r="K463">
            <v>43.293650793651118</v>
          </cell>
          <cell r="L463" t="str">
            <v>Unificacion de Vertimientos</v>
          </cell>
          <cell r="M463" t="str">
            <v>Nuevo</v>
          </cell>
        </row>
        <row r="464">
          <cell r="B464" t="str">
            <v>BV65</v>
          </cell>
          <cell r="C464" t="str">
            <v>BV66</v>
          </cell>
          <cell r="D464">
            <v>1.2999999999999999E-2</v>
          </cell>
          <cell r="E464">
            <v>27</v>
          </cell>
          <cell r="F464">
            <v>1250.6199999999999</v>
          </cell>
          <cell r="G464">
            <v>1250.04</v>
          </cell>
          <cell r="H464">
            <v>1247.54</v>
          </cell>
          <cell r="I464">
            <v>1247.48</v>
          </cell>
          <cell r="J464">
            <v>42.3</v>
          </cell>
          <cell r="K464">
            <v>0.14184397163107668</v>
          </cell>
          <cell r="L464" t="str">
            <v>Unificacion de Vertimientos</v>
          </cell>
          <cell r="M464" t="str">
            <v>Nuevo</v>
          </cell>
        </row>
        <row r="465">
          <cell r="B465" t="str">
            <v>BV66</v>
          </cell>
          <cell r="C465" t="str">
            <v>BV67</v>
          </cell>
          <cell r="D465">
            <v>1.2999999999999999E-2</v>
          </cell>
          <cell r="E465">
            <v>27</v>
          </cell>
          <cell r="F465">
            <v>1250.04</v>
          </cell>
          <cell r="G465">
            <v>1250.03</v>
          </cell>
          <cell r="H465">
            <v>1247.48</v>
          </cell>
          <cell r="I465">
            <v>1247.47</v>
          </cell>
          <cell r="J465">
            <v>15</v>
          </cell>
          <cell r="K465">
            <v>6.6666666666606034E-2</v>
          </cell>
          <cell r="L465" t="str">
            <v>Unificacion de Vertimientos</v>
          </cell>
          <cell r="M465" t="str">
            <v>Nuevo</v>
          </cell>
        </row>
        <row r="466">
          <cell r="B466" t="str">
            <v>AD19</v>
          </cell>
          <cell r="C466" t="str">
            <v>AD20</v>
          </cell>
          <cell r="D466">
            <v>1.2999999999999999E-2</v>
          </cell>
          <cell r="E466">
            <v>10</v>
          </cell>
          <cell r="F466">
            <v>1294.05</v>
          </cell>
          <cell r="G466">
            <v>1293.68</v>
          </cell>
          <cell r="H466">
            <v>1292.77</v>
          </cell>
          <cell r="I466">
            <v>1292.72</v>
          </cell>
          <cell r="J466">
            <v>12.7</v>
          </cell>
          <cell r="K466">
            <v>0.39370078740121672</v>
          </cell>
          <cell r="L466" t="str">
            <v>Unificacion de Vertimientos</v>
          </cell>
          <cell r="M466" t="str">
            <v>Nuevo</v>
          </cell>
        </row>
        <row r="467">
          <cell r="B467" t="str">
            <v>BV68</v>
          </cell>
          <cell r="C467" t="str">
            <v>BV69</v>
          </cell>
          <cell r="D467">
            <v>1.2999999999999999E-2</v>
          </cell>
          <cell r="E467">
            <v>27</v>
          </cell>
          <cell r="F467">
            <v>1250.07</v>
          </cell>
          <cell r="G467">
            <v>1250.71</v>
          </cell>
          <cell r="H467">
            <v>1247.43</v>
          </cell>
          <cell r="I467">
            <v>1247.4000000000001</v>
          </cell>
          <cell r="J467">
            <v>26.6</v>
          </cell>
          <cell r="K467">
            <v>0.11278195488711547</v>
          </cell>
          <cell r="L467" t="str">
            <v>Unificacion de Vertimientos</v>
          </cell>
          <cell r="M467" t="str">
            <v>Nuevo</v>
          </cell>
        </row>
        <row r="468">
          <cell r="B468">
            <v>133</v>
          </cell>
          <cell r="C468">
            <v>134</v>
          </cell>
          <cell r="D468">
            <v>1.2999999999999999E-2</v>
          </cell>
          <cell r="E468">
            <v>27</v>
          </cell>
          <cell r="F468">
            <v>1269.6500000000001</v>
          </cell>
          <cell r="G468">
            <v>1270</v>
          </cell>
          <cell r="H468">
            <v>1264.24</v>
          </cell>
          <cell r="I468">
            <v>1264.0999999999999</v>
          </cell>
          <cell r="J468">
            <v>64.2</v>
          </cell>
          <cell r="K468">
            <v>0.21806853582570099</v>
          </cell>
          <cell r="L468" t="str">
            <v>Unificacion de Vertimientos</v>
          </cell>
          <cell r="M468" t="str">
            <v>Nuevo</v>
          </cell>
        </row>
        <row r="469">
          <cell r="B469" t="str">
            <v>BV70</v>
          </cell>
          <cell r="C469" t="str">
            <v>BV71</v>
          </cell>
          <cell r="D469">
            <v>1.2999999999999999E-2</v>
          </cell>
          <cell r="E469">
            <v>27</v>
          </cell>
          <cell r="F469">
            <v>1250.54</v>
          </cell>
          <cell r="G469">
            <v>1249.77</v>
          </cell>
          <cell r="H469">
            <v>1247.3699999999999</v>
          </cell>
          <cell r="I469">
            <v>1247.32</v>
          </cell>
          <cell r="J469">
            <v>49.6</v>
          </cell>
          <cell r="K469">
            <v>0.10080645161281154</v>
          </cell>
          <cell r="L469" t="str">
            <v>Unificacion de Vertimientos</v>
          </cell>
          <cell r="M469" t="str">
            <v>Nuevo</v>
          </cell>
        </row>
        <row r="470">
          <cell r="B470" t="str">
            <v>BV71</v>
          </cell>
          <cell r="C470" t="str">
            <v>BV72</v>
          </cell>
          <cell r="D470">
            <v>1.2999999999999999E-2</v>
          </cell>
          <cell r="E470">
            <v>27</v>
          </cell>
          <cell r="F470">
            <v>1249.77</v>
          </cell>
          <cell r="G470">
            <v>1250</v>
          </cell>
          <cell r="H470">
            <v>1247.32</v>
          </cell>
          <cell r="I470">
            <v>1247.26</v>
          </cell>
          <cell r="J470">
            <v>53.1</v>
          </cell>
          <cell r="K470">
            <v>0.1129943502823831</v>
          </cell>
          <cell r="L470" t="str">
            <v>Unificacion de Vertimientos</v>
          </cell>
          <cell r="M470" t="str">
            <v>Nuevo</v>
          </cell>
        </row>
        <row r="471">
          <cell r="B471" t="str">
            <v>BV72</v>
          </cell>
          <cell r="C471" t="str">
            <v>BV73</v>
          </cell>
          <cell r="D471">
            <v>1.2999999999999999E-2</v>
          </cell>
          <cell r="E471">
            <v>27</v>
          </cell>
          <cell r="F471">
            <v>1250</v>
          </cell>
          <cell r="G471">
            <v>1250.05</v>
          </cell>
          <cell r="H471">
            <v>1247.26</v>
          </cell>
          <cell r="I471">
            <v>1247.21</v>
          </cell>
          <cell r="J471">
            <v>44.9</v>
          </cell>
          <cell r="K471">
            <v>0.11135857461014372</v>
          </cell>
          <cell r="L471" t="str">
            <v>Unificacion de Vertimientos</v>
          </cell>
          <cell r="M471" t="str">
            <v>Nuevo</v>
          </cell>
        </row>
        <row r="472">
          <cell r="B472" t="str">
            <v>BV73</v>
          </cell>
          <cell r="C472" t="str">
            <v>BV74</v>
          </cell>
          <cell r="D472">
            <v>1.2999999999999999E-2</v>
          </cell>
          <cell r="E472">
            <v>27</v>
          </cell>
          <cell r="F472">
            <v>1250.05</v>
          </cell>
          <cell r="G472">
            <v>1250.3900000000001</v>
          </cell>
          <cell r="H472">
            <v>1247.21</v>
          </cell>
          <cell r="I472">
            <v>1247.18</v>
          </cell>
          <cell r="J472">
            <v>20.5</v>
          </cell>
          <cell r="K472">
            <v>0.14634146341450105</v>
          </cell>
          <cell r="L472" t="str">
            <v>Unificacion de Vertimientos</v>
          </cell>
          <cell r="M472" t="str">
            <v>Nuevo</v>
          </cell>
        </row>
        <row r="473">
          <cell r="B473" t="str">
            <v>BV74</v>
          </cell>
          <cell r="C473" t="str">
            <v>BV75</v>
          </cell>
          <cell r="D473">
            <v>1.2999999999999999E-2</v>
          </cell>
          <cell r="E473">
            <v>27</v>
          </cell>
          <cell r="F473">
            <v>1250.3900000000001</v>
          </cell>
          <cell r="G473">
            <v>1251.03</v>
          </cell>
          <cell r="H473">
            <v>1247.18</v>
          </cell>
          <cell r="I473">
            <v>1247.1400000000001</v>
          </cell>
          <cell r="J473">
            <v>33.700000000000003</v>
          </cell>
          <cell r="K473">
            <v>0.11869436201769619</v>
          </cell>
          <cell r="L473" t="str">
            <v>Unificacion de Vertimientos</v>
          </cell>
          <cell r="M473" t="str">
            <v>Nuevo</v>
          </cell>
        </row>
        <row r="474">
          <cell r="B474" t="str">
            <v>BV75</v>
          </cell>
          <cell r="C474" t="str">
            <v>BV76</v>
          </cell>
          <cell r="D474">
            <v>1.2999999999999999E-2</v>
          </cell>
          <cell r="E474">
            <v>27</v>
          </cell>
          <cell r="F474">
            <v>1251.03</v>
          </cell>
          <cell r="G474">
            <v>1249.77</v>
          </cell>
          <cell r="H474">
            <v>1247.1400000000001</v>
          </cell>
          <cell r="I474">
            <v>1247.0999999999999</v>
          </cell>
          <cell r="J474">
            <v>37.5</v>
          </cell>
          <cell r="K474">
            <v>0.10666666666717599</v>
          </cell>
          <cell r="L474" t="str">
            <v>Unificacion de Vertimientos</v>
          </cell>
          <cell r="M474" t="str">
            <v>Nuevo</v>
          </cell>
        </row>
        <row r="475">
          <cell r="B475" t="str">
            <v>BV76</v>
          </cell>
          <cell r="C475" t="str">
            <v>BV77</v>
          </cell>
          <cell r="D475">
            <v>1.2999999999999999E-2</v>
          </cell>
          <cell r="E475">
            <v>27</v>
          </cell>
          <cell r="F475">
            <v>1249.77</v>
          </cell>
          <cell r="G475">
            <v>1250</v>
          </cell>
          <cell r="H475">
            <v>1247.0999999999999</v>
          </cell>
          <cell r="I475">
            <v>1247.06</v>
          </cell>
          <cell r="J475">
            <v>30.5</v>
          </cell>
          <cell r="K475">
            <v>0.13114754098348727</v>
          </cell>
          <cell r="L475" t="str">
            <v>Unificacion de Vertimientos</v>
          </cell>
          <cell r="M475" t="str">
            <v>Nuevo</v>
          </cell>
        </row>
        <row r="476">
          <cell r="B476" t="str">
            <v>BV77</v>
          </cell>
          <cell r="C476" t="str">
            <v>BV78</v>
          </cell>
          <cell r="D476">
            <v>1.2999999999999999E-2</v>
          </cell>
          <cell r="E476">
            <v>27</v>
          </cell>
          <cell r="F476">
            <v>1250</v>
          </cell>
          <cell r="G476">
            <v>1250.01</v>
          </cell>
          <cell r="H476">
            <v>1247.06</v>
          </cell>
          <cell r="I476">
            <v>1246.99</v>
          </cell>
          <cell r="J476">
            <v>71.5</v>
          </cell>
          <cell r="K476">
            <v>9.7902097902008864E-2</v>
          </cell>
          <cell r="L476" t="str">
            <v>Unificacion de Vertimientos</v>
          </cell>
          <cell r="M476" t="str">
            <v>Nuevo</v>
          </cell>
        </row>
        <row r="477">
          <cell r="B477" t="str">
            <v>BV78</v>
          </cell>
          <cell r="C477" t="str">
            <v>BV79</v>
          </cell>
          <cell r="D477">
            <v>1.2999999999999999E-2</v>
          </cell>
          <cell r="E477">
            <v>27</v>
          </cell>
          <cell r="F477">
            <v>1250.01</v>
          </cell>
          <cell r="G477">
            <v>1249.52</v>
          </cell>
          <cell r="H477">
            <v>1246.99</v>
          </cell>
          <cell r="I477">
            <v>1246.96</v>
          </cell>
          <cell r="J477">
            <v>27</v>
          </cell>
          <cell r="K477">
            <v>0.11111111111101006</v>
          </cell>
          <cell r="L477" t="str">
            <v>Unificacion de Vertimientos</v>
          </cell>
          <cell r="M477" t="str">
            <v>Nuevo</v>
          </cell>
        </row>
        <row r="478">
          <cell r="B478" t="str">
            <v>BV67</v>
          </cell>
          <cell r="C478" t="str">
            <v>BV68</v>
          </cell>
          <cell r="D478">
            <v>1.2999999999999999E-2</v>
          </cell>
          <cell r="E478">
            <v>27</v>
          </cell>
          <cell r="F478">
            <v>1250.03</v>
          </cell>
          <cell r="G478">
            <v>1250.07</v>
          </cell>
          <cell r="H478">
            <v>1247.47</v>
          </cell>
          <cell r="I478">
            <v>1247.43</v>
          </cell>
          <cell r="J478">
            <v>35.9</v>
          </cell>
          <cell r="K478">
            <v>0.11142061281326915</v>
          </cell>
          <cell r="L478" t="str">
            <v>Unificacion de Vertimientos</v>
          </cell>
          <cell r="M478" t="str">
            <v>Nuevo</v>
          </cell>
        </row>
        <row r="479">
          <cell r="B479">
            <v>124</v>
          </cell>
          <cell r="C479">
            <v>125</v>
          </cell>
          <cell r="D479">
            <v>1.2999999999999999E-2</v>
          </cell>
          <cell r="E479">
            <v>27</v>
          </cell>
          <cell r="F479">
            <v>1269.22</v>
          </cell>
          <cell r="G479">
            <v>1270</v>
          </cell>
          <cell r="H479">
            <v>1267.57</v>
          </cell>
          <cell r="I479">
            <v>1267.54</v>
          </cell>
          <cell r="J479">
            <v>23.9</v>
          </cell>
          <cell r="K479">
            <v>0.12552301255218712</v>
          </cell>
          <cell r="L479" t="str">
            <v>Unificacion de Vertimientos</v>
          </cell>
          <cell r="M479" t="str">
            <v>Nuevo</v>
          </cell>
        </row>
        <row r="480">
          <cell r="B480">
            <v>112</v>
          </cell>
          <cell r="C480">
            <v>113</v>
          </cell>
          <cell r="D480">
            <v>1.2999999999999999E-2</v>
          </cell>
          <cell r="E480">
            <v>27</v>
          </cell>
          <cell r="F480">
            <v>1301.32</v>
          </cell>
          <cell r="G480">
            <v>1272.2</v>
          </cell>
          <cell r="H480">
            <v>1270.6300000000001</v>
          </cell>
          <cell r="I480">
            <v>1270.21</v>
          </cell>
          <cell r="J480">
            <v>208.2</v>
          </cell>
          <cell r="K480">
            <v>0.20172910662827701</v>
          </cell>
          <cell r="L480" t="str">
            <v>Unificacion de Vertimientos</v>
          </cell>
          <cell r="M480" t="str">
            <v>Nuevo</v>
          </cell>
        </row>
        <row r="481">
          <cell r="B481">
            <v>113</v>
          </cell>
          <cell r="C481">
            <v>114</v>
          </cell>
          <cell r="D481">
            <v>1.2999999999999999E-2</v>
          </cell>
          <cell r="E481">
            <v>27</v>
          </cell>
          <cell r="F481">
            <v>1272.2</v>
          </cell>
          <cell r="G481">
            <v>1274</v>
          </cell>
          <cell r="H481">
            <v>1270.21</v>
          </cell>
          <cell r="I481">
            <v>1270.17</v>
          </cell>
          <cell r="J481">
            <v>22.6</v>
          </cell>
          <cell r="K481">
            <v>0.17699115044231689</v>
          </cell>
          <cell r="L481" t="str">
            <v>Unificacion de Vertimientos</v>
          </cell>
          <cell r="M481" t="str">
            <v>Nuevo</v>
          </cell>
        </row>
        <row r="482">
          <cell r="B482">
            <v>114</v>
          </cell>
          <cell r="C482">
            <v>115</v>
          </cell>
          <cell r="D482">
            <v>1.2999999999999999E-2</v>
          </cell>
          <cell r="E482">
            <v>27</v>
          </cell>
          <cell r="F482">
            <v>1274</v>
          </cell>
          <cell r="G482">
            <v>1272.6099999999999</v>
          </cell>
          <cell r="H482">
            <v>1270.17</v>
          </cell>
          <cell r="I482">
            <v>1269.8499999999999</v>
          </cell>
          <cell r="J482">
            <v>161</v>
          </cell>
          <cell r="K482">
            <v>0.19875776397525693</v>
          </cell>
          <cell r="L482" t="str">
            <v>Unificacion de Vertimientos</v>
          </cell>
          <cell r="M482" t="str">
            <v>Nuevo</v>
          </cell>
        </row>
        <row r="483">
          <cell r="B483">
            <v>116</v>
          </cell>
          <cell r="C483">
            <v>117</v>
          </cell>
          <cell r="D483">
            <v>1.2999999999999999E-2</v>
          </cell>
          <cell r="E483">
            <v>27</v>
          </cell>
          <cell r="F483">
            <v>1273.08</v>
          </cell>
          <cell r="G483">
            <v>1271.0999999999999</v>
          </cell>
          <cell r="H483">
            <v>1270.51</v>
          </cell>
          <cell r="I483">
            <v>1269.71</v>
          </cell>
          <cell r="J483">
            <v>35.9</v>
          </cell>
          <cell r="K483">
            <v>2.228412256267283</v>
          </cell>
          <cell r="L483" t="str">
            <v>Unificacion de Vertimientos</v>
          </cell>
          <cell r="M483" t="str">
            <v>Nuevo</v>
          </cell>
        </row>
        <row r="484">
          <cell r="B484">
            <v>117</v>
          </cell>
          <cell r="C484">
            <v>118</v>
          </cell>
          <cell r="D484">
            <v>1.2999999999999999E-2</v>
          </cell>
          <cell r="E484">
            <v>27</v>
          </cell>
          <cell r="F484">
            <v>1271.0999999999999</v>
          </cell>
          <cell r="G484">
            <v>1271.29</v>
          </cell>
          <cell r="H484">
            <v>1269.71</v>
          </cell>
          <cell r="I484">
            <v>1269.3</v>
          </cell>
          <cell r="J484">
            <v>174.3</v>
          </cell>
          <cell r="K484">
            <v>0.23522662076883638</v>
          </cell>
          <cell r="L484" t="str">
            <v>Unificacion de Vertimientos</v>
          </cell>
          <cell r="M484" t="str">
            <v>Nuevo</v>
          </cell>
        </row>
        <row r="485">
          <cell r="B485">
            <v>118</v>
          </cell>
          <cell r="C485">
            <v>119</v>
          </cell>
          <cell r="D485">
            <v>1.2999999999999999E-2</v>
          </cell>
          <cell r="E485">
            <v>27</v>
          </cell>
          <cell r="F485">
            <v>1271.29</v>
          </cell>
          <cell r="G485">
            <v>1270.6600000000001</v>
          </cell>
          <cell r="H485">
            <v>1269.3</v>
          </cell>
          <cell r="I485">
            <v>1269.1099999999999</v>
          </cell>
          <cell r="J485">
            <v>24</v>
          </cell>
          <cell r="K485">
            <v>0.791666666666894</v>
          </cell>
          <cell r="L485" t="str">
            <v>Viaducto</v>
          </cell>
          <cell r="M485" t="str">
            <v>Nuevo</v>
          </cell>
        </row>
        <row r="486">
          <cell r="B486">
            <v>119</v>
          </cell>
          <cell r="C486">
            <v>120</v>
          </cell>
          <cell r="D486">
            <v>1.2999999999999999E-2</v>
          </cell>
          <cell r="E486">
            <v>27</v>
          </cell>
          <cell r="F486">
            <v>1270.6600000000001</v>
          </cell>
          <cell r="G486">
            <v>1272.28</v>
          </cell>
          <cell r="H486">
            <v>1269.1099999999999</v>
          </cell>
          <cell r="I486">
            <v>1268.8900000000001</v>
          </cell>
          <cell r="J486">
            <v>107.6</v>
          </cell>
          <cell r="K486">
            <v>0.20446096654256496</v>
          </cell>
          <cell r="L486" t="str">
            <v>Unificacion de Vertimientos</v>
          </cell>
          <cell r="M486" t="str">
            <v>Nuevo</v>
          </cell>
        </row>
        <row r="487">
          <cell r="B487">
            <v>120</v>
          </cell>
          <cell r="C487">
            <v>121</v>
          </cell>
          <cell r="D487">
            <v>1.2999999999999999E-2</v>
          </cell>
          <cell r="E487">
            <v>27</v>
          </cell>
          <cell r="F487">
            <v>1272.28</v>
          </cell>
          <cell r="G487">
            <v>1271.45</v>
          </cell>
          <cell r="H487">
            <v>1268.8900000000001</v>
          </cell>
          <cell r="I487">
            <v>1268.77</v>
          </cell>
          <cell r="J487">
            <v>56.6</v>
          </cell>
          <cell r="K487">
            <v>0.21201413427582727</v>
          </cell>
          <cell r="L487" t="str">
            <v>Unificacion de Vertimientos</v>
          </cell>
          <cell r="M487" t="str">
            <v>Nuevo</v>
          </cell>
        </row>
        <row r="488">
          <cell r="B488">
            <v>121</v>
          </cell>
          <cell r="C488">
            <v>122</v>
          </cell>
          <cell r="D488">
            <v>1.2999999999999999E-2</v>
          </cell>
          <cell r="E488">
            <v>27</v>
          </cell>
          <cell r="F488">
            <v>1271.45</v>
          </cell>
          <cell r="G488">
            <v>1270.1300000000001</v>
          </cell>
          <cell r="H488">
            <v>1268.77</v>
          </cell>
          <cell r="I488">
            <v>1268.48</v>
          </cell>
          <cell r="J488">
            <v>140</v>
          </cell>
          <cell r="K488">
            <v>0.20714285714283115</v>
          </cell>
          <cell r="L488" t="str">
            <v>Unificacion de Vertimientos</v>
          </cell>
          <cell r="M488" t="str">
            <v>Nuevo</v>
          </cell>
        </row>
        <row r="489">
          <cell r="B489">
            <v>135</v>
          </cell>
          <cell r="C489">
            <v>136</v>
          </cell>
          <cell r="D489">
            <v>1.2999999999999999E-2</v>
          </cell>
          <cell r="E489">
            <v>27</v>
          </cell>
          <cell r="F489">
            <v>1270.67</v>
          </cell>
          <cell r="G489">
            <v>1270.0999999999999</v>
          </cell>
          <cell r="H489">
            <v>1263.96</v>
          </cell>
          <cell r="I489">
            <v>1263.9100000000001</v>
          </cell>
          <cell r="J489">
            <v>21.2</v>
          </cell>
          <cell r="K489">
            <v>0.23584905660355907</v>
          </cell>
          <cell r="L489" t="str">
            <v>Unificacion de Vertimientos</v>
          </cell>
          <cell r="M489" t="str">
            <v>Nuevo</v>
          </cell>
        </row>
        <row r="490">
          <cell r="B490">
            <v>123</v>
          </cell>
          <cell r="C490">
            <v>124</v>
          </cell>
          <cell r="D490">
            <v>1.2999999999999999E-2</v>
          </cell>
          <cell r="E490">
            <v>27</v>
          </cell>
          <cell r="F490">
            <v>1269.1400000000001</v>
          </cell>
          <cell r="G490">
            <v>1269.22</v>
          </cell>
          <cell r="H490">
            <v>1267.77</v>
          </cell>
          <cell r="I490">
            <v>1267.57</v>
          </cell>
          <cell r="J490">
            <v>67</v>
          </cell>
          <cell r="K490">
            <v>0.29850746268663503</v>
          </cell>
          <cell r="L490" t="str">
            <v>Unificacion de Vertimientos</v>
          </cell>
          <cell r="M490" t="str">
            <v>Nuevo</v>
          </cell>
        </row>
        <row r="491">
          <cell r="B491">
            <v>134</v>
          </cell>
          <cell r="C491">
            <v>135</v>
          </cell>
          <cell r="D491">
            <v>1.2999999999999999E-2</v>
          </cell>
          <cell r="E491">
            <v>27</v>
          </cell>
          <cell r="F491">
            <v>1270</v>
          </cell>
          <cell r="G491">
            <v>1270.67</v>
          </cell>
          <cell r="H491">
            <v>1264.0999999999999</v>
          </cell>
          <cell r="I491">
            <v>1263.96</v>
          </cell>
          <cell r="J491">
            <v>64.7</v>
          </cell>
          <cell r="K491">
            <v>0.21638330757321897</v>
          </cell>
          <cell r="L491" t="str">
            <v>Unificacion de Vertimientos</v>
          </cell>
          <cell r="M491" t="str">
            <v>Nuevo</v>
          </cell>
        </row>
        <row r="492">
          <cell r="B492">
            <v>125</v>
          </cell>
          <cell r="C492">
            <v>126</v>
          </cell>
          <cell r="D492">
            <v>1.2999999999999999E-2</v>
          </cell>
          <cell r="E492">
            <v>27</v>
          </cell>
          <cell r="F492">
            <v>1270</v>
          </cell>
          <cell r="G492">
            <v>1266.78</v>
          </cell>
          <cell r="H492">
            <v>1267.54</v>
          </cell>
          <cell r="I492">
            <v>1264.8399999999999</v>
          </cell>
          <cell r="J492">
            <v>166.1</v>
          </cell>
          <cell r="K492">
            <v>1.6255267910897324</v>
          </cell>
          <cell r="L492" t="str">
            <v>Unificacion de Vertimientos</v>
          </cell>
          <cell r="M492" t="str">
            <v>Nuevo</v>
          </cell>
        </row>
        <row r="493">
          <cell r="B493">
            <v>126</v>
          </cell>
          <cell r="C493">
            <v>127</v>
          </cell>
          <cell r="D493">
            <v>1.2999999999999999E-2</v>
          </cell>
          <cell r="E493">
            <v>27</v>
          </cell>
          <cell r="F493">
            <v>1266.78</v>
          </cell>
          <cell r="G493">
            <v>1267.5999999999999</v>
          </cell>
          <cell r="H493">
            <v>1264.8399999999999</v>
          </cell>
          <cell r="I493">
            <v>1264.79</v>
          </cell>
          <cell r="J493">
            <v>30.3</v>
          </cell>
          <cell r="K493">
            <v>0.16501650165001491</v>
          </cell>
          <cell r="L493" t="str">
            <v>Unificacion de Vertimientos</v>
          </cell>
          <cell r="M493" t="str">
            <v>Nuevo</v>
          </cell>
        </row>
        <row r="494">
          <cell r="B494">
            <v>127</v>
          </cell>
          <cell r="C494">
            <v>128</v>
          </cell>
          <cell r="D494">
            <v>1.2999999999999999E-2</v>
          </cell>
          <cell r="E494">
            <v>27</v>
          </cell>
          <cell r="F494">
            <v>1267.5999999999999</v>
          </cell>
          <cell r="G494">
            <v>1267.02</v>
          </cell>
          <cell r="H494">
            <v>1264.79</v>
          </cell>
          <cell r="I494">
            <v>1264.67</v>
          </cell>
          <cell r="J494">
            <v>55.3</v>
          </cell>
          <cell r="K494">
            <v>0.21699819168153864</v>
          </cell>
          <cell r="L494" t="str">
            <v>Unificacion de Vertimientos</v>
          </cell>
          <cell r="M494" t="str">
            <v>Nuevo</v>
          </cell>
        </row>
        <row r="495">
          <cell r="B495">
            <v>128</v>
          </cell>
          <cell r="C495">
            <v>129</v>
          </cell>
          <cell r="D495">
            <v>1.2999999999999999E-2</v>
          </cell>
          <cell r="E495">
            <v>27</v>
          </cell>
          <cell r="F495">
            <v>1267.02</v>
          </cell>
          <cell r="G495">
            <v>1267</v>
          </cell>
          <cell r="H495">
            <v>1264.67</v>
          </cell>
          <cell r="I495">
            <v>1264.57</v>
          </cell>
          <cell r="J495">
            <v>46.2</v>
          </cell>
          <cell r="K495">
            <v>0.21645021645051174</v>
          </cell>
          <cell r="L495" t="str">
            <v>Unificacion de Vertimientos</v>
          </cell>
          <cell r="M495" t="str">
            <v>Nuevo</v>
          </cell>
        </row>
        <row r="496">
          <cell r="B496">
            <v>129</v>
          </cell>
          <cell r="C496">
            <v>130</v>
          </cell>
          <cell r="D496">
            <v>1.2999999999999999E-2</v>
          </cell>
          <cell r="E496">
            <v>27</v>
          </cell>
          <cell r="F496">
            <v>1267</v>
          </cell>
          <cell r="G496">
            <v>1266.28</v>
          </cell>
          <cell r="H496">
            <v>1264.57</v>
          </cell>
          <cell r="I496">
            <v>1264.51</v>
          </cell>
          <cell r="J496">
            <v>27.2</v>
          </cell>
          <cell r="K496">
            <v>0.22058823529391702</v>
          </cell>
          <cell r="L496" t="str">
            <v>Viaducto</v>
          </cell>
          <cell r="M496" t="str">
            <v>Nuevo</v>
          </cell>
        </row>
        <row r="497">
          <cell r="B497">
            <v>130</v>
          </cell>
          <cell r="C497">
            <v>131</v>
          </cell>
          <cell r="D497">
            <v>1.2999999999999999E-2</v>
          </cell>
          <cell r="E497">
            <v>27</v>
          </cell>
          <cell r="F497">
            <v>1266.28</v>
          </cell>
          <cell r="G497">
            <v>1269.8800000000001</v>
          </cell>
          <cell r="H497">
            <v>1264.51</v>
          </cell>
          <cell r="I497">
            <v>1264.42</v>
          </cell>
          <cell r="J497">
            <v>41.9</v>
          </cell>
          <cell r="K497">
            <v>0.2147971360379908</v>
          </cell>
          <cell r="L497" t="str">
            <v>Unificacion de Vertimientos</v>
          </cell>
          <cell r="M497" t="str">
            <v>Nuevo</v>
          </cell>
        </row>
        <row r="498">
          <cell r="B498">
            <v>131</v>
          </cell>
          <cell r="C498">
            <v>132</v>
          </cell>
          <cell r="D498">
            <v>1.2999999999999999E-2</v>
          </cell>
          <cell r="E498">
            <v>27</v>
          </cell>
          <cell r="F498">
            <v>1269.8800000000001</v>
          </cell>
          <cell r="G498">
            <v>1270</v>
          </cell>
          <cell r="H498">
            <v>1264.42</v>
          </cell>
          <cell r="I498">
            <v>1264.31</v>
          </cell>
          <cell r="J498">
            <v>48.1</v>
          </cell>
          <cell r="K498">
            <v>0.22869022869049344</v>
          </cell>
          <cell r="L498" t="str">
            <v>Unificacion de Vertimientos</v>
          </cell>
          <cell r="M498" t="str">
            <v>Nuevo</v>
          </cell>
        </row>
        <row r="499">
          <cell r="B499">
            <v>132</v>
          </cell>
          <cell r="C499">
            <v>133</v>
          </cell>
          <cell r="D499">
            <v>1.2999999999999999E-2</v>
          </cell>
          <cell r="E499">
            <v>27</v>
          </cell>
          <cell r="F499">
            <v>1270</v>
          </cell>
          <cell r="G499">
            <v>1269.6500000000001</v>
          </cell>
          <cell r="H499">
            <v>1264.31</v>
          </cell>
          <cell r="I499">
            <v>1264.24</v>
          </cell>
          <cell r="J499">
            <v>30.4</v>
          </cell>
          <cell r="K499">
            <v>0.23026315789452745</v>
          </cell>
          <cell r="L499" t="str">
            <v>Unificacion de Vertimientos</v>
          </cell>
          <cell r="M499" t="str">
            <v>Nuevo</v>
          </cell>
        </row>
        <row r="500">
          <cell r="B500" t="str">
            <v>BV81</v>
          </cell>
          <cell r="C500" t="str">
            <v>PTAR</v>
          </cell>
          <cell r="D500">
            <v>1.2999999999999999E-2</v>
          </cell>
          <cell r="E500">
            <v>27</v>
          </cell>
          <cell r="F500">
            <v>1248.6600000000001</v>
          </cell>
          <cell r="G500" t="e">
            <v>#N/A</v>
          </cell>
          <cell r="H500">
            <v>1246.8800000000001</v>
          </cell>
          <cell r="I500">
            <v>1246.82</v>
          </cell>
          <cell r="J500">
            <v>58.7</v>
          </cell>
          <cell r="K500">
            <v>0.10221465076690427</v>
          </cell>
          <cell r="L500" t="str">
            <v>Unificacion de Vertimientos</v>
          </cell>
          <cell r="M500" t="str">
            <v>Nuevo</v>
          </cell>
        </row>
        <row r="501">
          <cell r="B501">
            <v>122</v>
          </cell>
          <cell r="C501">
            <v>123</v>
          </cell>
          <cell r="D501">
            <v>1.2999999999999999E-2</v>
          </cell>
          <cell r="E501">
            <v>27</v>
          </cell>
          <cell r="F501">
            <v>1270.1300000000001</v>
          </cell>
          <cell r="G501">
            <v>1269.1400000000001</v>
          </cell>
          <cell r="H501">
            <v>1268.48</v>
          </cell>
          <cell r="I501">
            <v>1267.77</v>
          </cell>
          <cell r="J501">
            <v>21.8</v>
          </cell>
          <cell r="K501">
            <v>3.2568807339451209</v>
          </cell>
          <cell r="L501" t="str">
            <v>Unificacion de Vertimientos</v>
          </cell>
          <cell r="M501" t="str">
            <v>Nuevo</v>
          </cell>
        </row>
        <row r="502">
          <cell r="B502" t="str">
            <v>AD4</v>
          </cell>
          <cell r="C502" t="str">
            <v>AD5</v>
          </cell>
          <cell r="D502">
            <v>1.2999999999999999E-2</v>
          </cell>
          <cell r="E502">
            <v>10</v>
          </cell>
          <cell r="F502">
            <v>1297.74</v>
          </cell>
          <cell r="G502">
            <v>1298.0899999999999</v>
          </cell>
          <cell r="H502">
            <v>1295.96</v>
          </cell>
          <cell r="I502">
            <v>1295.5899999999999</v>
          </cell>
          <cell r="J502">
            <v>89.1</v>
          </cell>
          <cell r="K502">
            <v>0.41526374859721471</v>
          </cell>
          <cell r="L502" t="str">
            <v>Unificacion de Vertimientos</v>
          </cell>
          <cell r="M502" t="str">
            <v>Nuevo</v>
          </cell>
        </row>
        <row r="503">
          <cell r="B503" t="str">
            <v>BV79</v>
          </cell>
          <cell r="C503" t="str">
            <v>BV80</v>
          </cell>
          <cell r="D503">
            <v>1.2999999999999999E-2</v>
          </cell>
          <cell r="E503">
            <v>27</v>
          </cell>
          <cell r="F503">
            <v>1249.52</v>
          </cell>
          <cell r="G503">
            <v>1250.43</v>
          </cell>
          <cell r="H503">
            <v>1246.96</v>
          </cell>
          <cell r="I503">
            <v>1246.92</v>
          </cell>
          <cell r="J503">
            <v>38.799999999999997</v>
          </cell>
          <cell r="K503">
            <v>0.10309278350506088</v>
          </cell>
          <cell r="L503" t="str">
            <v>Unificacion de Vertimientos</v>
          </cell>
          <cell r="M503" t="str">
            <v>Nuevo</v>
          </cell>
        </row>
        <row r="504">
          <cell r="B504" t="str">
            <v>A11</v>
          </cell>
          <cell r="C504" t="str">
            <v>A12</v>
          </cell>
          <cell r="D504">
            <v>1.2999999999999999E-2</v>
          </cell>
          <cell r="E504">
            <v>18</v>
          </cell>
          <cell r="F504">
            <v>1292</v>
          </cell>
          <cell r="G504">
            <v>1292.5</v>
          </cell>
          <cell r="H504">
            <v>1288.24</v>
          </cell>
          <cell r="I504">
            <v>1288.1400000000001</v>
          </cell>
          <cell r="J504">
            <v>46.8</v>
          </cell>
          <cell r="K504">
            <v>0.21367521367501938</v>
          </cell>
          <cell r="L504" t="str">
            <v>Unificacion de Vertimientos</v>
          </cell>
          <cell r="M504" t="str">
            <v>Nuevo</v>
          </cell>
        </row>
        <row r="505">
          <cell r="B505" t="str">
            <v>A12</v>
          </cell>
          <cell r="C505" t="str">
            <v>A13</v>
          </cell>
          <cell r="D505">
            <v>1.2999999999999999E-2</v>
          </cell>
          <cell r="E505">
            <v>18</v>
          </cell>
          <cell r="F505">
            <v>1292.5</v>
          </cell>
          <cell r="G505">
            <v>1292.71</v>
          </cell>
          <cell r="H505">
            <v>1288.1400000000001</v>
          </cell>
          <cell r="I505">
            <v>1288.0899999999999</v>
          </cell>
          <cell r="J505">
            <v>18.3</v>
          </cell>
          <cell r="K505">
            <v>0.27322404371684095</v>
          </cell>
          <cell r="L505" t="str">
            <v>Unificacion de Vertimientos</v>
          </cell>
          <cell r="M505" t="str">
            <v>Nuevo</v>
          </cell>
        </row>
        <row r="506">
          <cell r="B506" t="str">
            <v>A14</v>
          </cell>
          <cell r="C506" t="str">
            <v>A15</v>
          </cell>
          <cell r="D506">
            <v>1.2999999999999999E-2</v>
          </cell>
          <cell r="E506">
            <v>18</v>
          </cell>
          <cell r="F506">
            <v>1293</v>
          </cell>
          <cell r="G506">
            <v>1292.8399999999999</v>
          </cell>
          <cell r="H506">
            <v>1287.93</v>
          </cell>
          <cell r="I506">
            <v>1287.8399999999999</v>
          </cell>
          <cell r="J506">
            <v>37.799999999999997</v>
          </cell>
          <cell r="K506">
            <v>0.23809523809562311</v>
          </cell>
          <cell r="L506" t="str">
            <v>Unificacion de Vertimientos</v>
          </cell>
          <cell r="M506" t="str">
            <v>Nuevo</v>
          </cell>
        </row>
        <row r="507">
          <cell r="B507" t="str">
            <v>A15</v>
          </cell>
          <cell r="C507" t="str">
            <v>A16</v>
          </cell>
          <cell r="D507">
            <v>1.2999999999999999E-2</v>
          </cell>
          <cell r="E507">
            <v>18</v>
          </cell>
          <cell r="F507">
            <v>1292.8399999999999</v>
          </cell>
          <cell r="G507">
            <v>1291.8</v>
          </cell>
          <cell r="H507">
            <v>1287.8399999999999</v>
          </cell>
          <cell r="I507">
            <v>1287.74</v>
          </cell>
          <cell r="J507">
            <v>46.8</v>
          </cell>
          <cell r="K507">
            <v>0.21367521367501938</v>
          </cell>
          <cell r="L507" t="str">
            <v>Unificacion de Vertimientos</v>
          </cell>
          <cell r="M507" t="str">
            <v>Nuevo</v>
          </cell>
        </row>
        <row r="508">
          <cell r="B508" t="str">
            <v>A16</v>
          </cell>
          <cell r="C508" t="str">
            <v>A17</v>
          </cell>
          <cell r="D508">
            <v>1.2999999999999999E-2</v>
          </cell>
          <cell r="E508">
            <v>18</v>
          </cell>
          <cell r="F508">
            <v>1291.8</v>
          </cell>
          <cell r="G508">
            <v>1291.05</v>
          </cell>
          <cell r="H508">
            <v>1287.74</v>
          </cell>
          <cell r="I508">
            <v>1288.29</v>
          </cell>
          <cell r="J508">
            <v>56.1</v>
          </cell>
          <cell r="K508">
            <v>-0.98039215686266412</v>
          </cell>
          <cell r="L508" t="str">
            <v>Unificacion de Vertimientos</v>
          </cell>
          <cell r="M508" t="str">
            <v>Nuevo</v>
          </cell>
        </row>
        <row r="509">
          <cell r="B509" t="str">
            <v>A17</v>
          </cell>
          <cell r="C509" t="str">
            <v>A18</v>
          </cell>
          <cell r="D509">
            <v>1.2999999999999999E-2</v>
          </cell>
          <cell r="E509">
            <v>18</v>
          </cell>
          <cell r="F509">
            <v>1291.05</v>
          </cell>
          <cell r="G509">
            <v>1290</v>
          </cell>
          <cell r="H509">
            <v>1288.29</v>
          </cell>
          <cell r="I509">
            <v>1287.45</v>
          </cell>
          <cell r="J509">
            <v>52.2</v>
          </cell>
          <cell r="K509">
            <v>1.6091954022986936</v>
          </cell>
          <cell r="L509" t="str">
            <v>Unificacion de Vertimientos</v>
          </cell>
          <cell r="M509" t="str">
            <v>Nuevo</v>
          </cell>
        </row>
        <row r="510">
          <cell r="B510" t="str">
            <v>A18</v>
          </cell>
          <cell r="C510" t="str">
            <v>A19</v>
          </cell>
          <cell r="D510">
            <v>1.2999999999999999E-2</v>
          </cell>
          <cell r="E510">
            <v>18</v>
          </cell>
          <cell r="F510">
            <v>1290</v>
          </cell>
          <cell r="G510">
            <v>1289.26</v>
          </cell>
          <cell r="H510">
            <v>1287.45</v>
          </cell>
          <cell r="I510">
            <v>1287.27</v>
          </cell>
          <cell r="J510">
            <v>40.799999999999997</v>
          </cell>
          <cell r="K510">
            <v>0.44117647058839132</v>
          </cell>
          <cell r="L510" t="str">
            <v>Unificacion de Vertimientos</v>
          </cell>
          <cell r="M510" t="str">
            <v>Nuevo</v>
          </cell>
        </row>
        <row r="511">
          <cell r="B511">
            <v>850</v>
          </cell>
          <cell r="C511" t="str">
            <v>AD2</v>
          </cell>
          <cell r="D511">
            <v>1.2999999999999999E-2</v>
          </cell>
          <cell r="E511">
            <v>10</v>
          </cell>
          <cell r="F511">
            <v>1301.23</v>
          </cell>
          <cell r="G511">
            <v>1297.68</v>
          </cell>
          <cell r="H511">
            <v>1298.32</v>
          </cell>
          <cell r="I511">
            <v>1296.27</v>
          </cell>
          <cell r="J511">
            <v>70.8</v>
          </cell>
          <cell r="K511">
            <v>2.8954802259886363</v>
          </cell>
          <cell r="L511" t="str">
            <v>Unificacion de Vertimientos</v>
          </cell>
          <cell r="M511" t="str">
            <v>Nuevo</v>
          </cell>
        </row>
        <row r="512">
          <cell r="B512" t="str">
            <v>A9</v>
          </cell>
          <cell r="C512" t="str">
            <v>A10</v>
          </cell>
          <cell r="D512">
            <v>1.2999999999999999E-2</v>
          </cell>
          <cell r="E512">
            <v>16</v>
          </cell>
          <cell r="F512">
            <v>1292.3499999999999</v>
          </cell>
          <cell r="G512">
            <v>1291.5</v>
          </cell>
          <cell r="H512">
            <v>1288.43</v>
          </cell>
          <cell r="I512">
            <v>1288.3</v>
          </cell>
          <cell r="J512">
            <v>27.4</v>
          </cell>
          <cell r="K512">
            <v>0.47445255474492393</v>
          </cell>
          <cell r="L512" t="str">
            <v>Unificacion de Vertimientos</v>
          </cell>
          <cell r="M512" t="str">
            <v>Nuevo</v>
          </cell>
        </row>
        <row r="513">
          <cell r="B513" t="str">
            <v>AD3</v>
          </cell>
          <cell r="C513" t="str">
            <v>AD4</v>
          </cell>
          <cell r="D513">
            <v>1.2999999999999999E-2</v>
          </cell>
          <cell r="E513">
            <v>10</v>
          </cell>
          <cell r="F513">
            <v>1298.32</v>
          </cell>
          <cell r="G513">
            <v>1297.74</v>
          </cell>
          <cell r="H513">
            <v>1296.1600000000001</v>
          </cell>
          <cell r="I513">
            <v>1295.96</v>
          </cell>
          <cell r="J513">
            <v>45.7</v>
          </cell>
          <cell r="K513">
            <v>0.43763676148806446</v>
          </cell>
          <cell r="L513" t="str">
            <v>Unificacion de Vertimientos</v>
          </cell>
          <cell r="M513" t="str">
            <v>Nuevo</v>
          </cell>
        </row>
        <row r="514">
          <cell r="B514" t="str">
            <v>A7</v>
          </cell>
          <cell r="C514" t="str">
            <v>A8</v>
          </cell>
          <cell r="D514">
            <v>1.2999999999999999E-2</v>
          </cell>
          <cell r="E514">
            <v>16</v>
          </cell>
          <cell r="F514">
            <v>1293.69</v>
          </cell>
          <cell r="G514">
            <v>1293.5</v>
          </cell>
          <cell r="H514">
            <v>1288.6099999999999</v>
          </cell>
          <cell r="I514">
            <v>1288.55</v>
          </cell>
          <cell r="J514">
            <v>16.3</v>
          </cell>
          <cell r="K514">
            <v>0.36809815950886765</v>
          </cell>
          <cell r="L514" t="str">
            <v>Unificacion de Vertimientos</v>
          </cell>
          <cell r="M514" t="str">
            <v>Nuevo</v>
          </cell>
        </row>
        <row r="515">
          <cell r="B515" t="str">
            <v>AD5</v>
          </cell>
          <cell r="C515" t="str">
            <v>AD6</v>
          </cell>
          <cell r="D515">
            <v>1.2999999999999999E-2</v>
          </cell>
          <cell r="E515">
            <v>10</v>
          </cell>
          <cell r="F515">
            <v>1298.0899999999999</v>
          </cell>
          <cell r="G515">
            <v>1297.42</v>
          </cell>
          <cell r="H515">
            <v>1295.5899999999999</v>
          </cell>
          <cell r="I515">
            <v>1295.4100000000001</v>
          </cell>
          <cell r="J515">
            <v>43.3</v>
          </cell>
          <cell r="K515">
            <v>0.41570438799038406</v>
          </cell>
          <cell r="L515" t="str">
            <v>Unificacion de Vertimientos</v>
          </cell>
          <cell r="M515" t="str">
            <v>Nuevo</v>
          </cell>
        </row>
        <row r="516">
          <cell r="B516" t="str">
            <v>AD6</v>
          </cell>
          <cell r="C516" t="str">
            <v>AD7</v>
          </cell>
          <cell r="D516">
            <v>1.2999999999999999E-2</v>
          </cell>
          <cell r="E516">
            <v>10</v>
          </cell>
          <cell r="F516">
            <v>1297.42</v>
          </cell>
          <cell r="G516">
            <v>1297.76</v>
          </cell>
          <cell r="H516">
            <v>1295.4100000000001</v>
          </cell>
          <cell r="I516">
            <v>1295.3</v>
          </cell>
          <cell r="J516">
            <v>24</v>
          </cell>
          <cell r="K516">
            <v>0</v>
          </cell>
          <cell r="L516" t="str">
            <v>Unificacion de Vertimientos</v>
          </cell>
          <cell r="M516" t="str">
            <v>Nuevo</v>
          </cell>
        </row>
        <row r="517">
          <cell r="B517" t="str">
            <v>AD7</v>
          </cell>
          <cell r="C517" t="str">
            <v>AD8</v>
          </cell>
          <cell r="D517">
            <v>1.2999999999999999E-2</v>
          </cell>
          <cell r="E517">
            <v>10</v>
          </cell>
          <cell r="F517">
            <v>1297.76</v>
          </cell>
          <cell r="G517">
            <v>1297.69</v>
          </cell>
          <cell r="H517">
            <v>1295.3</v>
          </cell>
          <cell r="I517">
            <v>1295.1500000000001</v>
          </cell>
          <cell r="J517">
            <v>34.200000000000003</v>
          </cell>
          <cell r="K517">
            <v>0</v>
          </cell>
          <cell r="L517" t="str">
            <v>Unificacion de Vertimientos</v>
          </cell>
          <cell r="M517" t="str">
            <v>Nuevo</v>
          </cell>
        </row>
        <row r="518">
          <cell r="B518" t="str">
            <v>AD8</v>
          </cell>
          <cell r="C518" t="str">
            <v>AD9</v>
          </cell>
          <cell r="D518">
            <v>1.2999999999999999E-2</v>
          </cell>
          <cell r="E518">
            <v>10</v>
          </cell>
          <cell r="F518">
            <v>1297.69</v>
          </cell>
          <cell r="G518">
            <v>1297.3699999999999</v>
          </cell>
          <cell r="H518">
            <v>1295.1500000000001</v>
          </cell>
          <cell r="I518">
            <v>1295.08</v>
          </cell>
          <cell r="J518">
            <v>14.9</v>
          </cell>
          <cell r="K518">
            <v>0</v>
          </cell>
          <cell r="L518" t="str">
            <v>Unificacion de Vertimientos</v>
          </cell>
          <cell r="M518" t="str">
            <v>Nuevo</v>
          </cell>
        </row>
        <row r="519">
          <cell r="B519" t="str">
            <v>AD9</v>
          </cell>
          <cell r="C519" t="str">
            <v>AD10</v>
          </cell>
          <cell r="D519">
            <v>1.2999999999999999E-2</v>
          </cell>
          <cell r="E519">
            <v>10</v>
          </cell>
          <cell r="F519">
            <v>1297.3699999999999</v>
          </cell>
          <cell r="G519">
            <v>1301</v>
          </cell>
          <cell r="H519">
            <v>1295.08</v>
          </cell>
          <cell r="I519">
            <v>1295</v>
          </cell>
          <cell r="J519">
            <v>17.399999999999999</v>
          </cell>
          <cell r="K519">
            <v>0</v>
          </cell>
          <cell r="L519" t="str">
            <v>Unificacion de Vertimientos</v>
          </cell>
          <cell r="M519" t="str">
            <v>Nuevo</v>
          </cell>
        </row>
        <row r="520">
          <cell r="B520" t="str">
            <v>AD10</v>
          </cell>
          <cell r="C520" t="str">
            <v>AD11</v>
          </cell>
          <cell r="D520">
            <v>1.2999999999999999E-2</v>
          </cell>
          <cell r="E520">
            <v>10</v>
          </cell>
          <cell r="F520">
            <v>1301</v>
          </cell>
          <cell r="G520">
            <v>1298</v>
          </cell>
          <cell r="H520">
            <v>1295</v>
          </cell>
          <cell r="I520">
            <v>1294.8599999999999</v>
          </cell>
          <cell r="J520">
            <v>31.5</v>
          </cell>
          <cell r="K520">
            <v>0</v>
          </cell>
          <cell r="L520" t="str">
            <v>Unificacion de Vertimientos</v>
          </cell>
          <cell r="M520" t="str">
            <v>Nuevo</v>
          </cell>
        </row>
        <row r="521">
          <cell r="B521" t="str">
            <v>AD11</v>
          </cell>
          <cell r="C521" t="str">
            <v>AD12</v>
          </cell>
          <cell r="D521">
            <v>1.2999999999999999E-2</v>
          </cell>
          <cell r="E521">
            <v>10</v>
          </cell>
          <cell r="F521">
            <v>1298</v>
          </cell>
          <cell r="G521">
            <v>1296.6400000000001</v>
          </cell>
          <cell r="H521">
            <v>1294.8599999999999</v>
          </cell>
          <cell r="I521">
            <v>1294.71</v>
          </cell>
          <cell r="J521">
            <v>35.5</v>
          </cell>
          <cell r="K521">
            <v>0</v>
          </cell>
          <cell r="L521" t="str">
            <v>Unificacion de Vertimientos</v>
          </cell>
          <cell r="M521" t="str">
            <v>Nuevo</v>
          </cell>
        </row>
        <row r="522">
          <cell r="B522" t="str">
            <v>AD16</v>
          </cell>
          <cell r="C522" t="str">
            <v>AD17</v>
          </cell>
          <cell r="D522">
            <v>1.2999999999999999E-2</v>
          </cell>
          <cell r="E522">
            <v>10</v>
          </cell>
          <cell r="F522">
            <v>1295</v>
          </cell>
          <cell r="G522">
            <v>1295.3900000000001</v>
          </cell>
          <cell r="H522">
            <v>1293.08</v>
          </cell>
          <cell r="I522">
            <v>1292.98</v>
          </cell>
          <cell r="J522">
            <v>23.1</v>
          </cell>
          <cell r="K522">
            <v>0</v>
          </cell>
          <cell r="L522" t="str">
            <v>Unificacion de Vertimientos</v>
          </cell>
          <cell r="M522" t="str">
            <v>Nuevo</v>
          </cell>
        </row>
        <row r="523">
          <cell r="B523" t="str">
            <v>AD17</v>
          </cell>
          <cell r="C523" t="str">
            <v>AD18</v>
          </cell>
          <cell r="D523">
            <v>1.2999999999999999E-2</v>
          </cell>
          <cell r="E523">
            <v>10</v>
          </cell>
          <cell r="F523">
            <v>1295.3900000000001</v>
          </cell>
          <cell r="G523">
            <v>1294.4100000000001</v>
          </cell>
          <cell r="H523">
            <v>1292.98</v>
          </cell>
          <cell r="I523">
            <v>1292.8699999999999</v>
          </cell>
          <cell r="J523">
            <v>31.3</v>
          </cell>
          <cell r="K523">
            <v>0</v>
          </cell>
          <cell r="L523" t="str">
            <v>Unificacion de Vertimientos</v>
          </cell>
          <cell r="M523" t="str">
            <v>Nuevo</v>
          </cell>
        </row>
        <row r="524">
          <cell r="B524" t="str">
            <v>AD2</v>
          </cell>
          <cell r="C524" t="str">
            <v>AD3</v>
          </cell>
          <cell r="D524">
            <v>1.2999999999999999E-2</v>
          </cell>
          <cell r="E524">
            <v>10</v>
          </cell>
          <cell r="F524">
            <v>1297.68</v>
          </cell>
          <cell r="G524">
            <v>1298.32</v>
          </cell>
          <cell r="H524">
            <v>1296.27</v>
          </cell>
          <cell r="I524">
            <v>1296.1600000000001</v>
          </cell>
          <cell r="J524">
            <v>24.1</v>
          </cell>
          <cell r="K524">
            <v>0</v>
          </cell>
          <cell r="L524" t="str">
            <v>Unificacion de Vertimientos</v>
          </cell>
          <cell r="M524" t="str">
            <v>Nuevo</v>
          </cell>
        </row>
        <row r="525">
          <cell r="B525" t="str">
            <v>MR24</v>
          </cell>
          <cell r="C525" t="str">
            <v>MR25</v>
          </cell>
          <cell r="D525">
            <v>1.2999999999999999E-2</v>
          </cell>
          <cell r="E525">
            <v>12</v>
          </cell>
          <cell r="F525">
            <v>1274.08</v>
          </cell>
          <cell r="G525">
            <v>1274.1500000000001</v>
          </cell>
          <cell r="H525">
            <v>1272.06</v>
          </cell>
          <cell r="I525">
            <v>1272</v>
          </cell>
          <cell r="J525">
            <v>23.1</v>
          </cell>
          <cell r="K525">
            <v>0</v>
          </cell>
          <cell r="L525" t="str">
            <v>Unificacion de Vertimientos</v>
          </cell>
          <cell r="M525" t="str">
            <v>Nuevo</v>
          </cell>
        </row>
        <row r="526">
          <cell r="B526" t="str">
            <v>AD15</v>
          </cell>
          <cell r="C526" t="str">
            <v>AD16</v>
          </cell>
          <cell r="D526">
            <v>1.2999999999999999E-2</v>
          </cell>
          <cell r="E526">
            <v>10</v>
          </cell>
          <cell r="F526">
            <v>1294.74</v>
          </cell>
          <cell r="G526">
            <v>1295</v>
          </cell>
          <cell r="H526">
            <v>1293.1500000000001</v>
          </cell>
          <cell r="I526">
            <v>1293.08</v>
          </cell>
          <cell r="J526">
            <v>20.399999999999999</v>
          </cell>
          <cell r="K526">
            <v>0</v>
          </cell>
          <cell r="L526" t="str">
            <v>Unificacion de Vertimientos</v>
          </cell>
          <cell r="M526" t="str">
            <v>Nuevo</v>
          </cell>
        </row>
        <row r="527">
          <cell r="B527">
            <v>941</v>
          </cell>
          <cell r="C527" t="str">
            <v>MR14</v>
          </cell>
          <cell r="D527">
            <v>1.2999999999999999E-2</v>
          </cell>
          <cell r="E527">
            <v>16</v>
          </cell>
          <cell r="F527">
            <v>1279.96</v>
          </cell>
          <cell r="G527">
            <v>1281.23</v>
          </cell>
          <cell r="H527">
            <v>1275.72</v>
          </cell>
          <cell r="I527">
            <v>1280.1600000000001</v>
          </cell>
          <cell r="J527">
            <v>104.4</v>
          </cell>
          <cell r="K527">
            <v>0</v>
          </cell>
          <cell r="L527" t="str">
            <v>Unificacion de Vertimientos</v>
          </cell>
          <cell r="M527" t="str">
            <v>Nuevo</v>
          </cell>
        </row>
        <row r="528">
          <cell r="B528" t="str">
            <v>MR14</v>
          </cell>
          <cell r="C528" t="str">
            <v>MR15</v>
          </cell>
          <cell r="D528">
            <v>1.2999999999999999E-2</v>
          </cell>
          <cell r="E528">
            <v>16</v>
          </cell>
          <cell r="F528">
            <v>1281.23</v>
          </cell>
          <cell r="G528">
            <v>1280.4100000000001</v>
          </cell>
          <cell r="H528">
            <v>1280.1600000000001</v>
          </cell>
          <cell r="I528">
            <v>1279.08</v>
          </cell>
          <cell r="J528">
            <v>76.7</v>
          </cell>
          <cell r="K528">
            <v>0</v>
          </cell>
          <cell r="L528" t="str">
            <v>Unificacion de Vertimientos</v>
          </cell>
          <cell r="M528" t="str">
            <v>Nuevo</v>
          </cell>
        </row>
        <row r="529">
          <cell r="B529" t="str">
            <v>MR15</v>
          </cell>
          <cell r="C529" t="str">
            <v>MR16</v>
          </cell>
          <cell r="D529">
            <v>1.2999999999999999E-2</v>
          </cell>
          <cell r="E529">
            <v>16</v>
          </cell>
          <cell r="F529">
            <v>1280.4100000000001</v>
          </cell>
          <cell r="G529">
            <v>1280</v>
          </cell>
          <cell r="H529">
            <v>1279.08</v>
          </cell>
          <cell r="I529">
            <v>1278.74</v>
          </cell>
          <cell r="J529">
            <v>72.099999999999994</v>
          </cell>
          <cell r="K529">
            <v>0</v>
          </cell>
          <cell r="L529" t="str">
            <v>Unificacion de Vertimientos</v>
          </cell>
          <cell r="M529" t="str">
            <v>Nuevo</v>
          </cell>
        </row>
        <row r="530">
          <cell r="B530" t="str">
            <v>MR16</v>
          </cell>
          <cell r="C530" t="str">
            <v>MR17</v>
          </cell>
          <cell r="D530">
            <v>1.2999999999999999E-2</v>
          </cell>
          <cell r="E530">
            <v>18</v>
          </cell>
          <cell r="F530">
            <v>1280</v>
          </cell>
          <cell r="G530">
            <v>1279.6400000000001</v>
          </cell>
          <cell r="H530">
            <v>1278.74</v>
          </cell>
          <cell r="I530">
            <v>1278.72</v>
          </cell>
          <cell r="J530">
            <v>11</v>
          </cell>
          <cell r="K530">
            <v>0</v>
          </cell>
          <cell r="L530" t="str">
            <v>Unificacion de Vertimientos</v>
          </cell>
          <cell r="M530" t="str">
            <v>Nuevo</v>
          </cell>
        </row>
        <row r="531">
          <cell r="B531" t="str">
            <v>MR17</v>
          </cell>
          <cell r="C531" t="str">
            <v>MR18</v>
          </cell>
          <cell r="D531">
            <v>1.2999999999999999E-2</v>
          </cell>
          <cell r="E531">
            <v>18</v>
          </cell>
          <cell r="F531">
            <v>1279.6400000000001</v>
          </cell>
          <cell r="G531">
            <v>1278.5999999999999</v>
          </cell>
          <cell r="H531">
            <v>1278.72</v>
          </cell>
          <cell r="I531">
            <v>1276.79</v>
          </cell>
          <cell r="J531">
            <v>30.6</v>
          </cell>
          <cell r="K531">
            <v>0</v>
          </cell>
          <cell r="L531" t="str">
            <v>Unificacion de Vertimientos</v>
          </cell>
          <cell r="M531" t="str">
            <v>Nuevo</v>
          </cell>
        </row>
        <row r="532">
          <cell r="B532" t="str">
            <v>MR18</v>
          </cell>
          <cell r="C532" t="str">
            <v>MR19</v>
          </cell>
          <cell r="D532">
            <v>1.2999999999999999E-2</v>
          </cell>
          <cell r="E532">
            <v>18</v>
          </cell>
          <cell r="F532">
            <v>1278.5999999999999</v>
          </cell>
          <cell r="G532">
            <v>1277.3699999999999</v>
          </cell>
          <cell r="H532">
            <v>1276.79</v>
          </cell>
          <cell r="I532">
            <v>1276.26</v>
          </cell>
          <cell r="J532">
            <v>25.7</v>
          </cell>
          <cell r="K532">
            <v>0</v>
          </cell>
          <cell r="L532" t="str">
            <v>Unificacion de Vertimientos</v>
          </cell>
          <cell r="M532" t="str">
            <v>Nuevo</v>
          </cell>
        </row>
        <row r="533">
          <cell r="B533" t="str">
            <v>MR19</v>
          </cell>
          <cell r="C533" t="str">
            <v>MR20</v>
          </cell>
          <cell r="D533">
            <v>1.2999999999999999E-2</v>
          </cell>
          <cell r="E533">
            <v>18</v>
          </cell>
          <cell r="F533">
            <v>1277.3699999999999</v>
          </cell>
          <cell r="G533">
            <v>1275.1500000000001</v>
          </cell>
          <cell r="H533">
            <v>1276.26</v>
          </cell>
          <cell r="I533">
            <v>1273.98</v>
          </cell>
          <cell r="J533">
            <v>38.700000000000003</v>
          </cell>
          <cell r="K533">
            <v>0</v>
          </cell>
          <cell r="L533" t="str">
            <v>Unificacion de Vertimientos</v>
          </cell>
          <cell r="M533" t="str">
            <v>Nuevo</v>
          </cell>
        </row>
        <row r="534">
          <cell r="B534" t="str">
            <v>MR20</v>
          </cell>
          <cell r="C534" t="str">
            <v>MR21</v>
          </cell>
          <cell r="D534">
            <v>1.2999999999999999E-2</v>
          </cell>
          <cell r="E534">
            <v>18</v>
          </cell>
          <cell r="F534">
            <v>1275.1500000000001</v>
          </cell>
          <cell r="G534">
            <v>1273.1600000000001</v>
          </cell>
          <cell r="H534">
            <v>1273.98</v>
          </cell>
          <cell r="I534">
            <v>1272.24</v>
          </cell>
          <cell r="J534">
            <v>32.9</v>
          </cell>
          <cell r="K534">
            <v>0</v>
          </cell>
          <cell r="L534" t="str">
            <v>Unificacion de Vertimientos</v>
          </cell>
          <cell r="M534" t="str">
            <v>Nuevo</v>
          </cell>
        </row>
        <row r="535">
          <cell r="B535" t="str">
            <v>A10</v>
          </cell>
          <cell r="C535" t="str">
            <v>A11</v>
          </cell>
          <cell r="D535">
            <v>1.2999999999999999E-2</v>
          </cell>
          <cell r="E535">
            <v>18</v>
          </cell>
          <cell r="F535">
            <v>1291.5</v>
          </cell>
          <cell r="G535">
            <v>1292</v>
          </cell>
          <cell r="H535">
            <v>1288.3</v>
          </cell>
          <cell r="I535">
            <v>1288.24</v>
          </cell>
          <cell r="J535">
            <v>22.8</v>
          </cell>
          <cell r="K535">
            <v>0</v>
          </cell>
          <cell r="L535" t="str">
            <v>Unificacion de Vertimientos</v>
          </cell>
          <cell r="M535" t="str">
            <v>Nuevo</v>
          </cell>
        </row>
        <row r="536">
          <cell r="B536" t="str">
            <v>MR22</v>
          </cell>
          <cell r="C536">
            <v>68</v>
          </cell>
          <cell r="D536">
            <v>1.2999999999999999E-2</v>
          </cell>
          <cell r="E536">
            <v>18</v>
          </cell>
          <cell r="F536">
            <v>1274.51</v>
          </cell>
          <cell r="G536">
            <v>1273.33</v>
          </cell>
          <cell r="H536">
            <v>1272.23</v>
          </cell>
          <cell r="I536">
            <v>1272.2</v>
          </cell>
          <cell r="J536">
            <v>11.9</v>
          </cell>
          <cell r="K536">
            <v>0</v>
          </cell>
          <cell r="L536" t="str">
            <v>Unificacion de Vertimientos</v>
          </cell>
          <cell r="M536" t="str">
            <v>Nuevo</v>
          </cell>
        </row>
        <row r="537">
          <cell r="B537" t="str">
            <v>BV80</v>
          </cell>
          <cell r="C537" t="str">
            <v>BV81</v>
          </cell>
          <cell r="D537">
            <v>1.2999999999999999E-2</v>
          </cell>
          <cell r="E537">
            <v>27</v>
          </cell>
          <cell r="F537">
            <v>1250.43</v>
          </cell>
          <cell r="G537">
            <v>1248.6600000000001</v>
          </cell>
          <cell r="H537">
            <v>1246.92</v>
          </cell>
          <cell r="I537">
            <v>1246.8800000000001</v>
          </cell>
          <cell r="J537">
            <v>31.7</v>
          </cell>
          <cell r="K537">
            <v>0</v>
          </cell>
          <cell r="L537" t="str">
            <v>Unificacion de Vertimientos</v>
          </cell>
          <cell r="M537" t="str">
            <v>Nuevo</v>
          </cell>
        </row>
        <row r="538">
          <cell r="B538" t="str">
            <v>MR25</v>
          </cell>
          <cell r="C538" t="str">
            <v>MR26</v>
          </cell>
          <cell r="D538">
            <v>1.2999999999999999E-2</v>
          </cell>
          <cell r="E538">
            <v>12</v>
          </cell>
          <cell r="F538">
            <v>1274.1500000000001</v>
          </cell>
          <cell r="G538">
            <v>1274.7</v>
          </cell>
          <cell r="H538">
            <v>1272</v>
          </cell>
          <cell r="I538">
            <v>1271.94</v>
          </cell>
          <cell r="J538">
            <v>25.5</v>
          </cell>
          <cell r="K538">
            <v>0</v>
          </cell>
          <cell r="L538" t="str">
            <v>Unificacion de Vertimientos</v>
          </cell>
          <cell r="M538" t="str">
            <v>Nuevo</v>
          </cell>
        </row>
        <row r="539">
          <cell r="B539" t="str">
            <v>MR26</v>
          </cell>
          <cell r="C539" t="str">
            <v>A46</v>
          </cell>
          <cell r="D539">
            <v>1.2999999999999999E-2</v>
          </cell>
          <cell r="E539">
            <v>12</v>
          </cell>
          <cell r="F539">
            <v>1274.7</v>
          </cell>
          <cell r="G539">
            <v>1275.5999999999999</v>
          </cell>
          <cell r="H539">
            <v>1271.94</v>
          </cell>
          <cell r="I539">
            <v>1271.6500000000001</v>
          </cell>
          <cell r="J539">
            <v>24</v>
          </cell>
          <cell r="K539">
            <v>0</v>
          </cell>
          <cell r="L539" t="str">
            <v>Unificacion de Vertimientos</v>
          </cell>
          <cell r="M539" t="str">
            <v>Nuevo</v>
          </cell>
        </row>
        <row r="540">
          <cell r="B540">
            <v>1048</v>
          </cell>
          <cell r="C540" t="str">
            <v>P2</v>
          </cell>
          <cell r="D540">
            <v>1.2999999999999999E-2</v>
          </cell>
          <cell r="E540">
            <v>16</v>
          </cell>
          <cell r="F540">
            <v>1291.82</v>
          </cell>
          <cell r="G540">
            <v>1292.48</v>
          </cell>
          <cell r="H540">
            <v>1289.5899999999999</v>
          </cell>
          <cell r="I540">
            <v>1289.32</v>
          </cell>
          <cell r="J540">
            <v>30.4</v>
          </cell>
          <cell r="K540">
            <v>0</v>
          </cell>
          <cell r="L540" t="str">
            <v>Unificacion de Vertimientos</v>
          </cell>
          <cell r="M540" t="str">
            <v>Nuevo</v>
          </cell>
        </row>
        <row r="541">
          <cell r="B541" t="str">
            <v>P2</v>
          </cell>
          <cell r="C541" t="str">
            <v>A2</v>
          </cell>
          <cell r="D541">
            <v>1.2999999999999999E-2</v>
          </cell>
          <cell r="E541">
            <v>16</v>
          </cell>
          <cell r="F541">
            <v>1292.48</v>
          </cell>
          <cell r="G541">
            <v>1293.8</v>
          </cell>
          <cell r="H541">
            <v>1289.32</v>
          </cell>
          <cell r="I541">
            <v>1289.24</v>
          </cell>
          <cell r="J541">
            <v>36.9</v>
          </cell>
          <cell r="K541">
            <v>0</v>
          </cell>
          <cell r="L541" t="str">
            <v>Unificacion de Vertimientos</v>
          </cell>
          <cell r="M541" t="str">
            <v>Nuevo</v>
          </cell>
        </row>
        <row r="542">
          <cell r="B542" t="str">
            <v>A2</v>
          </cell>
          <cell r="C542" t="str">
            <v>A3</v>
          </cell>
          <cell r="D542">
            <v>1.2999999999999999E-2</v>
          </cell>
          <cell r="E542">
            <v>16</v>
          </cell>
          <cell r="F542">
            <v>1293.8</v>
          </cell>
          <cell r="G542">
            <v>1293.08</v>
          </cell>
          <cell r="H542">
            <v>1289.24</v>
          </cell>
          <cell r="I542">
            <v>1289.21</v>
          </cell>
          <cell r="J542">
            <v>33.200000000000003</v>
          </cell>
          <cell r="K542">
            <v>0</v>
          </cell>
          <cell r="L542" t="str">
            <v>Unificacion de Vertimientos</v>
          </cell>
          <cell r="M542" t="str">
            <v>Nuevo</v>
          </cell>
        </row>
        <row r="543">
          <cell r="B543" t="str">
            <v>A3</v>
          </cell>
          <cell r="C543" t="str">
            <v>A4</v>
          </cell>
          <cell r="D543">
            <v>1.2999999999999999E-2</v>
          </cell>
          <cell r="E543">
            <v>16</v>
          </cell>
          <cell r="F543">
            <v>1293.08</v>
          </cell>
          <cell r="G543">
            <v>1292.7</v>
          </cell>
          <cell r="H543">
            <v>1289.21</v>
          </cell>
          <cell r="I543">
            <v>1288.99</v>
          </cell>
          <cell r="J543">
            <v>61.9</v>
          </cell>
          <cell r="K543">
            <v>0</v>
          </cell>
          <cell r="L543" t="str">
            <v>Unificacion de Vertimientos</v>
          </cell>
          <cell r="M543" t="str">
            <v>Nuevo</v>
          </cell>
        </row>
        <row r="544">
          <cell r="B544" t="str">
            <v>A4</v>
          </cell>
          <cell r="C544" t="str">
            <v>A5</v>
          </cell>
          <cell r="D544">
            <v>1.2999999999999999E-2</v>
          </cell>
          <cell r="E544">
            <v>16</v>
          </cell>
          <cell r="F544">
            <v>1292.7</v>
          </cell>
          <cell r="G544">
            <v>1292.9000000000001</v>
          </cell>
          <cell r="H544">
            <v>1288.99</v>
          </cell>
          <cell r="I544">
            <v>1288.8900000000001</v>
          </cell>
          <cell r="J544">
            <v>29.8</v>
          </cell>
          <cell r="K544">
            <v>0</v>
          </cell>
          <cell r="L544" t="str">
            <v>Unificacion de Vertimientos</v>
          </cell>
          <cell r="M544" t="str">
            <v>Nuevo</v>
          </cell>
        </row>
        <row r="545">
          <cell r="B545" t="str">
            <v>A5</v>
          </cell>
          <cell r="C545" t="str">
            <v>A6</v>
          </cell>
          <cell r="D545">
            <v>1.2999999999999999E-2</v>
          </cell>
          <cell r="E545">
            <v>16</v>
          </cell>
          <cell r="F545">
            <v>1292.9000000000001</v>
          </cell>
          <cell r="G545">
            <v>1293.26</v>
          </cell>
          <cell r="H545">
            <v>1288.8900000000001</v>
          </cell>
          <cell r="I545">
            <v>1288.75</v>
          </cell>
          <cell r="J545">
            <v>42.8</v>
          </cell>
          <cell r="K545">
            <v>0</v>
          </cell>
          <cell r="L545" t="str">
            <v>Unificacion de Vertimientos</v>
          </cell>
          <cell r="M545" t="str">
            <v>Nuevo</v>
          </cell>
        </row>
        <row r="546">
          <cell r="B546" t="str">
            <v>A6</v>
          </cell>
          <cell r="C546" t="str">
            <v>A7</v>
          </cell>
          <cell r="D546">
            <v>1.2999999999999999E-2</v>
          </cell>
          <cell r="E546">
            <v>16</v>
          </cell>
          <cell r="F546">
            <v>1293.26</v>
          </cell>
          <cell r="G546">
            <v>1293.69</v>
          </cell>
          <cell r="H546">
            <v>1288.75</v>
          </cell>
          <cell r="I546">
            <v>1288.6099999999999</v>
          </cell>
          <cell r="J546">
            <v>43.4</v>
          </cell>
          <cell r="K546">
            <v>0</v>
          </cell>
          <cell r="L546" t="str">
            <v>Unificacion de Vertimientos</v>
          </cell>
          <cell r="M546" t="str">
            <v>Nuevo</v>
          </cell>
        </row>
        <row r="547">
          <cell r="B547" t="str">
            <v>MR21</v>
          </cell>
          <cell r="C547" t="str">
            <v>MR22</v>
          </cell>
          <cell r="D547">
            <v>1.2999999999999999E-2</v>
          </cell>
          <cell r="E547">
            <v>18</v>
          </cell>
          <cell r="F547">
            <v>1273.1600000000001</v>
          </cell>
          <cell r="G547">
            <v>1274.51</v>
          </cell>
          <cell r="H547">
            <v>1272.24</v>
          </cell>
          <cell r="I547">
            <v>1272.23</v>
          </cell>
          <cell r="J547">
            <v>20.5</v>
          </cell>
          <cell r="K547">
            <v>0</v>
          </cell>
          <cell r="L547" t="str">
            <v>Unificacion de Vertimientos</v>
          </cell>
          <cell r="M547" t="str">
            <v>Nuevo</v>
          </cell>
        </row>
        <row r="548">
          <cell r="B548">
            <v>636</v>
          </cell>
          <cell r="C548">
            <v>637</v>
          </cell>
          <cell r="D548">
            <v>0.01</v>
          </cell>
          <cell r="E548">
            <v>12</v>
          </cell>
          <cell r="F548">
            <v>1276.99</v>
          </cell>
          <cell r="G548">
            <v>1273.79</v>
          </cell>
          <cell r="H548">
            <v>1275.5999999999999</v>
          </cell>
          <cell r="I548">
            <v>1272.81</v>
          </cell>
          <cell r="J548">
            <v>53.1</v>
          </cell>
          <cell r="K548">
            <v>0</v>
          </cell>
          <cell r="L548" t="str">
            <v xml:space="preserve">Tramos Existentes </v>
          </cell>
          <cell r="M548" t="str">
            <v>Existente</v>
          </cell>
        </row>
        <row r="549">
          <cell r="B549" t="str">
            <v>1046i</v>
          </cell>
          <cell r="C549">
            <v>1027</v>
          </cell>
          <cell r="D549">
            <v>0.01</v>
          </cell>
          <cell r="E549">
            <v>8</v>
          </cell>
          <cell r="F549">
            <v>1297.18</v>
          </cell>
          <cell r="G549">
            <v>1294.32</v>
          </cell>
          <cell r="H549">
            <v>1294.8800000000001</v>
          </cell>
          <cell r="I549">
            <v>1290.33</v>
          </cell>
          <cell r="J549">
            <v>11</v>
          </cell>
          <cell r="K549">
            <v>0</v>
          </cell>
          <cell r="L549" t="str">
            <v xml:space="preserve">Tramos Existentes </v>
          </cell>
          <cell r="M549" t="str">
            <v>Existente</v>
          </cell>
        </row>
        <row r="550">
          <cell r="B550">
            <v>1048</v>
          </cell>
          <cell r="C550" t="str">
            <v>D30</v>
          </cell>
          <cell r="D550">
            <v>0.01</v>
          </cell>
          <cell r="E550">
            <v>8</v>
          </cell>
          <cell r="F550">
            <v>1291.82</v>
          </cell>
          <cell r="G550">
            <v>1288.8</v>
          </cell>
          <cell r="H550">
            <v>1289.5899999999999</v>
          </cell>
          <cell r="I550">
            <v>1288.8</v>
          </cell>
          <cell r="J550">
            <v>11.2</v>
          </cell>
          <cell r="K550">
            <v>0</v>
          </cell>
          <cell r="L550" t="str">
            <v>Inhabilitar</v>
          </cell>
          <cell r="M550" t="str">
            <v>Existente</v>
          </cell>
        </row>
        <row r="551">
          <cell r="B551" t="str">
            <v>140i</v>
          </cell>
          <cell r="C551">
            <v>183</v>
          </cell>
          <cell r="D551">
            <v>1.4999999999999999E-2</v>
          </cell>
          <cell r="E551">
            <v>8</v>
          </cell>
          <cell r="F551">
            <v>1299.06</v>
          </cell>
          <cell r="G551">
            <v>1291.78</v>
          </cell>
          <cell r="H551">
            <v>1297.3900000000001</v>
          </cell>
          <cell r="I551">
            <v>1290.07</v>
          </cell>
          <cell r="J551">
            <v>58</v>
          </cell>
          <cell r="K551">
            <v>0</v>
          </cell>
          <cell r="L551" t="str">
            <v xml:space="preserve">Tramos Existentes </v>
          </cell>
          <cell r="M551" t="str">
            <v>Existente</v>
          </cell>
        </row>
        <row r="552">
          <cell r="B552">
            <v>183</v>
          </cell>
          <cell r="C552">
            <v>182</v>
          </cell>
          <cell r="D552">
            <v>1.4999999999999999E-2</v>
          </cell>
          <cell r="E552">
            <v>14</v>
          </cell>
          <cell r="F552">
            <v>1291.78</v>
          </cell>
          <cell r="G552">
            <v>1287.1099999999999</v>
          </cell>
          <cell r="H552">
            <v>1290.07</v>
          </cell>
          <cell r="I552">
            <v>1285.51</v>
          </cell>
          <cell r="J552">
            <v>47.6</v>
          </cell>
          <cell r="K552">
            <v>0</v>
          </cell>
          <cell r="L552" t="str">
            <v xml:space="preserve">Tramos Existentes </v>
          </cell>
          <cell r="M552" t="str">
            <v>Existente</v>
          </cell>
        </row>
        <row r="553">
          <cell r="B553">
            <v>182</v>
          </cell>
          <cell r="C553">
            <v>1028</v>
          </cell>
          <cell r="D553">
            <v>1.4999999999999999E-2</v>
          </cell>
          <cell r="E553">
            <v>14</v>
          </cell>
          <cell r="F553">
            <v>1287.1099999999999</v>
          </cell>
          <cell r="G553">
            <v>1283.9100000000001</v>
          </cell>
          <cell r="H553">
            <v>1285.51</v>
          </cell>
          <cell r="I553">
            <v>1282.27</v>
          </cell>
          <cell r="J553">
            <v>80.099999999999994</v>
          </cell>
          <cell r="K553">
            <v>0</v>
          </cell>
          <cell r="L553" t="str">
            <v xml:space="preserve">Tramos Existentes </v>
          </cell>
          <cell r="M553" t="str">
            <v>Existente</v>
          </cell>
        </row>
        <row r="554">
          <cell r="B554">
            <v>1028</v>
          </cell>
          <cell r="C554">
            <v>1029</v>
          </cell>
          <cell r="D554">
            <v>1.4999999999999999E-2</v>
          </cell>
          <cell r="E554">
            <v>16</v>
          </cell>
          <cell r="F554">
            <v>1283.9100000000001</v>
          </cell>
          <cell r="G554">
            <v>1283.3699999999999</v>
          </cell>
          <cell r="H554">
            <v>1282.27</v>
          </cell>
          <cell r="I554">
            <v>1281.68</v>
          </cell>
          <cell r="J554">
            <v>25.3</v>
          </cell>
          <cell r="K554">
            <v>0</v>
          </cell>
          <cell r="L554" t="str">
            <v xml:space="preserve">Tramos Existentes </v>
          </cell>
          <cell r="M554" t="str">
            <v>Existente</v>
          </cell>
        </row>
        <row r="555">
          <cell r="B555">
            <v>1029</v>
          </cell>
          <cell r="C555">
            <v>1030</v>
          </cell>
          <cell r="D555">
            <v>1.4999999999999999E-2</v>
          </cell>
          <cell r="E555">
            <v>16</v>
          </cell>
          <cell r="F555">
            <v>1283.3699999999999</v>
          </cell>
          <cell r="G555">
            <v>1281.2</v>
          </cell>
          <cell r="H555">
            <v>1281.68</v>
          </cell>
          <cell r="I555">
            <v>1279.47</v>
          </cell>
          <cell r="J555">
            <v>26.4</v>
          </cell>
          <cell r="K555">
            <v>0</v>
          </cell>
          <cell r="L555" t="str">
            <v xml:space="preserve">Tramos Existentes </v>
          </cell>
          <cell r="M555" t="str">
            <v>Existente</v>
          </cell>
        </row>
        <row r="556">
          <cell r="B556">
            <v>1030</v>
          </cell>
          <cell r="C556">
            <v>634</v>
          </cell>
          <cell r="D556">
            <v>1.4999999999999999E-2</v>
          </cell>
          <cell r="E556">
            <v>16</v>
          </cell>
          <cell r="F556">
            <v>1281.2</v>
          </cell>
          <cell r="G556">
            <v>1280.93</v>
          </cell>
          <cell r="H556">
            <v>1279.47</v>
          </cell>
          <cell r="I556">
            <v>1278.6199999999999</v>
          </cell>
          <cell r="J556">
            <v>33.6</v>
          </cell>
          <cell r="K556">
            <v>0</v>
          </cell>
          <cell r="L556" t="str">
            <v xml:space="preserve">Tramos Existentes </v>
          </cell>
          <cell r="M556" t="str">
            <v>Existente</v>
          </cell>
        </row>
        <row r="557">
          <cell r="B557">
            <v>51</v>
          </cell>
          <cell r="C557">
            <v>50</v>
          </cell>
          <cell r="D557">
            <v>1.4999999999999999E-2</v>
          </cell>
          <cell r="E557">
            <v>10</v>
          </cell>
          <cell r="F557">
            <v>1300.8</v>
          </cell>
          <cell r="G557">
            <v>1300.97</v>
          </cell>
          <cell r="H557">
            <v>1300.05</v>
          </cell>
          <cell r="I557">
            <v>1295.3</v>
          </cell>
          <cell r="J557">
            <v>3.3</v>
          </cell>
          <cell r="K557">
            <v>0</v>
          </cell>
          <cell r="L557" t="str">
            <v xml:space="preserve">Tramos Existentes </v>
          </cell>
          <cell r="M557" t="str">
            <v>Existente</v>
          </cell>
        </row>
        <row r="558">
          <cell r="B558">
            <v>635</v>
          </cell>
          <cell r="C558">
            <v>636</v>
          </cell>
          <cell r="D558">
            <v>0.01</v>
          </cell>
          <cell r="E558">
            <v>12</v>
          </cell>
          <cell r="F558">
            <v>1279.6300000000001</v>
          </cell>
          <cell r="G558">
            <v>1276.99</v>
          </cell>
          <cell r="H558">
            <v>1276.9100000000001</v>
          </cell>
          <cell r="I558">
            <v>1275.5999999999999</v>
          </cell>
          <cell r="J558">
            <v>34.9</v>
          </cell>
          <cell r="K558">
            <v>0</v>
          </cell>
          <cell r="L558" t="str">
            <v xml:space="preserve">Tramos Existentes </v>
          </cell>
          <cell r="M558" t="str">
            <v>Existente</v>
          </cell>
        </row>
        <row r="559">
          <cell r="B559">
            <v>1025</v>
          </cell>
          <cell r="C559">
            <v>1026</v>
          </cell>
          <cell r="D559">
            <v>1.4999999999999999E-2</v>
          </cell>
          <cell r="E559">
            <v>8</v>
          </cell>
          <cell r="F559">
            <v>1295.4000000000001</v>
          </cell>
          <cell r="G559">
            <v>1296.95</v>
          </cell>
          <cell r="H559">
            <v>1293.4000000000001</v>
          </cell>
          <cell r="I559">
            <v>1293.23</v>
          </cell>
          <cell r="J559">
            <v>3.5</v>
          </cell>
          <cell r="K559">
            <v>0</v>
          </cell>
          <cell r="L559" t="str">
            <v xml:space="preserve">Tramos Existentes </v>
          </cell>
          <cell r="M559" t="str">
            <v>Existente</v>
          </cell>
        </row>
        <row r="560">
          <cell r="B560">
            <v>637</v>
          </cell>
          <cell r="C560">
            <v>638</v>
          </cell>
          <cell r="D560">
            <v>0.01</v>
          </cell>
          <cell r="E560">
            <v>12</v>
          </cell>
          <cell r="F560">
            <v>1273.79</v>
          </cell>
          <cell r="G560">
            <v>1271.69</v>
          </cell>
          <cell r="H560">
            <v>1272.81</v>
          </cell>
          <cell r="I560">
            <v>1270.53</v>
          </cell>
          <cell r="J560">
            <v>67.8</v>
          </cell>
          <cell r="K560">
            <v>0</v>
          </cell>
          <cell r="L560" t="str">
            <v xml:space="preserve">Tramos Existentes </v>
          </cell>
          <cell r="M560" t="str">
            <v>Existente</v>
          </cell>
        </row>
        <row r="561">
          <cell r="B561">
            <v>638</v>
          </cell>
          <cell r="C561">
            <v>639</v>
          </cell>
          <cell r="D561">
            <v>0.01</v>
          </cell>
          <cell r="E561">
            <v>12</v>
          </cell>
          <cell r="F561">
            <v>1271.69</v>
          </cell>
          <cell r="G561">
            <v>1271.32</v>
          </cell>
          <cell r="H561">
            <v>1270.53</v>
          </cell>
          <cell r="I561">
            <v>1269.6300000000001</v>
          </cell>
          <cell r="J561">
            <v>20.6</v>
          </cell>
          <cell r="K561">
            <v>0</v>
          </cell>
          <cell r="L561" t="str">
            <v xml:space="preserve">Tramos Existentes </v>
          </cell>
          <cell r="M561" t="str">
            <v>Existente</v>
          </cell>
        </row>
        <row r="562">
          <cell r="B562">
            <v>639</v>
          </cell>
          <cell r="C562">
            <v>640</v>
          </cell>
          <cell r="D562">
            <v>0.01</v>
          </cell>
          <cell r="E562">
            <v>12</v>
          </cell>
          <cell r="F562">
            <v>1271.32</v>
          </cell>
          <cell r="G562">
            <v>1270.8699999999999</v>
          </cell>
          <cell r="H562">
            <v>1269.6300000000001</v>
          </cell>
          <cell r="I562">
            <v>1268.07</v>
          </cell>
          <cell r="J562">
            <v>44.6</v>
          </cell>
          <cell r="K562">
            <v>0</v>
          </cell>
          <cell r="L562" t="str">
            <v xml:space="preserve">Tramos Existentes </v>
          </cell>
          <cell r="M562" t="str">
            <v>Existente</v>
          </cell>
        </row>
        <row r="563">
          <cell r="B563">
            <v>640</v>
          </cell>
          <cell r="C563">
            <v>701</v>
          </cell>
          <cell r="D563">
            <v>0.01</v>
          </cell>
          <cell r="E563">
            <v>12</v>
          </cell>
          <cell r="F563">
            <v>1270.8699999999999</v>
          </cell>
          <cell r="G563">
            <v>1268.31</v>
          </cell>
          <cell r="H563">
            <v>1268.07</v>
          </cell>
          <cell r="I563">
            <v>1269.8</v>
          </cell>
          <cell r="J563">
            <v>63.8</v>
          </cell>
          <cell r="K563">
            <v>0</v>
          </cell>
          <cell r="L563" t="str">
            <v xml:space="preserve">Tramos Existentes </v>
          </cell>
          <cell r="M563" t="str">
            <v>Existente</v>
          </cell>
        </row>
        <row r="564">
          <cell r="B564">
            <v>701</v>
          </cell>
          <cell r="C564" t="str">
            <v>D10</v>
          </cell>
          <cell r="D564">
            <v>0.01</v>
          </cell>
          <cell r="E564">
            <v>12</v>
          </cell>
          <cell r="F564">
            <v>1268.31</v>
          </cell>
          <cell r="G564">
            <v>1279.08</v>
          </cell>
          <cell r="H564">
            <v>1269.8</v>
          </cell>
          <cell r="I564">
            <v>1264.93</v>
          </cell>
          <cell r="J564">
            <v>10.6</v>
          </cell>
          <cell r="K564">
            <v>0</v>
          </cell>
          <cell r="L564" t="str">
            <v>Inhabilitar</v>
          </cell>
          <cell r="M564" t="str">
            <v>Existente</v>
          </cell>
        </row>
        <row r="565">
          <cell r="B565">
            <v>1031</v>
          </cell>
          <cell r="C565">
            <v>474</v>
          </cell>
          <cell r="D565">
            <v>1.4999999999999999E-2</v>
          </cell>
          <cell r="E565">
            <v>8</v>
          </cell>
          <cell r="F565">
            <v>1311.55</v>
          </cell>
          <cell r="G565">
            <v>1310.72</v>
          </cell>
          <cell r="H565">
            <v>1309.71</v>
          </cell>
          <cell r="I565">
            <v>1308.7</v>
          </cell>
          <cell r="J565">
            <v>28</v>
          </cell>
          <cell r="K565">
            <v>0</v>
          </cell>
          <cell r="L565" t="str">
            <v xml:space="preserve">Tramos Existentes </v>
          </cell>
          <cell r="M565" t="str">
            <v>Existente</v>
          </cell>
        </row>
        <row r="566">
          <cell r="B566">
            <v>474</v>
          </cell>
          <cell r="C566">
            <v>1035</v>
          </cell>
          <cell r="D566">
            <v>1.4999999999999999E-2</v>
          </cell>
          <cell r="E566">
            <v>10</v>
          </cell>
          <cell r="F566">
            <v>1310.72</v>
          </cell>
          <cell r="G566">
            <v>1308.71</v>
          </cell>
          <cell r="H566">
            <v>1308.7</v>
          </cell>
          <cell r="I566">
            <v>1306.6600000000001</v>
          </cell>
          <cell r="J566">
            <v>30.9</v>
          </cell>
          <cell r="K566">
            <v>0</v>
          </cell>
          <cell r="L566" t="str">
            <v xml:space="preserve">Tramos Existentes </v>
          </cell>
          <cell r="M566" t="str">
            <v>Existente</v>
          </cell>
        </row>
        <row r="567">
          <cell r="B567" t="str">
            <v>P21</v>
          </cell>
          <cell r="C567">
            <v>473</v>
          </cell>
          <cell r="D567">
            <v>1.4999999999999999E-2</v>
          </cell>
          <cell r="E567">
            <v>8</v>
          </cell>
          <cell r="F567">
            <v>1310.3</v>
          </cell>
          <cell r="G567">
            <v>1309.46</v>
          </cell>
          <cell r="H567">
            <v>1308.94</v>
          </cell>
          <cell r="I567">
            <v>1308.04</v>
          </cell>
          <cell r="J567">
            <v>20.9</v>
          </cell>
          <cell r="K567">
            <v>0</v>
          </cell>
          <cell r="L567" t="str">
            <v xml:space="preserve">Tramos Existentes </v>
          </cell>
          <cell r="M567" t="str">
            <v>Existente</v>
          </cell>
        </row>
        <row r="568">
          <cell r="B568">
            <v>473</v>
          </cell>
          <cell r="C568">
            <v>1032</v>
          </cell>
          <cell r="D568">
            <v>1.4999999999999999E-2</v>
          </cell>
          <cell r="E568">
            <v>8</v>
          </cell>
          <cell r="F568">
            <v>1309.46</v>
          </cell>
          <cell r="G568">
            <v>1309.42</v>
          </cell>
          <cell r="H568">
            <v>1308.04</v>
          </cell>
          <cell r="I568">
            <v>1307.42</v>
          </cell>
          <cell r="J568">
            <v>27.3</v>
          </cell>
          <cell r="K568">
            <v>0</v>
          </cell>
          <cell r="L568" t="str">
            <v xml:space="preserve">Tramos Existentes </v>
          </cell>
          <cell r="M568" t="str">
            <v>Existente</v>
          </cell>
        </row>
        <row r="569">
          <cell r="B569">
            <v>634</v>
          </cell>
          <cell r="C569">
            <v>635</v>
          </cell>
          <cell r="D569">
            <v>1.4999999999999999E-2</v>
          </cell>
          <cell r="E569">
            <v>16</v>
          </cell>
          <cell r="F569">
            <v>1280.93</v>
          </cell>
          <cell r="G569">
            <v>1279.6300000000001</v>
          </cell>
          <cell r="H569">
            <v>1278.6199999999999</v>
          </cell>
          <cell r="I569">
            <v>1276.9100000000001</v>
          </cell>
          <cell r="J569">
            <v>4.9000000000000004</v>
          </cell>
          <cell r="K569">
            <v>0</v>
          </cell>
          <cell r="L569" t="str">
            <v xml:space="preserve">Tramos Existentes </v>
          </cell>
          <cell r="M569" t="str">
            <v>Existente</v>
          </cell>
        </row>
        <row r="570">
          <cell r="B570">
            <v>1021</v>
          </cell>
          <cell r="C570">
            <v>695</v>
          </cell>
          <cell r="D570">
            <v>1.4999999999999999E-2</v>
          </cell>
          <cell r="E570">
            <v>12</v>
          </cell>
          <cell r="F570">
            <v>1315.23</v>
          </cell>
          <cell r="G570">
            <v>1316.08</v>
          </cell>
          <cell r="H570">
            <v>1311.33</v>
          </cell>
          <cell r="I570">
            <v>1311.02</v>
          </cell>
          <cell r="J570">
            <v>36.799999999999997</v>
          </cell>
          <cell r="K570">
            <v>0</v>
          </cell>
          <cell r="L570" t="str">
            <v xml:space="preserve">Tramos Existentes </v>
          </cell>
          <cell r="M570" t="str">
            <v>Existente</v>
          </cell>
        </row>
        <row r="571">
          <cell r="B571" t="str">
            <v>AD13</v>
          </cell>
          <cell r="C571" t="str">
            <v>AD14</v>
          </cell>
          <cell r="D571">
            <v>1.2999999999999999E-2</v>
          </cell>
          <cell r="E571">
            <v>10</v>
          </cell>
          <cell r="F571">
            <v>1297.57</v>
          </cell>
          <cell r="G571">
            <v>1294.5899999999999</v>
          </cell>
          <cell r="H571">
            <v>1293.3399999999999</v>
          </cell>
          <cell r="I571">
            <v>1293.23</v>
          </cell>
          <cell r="J571">
            <v>22</v>
          </cell>
          <cell r="K571">
            <v>0</v>
          </cell>
          <cell r="L571" t="str">
            <v>Unificacion de Vertimientos</v>
          </cell>
          <cell r="M571" t="str">
            <v>Nuevo</v>
          </cell>
        </row>
        <row r="572">
          <cell r="B572">
            <v>102</v>
          </cell>
          <cell r="C572">
            <v>103</v>
          </cell>
          <cell r="D572">
            <v>0.01</v>
          </cell>
          <cell r="E572">
            <v>12</v>
          </cell>
          <cell r="F572">
            <v>1297.5999999999999</v>
          </cell>
          <cell r="G572">
            <v>1296.45</v>
          </cell>
          <cell r="H572">
            <v>1290.23</v>
          </cell>
          <cell r="I572">
            <v>1284.8499999999999</v>
          </cell>
          <cell r="J572">
            <v>16.2</v>
          </cell>
          <cell r="K572">
            <v>0</v>
          </cell>
          <cell r="L572" t="str">
            <v xml:space="preserve">Tramos Existentes </v>
          </cell>
          <cell r="M572" t="str">
            <v>Existente</v>
          </cell>
        </row>
        <row r="573">
          <cell r="B573">
            <v>103</v>
          </cell>
          <cell r="C573">
            <v>107</v>
          </cell>
          <cell r="D573">
            <v>0.01</v>
          </cell>
          <cell r="E573">
            <v>12</v>
          </cell>
          <cell r="F573">
            <v>1296.45</v>
          </cell>
          <cell r="G573">
            <v>1294.8599999999999</v>
          </cell>
          <cell r="H573">
            <v>1284.8499999999999</v>
          </cell>
          <cell r="I573">
            <v>1283.22</v>
          </cell>
          <cell r="J573">
            <v>52.4</v>
          </cell>
          <cell r="K573">
            <v>0</v>
          </cell>
          <cell r="L573" t="str">
            <v xml:space="preserve">Tramos Existentes </v>
          </cell>
          <cell r="M573" t="str">
            <v>Existente</v>
          </cell>
        </row>
        <row r="574">
          <cell r="B574">
            <v>107</v>
          </cell>
          <cell r="C574">
            <v>982</v>
          </cell>
          <cell r="D574">
            <v>0.01</v>
          </cell>
          <cell r="E574">
            <v>12</v>
          </cell>
          <cell r="F574">
            <v>1294.8599999999999</v>
          </cell>
          <cell r="G574">
            <v>1283.76</v>
          </cell>
          <cell r="H574">
            <v>1283.22</v>
          </cell>
          <cell r="I574">
            <v>1281.29</v>
          </cell>
          <cell r="J574">
            <v>56.8</v>
          </cell>
          <cell r="K574">
            <v>0</v>
          </cell>
          <cell r="L574" t="str">
            <v xml:space="preserve">Tramos Existentes </v>
          </cell>
          <cell r="M574" t="str">
            <v>Existente</v>
          </cell>
        </row>
        <row r="575">
          <cell r="B575">
            <v>982</v>
          </cell>
          <cell r="C575">
            <v>985</v>
          </cell>
          <cell r="D575">
            <v>1.4999999999999999E-2</v>
          </cell>
          <cell r="E575">
            <v>20</v>
          </cell>
          <cell r="F575">
            <v>1283.76</v>
          </cell>
          <cell r="G575">
            <v>1280.7</v>
          </cell>
          <cell r="H575">
            <v>1281.29</v>
          </cell>
          <cell r="I575">
            <v>1278.2</v>
          </cell>
          <cell r="J575">
            <v>67.3</v>
          </cell>
          <cell r="K575">
            <v>0</v>
          </cell>
          <cell r="L575" t="str">
            <v xml:space="preserve">Tramos Existentes </v>
          </cell>
          <cell r="M575" t="str">
            <v>Existente</v>
          </cell>
        </row>
        <row r="576">
          <cell r="B576">
            <v>985</v>
          </cell>
          <cell r="C576">
            <v>281</v>
          </cell>
          <cell r="D576">
            <v>0.01</v>
          </cell>
          <cell r="E576">
            <v>24</v>
          </cell>
          <cell r="F576">
            <v>1280.7</v>
          </cell>
          <cell r="G576">
            <v>1279.49</v>
          </cell>
          <cell r="H576">
            <v>1278.2</v>
          </cell>
          <cell r="I576">
            <v>1277.8499999999999</v>
          </cell>
          <cell r="J576">
            <v>58.8</v>
          </cell>
          <cell r="K576">
            <v>0</v>
          </cell>
          <cell r="L576" t="str">
            <v xml:space="preserve">Tramos Existentes </v>
          </cell>
          <cell r="M576" t="str">
            <v>Existente</v>
          </cell>
        </row>
        <row r="577">
          <cell r="B577" t="str">
            <v>416i</v>
          </cell>
          <cell r="C577">
            <v>629</v>
          </cell>
          <cell r="D577">
            <v>1.4999999999999999E-2</v>
          </cell>
          <cell r="E577">
            <v>8</v>
          </cell>
          <cell r="F577">
            <v>1316.4</v>
          </cell>
          <cell r="G577">
            <v>1314.41</v>
          </cell>
          <cell r="H577">
            <v>1313.71</v>
          </cell>
          <cell r="I577">
            <v>1312.28</v>
          </cell>
          <cell r="J577">
            <v>58.1</v>
          </cell>
          <cell r="K577">
            <v>0</v>
          </cell>
          <cell r="L577" t="str">
            <v xml:space="preserve">Tramos Existentes </v>
          </cell>
          <cell r="M577" t="str">
            <v>Existente</v>
          </cell>
        </row>
        <row r="578">
          <cell r="B578">
            <v>1020</v>
          </cell>
          <cell r="C578">
            <v>691</v>
          </cell>
          <cell r="D578">
            <v>1.4999999999999999E-2</v>
          </cell>
          <cell r="E578">
            <v>8</v>
          </cell>
          <cell r="F578">
            <v>1313.52</v>
          </cell>
          <cell r="G578">
            <v>1315.43</v>
          </cell>
          <cell r="H578">
            <v>1311.38</v>
          </cell>
          <cell r="I578">
            <v>1308.95</v>
          </cell>
          <cell r="J578">
            <v>33.6</v>
          </cell>
          <cell r="K578">
            <v>0</v>
          </cell>
          <cell r="L578" t="str">
            <v xml:space="preserve">Tramos Existentes </v>
          </cell>
          <cell r="M578" t="str">
            <v>Existente</v>
          </cell>
        </row>
        <row r="579">
          <cell r="B579">
            <v>691</v>
          </cell>
          <cell r="C579">
            <v>980</v>
          </cell>
          <cell r="D579">
            <v>0.01</v>
          </cell>
          <cell r="E579">
            <v>12</v>
          </cell>
          <cell r="F579">
            <v>1315.43</v>
          </cell>
          <cell r="G579">
            <v>1301.49</v>
          </cell>
          <cell r="H579">
            <v>1308.95</v>
          </cell>
          <cell r="I579">
            <v>1296.98</v>
          </cell>
          <cell r="J579">
            <v>66.599999999999994</v>
          </cell>
          <cell r="K579">
            <v>0</v>
          </cell>
          <cell r="L579" t="str">
            <v xml:space="preserve">Tramos Existentes </v>
          </cell>
          <cell r="M579" t="str">
            <v>Existente</v>
          </cell>
        </row>
        <row r="580">
          <cell r="B580" t="str">
            <v>1023i</v>
          </cell>
          <cell r="C580" t="str">
            <v>D4</v>
          </cell>
          <cell r="D580">
            <v>0.01</v>
          </cell>
          <cell r="E580">
            <v>20</v>
          </cell>
          <cell r="F580">
            <v>1297.56</v>
          </cell>
          <cell r="G580">
            <v>1295.17</v>
          </cell>
          <cell r="H580">
            <v>1296.05</v>
          </cell>
          <cell r="I580">
            <v>1295.3900000000001</v>
          </cell>
          <cell r="J580">
            <v>12.8</v>
          </cell>
          <cell r="K580">
            <v>0</v>
          </cell>
          <cell r="L580" t="str">
            <v>Inhabilitar</v>
          </cell>
          <cell r="M580" t="str">
            <v>Existente</v>
          </cell>
        </row>
        <row r="581">
          <cell r="B581">
            <v>595</v>
          </cell>
          <cell r="C581">
            <v>594</v>
          </cell>
          <cell r="D581">
            <v>1.4999999999999999E-2</v>
          </cell>
          <cell r="E581">
            <v>12</v>
          </cell>
          <cell r="F581">
            <v>1315.24</v>
          </cell>
          <cell r="G581">
            <v>1315.8</v>
          </cell>
          <cell r="H581">
            <v>1312.27</v>
          </cell>
          <cell r="I581">
            <v>1312.2</v>
          </cell>
          <cell r="J581">
            <v>15.4</v>
          </cell>
          <cell r="K581">
            <v>0</v>
          </cell>
          <cell r="L581" t="str">
            <v xml:space="preserve">Tramos Existentes </v>
          </cell>
          <cell r="M581" t="str">
            <v>Existente</v>
          </cell>
        </row>
        <row r="582">
          <cell r="B582">
            <v>1026</v>
          </cell>
          <cell r="C582">
            <v>1047</v>
          </cell>
          <cell r="D582">
            <v>1.4999999999999999E-2</v>
          </cell>
          <cell r="E582">
            <v>8</v>
          </cell>
          <cell r="F582">
            <v>1296.95</v>
          </cell>
          <cell r="G582">
            <v>1295.4000000000001</v>
          </cell>
          <cell r="H582">
            <v>1293.23</v>
          </cell>
          <cell r="I582">
            <v>1290.7</v>
          </cell>
          <cell r="J582">
            <v>83.6</v>
          </cell>
          <cell r="K582">
            <v>0</v>
          </cell>
          <cell r="L582" t="str">
            <v xml:space="preserve">Tramos Existentes </v>
          </cell>
          <cell r="M582" t="str">
            <v>Existente</v>
          </cell>
        </row>
        <row r="583">
          <cell r="B583">
            <v>695</v>
          </cell>
          <cell r="C583">
            <v>694</v>
          </cell>
          <cell r="D583">
            <v>1.4999999999999999E-2</v>
          </cell>
          <cell r="E583">
            <v>12</v>
          </cell>
          <cell r="F583">
            <v>1316.08</v>
          </cell>
          <cell r="G583">
            <v>1314.24</v>
          </cell>
          <cell r="H583">
            <v>1311.02</v>
          </cell>
          <cell r="I583">
            <v>1310.06</v>
          </cell>
          <cell r="J583">
            <v>18.600000000000001</v>
          </cell>
          <cell r="K583">
            <v>0</v>
          </cell>
          <cell r="L583" t="str">
            <v xml:space="preserve">Tramos Existentes </v>
          </cell>
          <cell r="M583" t="str">
            <v>Existente</v>
          </cell>
        </row>
        <row r="584">
          <cell r="B584">
            <v>694</v>
          </cell>
          <cell r="C584">
            <v>729</v>
          </cell>
          <cell r="D584">
            <v>0.01</v>
          </cell>
          <cell r="E584">
            <v>12</v>
          </cell>
          <cell r="F584">
            <v>1314.24</v>
          </cell>
          <cell r="G584">
            <v>1307.21</v>
          </cell>
          <cell r="H584">
            <v>1310.06</v>
          </cell>
          <cell r="I584">
            <v>1303.1500000000001</v>
          </cell>
          <cell r="J584">
            <v>32.299999999999997</v>
          </cell>
          <cell r="K584">
            <v>0</v>
          </cell>
          <cell r="L584" t="str">
            <v xml:space="preserve">Tramos Existentes </v>
          </cell>
          <cell r="M584" t="str">
            <v>Existente</v>
          </cell>
        </row>
        <row r="585">
          <cell r="B585">
            <v>630</v>
          </cell>
          <cell r="C585">
            <v>890</v>
          </cell>
          <cell r="D585">
            <v>1.4999999999999999E-2</v>
          </cell>
          <cell r="E585">
            <v>10</v>
          </cell>
          <cell r="F585">
            <v>1315.3</v>
          </cell>
          <cell r="G585">
            <v>1313.63</v>
          </cell>
          <cell r="H585">
            <v>1305.45</v>
          </cell>
          <cell r="I585">
            <v>1303.74</v>
          </cell>
          <cell r="J585">
            <v>24.6</v>
          </cell>
          <cell r="K585">
            <v>0</v>
          </cell>
          <cell r="L585" t="str">
            <v xml:space="preserve">Tramos Existentes </v>
          </cell>
          <cell r="M585" t="str">
            <v>Existente</v>
          </cell>
        </row>
        <row r="586">
          <cell r="B586">
            <v>890</v>
          </cell>
          <cell r="C586">
            <v>1022</v>
          </cell>
          <cell r="D586">
            <v>0.01</v>
          </cell>
          <cell r="E586">
            <v>12</v>
          </cell>
          <cell r="F586">
            <v>1313.63</v>
          </cell>
          <cell r="G586">
            <v>1301.47</v>
          </cell>
          <cell r="H586">
            <v>1303.74</v>
          </cell>
          <cell r="I586">
            <v>1296.32</v>
          </cell>
          <cell r="J586">
            <v>81.8</v>
          </cell>
          <cell r="K586">
            <v>0</v>
          </cell>
          <cell r="L586" t="str">
            <v xml:space="preserve">Tramos Existentes </v>
          </cell>
          <cell r="M586" t="str">
            <v>Existente</v>
          </cell>
        </row>
        <row r="587">
          <cell r="B587">
            <v>1022</v>
          </cell>
          <cell r="C587">
            <v>1023</v>
          </cell>
          <cell r="D587">
            <v>0.01</v>
          </cell>
          <cell r="E587">
            <v>12</v>
          </cell>
          <cell r="F587">
            <v>1301.47</v>
          </cell>
          <cell r="G587">
            <v>1297.56</v>
          </cell>
          <cell r="H587">
            <v>1296.32</v>
          </cell>
          <cell r="I587">
            <v>1295.8900000000001</v>
          </cell>
          <cell r="J587">
            <v>8.4</v>
          </cell>
          <cell r="K587">
            <v>0</v>
          </cell>
          <cell r="L587" t="str">
            <v xml:space="preserve">Tramos Existentes </v>
          </cell>
          <cell r="M587" t="str">
            <v>Existente</v>
          </cell>
        </row>
        <row r="588">
          <cell r="B588">
            <v>1023</v>
          </cell>
          <cell r="C588">
            <v>1024</v>
          </cell>
          <cell r="D588">
            <v>0.01</v>
          </cell>
          <cell r="E588">
            <v>12</v>
          </cell>
          <cell r="F588">
            <v>1297.56</v>
          </cell>
          <cell r="G588">
            <v>1295.03</v>
          </cell>
          <cell r="H588">
            <v>1295.8900000000001</v>
          </cell>
          <cell r="I588">
            <v>1293.72</v>
          </cell>
          <cell r="J588">
            <v>21</v>
          </cell>
          <cell r="K588">
            <v>0</v>
          </cell>
          <cell r="L588" t="str">
            <v xml:space="preserve">Tramos Existentes </v>
          </cell>
          <cell r="M588" t="str">
            <v>Existente</v>
          </cell>
        </row>
        <row r="589">
          <cell r="B589">
            <v>1024</v>
          </cell>
          <cell r="C589">
            <v>349</v>
          </cell>
          <cell r="D589">
            <v>0.01</v>
          </cell>
          <cell r="E589">
            <v>12</v>
          </cell>
          <cell r="F589">
            <v>1295.03</v>
          </cell>
          <cell r="G589">
            <v>1295.4100000000001</v>
          </cell>
          <cell r="H589">
            <v>1293.72</v>
          </cell>
          <cell r="I589">
            <v>1293.58</v>
          </cell>
          <cell r="J589">
            <v>72.2</v>
          </cell>
          <cell r="K589">
            <v>0</v>
          </cell>
          <cell r="L589" t="str">
            <v xml:space="preserve">Tramos Existentes </v>
          </cell>
          <cell r="M589" t="str">
            <v>Existente</v>
          </cell>
        </row>
        <row r="590">
          <cell r="B590">
            <v>349</v>
          </cell>
          <cell r="C590">
            <v>1025</v>
          </cell>
          <cell r="D590">
            <v>0.01</v>
          </cell>
          <cell r="E590">
            <v>12</v>
          </cell>
          <cell r="F590">
            <v>1295.4100000000001</v>
          </cell>
          <cell r="G590">
            <v>1295.4000000000001</v>
          </cell>
          <cell r="H590">
            <v>1293.58</v>
          </cell>
          <cell r="I590">
            <v>1293.4000000000001</v>
          </cell>
          <cell r="J590">
            <v>30.5</v>
          </cell>
          <cell r="K590">
            <v>0</v>
          </cell>
          <cell r="L590" t="str">
            <v xml:space="preserve">Tramos Existentes </v>
          </cell>
          <cell r="M590" t="str">
            <v>Existente</v>
          </cell>
        </row>
        <row r="591">
          <cell r="B591">
            <v>477</v>
          </cell>
          <cell r="C591">
            <v>476</v>
          </cell>
          <cell r="D591">
            <v>1.4999999999999999E-2</v>
          </cell>
          <cell r="E591">
            <v>8</v>
          </cell>
          <cell r="F591">
            <v>1310.29</v>
          </cell>
          <cell r="G591">
            <v>1310.6099999999999</v>
          </cell>
          <cell r="H591">
            <v>1308.99</v>
          </cell>
          <cell r="I591">
            <v>1307.83</v>
          </cell>
          <cell r="J591">
            <v>18.3</v>
          </cell>
          <cell r="K591">
            <v>0</v>
          </cell>
          <cell r="L591" t="str">
            <v xml:space="preserve">Tramos Existentes </v>
          </cell>
          <cell r="M591" t="str">
            <v>Existente</v>
          </cell>
        </row>
        <row r="592">
          <cell r="B592" t="str">
            <v>1021i</v>
          </cell>
          <cell r="C592">
            <v>595</v>
          </cell>
          <cell r="D592">
            <v>1.4999999999999999E-2</v>
          </cell>
          <cell r="E592">
            <v>12</v>
          </cell>
          <cell r="F592">
            <v>1315.23</v>
          </cell>
          <cell r="G592">
            <v>1315.24</v>
          </cell>
          <cell r="H592">
            <v>1312.3</v>
          </cell>
          <cell r="I592">
            <v>1312.27</v>
          </cell>
          <cell r="J592">
            <v>33.1</v>
          </cell>
          <cell r="K592">
            <v>0</v>
          </cell>
          <cell r="L592" t="str">
            <v xml:space="preserve">Tramos Existentes </v>
          </cell>
          <cell r="M592" t="str">
            <v>Existente</v>
          </cell>
        </row>
        <row r="593">
          <cell r="B593">
            <v>974</v>
          </cell>
          <cell r="C593">
            <v>528</v>
          </cell>
          <cell r="D593">
            <v>1.4999999999999999E-2</v>
          </cell>
          <cell r="E593">
            <v>12</v>
          </cell>
          <cell r="F593">
            <v>1311.27</v>
          </cell>
          <cell r="G593">
            <v>1310</v>
          </cell>
          <cell r="H593">
            <v>1306.26</v>
          </cell>
          <cell r="I593">
            <v>1306.22</v>
          </cell>
          <cell r="J593">
            <v>33.700000000000003</v>
          </cell>
          <cell r="K593">
            <v>0</v>
          </cell>
          <cell r="L593" t="str">
            <v xml:space="preserve">Tramos Existentes </v>
          </cell>
          <cell r="M593" t="str">
            <v>Existente</v>
          </cell>
        </row>
        <row r="594">
          <cell r="B594">
            <v>1032</v>
          </cell>
          <cell r="C594">
            <v>1035</v>
          </cell>
          <cell r="D594">
            <v>1.4999999999999999E-2</v>
          </cell>
          <cell r="E594">
            <v>10</v>
          </cell>
          <cell r="F594">
            <v>1309.42</v>
          </cell>
          <cell r="G594">
            <v>1308.71</v>
          </cell>
          <cell r="H594">
            <v>1307.42</v>
          </cell>
          <cell r="I594">
            <v>1306.6600000000001</v>
          </cell>
          <cell r="J594">
            <v>12.3</v>
          </cell>
          <cell r="K594">
            <v>0</v>
          </cell>
          <cell r="L594" t="str">
            <v xml:space="preserve">Tramos Existentes </v>
          </cell>
          <cell r="M594" t="str">
            <v>Existente</v>
          </cell>
        </row>
        <row r="595">
          <cell r="B595">
            <v>290</v>
          </cell>
          <cell r="C595">
            <v>136</v>
          </cell>
          <cell r="D595">
            <v>1.4999999999999999E-2</v>
          </cell>
          <cell r="E595">
            <v>16</v>
          </cell>
          <cell r="F595">
            <v>1277.29</v>
          </cell>
          <cell r="G595">
            <v>1270.0999999999999</v>
          </cell>
          <cell r="H595">
            <v>1273.8699999999999</v>
          </cell>
          <cell r="I595">
            <v>1273.73</v>
          </cell>
          <cell r="J595">
            <v>9.4</v>
          </cell>
          <cell r="K595">
            <v>0</v>
          </cell>
          <cell r="L595" t="str">
            <v xml:space="preserve">Tramos Existentes </v>
          </cell>
          <cell r="M595" t="str">
            <v>Existente</v>
          </cell>
        </row>
        <row r="596">
          <cell r="B596">
            <v>1045</v>
          </cell>
          <cell r="C596">
            <v>1044</v>
          </cell>
          <cell r="D596">
            <v>1.4999999999999999E-2</v>
          </cell>
          <cell r="E596">
            <v>12</v>
          </cell>
          <cell r="F596">
            <v>1294.27</v>
          </cell>
          <cell r="G596">
            <v>1284.51</v>
          </cell>
          <cell r="H596">
            <v>1290.19</v>
          </cell>
          <cell r="I596">
            <v>1280.21</v>
          </cell>
          <cell r="J596">
            <v>18.600000000000001</v>
          </cell>
          <cell r="K596">
            <v>0</v>
          </cell>
          <cell r="L596" t="str">
            <v xml:space="preserve">Tramos Existentes </v>
          </cell>
          <cell r="M596" t="str">
            <v>Existente</v>
          </cell>
        </row>
        <row r="597">
          <cell r="B597">
            <v>1044</v>
          </cell>
          <cell r="C597">
            <v>1043</v>
          </cell>
          <cell r="D597">
            <v>1.4999999999999999E-2</v>
          </cell>
          <cell r="E597">
            <v>12</v>
          </cell>
          <cell r="F597">
            <v>1284.51</v>
          </cell>
          <cell r="G597">
            <v>1279.17</v>
          </cell>
          <cell r="H597">
            <v>1280.21</v>
          </cell>
          <cell r="I597">
            <v>1275.77</v>
          </cell>
          <cell r="J597">
            <v>9.4</v>
          </cell>
          <cell r="K597">
            <v>0</v>
          </cell>
          <cell r="L597" t="str">
            <v xml:space="preserve">Tramos Existentes </v>
          </cell>
          <cell r="M597" t="str">
            <v>Existente</v>
          </cell>
        </row>
        <row r="598">
          <cell r="B598">
            <v>1043</v>
          </cell>
          <cell r="C598">
            <v>288</v>
          </cell>
          <cell r="D598">
            <v>0.01</v>
          </cell>
          <cell r="E598">
            <v>16</v>
          </cell>
          <cell r="F598">
            <v>1279.17</v>
          </cell>
          <cell r="G598">
            <v>1276.6400000000001</v>
          </cell>
          <cell r="H598">
            <v>1275.77</v>
          </cell>
          <cell r="I598">
            <v>1274.0999999999999</v>
          </cell>
          <cell r="J598">
            <v>28.9</v>
          </cell>
          <cell r="K598">
            <v>0</v>
          </cell>
          <cell r="L598" t="str">
            <v xml:space="preserve">Tramos Existentes </v>
          </cell>
          <cell r="M598" t="str">
            <v>Existente</v>
          </cell>
        </row>
        <row r="599">
          <cell r="B599">
            <v>275</v>
          </cell>
          <cell r="C599">
            <v>276</v>
          </cell>
          <cell r="D599">
            <v>1.4999999999999999E-2</v>
          </cell>
          <cell r="E599">
            <v>10</v>
          </cell>
          <cell r="F599">
            <v>1317.4</v>
          </cell>
          <cell r="G599">
            <v>1317.96</v>
          </cell>
          <cell r="H599">
            <v>1316.54</v>
          </cell>
          <cell r="I599">
            <v>1315.75</v>
          </cell>
          <cell r="J599">
            <v>40.9</v>
          </cell>
          <cell r="K599">
            <v>0</v>
          </cell>
          <cell r="L599" t="str">
            <v xml:space="preserve">Tramos Existentes </v>
          </cell>
          <cell r="M599" t="str">
            <v>Existente</v>
          </cell>
        </row>
        <row r="600">
          <cell r="B600">
            <v>347</v>
          </cell>
          <cell r="C600">
            <v>411</v>
          </cell>
          <cell r="D600">
            <v>1.4999999999999999E-2</v>
          </cell>
          <cell r="E600">
            <v>12</v>
          </cell>
          <cell r="F600">
            <v>1316.45</v>
          </cell>
          <cell r="G600">
            <v>1313.45</v>
          </cell>
          <cell r="H600">
            <v>1314.03</v>
          </cell>
          <cell r="I600">
            <v>1310.1099999999999</v>
          </cell>
          <cell r="J600">
            <v>73.7</v>
          </cell>
          <cell r="K600">
            <v>0</v>
          </cell>
          <cell r="L600" t="str">
            <v xml:space="preserve">Tramos Existentes </v>
          </cell>
          <cell r="M600" t="str">
            <v>Existente</v>
          </cell>
        </row>
        <row r="601">
          <cell r="B601">
            <v>412</v>
          </cell>
          <cell r="C601">
            <v>1046</v>
          </cell>
          <cell r="D601">
            <v>1.4999999999999999E-2</v>
          </cell>
          <cell r="E601">
            <v>12</v>
          </cell>
          <cell r="F601">
            <v>1310.0999999999999</v>
          </cell>
          <cell r="G601">
            <v>1297.18</v>
          </cell>
          <cell r="H601">
            <v>1308.19</v>
          </cell>
          <cell r="I601">
            <v>1294.8800000000001</v>
          </cell>
          <cell r="J601">
            <v>37.6</v>
          </cell>
          <cell r="K601">
            <v>0</v>
          </cell>
          <cell r="L601" t="str">
            <v xml:space="preserve">Tramos Existentes </v>
          </cell>
          <cell r="M601" t="str">
            <v>Existente</v>
          </cell>
        </row>
        <row r="602">
          <cell r="B602">
            <v>899</v>
          </cell>
          <cell r="C602">
            <v>1049</v>
          </cell>
          <cell r="D602">
            <v>1.4999999999999999E-2</v>
          </cell>
          <cell r="E602">
            <v>12</v>
          </cell>
          <cell r="F602">
            <v>1312.28</v>
          </cell>
          <cell r="G602">
            <v>1312.44</v>
          </cell>
          <cell r="H602">
            <v>1310.27</v>
          </cell>
          <cell r="I602">
            <v>1309.6099999999999</v>
          </cell>
          <cell r="J602">
            <v>26</v>
          </cell>
          <cell r="K602">
            <v>0</v>
          </cell>
          <cell r="L602" t="str">
            <v xml:space="preserve">Tramos Existentes </v>
          </cell>
          <cell r="M602" t="str">
            <v>Existente</v>
          </cell>
        </row>
        <row r="603">
          <cell r="B603">
            <v>288</v>
          </cell>
          <cell r="C603">
            <v>289</v>
          </cell>
          <cell r="D603">
            <v>0.01</v>
          </cell>
          <cell r="E603">
            <v>16</v>
          </cell>
          <cell r="F603">
            <v>1276.6400000000001</v>
          </cell>
          <cell r="G603">
            <v>1278.0999999999999</v>
          </cell>
          <cell r="H603">
            <v>1274.0999999999999</v>
          </cell>
          <cell r="I603">
            <v>1274.06</v>
          </cell>
          <cell r="J603">
            <v>8.5</v>
          </cell>
          <cell r="K603">
            <v>0</v>
          </cell>
          <cell r="L603" t="str">
            <v xml:space="preserve">Tramos Existentes </v>
          </cell>
          <cell r="M603" t="str">
            <v>Existente</v>
          </cell>
        </row>
        <row r="604">
          <cell r="B604">
            <v>972</v>
          </cell>
          <cell r="C604">
            <v>973</v>
          </cell>
          <cell r="D604">
            <v>1.4999999999999999E-2</v>
          </cell>
          <cell r="E604">
            <v>12</v>
          </cell>
          <cell r="F604">
            <v>1312.87</v>
          </cell>
          <cell r="G604">
            <v>1312.17</v>
          </cell>
          <cell r="H604">
            <v>1306.9100000000001</v>
          </cell>
          <cell r="I604">
            <v>1306.6199999999999</v>
          </cell>
          <cell r="J604">
            <v>26.5</v>
          </cell>
          <cell r="K604">
            <v>0</v>
          </cell>
          <cell r="L604" t="str">
            <v xml:space="preserve">Tramos Existentes </v>
          </cell>
          <cell r="M604" t="str">
            <v>Existente</v>
          </cell>
        </row>
        <row r="605">
          <cell r="B605">
            <v>287</v>
          </cell>
          <cell r="C605">
            <v>288</v>
          </cell>
          <cell r="D605">
            <v>0.01</v>
          </cell>
          <cell r="E605">
            <v>14</v>
          </cell>
          <cell r="F605">
            <v>1276.33</v>
          </cell>
          <cell r="G605">
            <v>1276.6400000000001</v>
          </cell>
          <cell r="H605">
            <v>1274.9100000000001</v>
          </cell>
          <cell r="I605">
            <v>1274.0999999999999</v>
          </cell>
          <cell r="J605">
            <v>38.4</v>
          </cell>
          <cell r="K605">
            <v>0</v>
          </cell>
          <cell r="L605" t="str">
            <v xml:space="preserve">Tramos Existentes </v>
          </cell>
          <cell r="M605" t="str">
            <v>Existente</v>
          </cell>
        </row>
        <row r="606">
          <cell r="B606">
            <v>273</v>
          </cell>
          <cell r="C606">
            <v>272</v>
          </cell>
          <cell r="D606">
            <v>0.01</v>
          </cell>
          <cell r="E606">
            <v>8</v>
          </cell>
          <cell r="F606">
            <v>1319.41</v>
          </cell>
          <cell r="G606">
            <v>1316.96</v>
          </cell>
          <cell r="H606">
            <v>1317.94</v>
          </cell>
          <cell r="I606">
            <v>1315.45</v>
          </cell>
          <cell r="J606">
            <v>29</v>
          </cell>
          <cell r="K606">
            <v>0</v>
          </cell>
          <cell r="L606" t="str">
            <v xml:space="preserve">Tramos Existentes </v>
          </cell>
          <cell r="M606" t="str">
            <v>Existente</v>
          </cell>
        </row>
        <row r="607">
          <cell r="B607">
            <v>272</v>
          </cell>
          <cell r="C607">
            <v>271</v>
          </cell>
          <cell r="D607">
            <v>1.4999999999999999E-2</v>
          </cell>
          <cell r="E607">
            <v>10</v>
          </cell>
          <cell r="F607">
            <v>1316.96</v>
          </cell>
          <cell r="G607">
            <v>1316.81</v>
          </cell>
          <cell r="H607">
            <v>1315.45</v>
          </cell>
          <cell r="I607">
            <v>1315</v>
          </cell>
          <cell r="J607">
            <v>20.5</v>
          </cell>
          <cell r="K607">
            <v>0</v>
          </cell>
          <cell r="L607" t="str">
            <v xml:space="preserve">Tramos Existentes </v>
          </cell>
          <cell r="M607" t="str">
            <v>Existente</v>
          </cell>
        </row>
        <row r="608">
          <cell r="B608">
            <v>341</v>
          </cell>
          <cell r="C608">
            <v>343</v>
          </cell>
          <cell r="D608">
            <v>0.01</v>
          </cell>
          <cell r="E608">
            <v>8</v>
          </cell>
          <cell r="F608">
            <v>1316.17</v>
          </cell>
          <cell r="G608">
            <v>1314.25</v>
          </cell>
          <cell r="H608">
            <v>1314.16</v>
          </cell>
          <cell r="I608">
            <v>1309.02</v>
          </cell>
          <cell r="J608">
            <v>30.9</v>
          </cell>
          <cell r="K608">
            <v>0</v>
          </cell>
          <cell r="L608" t="str">
            <v xml:space="preserve">Tramos Existentes </v>
          </cell>
          <cell r="M608" t="str">
            <v>Existente</v>
          </cell>
        </row>
        <row r="609">
          <cell r="B609">
            <v>343</v>
          </cell>
          <cell r="C609">
            <v>1050</v>
          </cell>
          <cell r="D609">
            <v>1.4999999999999999E-2</v>
          </cell>
          <cell r="E609">
            <v>10</v>
          </cell>
          <cell r="F609">
            <v>1314.25</v>
          </cell>
          <cell r="G609">
            <v>1304.1300000000001</v>
          </cell>
          <cell r="H609">
            <v>1309.02</v>
          </cell>
          <cell r="I609">
            <v>1302.8699999999999</v>
          </cell>
          <cell r="J609">
            <v>31.9</v>
          </cell>
          <cell r="K609">
            <v>0</v>
          </cell>
          <cell r="L609" t="str">
            <v xml:space="preserve">Tramos Existentes </v>
          </cell>
          <cell r="M609" t="str">
            <v>Existente</v>
          </cell>
        </row>
        <row r="610">
          <cell r="B610">
            <v>1050</v>
          </cell>
          <cell r="C610">
            <v>1024</v>
          </cell>
          <cell r="D610">
            <v>1.4999999999999999E-2</v>
          </cell>
          <cell r="E610">
            <v>10</v>
          </cell>
          <cell r="F610">
            <v>1304.1300000000001</v>
          </cell>
          <cell r="G610">
            <v>1295.03</v>
          </cell>
          <cell r="H610">
            <v>1302.8699999999999</v>
          </cell>
          <cell r="I610">
            <v>1293.72</v>
          </cell>
          <cell r="J610">
            <v>48.5</v>
          </cell>
          <cell r="K610">
            <v>0</v>
          </cell>
          <cell r="L610" t="str">
            <v xml:space="preserve">Tramos Existentes </v>
          </cell>
          <cell r="M610" t="str">
            <v>Existente</v>
          </cell>
        </row>
        <row r="611">
          <cell r="B611">
            <v>703</v>
          </cell>
          <cell r="C611">
            <v>698</v>
          </cell>
          <cell r="D611">
            <v>1.4999999999999999E-2</v>
          </cell>
          <cell r="E611">
            <v>8</v>
          </cell>
          <cell r="F611">
            <v>1301.56</v>
          </cell>
          <cell r="G611">
            <v>1301.01</v>
          </cell>
          <cell r="H611">
            <v>1300.18</v>
          </cell>
          <cell r="I611">
            <v>1299.49</v>
          </cell>
          <cell r="J611">
            <v>32.200000000000003</v>
          </cell>
          <cell r="K611">
            <v>0</v>
          </cell>
          <cell r="L611" t="str">
            <v xml:space="preserve">Tramos Existentes </v>
          </cell>
          <cell r="M611" t="str">
            <v>Existente</v>
          </cell>
        </row>
        <row r="612">
          <cell r="B612">
            <v>698</v>
          </cell>
          <cell r="C612">
            <v>699</v>
          </cell>
          <cell r="D612">
            <v>1.4999999999999999E-2</v>
          </cell>
          <cell r="E612">
            <v>8</v>
          </cell>
          <cell r="F612">
            <v>1301.01</v>
          </cell>
          <cell r="G612">
            <v>1300.8800000000001</v>
          </cell>
          <cell r="H612">
            <v>1299.49</v>
          </cell>
          <cell r="I612">
            <v>1299.32</v>
          </cell>
          <cell r="J612">
            <v>59.3</v>
          </cell>
          <cell r="K612">
            <v>0</v>
          </cell>
          <cell r="L612" t="str">
            <v xml:space="preserve">Tramos Existentes </v>
          </cell>
          <cell r="M612" t="str">
            <v>Existente</v>
          </cell>
        </row>
        <row r="613">
          <cell r="B613">
            <v>699</v>
          </cell>
          <cell r="C613">
            <v>700</v>
          </cell>
          <cell r="D613">
            <v>1.4999999999999999E-2</v>
          </cell>
          <cell r="E613">
            <v>8</v>
          </cell>
          <cell r="F613">
            <v>1300.8800000000001</v>
          </cell>
          <cell r="G613">
            <v>1299.77</v>
          </cell>
          <cell r="H613">
            <v>1299.32</v>
          </cell>
          <cell r="I613">
            <v>1298.17</v>
          </cell>
          <cell r="J613">
            <v>65.3</v>
          </cell>
          <cell r="K613">
            <v>0</v>
          </cell>
          <cell r="L613" t="str">
            <v xml:space="preserve">Tramos Existentes </v>
          </cell>
          <cell r="M613" t="str">
            <v>Existente</v>
          </cell>
        </row>
        <row r="614">
          <cell r="B614">
            <v>700</v>
          </cell>
          <cell r="C614">
            <v>781</v>
          </cell>
          <cell r="D614">
            <v>1.4999999999999999E-2</v>
          </cell>
          <cell r="E614">
            <v>8</v>
          </cell>
          <cell r="F614">
            <v>1299.77</v>
          </cell>
          <cell r="G614">
            <v>1297.8900000000001</v>
          </cell>
          <cell r="H614">
            <v>1298.17</v>
          </cell>
          <cell r="I614">
            <v>1295.8</v>
          </cell>
          <cell r="J614">
            <v>59.8</v>
          </cell>
          <cell r="K614">
            <v>0</v>
          </cell>
          <cell r="L614" t="str">
            <v xml:space="preserve">Tramos Existentes </v>
          </cell>
          <cell r="M614" t="str">
            <v>Existente</v>
          </cell>
        </row>
        <row r="615">
          <cell r="B615">
            <v>900</v>
          </cell>
          <cell r="C615">
            <v>971</v>
          </cell>
          <cell r="D615">
            <v>1.4999999999999999E-2</v>
          </cell>
          <cell r="E615">
            <v>12</v>
          </cell>
          <cell r="F615">
            <v>1312.36</v>
          </cell>
          <cell r="G615">
            <v>1312.86</v>
          </cell>
          <cell r="H615">
            <v>1307.56</v>
          </cell>
          <cell r="I615">
            <v>1307.0999999999999</v>
          </cell>
          <cell r="J615">
            <v>23.5</v>
          </cell>
          <cell r="K615">
            <v>0</v>
          </cell>
          <cell r="L615" t="str">
            <v xml:space="preserve">Tramos Existentes </v>
          </cell>
          <cell r="M615" t="str">
            <v>Existente</v>
          </cell>
        </row>
        <row r="616">
          <cell r="B616">
            <v>990</v>
          </cell>
          <cell r="C616">
            <v>1059</v>
          </cell>
          <cell r="D616">
            <v>1.4999999999999999E-2</v>
          </cell>
          <cell r="E616">
            <v>12</v>
          </cell>
          <cell r="F616">
            <v>1296.3</v>
          </cell>
          <cell r="G616">
            <v>1292.5899999999999</v>
          </cell>
          <cell r="H616">
            <v>1290.82</v>
          </cell>
          <cell r="I616">
            <v>1287.1500000000001</v>
          </cell>
          <cell r="J616">
            <v>9.5</v>
          </cell>
          <cell r="K616">
            <v>0</v>
          </cell>
          <cell r="L616" t="str">
            <v xml:space="preserve">Renovacion </v>
          </cell>
          <cell r="M616" t="str">
            <v>Existente</v>
          </cell>
        </row>
        <row r="617">
          <cell r="B617" t="str">
            <v>20ii</v>
          </cell>
          <cell r="C617">
            <v>51</v>
          </cell>
          <cell r="D617">
            <v>1.4999999999999999E-2</v>
          </cell>
          <cell r="E617">
            <v>8</v>
          </cell>
          <cell r="F617">
            <v>1309.57</v>
          </cell>
          <cell r="G617">
            <v>1300.8</v>
          </cell>
          <cell r="H617">
            <v>1308.1500000000001</v>
          </cell>
          <cell r="I617">
            <v>1300.05</v>
          </cell>
          <cell r="J617">
            <v>66.8</v>
          </cell>
          <cell r="K617">
            <v>0</v>
          </cell>
          <cell r="L617" t="str">
            <v xml:space="preserve">Tramos Existentes </v>
          </cell>
          <cell r="M617" t="str">
            <v>Existente</v>
          </cell>
        </row>
        <row r="618">
          <cell r="B618">
            <v>476</v>
          </cell>
          <cell r="C618">
            <v>1033</v>
          </cell>
          <cell r="D618">
            <v>1.4999999999999999E-2</v>
          </cell>
          <cell r="E618">
            <v>12</v>
          </cell>
          <cell r="F618">
            <v>1310.6099999999999</v>
          </cell>
          <cell r="G618">
            <v>1308.5999999999999</v>
          </cell>
          <cell r="H618">
            <v>1307.83</v>
          </cell>
          <cell r="I618">
            <v>1307.1500000000001</v>
          </cell>
          <cell r="J618">
            <v>39.4</v>
          </cell>
          <cell r="K618">
            <v>0</v>
          </cell>
          <cell r="L618" t="str">
            <v xml:space="preserve">Tramos Existentes </v>
          </cell>
          <cell r="M618" t="str">
            <v>Existente</v>
          </cell>
        </row>
        <row r="619">
          <cell r="B619">
            <v>1033</v>
          </cell>
          <cell r="C619">
            <v>1034</v>
          </cell>
          <cell r="D619">
            <v>1.4999999999999999E-2</v>
          </cell>
          <cell r="E619">
            <v>14</v>
          </cell>
          <cell r="F619">
            <v>1308.5999999999999</v>
          </cell>
          <cell r="G619">
            <v>1308.6199999999999</v>
          </cell>
          <cell r="H619">
            <v>1307.1500000000001</v>
          </cell>
          <cell r="I619">
            <v>1306.58</v>
          </cell>
          <cell r="J619">
            <v>31.6</v>
          </cell>
          <cell r="K619">
            <v>0</v>
          </cell>
          <cell r="L619" t="str">
            <v xml:space="preserve">Tramos Existentes </v>
          </cell>
          <cell r="M619" t="str">
            <v>Existente</v>
          </cell>
        </row>
        <row r="620">
          <cell r="B620">
            <v>1034</v>
          </cell>
          <cell r="C620" t="str">
            <v>P31</v>
          </cell>
          <cell r="D620">
            <v>1.4999999999999999E-2</v>
          </cell>
          <cell r="E620">
            <v>14</v>
          </cell>
          <cell r="F620">
            <v>1308.6199999999999</v>
          </cell>
          <cell r="G620">
            <v>1308.3</v>
          </cell>
          <cell r="H620">
            <v>1306.58</v>
          </cell>
          <cell r="I620">
            <v>1306.21</v>
          </cell>
          <cell r="J620">
            <v>31.6</v>
          </cell>
          <cell r="K620">
            <v>0</v>
          </cell>
          <cell r="L620" t="str">
            <v xml:space="preserve">Tramos Existentes </v>
          </cell>
          <cell r="M620" t="str">
            <v>Existente</v>
          </cell>
        </row>
        <row r="621">
          <cell r="B621">
            <v>1036</v>
          </cell>
          <cell r="C621">
            <v>549</v>
          </cell>
          <cell r="D621">
            <v>1.4999999999999999E-2</v>
          </cell>
          <cell r="E621">
            <v>8</v>
          </cell>
          <cell r="F621">
            <v>1316.2</v>
          </cell>
          <cell r="G621">
            <v>1315.28</v>
          </cell>
          <cell r="H621">
            <v>1314.67</v>
          </cell>
          <cell r="I621">
            <v>1313.72</v>
          </cell>
          <cell r="J621">
            <v>19.100000000000001</v>
          </cell>
          <cell r="K621">
            <v>0</v>
          </cell>
          <cell r="L621" t="str">
            <v xml:space="preserve">Tramos Existentes </v>
          </cell>
          <cell r="M621" t="str">
            <v>Existente</v>
          </cell>
        </row>
        <row r="622">
          <cell r="B622">
            <v>549</v>
          </cell>
          <cell r="C622">
            <v>548</v>
          </cell>
          <cell r="D622">
            <v>1.4999999999999999E-2</v>
          </cell>
          <cell r="E622">
            <v>10</v>
          </cell>
          <cell r="F622">
            <v>1315.28</v>
          </cell>
          <cell r="G622">
            <v>1311.89</v>
          </cell>
          <cell r="H622">
            <v>1313.72</v>
          </cell>
          <cell r="I622">
            <v>1309.97</v>
          </cell>
          <cell r="J622">
            <v>52.2</v>
          </cell>
          <cell r="K622">
            <v>0</v>
          </cell>
          <cell r="L622" t="str">
            <v xml:space="preserve">Tramos Existentes </v>
          </cell>
          <cell r="M622" t="str">
            <v>Existente</v>
          </cell>
        </row>
        <row r="623">
          <cell r="B623">
            <v>548</v>
          </cell>
          <cell r="C623">
            <v>471</v>
          </cell>
          <cell r="D623">
            <v>1.4999999999999999E-2</v>
          </cell>
          <cell r="E623">
            <v>10</v>
          </cell>
          <cell r="F623">
            <v>1311.89</v>
          </cell>
          <cell r="G623">
            <v>1310.79</v>
          </cell>
          <cell r="H623">
            <v>1309.97</v>
          </cell>
          <cell r="I623">
            <v>1308.8900000000001</v>
          </cell>
          <cell r="J623">
            <v>62.5</v>
          </cell>
          <cell r="K623">
            <v>0</v>
          </cell>
          <cell r="L623" t="str">
            <v xml:space="preserve">Tramos Existentes </v>
          </cell>
          <cell r="M623" t="str">
            <v>Existente</v>
          </cell>
        </row>
        <row r="624">
          <cell r="B624">
            <v>410</v>
          </cell>
          <cell r="C624">
            <v>409</v>
          </cell>
          <cell r="D624">
            <v>1.4999999999999999E-2</v>
          </cell>
          <cell r="E624">
            <v>12</v>
          </cell>
          <cell r="F624">
            <v>1309.9100000000001</v>
          </cell>
          <cell r="G624">
            <v>1298.78</v>
          </cell>
          <cell r="H624">
            <v>1307.45</v>
          </cell>
          <cell r="I624">
            <v>1296.58</v>
          </cell>
          <cell r="J624">
            <v>74.5</v>
          </cell>
          <cell r="K624">
            <v>0</v>
          </cell>
          <cell r="L624" t="str">
            <v xml:space="preserve">Tramos Existentes </v>
          </cell>
          <cell r="M624" t="str">
            <v>Existente</v>
          </cell>
        </row>
        <row r="625">
          <cell r="B625">
            <v>1037</v>
          </cell>
          <cell r="C625">
            <v>1038</v>
          </cell>
          <cell r="D625">
            <v>0.01</v>
          </cell>
          <cell r="E625">
            <v>10</v>
          </cell>
          <cell r="F625">
            <v>1306.93</v>
          </cell>
          <cell r="G625">
            <v>1306.6099999999999</v>
          </cell>
          <cell r="H625">
            <v>1305.5999999999999</v>
          </cell>
          <cell r="I625">
            <v>1303.69</v>
          </cell>
          <cell r="J625">
            <v>33.200000000000003</v>
          </cell>
          <cell r="K625">
            <v>0</v>
          </cell>
          <cell r="L625" t="str">
            <v xml:space="preserve">Tramos Existentes </v>
          </cell>
          <cell r="M625" t="str">
            <v>Existente</v>
          </cell>
        </row>
        <row r="626">
          <cell r="B626">
            <v>289</v>
          </cell>
          <cell r="C626">
            <v>290</v>
          </cell>
          <cell r="D626">
            <v>0.01</v>
          </cell>
          <cell r="E626">
            <v>16</v>
          </cell>
          <cell r="F626">
            <v>1278.0999999999999</v>
          </cell>
          <cell r="G626">
            <v>1277.29</v>
          </cell>
          <cell r="H626">
            <v>1274.06</v>
          </cell>
          <cell r="I626">
            <v>1273.8699999999999</v>
          </cell>
          <cell r="J626">
            <v>10</v>
          </cell>
          <cell r="K626">
            <v>0</v>
          </cell>
          <cell r="L626" t="str">
            <v xml:space="preserve">Tramos Existentes </v>
          </cell>
          <cell r="M626" t="str">
            <v>Existente</v>
          </cell>
        </row>
        <row r="627">
          <cell r="B627">
            <v>1039</v>
          </cell>
          <cell r="C627">
            <v>1061</v>
          </cell>
          <cell r="D627">
            <v>1.4999999999999999E-2</v>
          </cell>
          <cell r="E627">
            <v>12</v>
          </cell>
          <cell r="F627">
            <v>1304.8599999999999</v>
          </cell>
          <cell r="G627">
            <v>1303.5</v>
          </cell>
          <cell r="H627">
            <v>1302.21</v>
          </cell>
          <cell r="I627">
            <v>1298.0999999999999</v>
          </cell>
          <cell r="J627">
            <v>28.3</v>
          </cell>
          <cell r="K627">
            <v>0</v>
          </cell>
          <cell r="L627" t="str">
            <v xml:space="preserve">Renovacion </v>
          </cell>
          <cell r="M627" t="str">
            <v>Existente</v>
          </cell>
        </row>
        <row r="628">
          <cell r="B628">
            <v>1035</v>
          </cell>
          <cell r="C628" t="str">
            <v>P31</v>
          </cell>
          <cell r="D628">
            <v>1.4999999999999999E-2</v>
          </cell>
          <cell r="E628">
            <v>10</v>
          </cell>
          <cell r="F628">
            <v>1308.71</v>
          </cell>
          <cell r="G628">
            <v>1308.3</v>
          </cell>
          <cell r="H628">
            <v>1306.6600000000001</v>
          </cell>
          <cell r="I628">
            <v>1306.21</v>
          </cell>
          <cell r="J628">
            <v>18.399999999999999</v>
          </cell>
          <cell r="K628">
            <v>0</v>
          </cell>
          <cell r="L628" t="str">
            <v xml:space="preserve">Tramos Existentes </v>
          </cell>
          <cell r="M628" t="str">
            <v>Existente</v>
          </cell>
        </row>
        <row r="629">
          <cell r="B629">
            <v>59</v>
          </cell>
          <cell r="C629">
            <v>58</v>
          </cell>
          <cell r="D629">
            <v>1.4999999999999999E-2</v>
          </cell>
          <cell r="E629">
            <v>8</v>
          </cell>
          <cell r="F629">
            <v>1304.1500000000001</v>
          </cell>
          <cell r="G629">
            <v>1303.21</v>
          </cell>
          <cell r="H629">
            <v>1301.23</v>
          </cell>
          <cell r="I629">
            <v>1300.28</v>
          </cell>
          <cell r="J629">
            <v>14.5</v>
          </cell>
          <cell r="K629">
            <v>0</v>
          </cell>
          <cell r="L629" t="str">
            <v xml:space="preserve">Tramos Existentes </v>
          </cell>
          <cell r="M629" t="str">
            <v>Existente</v>
          </cell>
        </row>
        <row r="630">
          <cell r="B630">
            <v>58</v>
          </cell>
          <cell r="C630">
            <v>56</v>
          </cell>
          <cell r="D630">
            <v>1.4999999999999999E-2</v>
          </cell>
          <cell r="E630">
            <v>14</v>
          </cell>
          <cell r="F630">
            <v>1303.21</v>
          </cell>
          <cell r="G630">
            <v>1301.0899999999999</v>
          </cell>
          <cell r="H630">
            <v>1300.28</v>
          </cell>
          <cell r="I630">
            <v>1298.1600000000001</v>
          </cell>
          <cell r="J630">
            <v>28.4</v>
          </cell>
          <cell r="K630">
            <v>0</v>
          </cell>
          <cell r="L630" t="str">
            <v xml:space="preserve">Tramos Existentes </v>
          </cell>
          <cell r="M630" t="str">
            <v>Existente</v>
          </cell>
        </row>
        <row r="631">
          <cell r="B631">
            <v>56</v>
          </cell>
          <cell r="C631">
            <v>106</v>
          </cell>
          <cell r="D631">
            <v>1.4999999999999999E-2</v>
          </cell>
          <cell r="E631">
            <v>18</v>
          </cell>
          <cell r="F631">
            <v>1301.0899999999999</v>
          </cell>
          <cell r="G631">
            <v>1301.96</v>
          </cell>
          <cell r="H631">
            <v>1298.1600000000001</v>
          </cell>
          <cell r="I631">
            <v>1297.04</v>
          </cell>
          <cell r="J631">
            <v>20.3</v>
          </cell>
          <cell r="K631">
            <v>0</v>
          </cell>
          <cell r="L631" t="str">
            <v xml:space="preserve">Tramos Existentes </v>
          </cell>
          <cell r="M631" t="str">
            <v>Existente</v>
          </cell>
        </row>
        <row r="632">
          <cell r="B632">
            <v>105</v>
          </cell>
          <cell r="C632">
            <v>104</v>
          </cell>
          <cell r="D632">
            <v>1.4999999999999999E-2</v>
          </cell>
          <cell r="E632">
            <v>12</v>
          </cell>
          <cell r="F632">
            <v>1300.3599999999999</v>
          </cell>
          <cell r="G632">
            <v>1297.25</v>
          </cell>
          <cell r="H632">
            <v>1293.6600000000001</v>
          </cell>
          <cell r="I632">
            <v>1285.8499999999999</v>
          </cell>
          <cell r="J632">
            <v>30.8</v>
          </cell>
          <cell r="K632">
            <v>0</v>
          </cell>
          <cell r="L632" t="str">
            <v xml:space="preserve">Tramos Existentes </v>
          </cell>
          <cell r="M632" t="str">
            <v>Existente</v>
          </cell>
        </row>
        <row r="633">
          <cell r="B633">
            <v>104</v>
          </cell>
          <cell r="C633">
            <v>103</v>
          </cell>
          <cell r="D633">
            <v>1.4999999999999999E-2</v>
          </cell>
          <cell r="E633">
            <v>12</v>
          </cell>
          <cell r="F633">
            <v>1297.25</v>
          </cell>
          <cell r="G633">
            <v>1296.45</v>
          </cell>
          <cell r="H633">
            <v>1285.8499999999999</v>
          </cell>
          <cell r="I633">
            <v>1284.8499999999999</v>
          </cell>
          <cell r="J633">
            <v>30.8</v>
          </cell>
          <cell r="K633">
            <v>0</v>
          </cell>
          <cell r="L633" t="str">
            <v xml:space="preserve">Tramos Existentes </v>
          </cell>
          <cell r="M633" t="str">
            <v>Existente</v>
          </cell>
        </row>
        <row r="634">
          <cell r="B634">
            <v>1040</v>
          </cell>
          <cell r="C634">
            <v>1061</v>
          </cell>
          <cell r="D634">
            <v>1.4999999999999999E-2</v>
          </cell>
          <cell r="E634">
            <v>8</v>
          </cell>
          <cell r="F634">
            <v>1305.23</v>
          </cell>
          <cell r="G634">
            <v>1303.5</v>
          </cell>
          <cell r="H634">
            <v>1304.3900000000001</v>
          </cell>
          <cell r="I634">
            <v>1298.0999999999999</v>
          </cell>
          <cell r="J634">
            <v>51.1</v>
          </cell>
          <cell r="K634">
            <v>0</v>
          </cell>
          <cell r="L634" t="str">
            <v xml:space="preserve">Renovacion </v>
          </cell>
          <cell r="M634" t="str">
            <v>Existente</v>
          </cell>
        </row>
        <row r="635">
          <cell r="B635">
            <v>1041</v>
          </cell>
          <cell r="C635">
            <v>243</v>
          </cell>
          <cell r="D635">
            <v>1.4999999999999999E-2</v>
          </cell>
          <cell r="E635">
            <v>12</v>
          </cell>
          <cell r="F635">
            <v>1300.97</v>
          </cell>
          <cell r="G635">
            <v>1297.32</v>
          </cell>
          <cell r="H635">
            <v>1299.53</v>
          </cell>
          <cell r="I635">
            <v>1291.7</v>
          </cell>
          <cell r="J635">
            <v>54.8</v>
          </cell>
          <cell r="K635">
            <v>0</v>
          </cell>
          <cell r="L635" t="str">
            <v xml:space="preserve">Tramos Existentes </v>
          </cell>
          <cell r="M635" t="str">
            <v>Existente</v>
          </cell>
        </row>
        <row r="636">
          <cell r="B636">
            <v>243</v>
          </cell>
          <cell r="C636">
            <v>1042</v>
          </cell>
          <cell r="D636">
            <v>1.4999999999999999E-2</v>
          </cell>
          <cell r="E636">
            <v>12</v>
          </cell>
          <cell r="F636">
            <v>1297.32</v>
          </cell>
          <cell r="G636">
            <v>1289.6199999999999</v>
          </cell>
          <cell r="H636">
            <v>1291.7</v>
          </cell>
          <cell r="I636">
            <v>1288.1500000000001</v>
          </cell>
          <cell r="J636">
            <v>29.1</v>
          </cell>
          <cell r="K636">
            <v>0</v>
          </cell>
          <cell r="L636" t="str">
            <v xml:space="preserve">Tramos Existentes </v>
          </cell>
          <cell r="M636" t="str">
            <v>Existente</v>
          </cell>
        </row>
        <row r="637">
          <cell r="B637">
            <v>1042</v>
          </cell>
          <cell r="C637">
            <v>281</v>
          </cell>
          <cell r="D637">
            <v>0.01</v>
          </cell>
          <cell r="E637">
            <v>12</v>
          </cell>
          <cell r="F637">
            <v>1289.6199999999999</v>
          </cell>
          <cell r="G637">
            <v>1279.49</v>
          </cell>
          <cell r="H637">
            <v>1288.1500000000001</v>
          </cell>
          <cell r="I637">
            <v>1277.8499999999999</v>
          </cell>
          <cell r="J637">
            <v>53</v>
          </cell>
          <cell r="K637">
            <v>0</v>
          </cell>
          <cell r="L637" t="str">
            <v xml:space="preserve">Tramos Existentes </v>
          </cell>
          <cell r="M637" t="str">
            <v>Existente</v>
          </cell>
        </row>
        <row r="638">
          <cell r="B638">
            <v>1038</v>
          </cell>
          <cell r="C638">
            <v>1039</v>
          </cell>
          <cell r="D638">
            <v>0.01</v>
          </cell>
          <cell r="E638">
            <v>12</v>
          </cell>
          <cell r="F638">
            <v>1306.6099999999999</v>
          </cell>
          <cell r="G638">
            <v>1304.8599999999999</v>
          </cell>
          <cell r="H638">
            <v>1303.69</v>
          </cell>
          <cell r="I638">
            <v>1302.21</v>
          </cell>
          <cell r="J638">
            <v>23.6</v>
          </cell>
          <cell r="K638">
            <v>0</v>
          </cell>
          <cell r="L638" t="str">
            <v xml:space="preserve">Tramos Existentes </v>
          </cell>
          <cell r="M638" t="str">
            <v>Existente</v>
          </cell>
        </row>
        <row r="639">
          <cell r="B639">
            <v>100</v>
          </cell>
          <cell r="C639">
            <v>99</v>
          </cell>
          <cell r="D639">
            <v>1.4999999999999999E-2</v>
          </cell>
          <cell r="E639">
            <v>14</v>
          </cell>
          <cell r="F639">
            <v>1310.6500000000001</v>
          </cell>
          <cell r="G639">
            <v>1310.6600000000001</v>
          </cell>
          <cell r="H639">
            <v>1308.8499999999999</v>
          </cell>
          <cell r="I639">
            <v>1307.5999999999999</v>
          </cell>
          <cell r="J639">
            <v>1.7</v>
          </cell>
          <cell r="K639">
            <v>0</v>
          </cell>
          <cell r="L639" t="str">
            <v xml:space="preserve">Tramos Existentes </v>
          </cell>
          <cell r="M639" t="str">
            <v>Existente</v>
          </cell>
        </row>
        <row r="640">
          <cell r="B640">
            <v>1</v>
          </cell>
          <cell r="C640">
            <v>197</v>
          </cell>
          <cell r="D640">
            <v>1.4999999999999999E-2</v>
          </cell>
          <cell r="E640">
            <v>12</v>
          </cell>
          <cell r="F640">
            <v>1303.77</v>
          </cell>
          <cell r="G640">
            <v>1302.95</v>
          </cell>
          <cell r="H640">
            <v>1302.03</v>
          </cell>
          <cell r="I640">
            <v>1300.57</v>
          </cell>
          <cell r="J640">
            <v>75.7</v>
          </cell>
          <cell r="K640">
            <v>0</v>
          </cell>
          <cell r="L640" t="str">
            <v xml:space="preserve">Tramos Existentes </v>
          </cell>
          <cell r="M640" t="str">
            <v>Existente</v>
          </cell>
        </row>
        <row r="641">
          <cell r="B641">
            <v>197</v>
          </cell>
          <cell r="C641">
            <v>198</v>
          </cell>
          <cell r="D641">
            <v>1.4999999999999999E-2</v>
          </cell>
          <cell r="E641">
            <v>12</v>
          </cell>
          <cell r="F641">
            <v>1302.95</v>
          </cell>
          <cell r="G641">
            <v>1300.47</v>
          </cell>
          <cell r="H641">
            <v>1300.57</v>
          </cell>
          <cell r="I641">
            <v>1297.8599999999999</v>
          </cell>
          <cell r="J641">
            <v>75.900000000000006</v>
          </cell>
          <cell r="K641">
            <v>0</v>
          </cell>
          <cell r="L641" t="str">
            <v xml:space="preserve">Tramos Existentes </v>
          </cell>
          <cell r="M641" t="str">
            <v>Existente</v>
          </cell>
        </row>
        <row r="642">
          <cell r="B642">
            <v>198</v>
          </cell>
          <cell r="C642">
            <v>184</v>
          </cell>
          <cell r="D642">
            <v>1.4999999999999999E-2</v>
          </cell>
          <cell r="E642">
            <v>12</v>
          </cell>
          <cell r="F642">
            <v>1300.47</v>
          </cell>
          <cell r="G642">
            <v>1296.22</v>
          </cell>
          <cell r="H642">
            <v>1297.8599999999999</v>
          </cell>
          <cell r="I642">
            <v>1290.92</v>
          </cell>
          <cell r="J642">
            <v>75.099999999999994</v>
          </cell>
          <cell r="K642">
            <v>0</v>
          </cell>
          <cell r="L642" t="str">
            <v xml:space="preserve">Tramos Existentes </v>
          </cell>
          <cell r="M642" t="str">
            <v>Existente</v>
          </cell>
        </row>
        <row r="643">
          <cell r="B643" t="str">
            <v>P2</v>
          </cell>
          <cell r="C643">
            <v>13</v>
          </cell>
          <cell r="D643">
            <v>1.4999999999999999E-2</v>
          </cell>
          <cell r="E643">
            <v>8</v>
          </cell>
          <cell r="F643">
            <v>1292.48</v>
          </cell>
          <cell r="G643">
            <v>1309.29</v>
          </cell>
          <cell r="H643">
            <v>1308.76</v>
          </cell>
          <cell r="I643">
            <v>1306.79</v>
          </cell>
          <cell r="J643">
            <v>62.9</v>
          </cell>
          <cell r="K643">
            <v>0</v>
          </cell>
          <cell r="L643" t="str">
            <v xml:space="preserve">Tramos Existentes </v>
          </cell>
          <cell r="M643" t="str">
            <v>Existente</v>
          </cell>
        </row>
        <row r="644">
          <cell r="B644">
            <v>13</v>
          </cell>
          <cell r="C644">
            <v>12</v>
          </cell>
          <cell r="D644">
            <v>1.4999999999999999E-2</v>
          </cell>
          <cell r="E644">
            <v>14</v>
          </cell>
          <cell r="F644">
            <v>1309.29</v>
          </cell>
          <cell r="G644">
            <v>1309.8900000000001</v>
          </cell>
          <cell r="H644">
            <v>1306.79</v>
          </cell>
          <cell r="I644">
            <v>1306.6400000000001</v>
          </cell>
          <cell r="J644">
            <v>44.1</v>
          </cell>
          <cell r="K644">
            <v>0</v>
          </cell>
          <cell r="L644" t="str">
            <v xml:space="preserve">Tramos Existentes </v>
          </cell>
          <cell r="M644" t="str">
            <v>Existente</v>
          </cell>
        </row>
        <row r="645">
          <cell r="B645">
            <v>12</v>
          </cell>
          <cell r="C645">
            <v>11</v>
          </cell>
          <cell r="D645">
            <v>1.4999999999999999E-2</v>
          </cell>
          <cell r="E645">
            <v>14</v>
          </cell>
          <cell r="F645">
            <v>1309.8900000000001</v>
          </cell>
          <cell r="G645">
            <v>1310.03</v>
          </cell>
          <cell r="H645">
            <v>1306.6400000000001</v>
          </cell>
          <cell r="I645">
            <v>1306.5999999999999</v>
          </cell>
          <cell r="J645">
            <v>32.700000000000003</v>
          </cell>
          <cell r="K645">
            <v>0</v>
          </cell>
          <cell r="L645" t="str">
            <v xml:space="preserve">Tramos Existentes </v>
          </cell>
          <cell r="M645" t="str">
            <v>Existente</v>
          </cell>
        </row>
        <row r="646">
          <cell r="B646">
            <v>11</v>
          </cell>
          <cell r="C646">
            <v>10</v>
          </cell>
          <cell r="D646">
            <v>1.4999999999999999E-2</v>
          </cell>
          <cell r="E646">
            <v>10</v>
          </cell>
          <cell r="F646">
            <v>1310.03</v>
          </cell>
          <cell r="G646">
            <v>1310.04</v>
          </cell>
          <cell r="H646">
            <v>1306.5999999999999</v>
          </cell>
          <cell r="I646">
            <v>1306.51</v>
          </cell>
          <cell r="J646">
            <v>1.9</v>
          </cell>
          <cell r="K646">
            <v>0</v>
          </cell>
          <cell r="L646" t="str">
            <v xml:space="preserve">Tramos Existentes </v>
          </cell>
          <cell r="M646" t="str">
            <v>Existente</v>
          </cell>
        </row>
        <row r="647">
          <cell r="B647">
            <v>10</v>
          </cell>
          <cell r="C647">
            <v>86</v>
          </cell>
          <cell r="D647">
            <v>1.4999999999999999E-2</v>
          </cell>
          <cell r="E647">
            <v>12</v>
          </cell>
          <cell r="F647">
            <v>1310.04</v>
          </cell>
          <cell r="G647">
            <v>1311.35</v>
          </cell>
          <cell r="H647">
            <v>1306.51</v>
          </cell>
          <cell r="I647">
            <v>1305.6400000000001</v>
          </cell>
          <cell r="J647">
            <v>75.900000000000006</v>
          </cell>
          <cell r="K647">
            <v>0</v>
          </cell>
          <cell r="L647" t="str">
            <v xml:space="preserve">Tramos Existentes </v>
          </cell>
          <cell r="M647" t="str">
            <v>Existente</v>
          </cell>
        </row>
        <row r="648">
          <cell r="B648">
            <v>50</v>
          </cell>
          <cell r="C648">
            <v>102</v>
          </cell>
          <cell r="D648">
            <v>0.01</v>
          </cell>
          <cell r="E648">
            <v>12</v>
          </cell>
          <cell r="F648">
            <v>1300.97</v>
          </cell>
          <cell r="G648">
            <v>1297.5999999999999</v>
          </cell>
          <cell r="H648">
            <v>1295.3</v>
          </cell>
          <cell r="I648">
            <v>1290.23</v>
          </cell>
          <cell r="J648">
            <v>19.7</v>
          </cell>
          <cell r="K648">
            <v>0</v>
          </cell>
          <cell r="L648" t="str">
            <v xml:space="preserve">Tramos Existentes </v>
          </cell>
          <cell r="M648" t="str">
            <v>Existente</v>
          </cell>
        </row>
        <row r="649">
          <cell r="B649">
            <v>989</v>
          </cell>
          <cell r="C649">
            <v>378</v>
          </cell>
          <cell r="D649">
            <v>1.4999999999999999E-2</v>
          </cell>
          <cell r="E649">
            <v>12</v>
          </cell>
          <cell r="F649">
            <v>1308.6199999999999</v>
          </cell>
          <cell r="G649">
            <v>1307.67</v>
          </cell>
          <cell r="H649">
            <v>1304.94</v>
          </cell>
          <cell r="I649">
            <v>1303.26</v>
          </cell>
          <cell r="J649">
            <v>72</v>
          </cell>
          <cell r="K649">
            <v>0</v>
          </cell>
          <cell r="L649" t="str">
            <v xml:space="preserve">Tramos Existentes </v>
          </cell>
          <cell r="M649" t="str">
            <v>Existente</v>
          </cell>
        </row>
        <row r="650">
          <cell r="B650" t="str">
            <v>A1</v>
          </cell>
          <cell r="C650" t="str">
            <v>A2</v>
          </cell>
          <cell r="D650">
            <v>1.2999999999999999E-2</v>
          </cell>
          <cell r="E650">
            <v>16</v>
          </cell>
          <cell r="F650">
            <v>1292.45</v>
          </cell>
          <cell r="G650">
            <v>1293.8</v>
          </cell>
          <cell r="H650">
            <v>1289.57</v>
          </cell>
          <cell r="I650">
            <v>1289.24</v>
          </cell>
          <cell r="J650">
            <v>80.2</v>
          </cell>
          <cell r="K650">
            <v>0</v>
          </cell>
          <cell r="L650" t="str">
            <v>Unificacion de Vertimientos</v>
          </cell>
          <cell r="M650" t="str">
            <v>Nuevo</v>
          </cell>
        </row>
        <row r="651">
          <cell r="B651">
            <v>99</v>
          </cell>
          <cell r="C651">
            <v>98</v>
          </cell>
          <cell r="D651">
            <v>1.4999999999999999E-2</v>
          </cell>
          <cell r="E651">
            <v>24</v>
          </cell>
          <cell r="F651">
            <v>1310.6600000000001</v>
          </cell>
          <cell r="G651">
            <v>1310.84</v>
          </cell>
          <cell r="H651">
            <v>1307.5999999999999</v>
          </cell>
          <cell r="I651">
            <v>1306.3900000000001</v>
          </cell>
          <cell r="J651">
            <v>73.2</v>
          </cell>
          <cell r="K651">
            <v>0</v>
          </cell>
          <cell r="L651" t="str">
            <v xml:space="preserve">Tramos Existentes </v>
          </cell>
          <cell r="M651" t="str">
            <v>Existente</v>
          </cell>
        </row>
        <row r="652">
          <cell r="B652">
            <v>1059</v>
          </cell>
          <cell r="C652">
            <v>999</v>
          </cell>
          <cell r="D652">
            <v>1.4999999999999999E-2</v>
          </cell>
          <cell r="E652">
            <v>12</v>
          </cell>
          <cell r="F652">
            <v>1292.5899999999999</v>
          </cell>
          <cell r="G652">
            <v>1285.81</v>
          </cell>
          <cell r="H652">
            <v>1287.1500000000001</v>
          </cell>
          <cell r="I652">
            <v>1281.55</v>
          </cell>
          <cell r="J652">
            <v>9.5</v>
          </cell>
          <cell r="K652">
            <v>0</v>
          </cell>
          <cell r="L652" t="str">
            <v xml:space="preserve">Tramos Existentes </v>
          </cell>
          <cell r="M652" t="str">
            <v>Existente</v>
          </cell>
        </row>
        <row r="653">
          <cell r="B653">
            <v>999</v>
          </cell>
          <cell r="C653">
            <v>1000</v>
          </cell>
          <cell r="D653">
            <v>1.4999999999999999E-2</v>
          </cell>
          <cell r="E653">
            <v>14</v>
          </cell>
          <cell r="F653">
            <v>1285.81</v>
          </cell>
          <cell r="G653">
            <v>1283.3399999999999</v>
          </cell>
          <cell r="H653">
            <v>1281.55</v>
          </cell>
          <cell r="I653">
            <v>1281.0999999999999</v>
          </cell>
          <cell r="J653">
            <v>8.6999999999999993</v>
          </cell>
          <cell r="K653">
            <v>0</v>
          </cell>
          <cell r="L653" t="str">
            <v xml:space="preserve">Tramos Existentes </v>
          </cell>
          <cell r="M653" t="str">
            <v>Existente</v>
          </cell>
        </row>
        <row r="654">
          <cell r="B654">
            <v>1000</v>
          </cell>
          <cell r="C654" t="str">
            <v>D27</v>
          </cell>
          <cell r="D654">
            <v>1.4999999999999999E-2</v>
          </cell>
          <cell r="E654">
            <v>14</v>
          </cell>
          <cell r="F654">
            <v>1283.3399999999999</v>
          </cell>
          <cell r="G654">
            <v>1279.68</v>
          </cell>
          <cell r="H654">
            <v>1281.0999999999999</v>
          </cell>
          <cell r="I654">
            <v>1279.68</v>
          </cell>
          <cell r="J654">
            <v>12.8</v>
          </cell>
          <cell r="K654">
            <v>0</v>
          </cell>
          <cell r="L654" t="str">
            <v xml:space="preserve">Tramos Existentes </v>
          </cell>
          <cell r="M654" t="str">
            <v>Existente</v>
          </cell>
        </row>
        <row r="655">
          <cell r="B655">
            <v>1004</v>
          </cell>
          <cell r="C655" t="str">
            <v>i</v>
          </cell>
          <cell r="D655">
            <v>0.01</v>
          </cell>
          <cell r="E655">
            <v>12</v>
          </cell>
          <cell r="F655">
            <v>1297.69</v>
          </cell>
          <cell r="G655">
            <v>1297.83</v>
          </cell>
          <cell r="H655">
            <v>1295.5899999999999</v>
          </cell>
          <cell r="I655">
            <v>1295.54</v>
          </cell>
          <cell r="J655">
            <v>21.6</v>
          </cell>
          <cell r="K655">
            <v>0</v>
          </cell>
          <cell r="L655" t="str">
            <v xml:space="preserve">Tramos Existentes </v>
          </cell>
          <cell r="M655" t="str">
            <v>Existente</v>
          </cell>
        </row>
        <row r="656">
          <cell r="B656" t="str">
            <v>i</v>
          </cell>
          <cell r="C656">
            <v>21</v>
          </cell>
          <cell r="D656">
            <v>0.01</v>
          </cell>
          <cell r="E656">
            <v>12</v>
          </cell>
          <cell r="F656">
            <v>1297.83</v>
          </cell>
          <cell r="G656">
            <v>1298.3399999999999</v>
          </cell>
          <cell r="H656">
            <v>1295.54</v>
          </cell>
          <cell r="I656">
            <v>1295.4000000000001</v>
          </cell>
          <cell r="J656">
            <v>28.3</v>
          </cell>
          <cell r="K656">
            <v>0</v>
          </cell>
          <cell r="L656" t="str">
            <v xml:space="preserve">Tramos Existentes </v>
          </cell>
          <cell r="M656" t="str">
            <v>Existente</v>
          </cell>
        </row>
        <row r="657">
          <cell r="B657">
            <v>21</v>
          </cell>
          <cell r="C657">
            <v>77</v>
          </cell>
          <cell r="D657">
            <v>0.01</v>
          </cell>
          <cell r="E657">
            <v>12</v>
          </cell>
          <cell r="F657">
            <v>1298.3399999999999</v>
          </cell>
          <cell r="G657">
            <v>1298.25</v>
          </cell>
          <cell r="H657">
            <v>1295.4000000000001</v>
          </cell>
          <cell r="I657">
            <v>1295.3599999999999</v>
          </cell>
          <cell r="J657">
            <v>9.6</v>
          </cell>
          <cell r="K657">
            <v>0</v>
          </cell>
          <cell r="L657" t="str">
            <v xml:space="preserve">Tramos Existentes </v>
          </cell>
          <cell r="M657" t="str">
            <v>Existente</v>
          </cell>
        </row>
        <row r="658">
          <cell r="B658">
            <v>77</v>
          </cell>
          <cell r="C658">
            <v>121</v>
          </cell>
          <cell r="D658">
            <v>0.01</v>
          </cell>
          <cell r="E658">
            <v>10</v>
          </cell>
          <cell r="F658">
            <v>1298.25</v>
          </cell>
          <cell r="G658">
            <v>1271.45</v>
          </cell>
          <cell r="H658">
            <v>1295.3599999999999</v>
          </cell>
          <cell r="I658">
            <v>1295.25</v>
          </cell>
          <cell r="J658">
            <v>30</v>
          </cell>
          <cell r="K658">
            <v>0</v>
          </cell>
          <cell r="L658" t="str">
            <v xml:space="preserve">Tramos Existentes </v>
          </cell>
          <cell r="M658" t="str">
            <v>Existente</v>
          </cell>
        </row>
        <row r="659">
          <cell r="B659">
            <v>1003</v>
          </cell>
          <cell r="C659">
            <v>1002</v>
          </cell>
          <cell r="D659">
            <v>1.4999999999999999E-2</v>
          </cell>
          <cell r="E659">
            <v>8</v>
          </cell>
          <cell r="F659">
            <v>1298.75</v>
          </cell>
          <cell r="G659">
            <v>1298.17</v>
          </cell>
          <cell r="H659">
            <v>1297.8800000000001</v>
          </cell>
          <cell r="I659">
            <v>1297.26</v>
          </cell>
          <cell r="J659">
            <v>13.3</v>
          </cell>
          <cell r="K659">
            <v>0</v>
          </cell>
          <cell r="L659" t="str">
            <v xml:space="preserve">Tramos Existentes </v>
          </cell>
          <cell r="M659" t="str">
            <v>Existente</v>
          </cell>
        </row>
        <row r="660">
          <cell r="B660">
            <v>86</v>
          </cell>
          <cell r="C660">
            <v>989</v>
          </cell>
          <cell r="D660">
            <v>1.4999999999999999E-2</v>
          </cell>
          <cell r="E660">
            <v>12</v>
          </cell>
          <cell r="F660">
            <v>1311.35</v>
          </cell>
          <cell r="G660">
            <v>1308.6199999999999</v>
          </cell>
          <cell r="H660">
            <v>1305.6400000000001</v>
          </cell>
          <cell r="I660">
            <v>1304.94</v>
          </cell>
          <cell r="J660">
            <v>72.5</v>
          </cell>
          <cell r="K660">
            <v>0</v>
          </cell>
          <cell r="L660" t="str">
            <v xml:space="preserve">Tramos Existentes </v>
          </cell>
          <cell r="M660" t="str">
            <v>Existente</v>
          </cell>
        </row>
        <row r="661">
          <cell r="B661">
            <v>1047</v>
          </cell>
          <cell r="C661" t="str">
            <v>MH-245</v>
          </cell>
          <cell r="D661">
            <v>1.2999999999999999E-2</v>
          </cell>
          <cell r="E661">
            <v>12</v>
          </cell>
          <cell r="F661">
            <v>1295.4000000000001</v>
          </cell>
          <cell r="G661">
            <v>1293.48</v>
          </cell>
          <cell r="H661">
            <v>1290.7</v>
          </cell>
          <cell r="I661">
            <v>1290.5</v>
          </cell>
          <cell r="J661">
            <v>31.2</v>
          </cell>
          <cell r="K661">
            <v>0</v>
          </cell>
          <cell r="L661" t="str">
            <v>Unificacion de Vertimientos</v>
          </cell>
          <cell r="M661" t="str">
            <v>Nuevo</v>
          </cell>
        </row>
        <row r="662">
          <cell r="B662" t="str">
            <v>AD20</v>
          </cell>
          <cell r="C662" t="str">
            <v>AD21</v>
          </cell>
          <cell r="D662">
            <v>1.2999999999999999E-2</v>
          </cell>
          <cell r="E662">
            <v>10</v>
          </cell>
          <cell r="F662">
            <v>1293.68</v>
          </cell>
          <cell r="G662">
            <v>1292.01</v>
          </cell>
          <cell r="H662">
            <v>1292.72</v>
          </cell>
          <cell r="I662">
            <v>1289.19</v>
          </cell>
          <cell r="J662">
            <v>34.700000000000003</v>
          </cell>
          <cell r="K662">
            <v>0</v>
          </cell>
          <cell r="L662" t="str">
            <v>Unificacion de Vertimientos</v>
          </cell>
          <cell r="M662" t="str">
            <v>Nuevo</v>
          </cell>
        </row>
        <row r="663">
          <cell r="B663" t="str">
            <v>AD21</v>
          </cell>
          <cell r="C663" t="str">
            <v>A33</v>
          </cell>
          <cell r="D663">
            <v>1.2999999999999999E-2</v>
          </cell>
          <cell r="E663">
            <v>10</v>
          </cell>
          <cell r="F663">
            <v>1292.01</v>
          </cell>
          <cell r="G663">
            <v>1290</v>
          </cell>
          <cell r="H663">
            <v>1289.19</v>
          </cell>
          <cell r="I663">
            <v>1285.96</v>
          </cell>
          <cell r="J663">
            <v>41.1</v>
          </cell>
          <cell r="K663">
            <v>0</v>
          </cell>
          <cell r="L663" t="str">
            <v>Unificacion de Vertimientos</v>
          </cell>
          <cell r="M663" t="str">
            <v>Nuevo</v>
          </cell>
        </row>
        <row r="664">
          <cell r="B664" t="str">
            <v>A13</v>
          </cell>
          <cell r="C664" t="str">
            <v>MH-243</v>
          </cell>
          <cell r="D664">
            <v>1.2999999999999999E-2</v>
          </cell>
          <cell r="E664">
            <v>18</v>
          </cell>
          <cell r="F664">
            <v>1292.71</v>
          </cell>
          <cell r="G664">
            <v>1293.02</v>
          </cell>
          <cell r="H664">
            <v>1288.0899999999999</v>
          </cell>
          <cell r="I664">
            <v>1288</v>
          </cell>
          <cell r="J664">
            <v>21.8</v>
          </cell>
          <cell r="K664">
            <v>0</v>
          </cell>
          <cell r="L664" t="str">
            <v>Unificacion de Vertimientos</v>
          </cell>
          <cell r="M664" t="str">
            <v>Nuevo</v>
          </cell>
        </row>
        <row r="665">
          <cell r="B665" t="str">
            <v>MH-243</v>
          </cell>
          <cell r="C665" t="str">
            <v>A14</v>
          </cell>
          <cell r="D665">
            <v>1.2999999999999999E-2</v>
          </cell>
          <cell r="E665">
            <v>18</v>
          </cell>
          <cell r="F665">
            <v>1293.02</v>
          </cell>
          <cell r="G665">
            <v>1293</v>
          </cell>
          <cell r="H665">
            <v>1288</v>
          </cell>
          <cell r="I665">
            <v>1287.93</v>
          </cell>
          <cell r="J665">
            <v>19.7</v>
          </cell>
          <cell r="K665">
            <v>0</v>
          </cell>
          <cell r="L665" t="str">
            <v>Unificacion de Vertimientos</v>
          </cell>
          <cell r="M665" t="str">
            <v>Nuevo</v>
          </cell>
        </row>
        <row r="666">
          <cell r="B666" t="str">
            <v>MR6</v>
          </cell>
          <cell r="C666">
            <v>1120</v>
          </cell>
          <cell r="D666">
            <v>1.2999999999999999E-2</v>
          </cell>
          <cell r="E666">
            <v>12</v>
          </cell>
          <cell r="F666">
            <v>1278.95</v>
          </cell>
          <cell r="G666">
            <v>1276.8</v>
          </cell>
          <cell r="H666">
            <v>1275.76</v>
          </cell>
          <cell r="I666">
            <v>1275.7</v>
          </cell>
          <cell r="J666">
            <v>47.3</v>
          </cell>
          <cell r="K666">
            <v>0</v>
          </cell>
          <cell r="L666" t="str">
            <v>Unificacion de Vertimientos</v>
          </cell>
          <cell r="M666" t="str">
            <v>Nuevo</v>
          </cell>
        </row>
        <row r="667">
          <cell r="B667">
            <v>1120</v>
          </cell>
          <cell r="C667" t="str">
            <v>MH-160</v>
          </cell>
          <cell r="D667">
            <v>1.2999999999999999E-2</v>
          </cell>
          <cell r="E667">
            <v>12</v>
          </cell>
          <cell r="F667">
            <v>1276.8</v>
          </cell>
          <cell r="G667">
            <v>1277</v>
          </cell>
          <cell r="H667">
            <v>1275.7</v>
          </cell>
          <cell r="I667">
            <v>1275.57</v>
          </cell>
          <cell r="J667">
            <v>24.3</v>
          </cell>
          <cell r="K667">
            <v>0</v>
          </cell>
          <cell r="L667" t="str">
            <v>Unificacion de Vertimientos</v>
          </cell>
          <cell r="M667" t="str">
            <v>Nuevo</v>
          </cell>
        </row>
        <row r="668">
          <cell r="B668" t="str">
            <v>MH-160</v>
          </cell>
          <cell r="C668" t="str">
            <v>MR7</v>
          </cell>
          <cell r="D668">
            <v>1.2999999999999999E-2</v>
          </cell>
          <cell r="E668">
            <v>12</v>
          </cell>
          <cell r="F668">
            <v>1277</v>
          </cell>
          <cell r="G668">
            <v>1278.78</v>
          </cell>
          <cell r="H668">
            <v>1275.57</v>
          </cell>
          <cell r="I668">
            <v>1275.52</v>
          </cell>
          <cell r="J668">
            <v>18</v>
          </cell>
          <cell r="K668">
            <v>0</v>
          </cell>
          <cell r="L668" t="str">
            <v>Unificacion de Vertimientos</v>
          </cell>
          <cell r="M668" t="str">
            <v>Nuevo</v>
          </cell>
        </row>
        <row r="669">
          <cell r="B669" t="str">
            <v>MR7</v>
          </cell>
          <cell r="C669" t="str">
            <v>MR8</v>
          </cell>
          <cell r="D669">
            <v>1.2999999999999999E-2</v>
          </cell>
          <cell r="E669">
            <v>12</v>
          </cell>
          <cell r="F669">
            <v>1278.78</v>
          </cell>
          <cell r="G669">
            <v>1277.7</v>
          </cell>
          <cell r="H669">
            <v>1275.52</v>
          </cell>
          <cell r="I669">
            <v>1275.49</v>
          </cell>
          <cell r="J669">
            <v>10.4</v>
          </cell>
          <cell r="K669">
            <v>0</v>
          </cell>
          <cell r="L669" t="str">
            <v>Unificacion de Vertimientos</v>
          </cell>
          <cell r="M669" t="str">
            <v>Nuevo</v>
          </cell>
        </row>
        <row r="670">
          <cell r="B670">
            <v>701</v>
          </cell>
          <cell r="C670">
            <v>116</v>
          </cell>
          <cell r="D670">
            <v>1.2999999999999999E-2</v>
          </cell>
          <cell r="E670">
            <v>27</v>
          </cell>
          <cell r="F670">
            <v>1268.31</v>
          </cell>
          <cell r="G670">
            <v>1273.08</v>
          </cell>
          <cell r="H670">
            <v>1269.8</v>
          </cell>
          <cell r="I670">
            <v>1270.51</v>
          </cell>
          <cell r="J670">
            <v>19.100000000000001</v>
          </cell>
          <cell r="K670">
            <v>0</v>
          </cell>
          <cell r="L670" t="str">
            <v>Unificacion de Vertimientos</v>
          </cell>
          <cell r="M670" t="str">
            <v>Nuevo</v>
          </cell>
        </row>
        <row r="671">
          <cell r="B671" t="str">
            <v>17ii</v>
          </cell>
          <cell r="C671">
            <v>1</v>
          </cell>
          <cell r="D671">
            <v>1.4999999999999999E-2</v>
          </cell>
          <cell r="E671">
            <v>8</v>
          </cell>
          <cell r="F671">
            <v>1307.5</v>
          </cell>
          <cell r="G671">
            <v>1303.77</v>
          </cell>
          <cell r="H671">
            <v>1306.1099999999999</v>
          </cell>
          <cell r="I671">
            <v>1302.03</v>
          </cell>
          <cell r="J671">
            <v>76.5</v>
          </cell>
          <cell r="K671">
            <v>0</v>
          </cell>
          <cell r="L671" t="str">
            <v xml:space="preserve">Tramos Existentes </v>
          </cell>
          <cell r="M671" t="str">
            <v>Existente</v>
          </cell>
        </row>
        <row r="672">
          <cell r="B672" t="str">
            <v>MH-244</v>
          </cell>
          <cell r="C672">
            <v>1047</v>
          </cell>
          <cell r="D672">
            <v>1.2999999999999999E-2</v>
          </cell>
          <cell r="E672">
            <v>12</v>
          </cell>
          <cell r="F672">
            <v>1294.3699999999999</v>
          </cell>
          <cell r="G672">
            <v>1295.4000000000001</v>
          </cell>
          <cell r="H672">
            <v>1293.43</v>
          </cell>
          <cell r="I672">
            <v>1290.7</v>
          </cell>
          <cell r="J672">
            <v>82.4</v>
          </cell>
          <cell r="K672">
            <v>0</v>
          </cell>
          <cell r="L672" t="str">
            <v>Unificacion de Vertimientos</v>
          </cell>
          <cell r="M672" t="str">
            <v>Nuevo</v>
          </cell>
        </row>
        <row r="673">
          <cell r="B673">
            <v>68</v>
          </cell>
          <cell r="C673" t="str">
            <v>MR23</v>
          </cell>
          <cell r="D673">
            <v>1.2999999999999999E-2</v>
          </cell>
          <cell r="E673">
            <v>18</v>
          </cell>
          <cell r="F673">
            <v>1273.33</v>
          </cell>
          <cell r="G673">
            <v>1275.02</v>
          </cell>
          <cell r="H673">
            <v>1272.2</v>
          </cell>
          <cell r="I673">
            <v>1272.1099999999999</v>
          </cell>
          <cell r="J673">
            <v>11.5</v>
          </cell>
          <cell r="K673">
            <v>0</v>
          </cell>
          <cell r="L673" t="str">
            <v>Unificacion de Vertimientos</v>
          </cell>
          <cell r="M673" t="str">
            <v>Nuevo</v>
          </cell>
        </row>
        <row r="674">
          <cell r="B674" t="str">
            <v>MH-245</v>
          </cell>
          <cell r="C674">
            <v>1027</v>
          </cell>
          <cell r="D674">
            <v>1.2999999999999999E-2</v>
          </cell>
          <cell r="E674">
            <v>12</v>
          </cell>
          <cell r="F674">
            <v>1293.48</v>
          </cell>
          <cell r="G674">
            <v>1294.32</v>
          </cell>
          <cell r="H674">
            <v>1290.5</v>
          </cell>
          <cell r="I674">
            <v>1290.33</v>
          </cell>
          <cell r="J674">
            <v>6.2</v>
          </cell>
          <cell r="K674">
            <v>0</v>
          </cell>
          <cell r="L674" t="str">
            <v>Unificacion de Vertimientos</v>
          </cell>
          <cell r="M674" t="str">
            <v>Nuevo</v>
          </cell>
        </row>
        <row r="675">
          <cell r="B675" t="str">
            <v>D9</v>
          </cell>
          <cell r="C675" t="str">
            <v>MH-248</v>
          </cell>
          <cell r="D675">
            <v>1.2999999999999999E-2</v>
          </cell>
          <cell r="E675">
            <v>12</v>
          </cell>
          <cell r="F675">
            <v>1294.06</v>
          </cell>
          <cell r="G675">
            <v>1296.4100000000001</v>
          </cell>
          <cell r="H675">
            <v>1287.54</v>
          </cell>
          <cell r="I675">
            <v>1286.5</v>
          </cell>
          <cell r="J675">
            <v>10</v>
          </cell>
          <cell r="K675">
            <v>0</v>
          </cell>
          <cell r="L675" t="str">
            <v>Unificacion de Vertimientos</v>
          </cell>
          <cell r="M675" t="str">
            <v>Nuevo</v>
          </cell>
        </row>
        <row r="676">
          <cell r="B676" t="str">
            <v>MH-248</v>
          </cell>
          <cell r="C676" t="str">
            <v>BV34</v>
          </cell>
          <cell r="D676">
            <v>1.2999999999999999E-2</v>
          </cell>
          <cell r="E676">
            <v>12</v>
          </cell>
          <cell r="F676">
            <v>1296.4100000000001</v>
          </cell>
          <cell r="G676">
            <v>1285.55</v>
          </cell>
          <cell r="H676">
            <v>1286.5</v>
          </cell>
          <cell r="I676">
            <v>1284.54</v>
          </cell>
          <cell r="J676">
            <v>31.6</v>
          </cell>
          <cell r="K676">
            <v>0</v>
          </cell>
          <cell r="L676" t="str">
            <v>Unificacion de Vertimientos</v>
          </cell>
          <cell r="M676" t="str">
            <v>Nuevo</v>
          </cell>
        </row>
        <row r="677">
          <cell r="B677" t="str">
            <v>D6</v>
          </cell>
          <cell r="C677" t="str">
            <v>BV18</v>
          </cell>
          <cell r="D677">
            <v>1.2999999999999999E-2</v>
          </cell>
          <cell r="E677">
            <v>12</v>
          </cell>
          <cell r="F677">
            <v>1279.07</v>
          </cell>
          <cell r="G677">
            <v>1273.17</v>
          </cell>
          <cell r="H677">
            <v>1275.06</v>
          </cell>
          <cell r="I677">
            <v>1272.26</v>
          </cell>
          <cell r="J677">
            <v>43.7</v>
          </cell>
          <cell r="K677">
            <v>0</v>
          </cell>
          <cell r="L677" t="str">
            <v>Unificacion de Vertimientos</v>
          </cell>
          <cell r="M677" t="str">
            <v>Nuevo</v>
          </cell>
        </row>
        <row r="678">
          <cell r="B678" t="str">
            <v>BV18</v>
          </cell>
          <cell r="C678" t="str">
            <v>BV19</v>
          </cell>
          <cell r="D678">
            <v>1.2999999999999999E-2</v>
          </cell>
          <cell r="E678">
            <v>12</v>
          </cell>
          <cell r="F678">
            <v>1273.17</v>
          </cell>
          <cell r="G678">
            <v>1268.53</v>
          </cell>
          <cell r="H678">
            <v>1272.26</v>
          </cell>
          <cell r="I678">
            <v>1266.3599999999999</v>
          </cell>
          <cell r="J678">
            <v>34.5</v>
          </cell>
          <cell r="K678">
            <v>0</v>
          </cell>
          <cell r="L678" t="str">
            <v>Unificacion de Vertimientos</v>
          </cell>
          <cell r="M678" t="str">
            <v>Nuevo</v>
          </cell>
        </row>
        <row r="679">
          <cell r="B679">
            <v>520</v>
          </cell>
          <cell r="C679" t="str">
            <v>BV26</v>
          </cell>
          <cell r="D679">
            <v>1.2999999999999999E-2</v>
          </cell>
          <cell r="E679">
            <v>12</v>
          </cell>
          <cell r="F679">
            <v>1294.3599999999999</v>
          </cell>
          <cell r="G679">
            <v>1278.3699999999999</v>
          </cell>
          <cell r="H679">
            <v>1292.7</v>
          </cell>
          <cell r="I679">
            <v>1274.8599999999999</v>
          </cell>
          <cell r="J679">
            <v>29.5</v>
          </cell>
          <cell r="K679">
            <v>0</v>
          </cell>
          <cell r="L679" t="str">
            <v>Unificacion de Vertimientos</v>
          </cell>
          <cell r="M679" t="str">
            <v>Nuevo</v>
          </cell>
        </row>
        <row r="680">
          <cell r="B680" t="str">
            <v>BV26</v>
          </cell>
          <cell r="C680" t="str">
            <v>BV25</v>
          </cell>
          <cell r="D680">
            <v>1.2999999999999999E-2</v>
          </cell>
          <cell r="E680">
            <v>12</v>
          </cell>
          <cell r="F680">
            <v>1278.3699999999999</v>
          </cell>
          <cell r="G680">
            <v>1267.01</v>
          </cell>
          <cell r="H680">
            <v>1274.8599999999999</v>
          </cell>
          <cell r="I680">
            <v>1263.45</v>
          </cell>
          <cell r="J680">
            <v>11.8</v>
          </cell>
          <cell r="K680">
            <v>0</v>
          </cell>
          <cell r="L680" t="str">
            <v>Unificacion de Vertimientos</v>
          </cell>
          <cell r="M680" t="str">
            <v>Nuevo</v>
          </cell>
        </row>
        <row r="681">
          <cell r="B681" t="str">
            <v>BV25</v>
          </cell>
          <cell r="C681" t="str">
            <v>D8</v>
          </cell>
          <cell r="D681">
            <v>1.2999999999999999E-2</v>
          </cell>
          <cell r="E681">
            <v>12</v>
          </cell>
          <cell r="F681">
            <v>1267.01</v>
          </cell>
          <cell r="G681">
            <v>1255.51</v>
          </cell>
          <cell r="H681">
            <v>1263.45</v>
          </cell>
          <cell r="I681">
            <v>1251.6300000000001</v>
          </cell>
          <cell r="J681">
            <v>13.4</v>
          </cell>
          <cell r="K681">
            <v>0</v>
          </cell>
          <cell r="L681" t="str">
            <v>Unificacion de Vertimientos</v>
          </cell>
          <cell r="M681" t="str">
            <v>Nuevo</v>
          </cell>
        </row>
        <row r="682">
          <cell r="B682">
            <v>24</v>
          </cell>
          <cell r="C682">
            <v>26</v>
          </cell>
          <cell r="D682">
            <v>1.4999999999999999E-2</v>
          </cell>
          <cell r="E682">
            <v>20</v>
          </cell>
          <cell r="F682">
            <v>1298.8</v>
          </cell>
          <cell r="G682">
            <v>1298.8699999999999</v>
          </cell>
          <cell r="H682">
            <v>1296.3599999999999</v>
          </cell>
          <cell r="I682">
            <v>1296.1199999999999</v>
          </cell>
          <cell r="J682">
            <v>29.4</v>
          </cell>
          <cell r="K682">
            <v>0</v>
          </cell>
          <cell r="L682" t="str">
            <v xml:space="preserve">Tramos Existentes </v>
          </cell>
          <cell r="M682" t="str">
            <v>Existente</v>
          </cell>
        </row>
        <row r="683">
          <cell r="B683">
            <v>1023</v>
          </cell>
          <cell r="C683" t="str">
            <v>MH-244</v>
          </cell>
          <cell r="D683">
            <v>1.2999999999999999E-2</v>
          </cell>
          <cell r="E683">
            <v>12</v>
          </cell>
          <cell r="F683">
            <v>1297.56</v>
          </cell>
          <cell r="G683">
            <v>1294.3699999999999</v>
          </cell>
          <cell r="H683">
            <v>1295.8900000000001</v>
          </cell>
          <cell r="I683">
            <v>1293.43</v>
          </cell>
          <cell r="J683">
            <v>106.1</v>
          </cell>
          <cell r="K683">
            <v>0</v>
          </cell>
          <cell r="L683" t="str">
            <v>Unificacion de Vertimientos</v>
          </cell>
          <cell r="M683" t="str">
            <v>Nuevo</v>
          </cell>
        </row>
        <row r="684">
          <cell r="B684">
            <v>416</v>
          </cell>
          <cell r="C684">
            <v>1017</v>
          </cell>
          <cell r="D684">
            <v>1.4999999999999999E-2</v>
          </cell>
          <cell r="E684">
            <v>8</v>
          </cell>
          <cell r="F684">
            <v>1316.4</v>
          </cell>
          <cell r="G684">
            <v>1316.21</v>
          </cell>
          <cell r="H684">
            <v>1313.7</v>
          </cell>
          <cell r="I684">
            <v>1313.45</v>
          </cell>
          <cell r="J684">
            <v>24.7</v>
          </cell>
          <cell r="K684">
            <v>0</v>
          </cell>
          <cell r="L684" t="str">
            <v xml:space="preserve">Tramos Existentes </v>
          </cell>
          <cell r="M684" t="str">
            <v>Existente</v>
          </cell>
        </row>
        <row r="685">
          <cell r="B685">
            <v>1002</v>
          </cell>
          <cell r="C685">
            <v>22</v>
          </cell>
          <cell r="D685">
            <v>1.4999999999999999E-2</v>
          </cell>
          <cell r="E685">
            <v>10</v>
          </cell>
          <cell r="F685">
            <v>1298.17</v>
          </cell>
          <cell r="G685">
            <v>1298.3499999999999</v>
          </cell>
          <cell r="H685">
            <v>1297.26</v>
          </cell>
          <cell r="I685">
            <v>1296.6099999999999</v>
          </cell>
          <cell r="J685">
            <v>34.4</v>
          </cell>
          <cell r="K685">
            <v>0</v>
          </cell>
          <cell r="L685" t="str">
            <v xml:space="preserve">Tramos Existentes </v>
          </cell>
          <cell r="M685" t="str">
            <v>Existente</v>
          </cell>
        </row>
        <row r="686">
          <cell r="B686">
            <v>101</v>
          </cell>
          <cell r="C686">
            <v>57</v>
          </cell>
          <cell r="D686">
            <v>1.4999999999999999E-2</v>
          </cell>
          <cell r="E686">
            <v>12</v>
          </cell>
          <cell r="F686">
            <v>1303.48</v>
          </cell>
          <cell r="G686">
            <v>1302.28</v>
          </cell>
          <cell r="H686">
            <v>1301.68</v>
          </cell>
          <cell r="I686">
            <v>1299.94</v>
          </cell>
          <cell r="J686">
            <v>29.2</v>
          </cell>
          <cell r="K686">
            <v>0</v>
          </cell>
          <cell r="L686" t="str">
            <v xml:space="preserve">Tramos Existentes </v>
          </cell>
          <cell r="M686" t="str">
            <v>Existente</v>
          </cell>
        </row>
        <row r="687">
          <cell r="B687">
            <v>57</v>
          </cell>
          <cell r="C687" t="str">
            <v>P5</v>
          </cell>
          <cell r="D687">
            <v>1.4999999999999999E-2</v>
          </cell>
          <cell r="E687">
            <v>12</v>
          </cell>
          <cell r="F687">
            <v>1302.28</v>
          </cell>
          <cell r="G687">
            <v>1301.96</v>
          </cell>
          <cell r="H687">
            <v>1299.94</v>
          </cell>
          <cell r="I687">
            <v>1299.5899999999999</v>
          </cell>
          <cell r="J687">
            <v>13</v>
          </cell>
          <cell r="K687">
            <v>0</v>
          </cell>
          <cell r="L687" t="str">
            <v xml:space="preserve">Tramos Existentes </v>
          </cell>
          <cell r="M687" t="str">
            <v>Existente</v>
          </cell>
        </row>
        <row r="688">
          <cell r="B688" t="str">
            <v>P5</v>
          </cell>
          <cell r="C688">
            <v>56</v>
          </cell>
          <cell r="D688">
            <v>1.4999999999999999E-2</v>
          </cell>
          <cell r="E688">
            <v>18</v>
          </cell>
          <cell r="F688">
            <v>1301.96</v>
          </cell>
          <cell r="G688">
            <v>1301.0899999999999</v>
          </cell>
          <cell r="H688">
            <v>1299.5899999999999</v>
          </cell>
          <cell r="I688">
            <v>1298.1600000000001</v>
          </cell>
          <cell r="J688">
            <v>14.3</v>
          </cell>
          <cell r="K688">
            <v>0</v>
          </cell>
          <cell r="L688" t="str">
            <v xml:space="preserve">Tramos Existentes </v>
          </cell>
          <cell r="M688" t="str">
            <v>Existente</v>
          </cell>
        </row>
        <row r="689">
          <cell r="B689">
            <v>1010</v>
          </cell>
          <cell r="C689">
            <v>214</v>
          </cell>
          <cell r="D689">
            <v>1.4999999999999999E-2</v>
          </cell>
          <cell r="E689">
            <v>12</v>
          </cell>
          <cell r="F689">
            <v>1316.44</v>
          </cell>
          <cell r="G689">
            <v>1315.68</v>
          </cell>
          <cell r="H689">
            <v>1313.46</v>
          </cell>
          <cell r="I689">
            <v>1312.27</v>
          </cell>
          <cell r="J689">
            <v>75.8</v>
          </cell>
          <cell r="K689">
            <v>0</v>
          </cell>
          <cell r="L689" t="str">
            <v xml:space="preserve">Tramos Existentes </v>
          </cell>
          <cell r="M689" t="str">
            <v>Existente</v>
          </cell>
        </row>
        <row r="690">
          <cell r="B690">
            <v>214</v>
          </cell>
          <cell r="C690">
            <v>872</v>
          </cell>
          <cell r="D690">
            <v>0.01</v>
          </cell>
          <cell r="E690">
            <v>16</v>
          </cell>
          <cell r="F690">
            <v>1315.68</v>
          </cell>
          <cell r="G690">
            <v>1313.09</v>
          </cell>
          <cell r="H690">
            <v>1312.27</v>
          </cell>
          <cell r="I690">
            <v>1309.6500000000001</v>
          </cell>
          <cell r="J690">
            <v>72.7</v>
          </cell>
          <cell r="K690">
            <v>0</v>
          </cell>
          <cell r="L690" t="str">
            <v xml:space="preserve">Tramos Existentes </v>
          </cell>
          <cell r="M690" t="str">
            <v>Existente</v>
          </cell>
        </row>
        <row r="691">
          <cell r="B691">
            <v>872</v>
          </cell>
          <cell r="C691">
            <v>217</v>
          </cell>
          <cell r="D691">
            <v>0.01</v>
          </cell>
          <cell r="E691">
            <v>22</v>
          </cell>
          <cell r="F691">
            <v>1313.09</v>
          </cell>
          <cell r="G691">
            <v>1311.22</v>
          </cell>
          <cell r="H691">
            <v>1309.6500000000001</v>
          </cell>
          <cell r="I691">
            <v>1308.8599999999999</v>
          </cell>
          <cell r="J691">
            <v>72.400000000000006</v>
          </cell>
          <cell r="K691">
            <v>0</v>
          </cell>
          <cell r="L691" t="str">
            <v xml:space="preserve">Tramos Existentes </v>
          </cell>
          <cell r="M691" t="str">
            <v>Existente</v>
          </cell>
        </row>
        <row r="692">
          <cell r="B692">
            <v>938</v>
          </cell>
          <cell r="C692">
            <v>935</v>
          </cell>
          <cell r="D692">
            <v>0.01</v>
          </cell>
          <cell r="E692">
            <v>12</v>
          </cell>
          <cell r="F692">
            <v>1314.9</v>
          </cell>
          <cell r="G692">
            <v>1313.03</v>
          </cell>
          <cell r="H692">
            <v>1313.26</v>
          </cell>
          <cell r="I692">
            <v>1310.5899999999999</v>
          </cell>
          <cell r="J692">
            <v>51.6</v>
          </cell>
          <cell r="K692">
            <v>0</v>
          </cell>
          <cell r="L692" t="str">
            <v xml:space="preserve">Tramos Existentes </v>
          </cell>
          <cell r="M692" t="str">
            <v>Existente</v>
          </cell>
        </row>
        <row r="693">
          <cell r="B693">
            <v>935</v>
          </cell>
          <cell r="C693">
            <v>1013</v>
          </cell>
          <cell r="D693">
            <v>1.4999999999999999E-2</v>
          </cell>
          <cell r="E693">
            <v>16</v>
          </cell>
          <cell r="F693">
            <v>1313.03</v>
          </cell>
          <cell r="G693">
            <v>1312.1</v>
          </cell>
          <cell r="H693">
            <v>1310.5899999999999</v>
          </cell>
          <cell r="I693">
            <v>1309.9000000000001</v>
          </cell>
          <cell r="J693">
            <v>15.4</v>
          </cell>
          <cell r="K693">
            <v>0</v>
          </cell>
          <cell r="L693" t="str">
            <v xml:space="preserve">Tramos Existentes </v>
          </cell>
          <cell r="M693" t="str">
            <v>Existente</v>
          </cell>
        </row>
        <row r="694">
          <cell r="B694">
            <v>806</v>
          </cell>
          <cell r="C694">
            <v>805</v>
          </cell>
          <cell r="D694">
            <v>1.4999999999999999E-2</v>
          </cell>
          <cell r="E694">
            <v>28</v>
          </cell>
          <cell r="F694">
            <v>1307.54</v>
          </cell>
          <cell r="G694">
            <v>1305.8</v>
          </cell>
          <cell r="H694">
            <v>1302.76</v>
          </cell>
          <cell r="I694">
            <v>1301.83</v>
          </cell>
          <cell r="J694">
            <v>74</v>
          </cell>
          <cell r="K694">
            <v>0</v>
          </cell>
          <cell r="L694" t="str">
            <v xml:space="preserve">Tramos Existentes </v>
          </cell>
          <cell r="M694" t="str">
            <v>Existente</v>
          </cell>
        </row>
        <row r="695">
          <cell r="B695" t="str">
            <v>P14</v>
          </cell>
          <cell r="C695">
            <v>416</v>
          </cell>
          <cell r="D695">
            <v>1.4999999999999999E-2</v>
          </cell>
          <cell r="E695">
            <v>8</v>
          </cell>
          <cell r="F695">
            <v>1316.09</v>
          </cell>
          <cell r="G695">
            <v>1316.4</v>
          </cell>
          <cell r="H695">
            <v>1313.79</v>
          </cell>
          <cell r="I695">
            <v>1313.7</v>
          </cell>
          <cell r="J695">
            <v>26.5</v>
          </cell>
          <cell r="K695">
            <v>0</v>
          </cell>
          <cell r="L695" t="str">
            <v xml:space="preserve">Tramos Existentes </v>
          </cell>
          <cell r="M695" t="str">
            <v>Existente</v>
          </cell>
        </row>
        <row r="696">
          <cell r="B696">
            <v>1009</v>
          </cell>
          <cell r="C696">
            <v>806</v>
          </cell>
          <cell r="D696">
            <v>1.4999999999999999E-2</v>
          </cell>
          <cell r="E696">
            <v>28</v>
          </cell>
          <cell r="F696">
            <v>1306.4100000000001</v>
          </cell>
          <cell r="G696">
            <v>1307.54</v>
          </cell>
          <cell r="H696">
            <v>1302.99</v>
          </cell>
          <cell r="I696">
            <v>1302.76</v>
          </cell>
          <cell r="J696">
            <v>38.299999999999997</v>
          </cell>
          <cell r="K696">
            <v>0</v>
          </cell>
          <cell r="L696" t="str">
            <v xml:space="preserve">Tramos Existentes </v>
          </cell>
          <cell r="M696" t="str">
            <v>Existente</v>
          </cell>
        </row>
        <row r="697">
          <cell r="B697">
            <v>1017</v>
          </cell>
          <cell r="C697">
            <v>1019</v>
          </cell>
          <cell r="D697">
            <v>0.01</v>
          </cell>
          <cell r="E697">
            <v>12</v>
          </cell>
          <cell r="F697">
            <v>1316.21</v>
          </cell>
          <cell r="G697">
            <v>1314.12</v>
          </cell>
          <cell r="H697">
            <v>1313.45</v>
          </cell>
          <cell r="I697">
            <v>1311.32</v>
          </cell>
          <cell r="J697">
            <v>28.8</v>
          </cell>
          <cell r="K697">
            <v>0</v>
          </cell>
          <cell r="L697" t="str">
            <v xml:space="preserve">Tramos Existentes </v>
          </cell>
          <cell r="M697" t="str">
            <v>Existente</v>
          </cell>
        </row>
        <row r="698">
          <cell r="B698">
            <v>1019</v>
          </cell>
          <cell r="C698">
            <v>729</v>
          </cell>
          <cell r="D698">
            <v>0.01</v>
          </cell>
          <cell r="E698">
            <v>12</v>
          </cell>
          <cell r="F698">
            <v>1314.12</v>
          </cell>
          <cell r="G698">
            <v>1307.21</v>
          </cell>
          <cell r="H698">
            <v>1311.32</v>
          </cell>
          <cell r="I698">
            <v>1303.1500000000001</v>
          </cell>
          <cell r="J698">
            <v>36.200000000000003</v>
          </cell>
          <cell r="K698">
            <v>0</v>
          </cell>
          <cell r="L698" t="str">
            <v xml:space="preserve">Tramos Existentes </v>
          </cell>
          <cell r="M698" t="str">
            <v>Existente</v>
          </cell>
        </row>
        <row r="699">
          <cell r="B699">
            <v>729</v>
          </cell>
          <cell r="C699">
            <v>979</v>
          </cell>
          <cell r="D699">
            <v>0.01</v>
          </cell>
          <cell r="E699">
            <v>12</v>
          </cell>
          <cell r="F699">
            <v>1307.21</v>
          </cell>
          <cell r="G699">
            <v>1302.25</v>
          </cell>
          <cell r="H699">
            <v>1303.1500000000001</v>
          </cell>
          <cell r="I699">
            <v>1300.54</v>
          </cell>
          <cell r="J699">
            <v>21.1</v>
          </cell>
          <cell r="K699">
            <v>0</v>
          </cell>
          <cell r="L699" t="str">
            <v xml:space="preserve">Tramos Existentes </v>
          </cell>
          <cell r="M699" t="str">
            <v>Existente</v>
          </cell>
        </row>
        <row r="700">
          <cell r="B700">
            <v>979</v>
          </cell>
          <cell r="C700">
            <v>730</v>
          </cell>
          <cell r="D700">
            <v>0.01</v>
          </cell>
          <cell r="E700">
            <v>12</v>
          </cell>
          <cell r="F700">
            <v>1302.25</v>
          </cell>
          <cell r="G700">
            <v>1301.3399999999999</v>
          </cell>
          <cell r="H700">
            <v>1300.54</v>
          </cell>
          <cell r="I700">
            <v>1298.6300000000001</v>
          </cell>
          <cell r="J700">
            <v>23.1</v>
          </cell>
          <cell r="K700">
            <v>0</v>
          </cell>
          <cell r="L700" t="str">
            <v xml:space="preserve">Tramos Existentes </v>
          </cell>
          <cell r="M700" t="str">
            <v>Existente</v>
          </cell>
        </row>
        <row r="701">
          <cell r="B701">
            <v>730</v>
          </cell>
          <cell r="C701">
            <v>1023</v>
          </cell>
          <cell r="D701">
            <v>0.01</v>
          </cell>
          <cell r="E701">
            <v>12</v>
          </cell>
          <cell r="F701">
            <v>1301.3399999999999</v>
          </cell>
          <cell r="G701">
            <v>1297.56</v>
          </cell>
          <cell r="H701">
            <v>1298.6300000000001</v>
          </cell>
          <cell r="I701">
            <v>1295.8900000000001</v>
          </cell>
          <cell r="J701">
            <v>20.7</v>
          </cell>
          <cell r="K701">
            <v>0</v>
          </cell>
          <cell r="L701" t="str">
            <v xml:space="preserve">Tramos Existentes </v>
          </cell>
          <cell r="M701" t="str">
            <v>Existente</v>
          </cell>
        </row>
        <row r="702">
          <cell r="B702" t="str">
            <v>417i</v>
          </cell>
          <cell r="C702">
            <v>693</v>
          </cell>
          <cell r="D702">
            <v>0.01</v>
          </cell>
          <cell r="E702">
            <v>12</v>
          </cell>
          <cell r="F702">
            <v>1316.42</v>
          </cell>
          <cell r="G702">
            <v>1316.09</v>
          </cell>
          <cell r="H702">
            <v>1313.52</v>
          </cell>
          <cell r="I702">
            <v>1313.15</v>
          </cell>
          <cell r="J702">
            <v>25</v>
          </cell>
          <cell r="K702">
            <v>0</v>
          </cell>
          <cell r="L702" t="str">
            <v xml:space="preserve">Tramos Existentes </v>
          </cell>
          <cell r="M702" t="str">
            <v>Existente</v>
          </cell>
        </row>
        <row r="703">
          <cell r="B703">
            <v>693</v>
          </cell>
          <cell r="C703">
            <v>1018</v>
          </cell>
          <cell r="D703">
            <v>0.01</v>
          </cell>
          <cell r="E703">
            <v>12</v>
          </cell>
          <cell r="F703">
            <v>1316.09</v>
          </cell>
          <cell r="G703">
            <v>1314.17</v>
          </cell>
          <cell r="H703">
            <v>1313.15</v>
          </cell>
          <cell r="I703">
            <v>1311.19</v>
          </cell>
          <cell r="J703">
            <v>24.9</v>
          </cell>
          <cell r="K703">
            <v>0</v>
          </cell>
          <cell r="L703" t="str">
            <v xml:space="preserve">Tramos Existentes </v>
          </cell>
          <cell r="M703" t="str">
            <v>Existente</v>
          </cell>
        </row>
        <row r="704">
          <cell r="B704">
            <v>1018</v>
          </cell>
          <cell r="C704">
            <v>980</v>
          </cell>
          <cell r="D704">
            <v>0.01</v>
          </cell>
          <cell r="E704">
            <v>12</v>
          </cell>
          <cell r="F704">
            <v>1314.17</v>
          </cell>
          <cell r="G704">
            <v>1301.49</v>
          </cell>
          <cell r="H704">
            <v>1311.19</v>
          </cell>
          <cell r="I704">
            <v>1296.98</v>
          </cell>
          <cell r="J704">
            <v>46.9</v>
          </cell>
          <cell r="K704">
            <v>0</v>
          </cell>
          <cell r="L704" t="str">
            <v xml:space="preserve">Tramos Existentes </v>
          </cell>
          <cell r="M704" t="str">
            <v>Existente</v>
          </cell>
        </row>
        <row r="705">
          <cell r="B705">
            <v>980</v>
          </cell>
          <cell r="C705">
            <v>1022</v>
          </cell>
          <cell r="D705">
            <v>0.01</v>
          </cell>
          <cell r="E705">
            <v>12</v>
          </cell>
          <cell r="F705">
            <v>1301.49</v>
          </cell>
          <cell r="G705">
            <v>1301.47</v>
          </cell>
          <cell r="H705">
            <v>1296.98</v>
          </cell>
          <cell r="I705">
            <v>1296.32</v>
          </cell>
          <cell r="J705">
            <v>4.3</v>
          </cell>
          <cell r="K705">
            <v>0</v>
          </cell>
          <cell r="L705" t="str">
            <v xml:space="preserve">Tramos Existentes </v>
          </cell>
          <cell r="M705" t="str">
            <v>Existente</v>
          </cell>
        </row>
        <row r="706">
          <cell r="B706">
            <v>1013</v>
          </cell>
          <cell r="C706">
            <v>1012</v>
          </cell>
          <cell r="D706">
            <v>1.4999999999999999E-2</v>
          </cell>
          <cell r="E706">
            <v>16</v>
          </cell>
          <cell r="F706">
            <v>1312.1</v>
          </cell>
          <cell r="G706">
            <v>1309.9000000000001</v>
          </cell>
          <cell r="H706">
            <v>1309.9000000000001</v>
          </cell>
          <cell r="I706">
            <v>1307.1099999999999</v>
          </cell>
          <cell r="J706">
            <v>29.3</v>
          </cell>
          <cell r="K706">
            <v>0</v>
          </cell>
          <cell r="L706" t="str">
            <v xml:space="preserve">Tramos Existentes </v>
          </cell>
          <cell r="M706" t="str">
            <v>Existente</v>
          </cell>
        </row>
        <row r="707">
          <cell r="B707">
            <v>1011</v>
          </cell>
          <cell r="C707">
            <v>1012</v>
          </cell>
          <cell r="D707">
            <v>1.4999999999999999E-2</v>
          </cell>
          <cell r="E707">
            <v>16</v>
          </cell>
          <cell r="F707">
            <v>1310.52</v>
          </cell>
          <cell r="G707">
            <v>1309.9000000000001</v>
          </cell>
          <cell r="H707">
            <v>1308.92</v>
          </cell>
          <cell r="I707">
            <v>1307.1099999999999</v>
          </cell>
          <cell r="J707">
            <v>23.9</v>
          </cell>
          <cell r="K707">
            <v>0</v>
          </cell>
          <cell r="L707" t="str">
            <v xml:space="preserve">Tramos Existentes </v>
          </cell>
          <cell r="M707" t="str">
            <v>Existente</v>
          </cell>
        </row>
        <row r="708">
          <cell r="B708">
            <v>230</v>
          </cell>
          <cell r="C708">
            <v>228</v>
          </cell>
          <cell r="D708">
            <v>1.4999999999999999E-2</v>
          </cell>
          <cell r="E708">
            <v>12</v>
          </cell>
          <cell r="F708">
            <v>1292.75</v>
          </cell>
          <cell r="G708">
            <v>1292.67</v>
          </cell>
          <cell r="H708">
            <v>1290.74</v>
          </cell>
          <cell r="I708">
            <v>1289.27</v>
          </cell>
          <cell r="J708">
            <v>23.3</v>
          </cell>
          <cell r="K708">
            <v>0</v>
          </cell>
          <cell r="L708" t="str">
            <v xml:space="preserve">Tramos Existentes </v>
          </cell>
          <cell r="M708" t="str">
            <v>Existente</v>
          </cell>
        </row>
        <row r="709">
          <cell r="B709">
            <v>29</v>
          </cell>
          <cell r="C709">
            <v>30</v>
          </cell>
          <cell r="D709">
            <v>1.4999999999999999E-2</v>
          </cell>
          <cell r="E709">
            <v>12</v>
          </cell>
          <cell r="F709">
            <v>1298.27</v>
          </cell>
          <cell r="G709">
            <v>1298.0899999999999</v>
          </cell>
          <cell r="H709">
            <v>1295.5999999999999</v>
          </cell>
          <cell r="I709">
            <v>1295.58</v>
          </cell>
          <cell r="J709">
            <v>9.3000000000000007</v>
          </cell>
          <cell r="K709">
            <v>0</v>
          </cell>
          <cell r="L709" t="str">
            <v xml:space="preserve">Tramos Existentes </v>
          </cell>
          <cell r="M709" t="str">
            <v>Existente</v>
          </cell>
        </row>
        <row r="710">
          <cell r="B710">
            <v>30</v>
          </cell>
          <cell r="C710">
            <v>32</v>
          </cell>
          <cell r="D710">
            <v>0.01</v>
          </cell>
          <cell r="E710">
            <v>12</v>
          </cell>
          <cell r="F710">
            <v>1298.0899999999999</v>
          </cell>
          <cell r="G710">
            <v>1297.8599999999999</v>
          </cell>
          <cell r="H710">
            <v>1295.58</v>
          </cell>
          <cell r="I710">
            <v>1290.6300000000001</v>
          </cell>
          <cell r="J710">
            <v>8.8000000000000007</v>
          </cell>
          <cell r="K710">
            <v>0</v>
          </cell>
          <cell r="L710" t="str">
            <v xml:space="preserve">Tramos Existentes </v>
          </cell>
          <cell r="M710" t="str">
            <v>Existente</v>
          </cell>
        </row>
        <row r="711">
          <cell r="B711">
            <v>32</v>
          </cell>
          <cell r="C711">
            <v>33</v>
          </cell>
          <cell r="D711">
            <v>0.01</v>
          </cell>
          <cell r="E711">
            <v>12</v>
          </cell>
          <cell r="F711">
            <v>1297.8599999999999</v>
          </cell>
          <cell r="G711">
            <v>1291.22</v>
          </cell>
          <cell r="H711">
            <v>1290.6300000000001</v>
          </cell>
          <cell r="I711">
            <v>1285.1199999999999</v>
          </cell>
          <cell r="J711">
            <v>11.3</v>
          </cell>
          <cell r="K711">
            <v>0</v>
          </cell>
          <cell r="L711" t="str">
            <v xml:space="preserve">Tramos Existentes </v>
          </cell>
          <cell r="M711" t="str">
            <v>Existente</v>
          </cell>
        </row>
        <row r="712">
          <cell r="B712">
            <v>33</v>
          </cell>
          <cell r="C712">
            <v>34</v>
          </cell>
          <cell r="D712">
            <v>0.01</v>
          </cell>
          <cell r="E712">
            <v>12</v>
          </cell>
          <cell r="F712">
            <v>1291.22</v>
          </cell>
          <cell r="G712">
            <v>1285.68</v>
          </cell>
          <cell r="H712">
            <v>1285.1199999999999</v>
          </cell>
          <cell r="I712">
            <v>1280.1500000000001</v>
          </cell>
          <cell r="J712">
            <v>12.1</v>
          </cell>
          <cell r="K712">
            <v>0</v>
          </cell>
          <cell r="L712" t="str">
            <v xml:space="preserve">Tramos Existentes </v>
          </cell>
          <cell r="M712" t="str">
            <v>Existente</v>
          </cell>
        </row>
        <row r="713">
          <cell r="B713">
            <v>34</v>
          </cell>
          <cell r="C713">
            <v>35</v>
          </cell>
          <cell r="D713">
            <v>0.01</v>
          </cell>
          <cell r="E713">
            <v>12</v>
          </cell>
          <cell r="F713">
            <v>1285.68</v>
          </cell>
          <cell r="G713">
            <v>1281.1300000000001</v>
          </cell>
          <cell r="H713">
            <v>1280.1500000000001</v>
          </cell>
          <cell r="I713">
            <v>1275</v>
          </cell>
          <cell r="J713">
            <v>7.6</v>
          </cell>
          <cell r="K713">
            <v>0</v>
          </cell>
          <cell r="L713" t="str">
            <v xml:space="preserve">Tramos Existentes </v>
          </cell>
          <cell r="M713" t="str">
            <v>Existente</v>
          </cell>
        </row>
        <row r="714">
          <cell r="B714">
            <v>35</v>
          </cell>
          <cell r="C714" t="str">
            <v>MR17</v>
          </cell>
          <cell r="D714">
            <v>0.01</v>
          </cell>
          <cell r="E714">
            <v>16</v>
          </cell>
          <cell r="F714">
            <v>1281.1300000000001</v>
          </cell>
          <cell r="G714">
            <v>1279.6400000000001</v>
          </cell>
          <cell r="H714">
            <v>1275</v>
          </cell>
          <cell r="I714">
            <v>1278.72</v>
          </cell>
          <cell r="J714">
            <v>10.8</v>
          </cell>
          <cell r="K714">
            <v>0</v>
          </cell>
          <cell r="L714" t="str">
            <v xml:space="preserve">Tramos Existentes </v>
          </cell>
          <cell r="M714" t="str">
            <v>Existente</v>
          </cell>
        </row>
        <row r="715">
          <cell r="B715" t="str">
            <v>MR17</v>
          </cell>
          <cell r="C715" t="str">
            <v>D39</v>
          </cell>
          <cell r="D715">
            <v>0.01</v>
          </cell>
          <cell r="E715">
            <v>16</v>
          </cell>
          <cell r="F715">
            <v>1279.6400000000001</v>
          </cell>
          <cell r="G715">
            <v>1269.78</v>
          </cell>
          <cell r="H715">
            <v>1278.72</v>
          </cell>
          <cell r="I715">
            <v>1269.78</v>
          </cell>
          <cell r="J715">
            <v>7.4</v>
          </cell>
          <cell r="K715">
            <v>0</v>
          </cell>
          <cell r="L715" t="str">
            <v>Inhabilitar</v>
          </cell>
          <cell r="M715" t="str">
            <v>Existente</v>
          </cell>
        </row>
        <row r="716">
          <cell r="B716">
            <v>1005</v>
          </cell>
          <cell r="C716">
            <v>241</v>
          </cell>
          <cell r="D716">
            <v>1.4999999999999999E-2</v>
          </cell>
          <cell r="E716">
            <v>10</v>
          </cell>
          <cell r="F716">
            <v>1300.97</v>
          </cell>
          <cell r="G716">
            <v>1299.1099999999999</v>
          </cell>
          <cell r="H716">
            <v>1298.27</v>
          </cell>
          <cell r="I716">
            <v>1296.23</v>
          </cell>
          <cell r="J716">
            <v>65.599999999999994</v>
          </cell>
          <cell r="K716">
            <v>0</v>
          </cell>
          <cell r="L716" t="str">
            <v xml:space="preserve">Tramos Existentes </v>
          </cell>
          <cell r="M716" t="str">
            <v>Existente</v>
          </cell>
        </row>
        <row r="717">
          <cell r="B717">
            <v>60</v>
          </cell>
          <cell r="C717">
            <v>101</v>
          </cell>
          <cell r="D717">
            <v>1.4999999999999999E-2</v>
          </cell>
          <cell r="E717">
            <v>12</v>
          </cell>
          <cell r="F717">
            <v>1303.53</v>
          </cell>
          <cell r="G717">
            <v>1303.48</v>
          </cell>
          <cell r="H717">
            <v>1301.81</v>
          </cell>
          <cell r="I717">
            <v>1301.68</v>
          </cell>
          <cell r="J717">
            <v>11.3</v>
          </cell>
          <cell r="K717">
            <v>0</v>
          </cell>
          <cell r="L717" t="str">
            <v xml:space="preserve">Tramos Existentes </v>
          </cell>
          <cell r="M717" t="str">
            <v>Existente</v>
          </cell>
        </row>
        <row r="718">
          <cell r="B718">
            <v>1006</v>
          </cell>
          <cell r="C718">
            <v>1011</v>
          </cell>
          <cell r="D718">
            <v>1.4999999999999999E-2</v>
          </cell>
          <cell r="E718">
            <v>16</v>
          </cell>
          <cell r="F718">
            <v>1314.12</v>
          </cell>
          <cell r="G718">
            <v>1310.52</v>
          </cell>
          <cell r="H718">
            <v>1312.62</v>
          </cell>
          <cell r="I718">
            <v>1308.92</v>
          </cell>
          <cell r="J718">
            <v>16.7</v>
          </cell>
          <cell r="K718">
            <v>0</v>
          </cell>
          <cell r="L718" t="str">
            <v xml:space="preserve">Tramos Existentes </v>
          </cell>
          <cell r="M718" t="str">
            <v>Existente</v>
          </cell>
        </row>
        <row r="719">
          <cell r="B719">
            <v>23</v>
          </cell>
          <cell r="C719">
            <v>24</v>
          </cell>
          <cell r="D719">
            <v>1.4999999999999999E-2</v>
          </cell>
          <cell r="E719">
            <v>12</v>
          </cell>
          <cell r="F719">
            <v>1298.79</v>
          </cell>
          <cell r="G719">
            <v>1298.8</v>
          </cell>
          <cell r="H719">
            <v>1296.43</v>
          </cell>
          <cell r="I719">
            <v>1296.3599999999999</v>
          </cell>
          <cell r="J719">
            <v>8.3000000000000007</v>
          </cell>
          <cell r="K719">
            <v>0</v>
          </cell>
          <cell r="L719" t="str">
            <v xml:space="preserve">Tramos Existentes </v>
          </cell>
          <cell r="M719" t="str">
            <v>Existente</v>
          </cell>
        </row>
        <row r="720">
          <cell r="B720">
            <v>1012</v>
          </cell>
          <cell r="C720">
            <v>1014</v>
          </cell>
          <cell r="D720">
            <v>1.4999999999999999E-2</v>
          </cell>
          <cell r="E720">
            <v>16</v>
          </cell>
          <cell r="F720">
            <v>1309.9000000000001</v>
          </cell>
          <cell r="G720">
            <v>1302.4000000000001</v>
          </cell>
          <cell r="H720">
            <v>1307.1099999999999</v>
          </cell>
          <cell r="I720">
            <v>1301.4100000000001</v>
          </cell>
          <cell r="J720">
            <v>27.3</v>
          </cell>
          <cell r="K720">
            <v>0</v>
          </cell>
          <cell r="L720" t="str">
            <v xml:space="preserve">Tramos Existentes </v>
          </cell>
          <cell r="M720" t="str">
            <v>Existente</v>
          </cell>
        </row>
        <row r="721">
          <cell r="B721">
            <v>1007</v>
          </cell>
          <cell r="C721">
            <v>878</v>
          </cell>
          <cell r="D721">
            <v>1.4999999999999999E-2</v>
          </cell>
          <cell r="E721">
            <v>10</v>
          </cell>
          <cell r="F721">
            <v>1319.99</v>
          </cell>
          <cell r="G721">
            <v>1318.61</v>
          </cell>
          <cell r="H721">
            <v>1318.29</v>
          </cell>
          <cell r="I721">
            <v>1316.71</v>
          </cell>
          <cell r="J721">
            <v>46.1</v>
          </cell>
          <cell r="K721">
            <v>0</v>
          </cell>
          <cell r="L721" t="str">
            <v xml:space="preserve">Tramos Existentes </v>
          </cell>
          <cell r="M721" t="str">
            <v>Existente</v>
          </cell>
        </row>
        <row r="722">
          <cell r="B722">
            <v>878</v>
          </cell>
          <cell r="C722">
            <v>874</v>
          </cell>
          <cell r="D722">
            <v>1.4999999999999999E-2</v>
          </cell>
          <cell r="E722">
            <v>10</v>
          </cell>
          <cell r="F722">
            <v>1318.61</v>
          </cell>
          <cell r="G722">
            <v>1315.55</v>
          </cell>
          <cell r="H722">
            <v>1316.71</v>
          </cell>
          <cell r="I722">
            <v>1312.82</v>
          </cell>
          <cell r="J722">
            <v>75.400000000000006</v>
          </cell>
          <cell r="K722">
            <v>0</v>
          </cell>
          <cell r="L722" t="str">
            <v xml:space="preserve">Tramos Existentes </v>
          </cell>
          <cell r="M722" t="str">
            <v>Existente</v>
          </cell>
        </row>
        <row r="723">
          <cell r="B723" t="str">
            <v>1008i</v>
          </cell>
          <cell r="C723">
            <v>208</v>
          </cell>
          <cell r="D723">
            <v>1.4999999999999999E-2</v>
          </cell>
          <cell r="E723">
            <v>12</v>
          </cell>
          <cell r="F723">
            <v>1320.24</v>
          </cell>
          <cell r="G723">
            <v>1318.55</v>
          </cell>
          <cell r="H723">
            <v>1318.14</v>
          </cell>
          <cell r="I723">
            <v>1316.99</v>
          </cell>
          <cell r="J723">
            <v>72.900000000000006</v>
          </cell>
          <cell r="K723">
            <v>0</v>
          </cell>
          <cell r="L723" t="str">
            <v xml:space="preserve">Tramos Existentes </v>
          </cell>
          <cell r="M723" t="str">
            <v>Existente</v>
          </cell>
        </row>
        <row r="724">
          <cell r="B724">
            <v>208</v>
          </cell>
          <cell r="C724">
            <v>874</v>
          </cell>
          <cell r="D724">
            <v>1.4999999999999999E-2</v>
          </cell>
          <cell r="E724">
            <v>12</v>
          </cell>
          <cell r="F724">
            <v>1318.55</v>
          </cell>
          <cell r="G724">
            <v>1315.55</v>
          </cell>
          <cell r="H724">
            <v>1316.99</v>
          </cell>
          <cell r="I724">
            <v>1312.82</v>
          </cell>
          <cell r="J724">
            <v>72.3</v>
          </cell>
          <cell r="K724">
            <v>0</v>
          </cell>
          <cell r="L724" t="str">
            <v xml:space="preserve">Tramos Existentes </v>
          </cell>
          <cell r="M724" t="str">
            <v>Existente</v>
          </cell>
        </row>
        <row r="725">
          <cell r="B725">
            <v>874</v>
          </cell>
          <cell r="C725">
            <v>871</v>
          </cell>
          <cell r="D725">
            <v>1.4999999999999999E-2</v>
          </cell>
          <cell r="E725">
            <v>16</v>
          </cell>
          <cell r="F725">
            <v>1315.55</v>
          </cell>
          <cell r="G725">
            <v>1308.57</v>
          </cell>
          <cell r="H725">
            <v>1312.82</v>
          </cell>
          <cell r="I725">
            <v>1306.8399999999999</v>
          </cell>
          <cell r="J725">
            <v>77.400000000000006</v>
          </cell>
          <cell r="K725">
            <v>0</v>
          </cell>
          <cell r="L725" t="str">
            <v xml:space="preserve">Tramos Existentes </v>
          </cell>
          <cell r="M725" t="str">
            <v>Existente</v>
          </cell>
        </row>
        <row r="726">
          <cell r="B726">
            <v>871</v>
          </cell>
          <cell r="C726">
            <v>809</v>
          </cell>
          <cell r="D726">
            <v>1.4999999999999999E-2</v>
          </cell>
          <cell r="E726">
            <v>12</v>
          </cell>
          <cell r="F726">
            <v>1308.57</v>
          </cell>
          <cell r="G726">
            <v>1305.69</v>
          </cell>
          <cell r="H726">
            <v>1306.8399999999999</v>
          </cell>
          <cell r="I726">
            <v>1301.69</v>
          </cell>
          <cell r="J726">
            <v>66.400000000000006</v>
          </cell>
          <cell r="K726">
            <v>0</v>
          </cell>
          <cell r="L726" t="str">
            <v xml:space="preserve">Tramos Existentes </v>
          </cell>
          <cell r="M726" t="str">
            <v>Existente</v>
          </cell>
        </row>
        <row r="727">
          <cell r="B727">
            <v>1008</v>
          </cell>
          <cell r="C727">
            <v>207</v>
          </cell>
          <cell r="D727">
            <v>1.4999999999999999E-2</v>
          </cell>
          <cell r="E727">
            <v>12</v>
          </cell>
          <cell r="F727">
            <v>1320.24</v>
          </cell>
          <cell r="G727">
            <v>1318.64</v>
          </cell>
          <cell r="H727">
            <v>1318.13</v>
          </cell>
          <cell r="I727">
            <v>1316.4</v>
          </cell>
          <cell r="J727">
            <v>55.5</v>
          </cell>
          <cell r="K727">
            <v>0</v>
          </cell>
          <cell r="L727" t="str">
            <v xml:space="preserve">Tramos Existentes </v>
          </cell>
          <cell r="M727" t="str">
            <v>Existente</v>
          </cell>
        </row>
        <row r="728">
          <cell r="B728">
            <v>207</v>
          </cell>
          <cell r="C728">
            <v>202</v>
          </cell>
          <cell r="D728">
            <v>1.4999999999999999E-2</v>
          </cell>
          <cell r="E728">
            <v>12</v>
          </cell>
          <cell r="F728">
            <v>1318.64</v>
          </cell>
          <cell r="G728">
            <v>1316.29</v>
          </cell>
          <cell r="H728">
            <v>1316.4</v>
          </cell>
          <cell r="I728">
            <v>1313.03</v>
          </cell>
          <cell r="J728">
            <v>72.099999999999994</v>
          </cell>
          <cell r="K728">
            <v>0</v>
          </cell>
          <cell r="L728" t="str">
            <v xml:space="preserve">Tramos Existentes </v>
          </cell>
          <cell r="M728" t="str">
            <v>Existente</v>
          </cell>
        </row>
        <row r="729">
          <cell r="B729">
            <v>241</v>
          </cell>
          <cell r="C729">
            <v>137</v>
          </cell>
          <cell r="D729">
            <v>1.4999999999999999E-2</v>
          </cell>
          <cell r="E729">
            <v>10</v>
          </cell>
          <cell r="F729">
            <v>1299.1099999999999</v>
          </cell>
          <cell r="G729">
            <v>1265</v>
          </cell>
          <cell r="H729">
            <v>1296.23</v>
          </cell>
          <cell r="I729">
            <v>1296.07</v>
          </cell>
          <cell r="J729">
            <v>76.7</v>
          </cell>
          <cell r="K729">
            <v>0</v>
          </cell>
          <cell r="L729" t="str">
            <v xml:space="preserve">Tramos Existentes </v>
          </cell>
          <cell r="M729" t="str">
            <v>Existente</v>
          </cell>
        </row>
        <row r="730">
          <cell r="B730">
            <v>69</v>
          </cell>
          <cell r="C730">
            <v>70</v>
          </cell>
          <cell r="D730">
            <v>0.01</v>
          </cell>
          <cell r="E730">
            <v>10</v>
          </cell>
          <cell r="F730">
            <v>1299.6099999999999</v>
          </cell>
          <cell r="G730">
            <v>1300.22</v>
          </cell>
          <cell r="H730">
            <v>1298.0899999999999</v>
          </cell>
          <cell r="I730">
            <v>1297.1600000000001</v>
          </cell>
          <cell r="J730">
            <v>13.4</v>
          </cell>
          <cell r="K730">
            <v>0</v>
          </cell>
          <cell r="L730" t="str">
            <v xml:space="preserve">Tramos Existentes </v>
          </cell>
          <cell r="M730" t="str">
            <v>Existente</v>
          </cell>
        </row>
        <row r="731">
          <cell r="B731">
            <v>669</v>
          </cell>
          <cell r="C731">
            <v>668</v>
          </cell>
          <cell r="D731">
            <v>0.01</v>
          </cell>
          <cell r="E731">
            <v>12</v>
          </cell>
          <cell r="F731">
            <v>1312.55</v>
          </cell>
          <cell r="G731">
            <v>1313.12</v>
          </cell>
          <cell r="H731">
            <v>1308.3699999999999</v>
          </cell>
          <cell r="I731">
            <v>1307.8900000000001</v>
          </cell>
          <cell r="J731">
            <v>30.1</v>
          </cell>
          <cell r="K731">
            <v>0</v>
          </cell>
          <cell r="L731" t="str">
            <v xml:space="preserve">Tramos Existentes </v>
          </cell>
          <cell r="M731" t="str">
            <v>Existente</v>
          </cell>
        </row>
        <row r="732">
          <cell r="B732" t="str">
            <v>681i</v>
          </cell>
          <cell r="C732" t="str">
            <v>D9</v>
          </cell>
          <cell r="D732">
            <v>1.4999999999999999E-2</v>
          </cell>
          <cell r="E732">
            <v>10</v>
          </cell>
          <cell r="F732">
            <v>1289.1400000000001</v>
          </cell>
          <cell r="G732">
            <v>1294.06</v>
          </cell>
          <cell r="H732">
            <v>1286.29</v>
          </cell>
          <cell r="I732">
            <v>1286.21</v>
          </cell>
          <cell r="J732">
            <v>3.3</v>
          </cell>
          <cell r="K732">
            <v>0</v>
          </cell>
          <cell r="L732" t="str">
            <v>Inhabilitar</v>
          </cell>
          <cell r="M732" t="str">
            <v>Existente</v>
          </cell>
        </row>
        <row r="733">
          <cell r="B733">
            <v>685</v>
          </cell>
          <cell r="C733">
            <v>684</v>
          </cell>
          <cell r="D733">
            <v>1.4999999999999999E-2</v>
          </cell>
          <cell r="E733">
            <v>10</v>
          </cell>
          <cell r="F733">
            <v>1299.8599999999999</v>
          </cell>
          <cell r="G733">
            <v>1293.95</v>
          </cell>
          <cell r="H733">
            <v>1294.07</v>
          </cell>
          <cell r="I733">
            <v>1289.5999999999999</v>
          </cell>
          <cell r="J733">
            <v>28.5</v>
          </cell>
          <cell r="K733">
            <v>0</v>
          </cell>
          <cell r="L733" t="str">
            <v xml:space="preserve">Tramos Existentes </v>
          </cell>
          <cell r="M733" t="str">
            <v>Existente</v>
          </cell>
        </row>
        <row r="734">
          <cell r="B734">
            <v>684</v>
          </cell>
          <cell r="C734">
            <v>683</v>
          </cell>
          <cell r="D734">
            <v>1.4999999999999999E-2</v>
          </cell>
          <cell r="E734">
            <v>10</v>
          </cell>
          <cell r="F734">
            <v>1293.95</v>
          </cell>
          <cell r="G734">
            <v>1290.99</v>
          </cell>
          <cell r="H734">
            <v>1289.5999999999999</v>
          </cell>
          <cell r="I734">
            <v>1286.8900000000001</v>
          </cell>
          <cell r="J734">
            <v>10.8</v>
          </cell>
          <cell r="K734">
            <v>0</v>
          </cell>
          <cell r="L734" t="str">
            <v xml:space="preserve">Tramos Existentes </v>
          </cell>
          <cell r="M734" t="str">
            <v>Existente</v>
          </cell>
        </row>
        <row r="735">
          <cell r="B735">
            <v>683</v>
          </cell>
          <cell r="C735">
            <v>681</v>
          </cell>
          <cell r="D735">
            <v>1.4999999999999999E-2</v>
          </cell>
          <cell r="E735">
            <v>10</v>
          </cell>
          <cell r="F735">
            <v>1290.99</v>
          </cell>
          <cell r="G735">
            <v>1289.1400000000001</v>
          </cell>
          <cell r="H735">
            <v>1286.8900000000001</v>
          </cell>
          <cell r="I735">
            <v>1286.28</v>
          </cell>
          <cell r="J735">
            <v>10.6</v>
          </cell>
          <cell r="K735">
            <v>0</v>
          </cell>
          <cell r="L735" t="str">
            <v xml:space="preserve">Tramos Existentes </v>
          </cell>
          <cell r="M735" t="str">
            <v>Existente</v>
          </cell>
        </row>
        <row r="736">
          <cell r="B736">
            <v>960</v>
          </cell>
          <cell r="C736">
            <v>682</v>
          </cell>
          <cell r="D736">
            <v>0.01</v>
          </cell>
          <cell r="E736">
            <v>12</v>
          </cell>
          <cell r="F736">
            <v>1292.69</v>
          </cell>
          <cell r="G736">
            <v>1287.56</v>
          </cell>
          <cell r="H736">
            <v>1291.3399999999999</v>
          </cell>
          <cell r="I736">
            <v>1286.29</v>
          </cell>
          <cell r="J736">
            <v>123.3</v>
          </cell>
          <cell r="K736">
            <v>0</v>
          </cell>
          <cell r="L736" t="str">
            <v xml:space="preserve">Tramos Existentes </v>
          </cell>
          <cell r="M736" t="str">
            <v>Existente</v>
          </cell>
        </row>
        <row r="737">
          <cell r="B737">
            <v>682</v>
          </cell>
          <cell r="C737">
            <v>963</v>
          </cell>
          <cell r="D737">
            <v>0.01</v>
          </cell>
          <cell r="E737">
            <v>12</v>
          </cell>
          <cell r="F737">
            <v>1287.56</v>
          </cell>
          <cell r="G737">
            <v>1286.8</v>
          </cell>
          <cell r="H737">
            <v>1286.29</v>
          </cell>
          <cell r="I737">
            <v>1285.5</v>
          </cell>
          <cell r="J737">
            <v>29</v>
          </cell>
          <cell r="K737">
            <v>0</v>
          </cell>
          <cell r="L737" t="str">
            <v xml:space="preserve">Tramos Existentes </v>
          </cell>
          <cell r="M737" t="str">
            <v>Existente</v>
          </cell>
        </row>
        <row r="738">
          <cell r="B738" t="str">
            <v>687i</v>
          </cell>
          <cell r="C738">
            <v>772</v>
          </cell>
          <cell r="D738">
            <v>1.4999999999999999E-2</v>
          </cell>
          <cell r="E738">
            <v>8</v>
          </cell>
          <cell r="F738">
            <v>1309.45</v>
          </cell>
          <cell r="G738">
            <v>1310.3399999999999</v>
          </cell>
          <cell r="H738">
            <v>1308.05</v>
          </cell>
          <cell r="I738">
            <v>1307.77</v>
          </cell>
          <cell r="J738">
            <v>73.2</v>
          </cell>
          <cell r="K738">
            <v>0</v>
          </cell>
          <cell r="L738" t="str">
            <v xml:space="preserve">Tramos Existentes </v>
          </cell>
          <cell r="M738" t="str">
            <v>Existente</v>
          </cell>
        </row>
        <row r="739">
          <cell r="B739">
            <v>495</v>
          </cell>
          <cell r="C739">
            <v>498</v>
          </cell>
          <cell r="D739">
            <v>1.4999999999999999E-2</v>
          </cell>
          <cell r="E739">
            <v>10</v>
          </cell>
          <cell r="F739">
            <v>1322.57</v>
          </cell>
          <cell r="G739">
            <v>1322.53</v>
          </cell>
          <cell r="H739">
            <v>1320.71</v>
          </cell>
          <cell r="I739">
            <v>1320.6</v>
          </cell>
          <cell r="J739">
            <v>9.1</v>
          </cell>
          <cell r="K739">
            <v>0</v>
          </cell>
          <cell r="L739" t="str">
            <v xml:space="preserve">Tramos Existentes </v>
          </cell>
          <cell r="M739" t="str">
            <v>Existente</v>
          </cell>
        </row>
        <row r="740">
          <cell r="B740">
            <v>689</v>
          </cell>
          <cell r="C740">
            <v>304</v>
          </cell>
          <cell r="D740">
            <v>1.4999999999999999E-2</v>
          </cell>
          <cell r="E740">
            <v>10</v>
          </cell>
          <cell r="F740">
            <v>1312.27</v>
          </cell>
          <cell r="G740">
            <v>1310.78</v>
          </cell>
          <cell r="H740">
            <v>1309.56</v>
          </cell>
          <cell r="I740">
            <v>1307.93</v>
          </cell>
          <cell r="J740">
            <v>61.7</v>
          </cell>
          <cell r="K740">
            <v>0</v>
          </cell>
          <cell r="L740" t="str">
            <v xml:space="preserve">Tramos Existentes </v>
          </cell>
          <cell r="M740" t="str">
            <v>Existente</v>
          </cell>
        </row>
        <row r="741">
          <cell r="B741">
            <v>663</v>
          </cell>
          <cell r="C741">
            <v>664</v>
          </cell>
          <cell r="D741">
            <v>1.4999999999999999E-2</v>
          </cell>
          <cell r="E741">
            <v>12</v>
          </cell>
          <cell r="F741">
            <v>1312.31</v>
          </cell>
          <cell r="G741">
            <v>1312.77</v>
          </cell>
          <cell r="H741">
            <v>1311.64</v>
          </cell>
          <cell r="I741">
            <v>1311.39</v>
          </cell>
          <cell r="J741">
            <v>15.4</v>
          </cell>
          <cell r="K741">
            <v>0</v>
          </cell>
          <cell r="L741" t="str">
            <v xml:space="preserve">Tramos Existentes </v>
          </cell>
          <cell r="M741" t="str">
            <v>Existente</v>
          </cell>
        </row>
        <row r="742">
          <cell r="B742">
            <v>70</v>
          </cell>
          <cell r="C742">
            <v>23</v>
          </cell>
          <cell r="D742">
            <v>0.01</v>
          </cell>
          <cell r="E742">
            <v>12</v>
          </cell>
          <cell r="F742">
            <v>1300.22</v>
          </cell>
          <cell r="G742">
            <v>1298.79</v>
          </cell>
          <cell r="H742">
            <v>1297.1600000000001</v>
          </cell>
          <cell r="I742">
            <v>1296.43</v>
          </cell>
          <cell r="J742">
            <v>31.3</v>
          </cell>
          <cell r="K742">
            <v>0</v>
          </cell>
          <cell r="L742" t="str">
            <v xml:space="preserve">Tramos Existentes </v>
          </cell>
          <cell r="M742" t="str">
            <v>Existente</v>
          </cell>
        </row>
        <row r="743">
          <cell r="B743">
            <v>690</v>
          </cell>
          <cell r="C743">
            <v>309</v>
          </cell>
          <cell r="D743">
            <v>1.4999999999999999E-2</v>
          </cell>
          <cell r="E743">
            <v>12</v>
          </cell>
          <cell r="F743">
            <v>1312.16</v>
          </cell>
          <cell r="G743">
            <v>1313</v>
          </cell>
          <cell r="H743">
            <v>1310.47</v>
          </cell>
          <cell r="I743">
            <v>1309.19</v>
          </cell>
          <cell r="J743">
            <v>43.7</v>
          </cell>
          <cell r="K743">
            <v>0</v>
          </cell>
          <cell r="L743" t="str">
            <v xml:space="preserve">Tramos Existentes </v>
          </cell>
          <cell r="M743" t="str">
            <v>Existente</v>
          </cell>
        </row>
        <row r="744">
          <cell r="B744" t="str">
            <v>692i</v>
          </cell>
          <cell r="C744">
            <v>691</v>
          </cell>
          <cell r="D744">
            <v>1.4999999999999999E-2</v>
          </cell>
          <cell r="E744">
            <v>10</v>
          </cell>
          <cell r="F744">
            <v>1316.14</v>
          </cell>
          <cell r="G744">
            <v>1315.43</v>
          </cell>
          <cell r="H744">
            <v>1311.62</v>
          </cell>
          <cell r="I744">
            <v>1308.95</v>
          </cell>
          <cell r="J744">
            <v>27.8</v>
          </cell>
          <cell r="K744">
            <v>0</v>
          </cell>
          <cell r="L744" t="str">
            <v xml:space="preserve">Renovacion </v>
          </cell>
          <cell r="M744" t="str">
            <v>Existente</v>
          </cell>
        </row>
        <row r="745">
          <cell r="B745">
            <v>708</v>
          </cell>
          <cell r="C745">
            <v>707</v>
          </cell>
          <cell r="D745">
            <v>1.4999999999999999E-2</v>
          </cell>
          <cell r="E745">
            <v>16</v>
          </cell>
          <cell r="F745">
            <v>1302.57</v>
          </cell>
          <cell r="G745">
            <v>1298.4000000000001</v>
          </cell>
          <cell r="H745">
            <v>1300.3800000000001</v>
          </cell>
          <cell r="I745">
            <v>1296.1199999999999</v>
          </cell>
          <cell r="J745">
            <v>8.1</v>
          </cell>
          <cell r="K745">
            <v>0</v>
          </cell>
          <cell r="L745" t="str">
            <v xml:space="preserve">Tramos Existentes </v>
          </cell>
          <cell r="M745" t="str">
            <v>Existente</v>
          </cell>
        </row>
        <row r="746">
          <cell r="B746">
            <v>707</v>
          </cell>
          <cell r="C746">
            <v>706</v>
          </cell>
          <cell r="D746">
            <v>1.4999999999999999E-2</v>
          </cell>
          <cell r="E746">
            <v>16</v>
          </cell>
          <cell r="F746">
            <v>1298.4000000000001</v>
          </cell>
          <cell r="G746">
            <v>1294.4100000000001</v>
          </cell>
          <cell r="H746">
            <v>1296.1199999999999</v>
          </cell>
          <cell r="I746">
            <v>1292.33</v>
          </cell>
          <cell r="J746">
            <v>16.8</v>
          </cell>
          <cell r="K746">
            <v>0</v>
          </cell>
          <cell r="L746" t="str">
            <v xml:space="preserve">Tramos Existentes </v>
          </cell>
          <cell r="M746" t="str">
            <v>Existente</v>
          </cell>
        </row>
        <row r="747">
          <cell r="B747">
            <v>71</v>
          </cell>
          <cell r="C747">
            <v>72</v>
          </cell>
          <cell r="D747">
            <v>0.01</v>
          </cell>
          <cell r="E747">
            <v>10</v>
          </cell>
          <cell r="F747">
            <v>1299.8800000000001</v>
          </cell>
          <cell r="G747">
            <v>1300.99</v>
          </cell>
          <cell r="H747">
            <v>1298.73</v>
          </cell>
          <cell r="I747">
            <v>1298.31</v>
          </cell>
          <cell r="J747">
            <v>15.5</v>
          </cell>
          <cell r="K747">
            <v>0</v>
          </cell>
          <cell r="L747" t="str">
            <v xml:space="preserve">Tramos Existentes </v>
          </cell>
          <cell r="M747" t="str">
            <v>Existente</v>
          </cell>
        </row>
        <row r="748">
          <cell r="B748">
            <v>72</v>
          </cell>
          <cell r="C748">
            <v>70</v>
          </cell>
          <cell r="D748">
            <v>0.01</v>
          </cell>
          <cell r="E748">
            <v>10</v>
          </cell>
          <cell r="F748">
            <v>1300.99</v>
          </cell>
          <cell r="G748">
            <v>1300.22</v>
          </cell>
          <cell r="H748">
            <v>1298.31</v>
          </cell>
          <cell r="I748">
            <v>1297.1600000000001</v>
          </cell>
          <cell r="J748">
            <v>27.9</v>
          </cell>
          <cell r="K748">
            <v>0</v>
          </cell>
          <cell r="L748" t="str">
            <v xml:space="preserve">Tramos Existentes </v>
          </cell>
          <cell r="M748" t="str">
            <v>Existente</v>
          </cell>
        </row>
        <row r="749">
          <cell r="B749">
            <v>793</v>
          </cell>
          <cell r="C749">
            <v>791</v>
          </cell>
          <cell r="D749">
            <v>1.4999999999999999E-2</v>
          </cell>
          <cell r="E749">
            <v>16</v>
          </cell>
          <cell r="F749">
            <v>1259.71</v>
          </cell>
          <cell r="G749">
            <v>1258.77</v>
          </cell>
          <cell r="H749">
            <v>1257.81</v>
          </cell>
          <cell r="I749">
            <v>1256.73</v>
          </cell>
          <cell r="J749">
            <v>20.3</v>
          </cell>
          <cell r="K749">
            <v>0</v>
          </cell>
          <cell r="L749" t="str">
            <v xml:space="preserve">Tramos Existentes </v>
          </cell>
          <cell r="M749" t="str">
            <v>Existente</v>
          </cell>
        </row>
        <row r="750">
          <cell r="B750">
            <v>791</v>
          </cell>
          <cell r="C750">
            <v>710</v>
          </cell>
          <cell r="D750">
            <v>1.4999999999999999E-2</v>
          </cell>
          <cell r="E750">
            <v>16</v>
          </cell>
          <cell r="F750">
            <v>1258.77</v>
          </cell>
          <cell r="G750">
            <v>1256.28</v>
          </cell>
          <cell r="H750">
            <v>1256.73</v>
          </cell>
          <cell r="I750">
            <v>1255.01</v>
          </cell>
          <cell r="J750">
            <v>89.7</v>
          </cell>
          <cell r="K750">
            <v>0</v>
          </cell>
          <cell r="L750" t="str">
            <v xml:space="preserve">Tramos Existentes </v>
          </cell>
          <cell r="M750" t="str">
            <v>Existente</v>
          </cell>
        </row>
        <row r="751">
          <cell r="B751">
            <v>688</v>
          </cell>
          <cell r="C751">
            <v>687</v>
          </cell>
          <cell r="D751">
            <v>1.4999999999999999E-2</v>
          </cell>
          <cell r="E751">
            <v>8</v>
          </cell>
          <cell r="F751">
            <v>1310.71</v>
          </cell>
          <cell r="G751">
            <v>1309.45</v>
          </cell>
          <cell r="H751">
            <v>1309.3</v>
          </cell>
          <cell r="I751">
            <v>1307.9000000000001</v>
          </cell>
          <cell r="J751">
            <v>62.3</v>
          </cell>
          <cell r="K751">
            <v>0</v>
          </cell>
          <cell r="L751" t="str">
            <v xml:space="preserve">Tramos Existentes </v>
          </cell>
          <cell r="M751" t="str">
            <v>Existente</v>
          </cell>
        </row>
        <row r="752">
          <cell r="B752" t="str">
            <v>656i</v>
          </cell>
          <cell r="C752">
            <v>872</v>
          </cell>
          <cell r="D752">
            <v>0.01</v>
          </cell>
          <cell r="E752">
            <v>8</v>
          </cell>
          <cell r="F752">
            <v>1316.02</v>
          </cell>
          <cell r="G752">
            <v>1313.09</v>
          </cell>
          <cell r="H752">
            <v>1314.59</v>
          </cell>
          <cell r="I752">
            <v>1309.6500000000001</v>
          </cell>
          <cell r="J752">
            <v>73</v>
          </cell>
          <cell r="K752">
            <v>0</v>
          </cell>
          <cell r="L752" t="str">
            <v xml:space="preserve">Tramos Existentes </v>
          </cell>
          <cell r="M752" t="str">
            <v>Existente</v>
          </cell>
        </row>
        <row r="753">
          <cell r="B753">
            <v>648</v>
          </cell>
          <cell r="C753">
            <v>649</v>
          </cell>
          <cell r="D753">
            <v>1.4999999999999999E-2</v>
          </cell>
          <cell r="E753">
            <v>10</v>
          </cell>
          <cell r="F753">
            <v>1304.92</v>
          </cell>
          <cell r="G753">
            <v>1301.99</v>
          </cell>
          <cell r="H753">
            <v>1300.3</v>
          </cell>
          <cell r="I753">
            <v>1299.01</v>
          </cell>
          <cell r="J753">
            <v>10.9</v>
          </cell>
          <cell r="K753">
            <v>0</v>
          </cell>
          <cell r="L753" t="str">
            <v xml:space="preserve">Tramos Existentes </v>
          </cell>
          <cell r="M753" t="str">
            <v>Existente</v>
          </cell>
        </row>
        <row r="754">
          <cell r="B754">
            <v>649</v>
          </cell>
          <cell r="C754">
            <v>650</v>
          </cell>
          <cell r="D754">
            <v>1.4999999999999999E-2</v>
          </cell>
          <cell r="E754">
            <v>10</v>
          </cell>
          <cell r="F754">
            <v>1301.99</v>
          </cell>
          <cell r="G754">
            <v>1299.24</v>
          </cell>
          <cell r="H754">
            <v>1299.01</v>
          </cell>
          <cell r="I754">
            <v>1295.06</v>
          </cell>
          <cell r="J754">
            <v>17.399999999999999</v>
          </cell>
          <cell r="K754">
            <v>0</v>
          </cell>
          <cell r="L754" t="str">
            <v xml:space="preserve">Tramos Existentes </v>
          </cell>
          <cell r="M754" t="str">
            <v>Existente</v>
          </cell>
        </row>
        <row r="755">
          <cell r="B755">
            <v>650</v>
          </cell>
          <cell r="C755">
            <v>996</v>
          </cell>
          <cell r="D755">
            <v>0.01</v>
          </cell>
          <cell r="E755">
            <v>24</v>
          </cell>
          <cell r="F755">
            <v>1299.24</v>
          </cell>
          <cell r="G755">
            <v>1294.81</v>
          </cell>
          <cell r="H755">
            <v>1295.06</v>
          </cell>
          <cell r="I755">
            <v>1292.69</v>
          </cell>
          <cell r="J755">
            <v>13.1</v>
          </cell>
          <cell r="K755">
            <v>0</v>
          </cell>
          <cell r="L755" t="str">
            <v xml:space="preserve">Tramos Existentes </v>
          </cell>
          <cell r="M755" t="str">
            <v>Existente</v>
          </cell>
        </row>
        <row r="756">
          <cell r="B756" t="str">
            <v>932i</v>
          </cell>
          <cell r="C756">
            <v>656</v>
          </cell>
          <cell r="D756">
            <v>0.01</v>
          </cell>
          <cell r="E756">
            <v>8</v>
          </cell>
          <cell r="F756">
            <v>1316.66</v>
          </cell>
          <cell r="G756">
            <v>1316.02</v>
          </cell>
          <cell r="H756">
            <v>1314.85</v>
          </cell>
          <cell r="I756">
            <v>1314.55</v>
          </cell>
          <cell r="J756">
            <v>73.599999999999994</v>
          </cell>
          <cell r="K756">
            <v>0</v>
          </cell>
          <cell r="L756" t="str">
            <v xml:space="preserve">Tramos Existentes </v>
          </cell>
          <cell r="M756" t="str">
            <v>Existente</v>
          </cell>
        </row>
        <row r="757">
          <cell r="B757">
            <v>656</v>
          </cell>
          <cell r="C757">
            <v>655</v>
          </cell>
          <cell r="D757">
            <v>1.4999999999999999E-2</v>
          </cell>
          <cell r="E757">
            <v>10</v>
          </cell>
          <cell r="F757">
            <v>1316.02</v>
          </cell>
          <cell r="G757">
            <v>1315.43</v>
          </cell>
          <cell r="H757">
            <v>1314.55</v>
          </cell>
          <cell r="I757">
            <v>1313.82</v>
          </cell>
          <cell r="J757">
            <v>71.7</v>
          </cell>
          <cell r="K757">
            <v>0</v>
          </cell>
          <cell r="L757" t="str">
            <v xml:space="preserve">Tramos Existentes </v>
          </cell>
          <cell r="M757" t="str">
            <v>Existente</v>
          </cell>
        </row>
        <row r="758">
          <cell r="B758">
            <v>655</v>
          </cell>
          <cell r="C758">
            <v>654</v>
          </cell>
          <cell r="D758">
            <v>0.01</v>
          </cell>
          <cell r="E758">
            <v>12</v>
          </cell>
          <cell r="F758">
            <v>1315.43</v>
          </cell>
          <cell r="G758">
            <v>1314.44</v>
          </cell>
          <cell r="H758">
            <v>1313.82</v>
          </cell>
          <cell r="I758">
            <v>1312.13</v>
          </cell>
          <cell r="J758">
            <v>22.1</v>
          </cell>
          <cell r="K758">
            <v>0</v>
          </cell>
          <cell r="L758" t="str">
            <v xml:space="preserve">Tramos Existentes </v>
          </cell>
          <cell r="M758" t="str">
            <v>Existente</v>
          </cell>
        </row>
        <row r="759">
          <cell r="B759">
            <v>654</v>
          </cell>
          <cell r="C759">
            <v>931</v>
          </cell>
          <cell r="D759">
            <v>1.4999999999999999E-2</v>
          </cell>
          <cell r="E759">
            <v>12</v>
          </cell>
          <cell r="F759">
            <v>1314.44</v>
          </cell>
          <cell r="G759">
            <v>1310.98</v>
          </cell>
          <cell r="H759">
            <v>1312.13</v>
          </cell>
          <cell r="I759">
            <v>1306.01</v>
          </cell>
          <cell r="J759">
            <v>52.3</v>
          </cell>
          <cell r="K759">
            <v>0</v>
          </cell>
          <cell r="L759" t="str">
            <v xml:space="preserve">Tramos Existentes </v>
          </cell>
          <cell r="M759" t="str">
            <v>Existente</v>
          </cell>
        </row>
        <row r="760">
          <cell r="B760" t="str">
            <v>655ii</v>
          </cell>
          <cell r="C760">
            <v>81</v>
          </cell>
          <cell r="D760">
            <v>1.4999999999999999E-2</v>
          </cell>
          <cell r="E760">
            <v>18</v>
          </cell>
          <cell r="F760">
            <v>1315.43</v>
          </cell>
          <cell r="G760">
            <v>1315.78</v>
          </cell>
          <cell r="H760">
            <v>1314.02</v>
          </cell>
          <cell r="I760">
            <v>1312.9</v>
          </cell>
          <cell r="J760">
            <v>72</v>
          </cell>
          <cell r="K760">
            <v>0</v>
          </cell>
          <cell r="L760" t="str">
            <v xml:space="preserve">Tramos Existentes </v>
          </cell>
          <cell r="M760" t="str">
            <v>Existente</v>
          </cell>
        </row>
        <row r="761">
          <cell r="B761">
            <v>81</v>
          </cell>
          <cell r="C761">
            <v>82</v>
          </cell>
          <cell r="D761">
            <v>1.4999999999999999E-2</v>
          </cell>
          <cell r="E761">
            <v>14</v>
          </cell>
          <cell r="F761">
            <v>1315.78</v>
          </cell>
          <cell r="G761">
            <v>1314.77</v>
          </cell>
          <cell r="H761">
            <v>1312.9</v>
          </cell>
          <cell r="I761">
            <v>1312.57</v>
          </cell>
          <cell r="J761">
            <v>72.2</v>
          </cell>
          <cell r="K761">
            <v>0</v>
          </cell>
          <cell r="L761" t="str">
            <v xml:space="preserve">Tramos Existentes </v>
          </cell>
          <cell r="M761" t="str">
            <v>Existente</v>
          </cell>
        </row>
        <row r="762">
          <cell r="B762">
            <v>670</v>
          </cell>
          <cell r="C762">
            <v>669</v>
          </cell>
          <cell r="D762">
            <v>0.01</v>
          </cell>
          <cell r="E762">
            <v>12</v>
          </cell>
          <cell r="F762">
            <v>1312.54</v>
          </cell>
          <cell r="G762">
            <v>1312.55</v>
          </cell>
          <cell r="H762">
            <v>1308.54</v>
          </cell>
          <cell r="I762">
            <v>1308.3699999999999</v>
          </cell>
          <cell r="J762">
            <v>4.0999999999999996</v>
          </cell>
          <cell r="K762">
            <v>0</v>
          </cell>
          <cell r="L762" t="str">
            <v xml:space="preserve">Tramos Existentes </v>
          </cell>
          <cell r="M762" t="str">
            <v>Existente</v>
          </cell>
        </row>
        <row r="763">
          <cell r="B763">
            <v>83</v>
          </cell>
          <cell r="C763">
            <v>375</v>
          </cell>
          <cell r="D763">
            <v>1.4999999999999999E-2</v>
          </cell>
          <cell r="E763">
            <v>20</v>
          </cell>
          <cell r="F763">
            <v>1314</v>
          </cell>
          <cell r="G763">
            <v>1313.05</v>
          </cell>
          <cell r="H763">
            <v>1311.66</v>
          </cell>
          <cell r="I763">
            <v>1310.6400000000001</v>
          </cell>
          <cell r="J763">
            <v>73.400000000000006</v>
          </cell>
          <cell r="K763">
            <v>0</v>
          </cell>
          <cell r="L763" t="str">
            <v xml:space="preserve">Tramos Existentes </v>
          </cell>
          <cell r="M763" t="str">
            <v>Existente</v>
          </cell>
        </row>
        <row r="764">
          <cell r="B764">
            <v>732</v>
          </cell>
          <cell r="C764">
            <v>670</v>
          </cell>
          <cell r="D764">
            <v>0.01</v>
          </cell>
          <cell r="E764">
            <v>12</v>
          </cell>
          <cell r="F764">
            <v>1312.63</v>
          </cell>
          <cell r="G764">
            <v>1312.54</v>
          </cell>
          <cell r="H764">
            <v>1308.6199999999999</v>
          </cell>
          <cell r="I764">
            <v>1308.54</v>
          </cell>
          <cell r="J764">
            <v>5.8</v>
          </cell>
          <cell r="K764">
            <v>0</v>
          </cell>
          <cell r="L764" t="str">
            <v xml:space="preserve">Tramos Existentes </v>
          </cell>
          <cell r="M764" t="str">
            <v>Existente</v>
          </cell>
        </row>
        <row r="765">
          <cell r="B765">
            <v>657</v>
          </cell>
          <cell r="C765">
            <v>658</v>
          </cell>
          <cell r="D765">
            <v>1.4999999999999999E-2</v>
          </cell>
          <cell r="E765">
            <v>12</v>
          </cell>
          <cell r="F765">
            <v>1316.22</v>
          </cell>
          <cell r="G765">
            <v>1313.47</v>
          </cell>
          <cell r="H765">
            <v>1313.67</v>
          </cell>
          <cell r="I765">
            <v>1310.17</v>
          </cell>
          <cell r="J765">
            <v>56.3</v>
          </cell>
          <cell r="K765">
            <v>0</v>
          </cell>
          <cell r="L765" t="str">
            <v xml:space="preserve">Tramos Existentes </v>
          </cell>
          <cell r="M765" t="str">
            <v>Existente</v>
          </cell>
        </row>
        <row r="766">
          <cell r="B766">
            <v>659</v>
          </cell>
          <cell r="C766">
            <v>660</v>
          </cell>
          <cell r="D766">
            <v>1.4999999999999999E-2</v>
          </cell>
          <cell r="E766">
            <v>12</v>
          </cell>
          <cell r="F766">
            <v>1311.06</v>
          </cell>
          <cell r="G766">
            <v>1312.45</v>
          </cell>
          <cell r="H766">
            <v>1310.31</v>
          </cell>
          <cell r="I766">
            <v>1309.55</v>
          </cell>
          <cell r="J766">
            <v>17.600000000000001</v>
          </cell>
          <cell r="K766">
            <v>0</v>
          </cell>
          <cell r="L766" t="str">
            <v xml:space="preserve">Tramos Existentes </v>
          </cell>
          <cell r="M766" t="str">
            <v>Existente</v>
          </cell>
        </row>
        <row r="767">
          <cell r="B767">
            <v>661</v>
          </cell>
          <cell r="C767">
            <v>664</v>
          </cell>
          <cell r="D767">
            <v>0.01</v>
          </cell>
          <cell r="E767">
            <v>8</v>
          </cell>
          <cell r="F767">
            <v>1313</v>
          </cell>
          <cell r="G767">
            <v>1312.77</v>
          </cell>
          <cell r="H767">
            <v>1311.76</v>
          </cell>
          <cell r="I767">
            <v>1311.39</v>
          </cell>
          <cell r="J767">
            <v>22.5</v>
          </cell>
          <cell r="K767">
            <v>0</v>
          </cell>
          <cell r="L767" t="str">
            <v xml:space="preserve">Tramos Existentes </v>
          </cell>
          <cell r="M767" t="str">
            <v>Existente</v>
          </cell>
        </row>
        <row r="768">
          <cell r="B768">
            <v>664</v>
          </cell>
          <cell r="C768">
            <v>665</v>
          </cell>
          <cell r="D768">
            <v>1.4999999999999999E-2</v>
          </cell>
          <cell r="E768">
            <v>12</v>
          </cell>
          <cell r="F768">
            <v>1312.77</v>
          </cell>
          <cell r="G768">
            <v>1315.4</v>
          </cell>
          <cell r="H768">
            <v>1311.39</v>
          </cell>
          <cell r="I768">
            <v>1310.6199999999999</v>
          </cell>
          <cell r="J768">
            <v>35.700000000000003</v>
          </cell>
          <cell r="K768">
            <v>0</v>
          </cell>
          <cell r="L768" t="str">
            <v xml:space="preserve">Renovacion </v>
          </cell>
          <cell r="M768" t="str">
            <v>Existente</v>
          </cell>
        </row>
        <row r="769">
          <cell r="B769">
            <v>665</v>
          </cell>
          <cell r="C769">
            <v>667</v>
          </cell>
          <cell r="D769">
            <v>1.4999999999999999E-2</v>
          </cell>
          <cell r="E769">
            <v>12</v>
          </cell>
          <cell r="F769">
            <v>1315.4</v>
          </cell>
          <cell r="G769">
            <v>1313.35</v>
          </cell>
          <cell r="H769">
            <v>1310.6199999999999</v>
          </cell>
          <cell r="I769">
            <v>1308.24</v>
          </cell>
          <cell r="J769">
            <v>52</v>
          </cell>
          <cell r="K769">
            <v>0</v>
          </cell>
          <cell r="L769" t="str">
            <v xml:space="preserve">Renovacion </v>
          </cell>
          <cell r="M769" t="str">
            <v>Existente</v>
          </cell>
        </row>
        <row r="770">
          <cell r="B770">
            <v>667</v>
          </cell>
          <cell r="C770">
            <v>668</v>
          </cell>
          <cell r="D770">
            <v>0.01</v>
          </cell>
          <cell r="E770">
            <v>12</v>
          </cell>
          <cell r="F770">
            <v>1313.35</v>
          </cell>
          <cell r="G770">
            <v>1313.12</v>
          </cell>
          <cell r="H770">
            <v>1308.24</v>
          </cell>
          <cell r="I770">
            <v>1307.8900000000001</v>
          </cell>
          <cell r="J770">
            <v>6</v>
          </cell>
          <cell r="K770">
            <v>0</v>
          </cell>
          <cell r="L770" t="str">
            <v xml:space="preserve">Tramos Existentes </v>
          </cell>
          <cell r="M770" t="str">
            <v>Existente</v>
          </cell>
        </row>
        <row r="771">
          <cell r="B771">
            <v>668</v>
          </cell>
          <cell r="C771">
            <v>977</v>
          </cell>
          <cell r="D771">
            <v>0.01</v>
          </cell>
          <cell r="E771">
            <v>12</v>
          </cell>
          <cell r="F771">
            <v>1313.12</v>
          </cell>
          <cell r="G771">
            <v>1309.25</v>
          </cell>
          <cell r="H771">
            <v>1307.8900000000001</v>
          </cell>
          <cell r="I771">
            <v>1306.97</v>
          </cell>
          <cell r="J771">
            <v>10.3</v>
          </cell>
          <cell r="K771">
            <v>0</v>
          </cell>
          <cell r="L771" t="str">
            <v xml:space="preserve">Tramos Existentes </v>
          </cell>
          <cell r="M771" t="str">
            <v>Existente</v>
          </cell>
        </row>
        <row r="772">
          <cell r="B772">
            <v>977</v>
          </cell>
          <cell r="C772">
            <v>727</v>
          </cell>
          <cell r="D772">
            <v>0.01</v>
          </cell>
          <cell r="E772">
            <v>12</v>
          </cell>
          <cell r="F772">
            <v>1309.25</v>
          </cell>
          <cell r="G772">
            <v>1309.54</v>
          </cell>
          <cell r="H772">
            <v>1306.97</v>
          </cell>
          <cell r="I772">
            <v>1306.53</v>
          </cell>
          <cell r="J772">
            <v>22.7</v>
          </cell>
          <cell r="K772">
            <v>0</v>
          </cell>
          <cell r="L772" t="str">
            <v xml:space="preserve">Tramos Existentes </v>
          </cell>
          <cell r="M772" t="str">
            <v>Existente</v>
          </cell>
        </row>
        <row r="773">
          <cell r="B773" t="str">
            <v>713i</v>
          </cell>
          <cell r="C773">
            <v>715</v>
          </cell>
          <cell r="D773">
            <v>1.4999999999999999E-2</v>
          </cell>
          <cell r="E773">
            <v>10</v>
          </cell>
          <cell r="F773">
            <v>1312.21</v>
          </cell>
          <cell r="G773">
            <v>1306.23</v>
          </cell>
          <cell r="H773">
            <v>1310.1099999999999</v>
          </cell>
          <cell r="I773">
            <v>1303.8800000000001</v>
          </cell>
          <cell r="J773">
            <v>71.2</v>
          </cell>
          <cell r="K773">
            <v>0</v>
          </cell>
          <cell r="L773" t="str">
            <v xml:space="preserve">Tramos Existentes </v>
          </cell>
          <cell r="M773" t="str">
            <v>Existente</v>
          </cell>
        </row>
        <row r="774">
          <cell r="B774">
            <v>82</v>
          </cell>
          <cell r="C774">
            <v>83</v>
          </cell>
          <cell r="D774">
            <v>1.4999999999999999E-2</v>
          </cell>
          <cell r="E774">
            <v>16</v>
          </cell>
          <cell r="F774">
            <v>1314.77</v>
          </cell>
          <cell r="G774">
            <v>1314</v>
          </cell>
          <cell r="H774">
            <v>1312.57</v>
          </cell>
          <cell r="I774">
            <v>1311.66</v>
          </cell>
          <cell r="J774">
            <v>71.2</v>
          </cell>
          <cell r="K774">
            <v>0</v>
          </cell>
          <cell r="L774" t="str">
            <v xml:space="preserve">Tramos Existentes </v>
          </cell>
          <cell r="M774" t="str">
            <v>Existente</v>
          </cell>
        </row>
        <row r="775">
          <cell r="B775">
            <v>749</v>
          </cell>
          <cell r="C775">
            <v>748</v>
          </cell>
          <cell r="D775">
            <v>1.4999999999999999E-2</v>
          </cell>
          <cell r="E775">
            <v>12</v>
          </cell>
          <cell r="F775">
            <v>1319.81</v>
          </cell>
          <cell r="G775">
            <v>1320.15</v>
          </cell>
          <cell r="H775">
            <v>1317.48</v>
          </cell>
          <cell r="I775">
            <v>1315.81</v>
          </cell>
          <cell r="J775">
            <v>7.3</v>
          </cell>
          <cell r="K775">
            <v>0</v>
          </cell>
          <cell r="L775" t="str">
            <v xml:space="preserve">Tramos Existentes </v>
          </cell>
          <cell r="M775" t="str">
            <v>Existente</v>
          </cell>
        </row>
        <row r="776">
          <cell r="B776">
            <v>710</v>
          </cell>
          <cell r="C776" t="str">
            <v>P37</v>
          </cell>
          <cell r="D776">
            <v>1.4999999999999999E-2</v>
          </cell>
          <cell r="E776">
            <v>16</v>
          </cell>
          <cell r="F776">
            <v>1256.28</v>
          </cell>
          <cell r="G776">
            <v>1256.21</v>
          </cell>
          <cell r="H776">
            <v>1255.01</v>
          </cell>
          <cell r="I776">
            <v>1254.9100000000001</v>
          </cell>
          <cell r="J776">
            <v>6.5</v>
          </cell>
          <cell r="K776">
            <v>0</v>
          </cell>
          <cell r="L776" t="str">
            <v xml:space="preserve">Tramos Existentes </v>
          </cell>
          <cell r="M776" t="str">
            <v>Existente</v>
          </cell>
        </row>
        <row r="777">
          <cell r="B777">
            <v>916</v>
          </cell>
          <cell r="C777">
            <v>913</v>
          </cell>
          <cell r="D777">
            <v>1.4999999999999999E-2</v>
          </cell>
          <cell r="E777">
            <v>8</v>
          </cell>
          <cell r="F777">
            <v>1320.08</v>
          </cell>
          <cell r="G777">
            <v>1320.3</v>
          </cell>
          <cell r="H777">
            <v>1318.23</v>
          </cell>
          <cell r="I777">
            <v>1318.18</v>
          </cell>
          <cell r="J777">
            <v>23.9</v>
          </cell>
          <cell r="K777">
            <v>0</v>
          </cell>
          <cell r="L777" t="str">
            <v xml:space="preserve">Tramos Existentes </v>
          </cell>
          <cell r="M777" t="str">
            <v>Existente</v>
          </cell>
        </row>
        <row r="778">
          <cell r="B778">
            <v>913</v>
          </cell>
          <cell r="C778">
            <v>918</v>
          </cell>
          <cell r="D778">
            <v>0.01</v>
          </cell>
          <cell r="E778">
            <v>8</v>
          </cell>
          <cell r="F778">
            <v>1320.3</v>
          </cell>
          <cell r="G778">
            <v>1314.85</v>
          </cell>
          <cell r="H778">
            <v>1318.18</v>
          </cell>
          <cell r="I778">
            <v>1308.33</v>
          </cell>
          <cell r="J778">
            <v>65.5</v>
          </cell>
          <cell r="K778">
            <v>0</v>
          </cell>
          <cell r="L778" t="str">
            <v xml:space="preserve">Tramos Existentes </v>
          </cell>
          <cell r="M778" t="str">
            <v>Existente</v>
          </cell>
        </row>
        <row r="779">
          <cell r="B779" t="str">
            <v>905i</v>
          </cell>
          <cell r="C779">
            <v>747</v>
          </cell>
          <cell r="D779">
            <v>1.4999999999999999E-2</v>
          </cell>
          <cell r="E779">
            <v>10</v>
          </cell>
          <cell r="F779">
            <v>1320.42</v>
          </cell>
          <cell r="G779">
            <v>1321.07</v>
          </cell>
          <cell r="H779">
            <v>1319.02</v>
          </cell>
          <cell r="I779">
            <v>1318.75</v>
          </cell>
          <cell r="J779">
            <v>81.2</v>
          </cell>
          <cell r="K779">
            <v>0</v>
          </cell>
          <cell r="L779" t="str">
            <v xml:space="preserve">Tramos Existentes </v>
          </cell>
          <cell r="M779" t="str">
            <v>Existente</v>
          </cell>
        </row>
        <row r="780">
          <cell r="B780">
            <v>747</v>
          </cell>
          <cell r="C780">
            <v>746</v>
          </cell>
          <cell r="D780">
            <v>1.4999999999999999E-2</v>
          </cell>
          <cell r="E780">
            <v>16</v>
          </cell>
          <cell r="F780">
            <v>1321.07</v>
          </cell>
          <cell r="G780">
            <v>1321.18</v>
          </cell>
          <cell r="H780">
            <v>1318.75</v>
          </cell>
          <cell r="I780">
            <v>1314.82</v>
          </cell>
          <cell r="J780">
            <v>6.5</v>
          </cell>
          <cell r="K780">
            <v>0</v>
          </cell>
          <cell r="L780" t="str">
            <v xml:space="preserve">Tramos Existentes </v>
          </cell>
          <cell r="M780" t="str">
            <v>Existente</v>
          </cell>
        </row>
        <row r="781">
          <cell r="B781">
            <v>746</v>
          </cell>
          <cell r="C781">
            <v>906</v>
          </cell>
          <cell r="D781">
            <v>1.4999999999999999E-2</v>
          </cell>
          <cell r="E781">
            <v>16</v>
          </cell>
          <cell r="F781">
            <v>1321.18</v>
          </cell>
          <cell r="G781">
            <v>1320.61</v>
          </cell>
          <cell r="H781">
            <v>1314.82</v>
          </cell>
          <cell r="I781">
            <v>1313.27</v>
          </cell>
          <cell r="J781">
            <v>81.7</v>
          </cell>
          <cell r="K781">
            <v>0</v>
          </cell>
          <cell r="L781" t="str">
            <v xml:space="preserve">Tramos Existentes </v>
          </cell>
          <cell r="M781" t="str">
            <v>Existente</v>
          </cell>
        </row>
        <row r="782">
          <cell r="B782">
            <v>906</v>
          </cell>
          <cell r="C782">
            <v>908</v>
          </cell>
          <cell r="D782">
            <v>1.4999999999999999E-2</v>
          </cell>
          <cell r="E782">
            <v>16</v>
          </cell>
          <cell r="F782">
            <v>1320.61</v>
          </cell>
          <cell r="G782">
            <v>1317.99</v>
          </cell>
          <cell r="H782">
            <v>1313.27</v>
          </cell>
          <cell r="I782">
            <v>1312.65</v>
          </cell>
          <cell r="J782">
            <v>25.4</v>
          </cell>
          <cell r="K782">
            <v>0</v>
          </cell>
          <cell r="L782" t="str">
            <v xml:space="preserve">Tramos Existentes </v>
          </cell>
          <cell r="M782" t="str">
            <v>Existente</v>
          </cell>
        </row>
        <row r="783">
          <cell r="B783">
            <v>908</v>
          </cell>
          <cell r="C783">
            <v>909</v>
          </cell>
          <cell r="D783">
            <v>1.4999999999999999E-2</v>
          </cell>
          <cell r="E783">
            <v>16</v>
          </cell>
          <cell r="F783">
            <v>1317.99</v>
          </cell>
          <cell r="G783">
            <v>1314.09</v>
          </cell>
          <cell r="H783">
            <v>1312.65</v>
          </cell>
          <cell r="I783">
            <v>1308.94</v>
          </cell>
          <cell r="J783">
            <v>41.5</v>
          </cell>
          <cell r="K783">
            <v>0</v>
          </cell>
          <cell r="L783" t="str">
            <v xml:space="preserve">Tramos Existentes </v>
          </cell>
          <cell r="M783" t="str">
            <v>Existente</v>
          </cell>
        </row>
        <row r="784">
          <cell r="B784">
            <v>909</v>
          </cell>
          <cell r="C784">
            <v>918</v>
          </cell>
          <cell r="D784">
            <v>1.4999999999999999E-2</v>
          </cell>
          <cell r="E784">
            <v>18</v>
          </cell>
          <cell r="F784">
            <v>1314.09</v>
          </cell>
          <cell r="G784">
            <v>1314.85</v>
          </cell>
          <cell r="H784">
            <v>1308.94</v>
          </cell>
          <cell r="I784">
            <v>1308.33</v>
          </cell>
          <cell r="J784">
            <v>73.8</v>
          </cell>
          <cell r="K784">
            <v>0</v>
          </cell>
          <cell r="L784" t="str">
            <v xml:space="preserve">Tramos Existentes </v>
          </cell>
          <cell r="M784" t="str">
            <v>Existente</v>
          </cell>
        </row>
        <row r="785">
          <cell r="B785" t="str">
            <v>744i</v>
          </cell>
          <cell r="C785">
            <v>745</v>
          </cell>
          <cell r="D785">
            <v>1.4999999999999999E-2</v>
          </cell>
          <cell r="E785">
            <v>8</v>
          </cell>
          <cell r="F785">
            <v>1321.12</v>
          </cell>
          <cell r="G785">
            <v>1321.09</v>
          </cell>
          <cell r="H785">
            <v>1319.41</v>
          </cell>
          <cell r="I785">
            <v>1319.18</v>
          </cell>
          <cell r="J785">
            <v>28.6</v>
          </cell>
          <cell r="K785">
            <v>0</v>
          </cell>
          <cell r="L785" t="str">
            <v xml:space="preserve">Tramos Existentes </v>
          </cell>
          <cell r="M785" t="str">
            <v>Existente</v>
          </cell>
        </row>
        <row r="786">
          <cell r="B786" t="str">
            <v>902i</v>
          </cell>
          <cell r="C786">
            <v>749</v>
          </cell>
          <cell r="D786">
            <v>1.4999999999999999E-2</v>
          </cell>
          <cell r="E786">
            <v>8</v>
          </cell>
          <cell r="F786">
            <v>1319.7</v>
          </cell>
          <cell r="G786">
            <v>1319.81</v>
          </cell>
          <cell r="H786">
            <v>1317.88</v>
          </cell>
          <cell r="I786">
            <v>1317.48</v>
          </cell>
          <cell r="J786">
            <v>72.5</v>
          </cell>
          <cell r="K786">
            <v>0</v>
          </cell>
          <cell r="L786" t="str">
            <v xml:space="preserve">Tramos Existentes </v>
          </cell>
          <cell r="M786" t="str">
            <v>Existente</v>
          </cell>
        </row>
        <row r="787">
          <cell r="B787">
            <v>741</v>
          </cell>
          <cell r="C787">
            <v>498</v>
          </cell>
          <cell r="D787">
            <v>1.4999999999999999E-2</v>
          </cell>
          <cell r="E787">
            <v>10</v>
          </cell>
          <cell r="F787">
            <v>1323</v>
          </cell>
          <cell r="G787">
            <v>1322.53</v>
          </cell>
          <cell r="H787">
            <v>1321.39</v>
          </cell>
          <cell r="I787">
            <v>1320.6</v>
          </cell>
          <cell r="J787">
            <v>24.9</v>
          </cell>
          <cell r="K787">
            <v>0</v>
          </cell>
          <cell r="L787" t="str">
            <v xml:space="preserve">Tramos Existentes </v>
          </cell>
          <cell r="M787" t="str">
            <v>Existente</v>
          </cell>
        </row>
        <row r="788">
          <cell r="B788">
            <v>748</v>
          </cell>
          <cell r="C788">
            <v>746</v>
          </cell>
          <cell r="D788">
            <v>1.4999999999999999E-2</v>
          </cell>
          <cell r="E788">
            <v>12</v>
          </cell>
          <cell r="F788">
            <v>1320.15</v>
          </cell>
          <cell r="G788">
            <v>1321.18</v>
          </cell>
          <cell r="H788">
            <v>1315.81</v>
          </cell>
          <cell r="I788">
            <v>1314.82</v>
          </cell>
          <cell r="J788">
            <v>32.9</v>
          </cell>
          <cell r="K788">
            <v>0</v>
          </cell>
          <cell r="L788" t="str">
            <v xml:space="preserve">Tramos Existentes </v>
          </cell>
          <cell r="M788" t="str">
            <v>Existente</v>
          </cell>
        </row>
        <row r="789">
          <cell r="B789">
            <v>751</v>
          </cell>
          <cell r="C789">
            <v>750</v>
          </cell>
          <cell r="D789">
            <v>1.4999999999999999E-2</v>
          </cell>
          <cell r="E789">
            <v>10</v>
          </cell>
          <cell r="F789">
            <v>1320.39</v>
          </cell>
          <cell r="G789">
            <v>1319.63</v>
          </cell>
          <cell r="H789">
            <v>1318.77</v>
          </cell>
          <cell r="I789">
            <v>1316.01</v>
          </cell>
          <cell r="J789">
            <v>43.3</v>
          </cell>
          <cell r="K789">
            <v>0</v>
          </cell>
          <cell r="L789" t="str">
            <v xml:space="preserve">Tramos Existentes </v>
          </cell>
          <cell r="M789" t="str">
            <v>Existente</v>
          </cell>
        </row>
        <row r="790">
          <cell r="B790">
            <v>750</v>
          </cell>
          <cell r="C790">
            <v>748</v>
          </cell>
          <cell r="D790">
            <v>1.4999999999999999E-2</v>
          </cell>
          <cell r="E790">
            <v>12</v>
          </cell>
          <cell r="F790">
            <v>1319.63</v>
          </cell>
          <cell r="G790">
            <v>1320.15</v>
          </cell>
          <cell r="H790">
            <v>1316.01</v>
          </cell>
          <cell r="I790">
            <v>1315.81</v>
          </cell>
          <cell r="J790">
            <v>19.100000000000001</v>
          </cell>
          <cell r="K790">
            <v>0</v>
          </cell>
          <cell r="L790" t="str">
            <v xml:space="preserve">Tramos Existentes </v>
          </cell>
          <cell r="M790" t="str">
            <v>Existente</v>
          </cell>
        </row>
        <row r="791">
          <cell r="B791">
            <v>753</v>
          </cell>
          <cell r="C791">
            <v>752</v>
          </cell>
          <cell r="D791">
            <v>1.4999999999999999E-2</v>
          </cell>
          <cell r="E791">
            <v>10</v>
          </cell>
          <cell r="F791">
            <v>1320.93</v>
          </cell>
          <cell r="G791">
            <v>1320.49</v>
          </cell>
          <cell r="H791">
            <v>1320</v>
          </cell>
          <cell r="I791">
            <v>1316.98</v>
          </cell>
          <cell r="J791">
            <v>38.4</v>
          </cell>
          <cell r="K791">
            <v>0</v>
          </cell>
          <cell r="L791" t="str">
            <v xml:space="preserve">Tramos Existentes </v>
          </cell>
          <cell r="M791" t="str">
            <v>Existente</v>
          </cell>
        </row>
        <row r="792">
          <cell r="B792">
            <v>752</v>
          </cell>
          <cell r="C792">
            <v>750</v>
          </cell>
          <cell r="D792">
            <v>1.4999999999999999E-2</v>
          </cell>
          <cell r="E792">
            <v>10</v>
          </cell>
          <cell r="F792">
            <v>1320.49</v>
          </cell>
          <cell r="G792">
            <v>1319.63</v>
          </cell>
          <cell r="H792">
            <v>1316.98</v>
          </cell>
          <cell r="I792">
            <v>1316.01</v>
          </cell>
          <cell r="J792">
            <v>36.4</v>
          </cell>
          <cell r="K792">
            <v>0</v>
          </cell>
          <cell r="L792" t="str">
            <v xml:space="preserve">Tramos Existentes </v>
          </cell>
          <cell r="M792" t="str">
            <v>Existente</v>
          </cell>
        </row>
        <row r="793">
          <cell r="B793">
            <v>754</v>
          </cell>
          <cell r="C793">
            <v>752</v>
          </cell>
          <cell r="D793">
            <v>1.4999999999999999E-2</v>
          </cell>
          <cell r="E793">
            <v>12</v>
          </cell>
          <cell r="F793">
            <v>1319.59</v>
          </cell>
          <cell r="G793">
            <v>1320.49</v>
          </cell>
          <cell r="H793">
            <v>1317.77</v>
          </cell>
          <cell r="I793">
            <v>1316.98</v>
          </cell>
          <cell r="J793">
            <v>24.3</v>
          </cell>
          <cell r="K793">
            <v>0</v>
          </cell>
          <cell r="L793" t="str">
            <v xml:space="preserve">Tramos Existentes </v>
          </cell>
          <cell r="M793" t="str">
            <v>Existente</v>
          </cell>
        </row>
        <row r="794">
          <cell r="B794">
            <v>756</v>
          </cell>
          <cell r="C794">
            <v>755</v>
          </cell>
          <cell r="D794">
            <v>1.4999999999999999E-2</v>
          </cell>
          <cell r="E794">
            <v>10</v>
          </cell>
          <cell r="F794">
            <v>1321.65</v>
          </cell>
          <cell r="G794">
            <v>1320.93</v>
          </cell>
          <cell r="H794">
            <v>1320.01</v>
          </cell>
          <cell r="I794">
            <v>1317.71</v>
          </cell>
          <cell r="J794">
            <v>46</v>
          </cell>
          <cell r="K794">
            <v>0</v>
          </cell>
          <cell r="L794" t="str">
            <v xml:space="preserve">Tramos Existentes </v>
          </cell>
          <cell r="M794" t="str">
            <v>Existente</v>
          </cell>
        </row>
        <row r="795">
          <cell r="B795">
            <v>755</v>
          </cell>
          <cell r="C795">
            <v>752</v>
          </cell>
          <cell r="D795">
            <v>1.4999999999999999E-2</v>
          </cell>
          <cell r="E795">
            <v>12</v>
          </cell>
          <cell r="F795">
            <v>1320.93</v>
          </cell>
          <cell r="G795">
            <v>1320.49</v>
          </cell>
          <cell r="H795">
            <v>1317.71</v>
          </cell>
          <cell r="I795">
            <v>1316.98</v>
          </cell>
          <cell r="J795">
            <v>33.5</v>
          </cell>
          <cell r="K795">
            <v>0</v>
          </cell>
          <cell r="L795" t="str">
            <v xml:space="preserve">Tramos Existentes </v>
          </cell>
          <cell r="M795" t="str">
            <v>Existente</v>
          </cell>
        </row>
        <row r="796">
          <cell r="B796">
            <v>757</v>
          </cell>
          <cell r="C796">
            <v>755</v>
          </cell>
          <cell r="D796">
            <v>1.4999999999999999E-2</v>
          </cell>
          <cell r="E796">
            <v>8</v>
          </cell>
          <cell r="F796">
            <v>1320.76</v>
          </cell>
          <cell r="G796">
            <v>1320.93</v>
          </cell>
          <cell r="H796">
            <v>1319.08</v>
          </cell>
          <cell r="I796">
            <v>1317.71</v>
          </cell>
          <cell r="J796">
            <v>28.8</v>
          </cell>
          <cell r="K796">
            <v>0</v>
          </cell>
          <cell r="L796" t="str">
            <v xml:space="preserve">Tramos Existentes </v>
          </cell>
          <cell r="M796" t="str">
            <v>Existente</v>
          </cell>
        </row>
        <row r="797">
          <cell r="B797">
            <v>918</v>
          </cell>
          <cell r="C797">
            <v>912</v>
          </cell>
          <cell r="D797">
            <v>1.4999999999999999E-2</v>
          </cell>
          <cell r="E797">
            <v>18</v>
          </cell>
          <cell r="F797">
            <v>1314.85</v>
          </cell>
          <cell r="G797">
            <v>1312.99</v>
          </cell>
          <cell r="H797">
            <v>1308.33</v>
          </cell>
          <cell r="I797">
            <v>1308.32</v>
          </cell>
          <cell r="J797">
            <v>70.400000000000006</v>
          </cell>
          <cell r="K797">
            <v>0</v>
          </cell>
          <cell r="L797" t="str">
            <v xml:space="preserve">Tramos Existentes </v>
          </cell>
          <cell r="M797" t="str">
            <v>Existente</v>
          </cell>
        </row>
        <row r="798">
          <cell r="B798">
            <v>734</v>
          </cell>
          <cell r="C798">
            <v>731</v>
          </cell>
          <cell r="D798">
            <v>1.4999999999999999E-2</v>
          </cell>
          <cell r="E798">
            <v>12</v>
          </cell>
          <cell r="F798">
            <v>1313.92</v>
          </cell>
          <cell r="G798">
            <v>1313.17</v>
          </cell>
          <cell r="H798">
            <v>1312.32</v>
          </cell>
          <cell r="I798">
            <v>1308.96</v>
          </cell>
          <cell r="J798">
            <v>95</v>
          </cell>
          <cell r="K798">
            <v>0</v>
          </cell>
          <cell r="L798" t="str">
            <v xml:space="preserve">Renovacion </v>
          </cell>
          <cell r="M798" t="str">
            <v>Existente</v>
          </cell>
        </row>
        <row r="799">
          <cell r="B799">
            <v>873</v>
          </cell>
          <cell r="C799">
            <v>871</v>
          </cell>
          <cell r="D799">
            <v>1.4999999999999999E-2</v>
          </cell>
          <cell r="E799">
            <v>10</v>
          </cell>
          <cell r="F799">
            <v>1310.1199999999999</v>
          </cell>
          <cell r="G799">
            <v>1308.57</v>
          </cell>
          <cell r="H799">
            <v>1308.07</v>
          </cell>
          <cell r="I799">
            <v>1306.8399999999999</v>
          </cell>
          <cell r="J799">
            <v>21.9</v>
          </cell>
          <cell r="K799">
            <v>0</v>
          </cell>
          <cell r="L799" t="str">
            <v xml:space="preserve">Tramos Existentes </v>
          </cell>
          <cell r="M799" t="str">
            <v>Existente</v>
          </cell>
        </row>
        <row r="800">
          <cell r="B800">
            <v>715</v>
          </cell>
          <cell r="C800">
            <v>717</v>
          </cell>
          <cell r="D800">
            <v>1.4999999999999999E-2</v>
          </cell>
          <cell r="E800">
            <v>10</v>
          </cell>
          <cell r="F800">
            <v>1306.23</v>
          </cell>
          <cell r="G800">
            <v>1304.8499999999999</v>
          </cell>
          <cell r="H800">
            <v>1303.8800000000001</v>
          </cell>
          <cell r="I800">
            <v>1303.57</v>
          </cell>
          <cell r="J800">
            <v>16</v>
          </cell>
          <cell r="K800">
            <v>0</v>
          </cell>
          <cell r="L800" t="str">
            <v xml:space="preserve">Tramos Existentes </v>
          </cell>
          <cell r="M800" t="str">
            <v>Existente</v>
          </cell>
        </row>
        <row r="801">
          <cell r="B801">
            <v>717</v>
          </cell>
          <cell r="C801">
            <v>718</v>
          </cell>
          <cell r="D801">
            <v>1.4999999999999999E-2</v>
          </cell>
          <cell r="E801">
            <v>14</v>
          </cell>
          <cell r="F801">
            <v>1304.8499999999999</v>
          </cell>
          <cell r="G801">
            <v>1304.8499999999999</v>
          </cell>
          <cell r="H801">
            <v>1303.57</v>
          </cell>
          <cell r="I801">
            <v>1303.49</v>
          </cell>
          <cell r="J801">
            <v>8.4</v>
          </cell>
          <cell r="K801">
            <v>0</v>
          </cell>
          <cell r="L801" t="str">
            <v xml:space="preserve">Tramos Existentes </v>
          </cell>
          <cell r="M801" t="str">
            <v>Existente</v>
          </cell>
        </row>
        <row r="802">
          <cell r="B802">
            <v>718</v>
          </cell>
          <cell r="C802">
            <v>808</v>
          </cell>
          <cell r="D802">
            <v>1.4999999999999999E-2</v>
          </cell>
          <cell r="E802">
            <v>48</v>
          </cell>
          <cell r="F802">
            <v>1304.8499999999999</v>
          </cell>
          <cell r="G802">
            <v>1305.81</v>
          </cell>
          <cell r="H802">
            <v>1303.49</v>
          </cell>
          <cell r="I802">
            <v>1302.8499999999999</v>
          </cell>
          <cell r="J802">
            <v>82.8</v>
          </cell>
          <cell r="K802">
            <v>0</v>
          </cell>
          <cell r="L802" t="str">
            <v xml:space="preserve">Tramos Existentes </v>
          </cell>
          <cell r="M802" t="str">
            <v>Existente</v>
          </cell>
        </row>
        <row r="803">
          <cell r="B803">
            <v>808</v>
          </cell>
          <cell r="C803">
            <v>809</v>
          </cell>
          <cell r="D803">
            <v>1.4999999999999999E-2</v>
          </cell>
          <cell r="E803">
            <v>48</v>
          </cell>
          <cell r="F803">
            <v>1305.81</v>
          </cell>
          <cell r="G803">
            <v>1305.69</v>
          </cell>
          <cell r="H803">
            <v>1302.8499999999999</v>
          </cell>
          <cell r="I803">
            <v>1301.69</v>
          </cell>
          <cell r="J803">
            <v>8.3000000000000007</v>
          </cell>
          <cell r="K803">
            <v>0</v>
          </cell>
          <cell r="L803" t="str">
            <v xml:space="preserve">Tramos Existentes </v>
          </cell>
          <cell r="M803" t="str">
            <v>Existente</v>
          </cell>
        </row>
        <row r="804">
          <cell r="B804">
            <v>809</v>
          </cell>
          <cell r="C804">
            <v>877</v>
          </cell>
          <cell r="D804">
            <v>1.4999999999999999E-2</v>
          </cell>
          <cell r="E804">
            <v>48</v>
          </cell>
          <cell r="F804">
            <v>1305.69</v>
          </cell>
          <cell r="G804">
            <v>1306.0999999999999</v>
          </cell>
          <cell r="H804">
            <v>1301.69</v>
          </cell>
          <cell r="I804">
            <v>1301.33</v>
          </cell>
          <cell r="J804">
            <v>66.7</v>
          </cell>
          <cell r="K804">
            <v>0</v>
          </cell>
          <cell r="L804" t="str">
            <v xml:space="preserve">Tramos Existentes </v>
          </cell>
          <cell r="M804" t="str">
            <v>Existente</v>
          </cell>
        </row>
        <row r="805">
          <cell r="B805">
            <v>877</v>
          </cell>
          <cell r="C805">
            <v>697</v>
          </cell>
          <cell r="D805">
            <v>1.4999999999999999E-2</v>
          </cell>
          <cell r="E805">
            <v>48</v>
          </cell>
          <cell r="F805">
            <v>1306.0999999999999</v>
          </cell>
          <cell r="G805">
            <v>1304.71</v>
          </cell>
          <cell r="H805">
            <v>1301.33</v>
          </cell>
          <cell r="I805">
            <v>1301.26</v>
          </cell>
          <cell r="J805">
            <v>119.4</v>
          </cell>
          <cell r="K805">
            <v>0</v>
          </cell>
          <cell r="L805" t="str">
            <v xml:space="preserve">Tramos Existentes </v>
          </cell>
          <cell r="M805" t="str">
            <v>Existente</v>
          </cell>
        </row>
        <row r="806">
          <cell r="B806" t="str">
            <v>717i</v>
          </cell>
          <cell r="C806">
            <v>806</v>
          </cell>
          <cell r="D806">
            <v>1.4999999999999999E-2</v>
          </cell>
          <cell r="E806">
            <v>28</v>
          </cell>
          <cell r="F806">
            <v>1304.8499999999999</v>
          </cell>
          <cell r="G806">
            <v>1307.54</v>
          </cell>
          <cell r="H806">
            <v>1303.5899999999999</v>
          </cell>
          <cell r="I806">
            <v>1302.76</v>
          </cell>
          <cell r="J806">
            <v>57.9</v>
          </cell>
          <cell r="K806">
            <v>0</v>
          </cell>
          <cell r="L806" t="str">
            <v xml:space="preserve">Tramos Existentes </v>
          </cell>
          <cell r="M806" t="str">
            <v>Existente</v>
          </cell>
        </row>
        <row r="807">
          <cell r="B807">
            <v>74</v>
          </cell>
          <cell r="C807">
            <v>73</v>
          </cell>
          <cell r="D807">
            <v>0.01</v>
          </cell>
          <cell r="E807">
            <v>10</v>
          </cell>
          <cell r="F807">
            <v>1302.48</v>
          </cell>
          <cell r="G807">
            <v>1301.06</v>
          </cell>
          <cell r="H807">
            <v>1301.3800000000001</v>
          </cell>
          <cell r="I807">
            <v>1299.02</v>
          </cell>
          <cell r="J807">
            <v>14.6</v>
          </cell>
          <cell r="K807">
            <v>0</v>
          </cell>
          <cell r="L807" t="str">
            <v xml:space="preserve">Tramos Existentes </v>
          </cell>
          <cell r="M807" t="str">
            <v>Existente</v>
          </cell>
        </row>
        <row r="808">
          <cell r="B808">
            <v>745</v>
          </cell>
          <cell r="C808">
            <v>907</v>
          </cell>
          <cell r="D808">
            <v>1.4999999999999999E-2</v>
          </cell>
          <cell r="E808">
            <v>12</v>
          </cell>
          <cell r="F808">
            <v>1321.09</v>
          </cell>
          <cell r="G808">
            <v>1320.6</v>
          </cell>
          <cell r="H808">
            <v>1319.18</v>
          </cell>
          <cell r="I808">
            <v>1318.75</v>
          </cell>
          <cell r="J808">
            <v>77.7</v>
          </cell>
          <cell r="K808">
            <v>0</v>
          </cell>
          <cell r="L808" t="str">
            <v xml:space="preserve">Tramos Existentes </v>
          </cell>
          <cell r="M808" t="str">
            <v>Existente</v>
          </cell>
        </row>
        <row r="809">
          <cell r="B809">
            <v>739</v>
          </cell>
          <cell r="C809">
            <v>737</v>
          </cell>
          <cell r="D809">
            <v>1.4999999999999999E-2</v>
          </cell>
          <cell r="E809">
            <v>12</v>
          </cell>
          <cell r="F809">
            <v>1314.33</v>
          </cell>
          <cell r="G809">
            <v>1314.05</v>
          </cell>
          <cell r="H809">
            <v>1312.92</v>
          </cell>
          <cell r="I809">
            <v>1312.64</v>
          </cell>
          <cell r="J809">
            <v>24.7</v>
          </cell>
          <cell r="K809">
            <v>0</v>
          </cell>
          <cell r="L809" t="str">
            <v xml:space="preserve">Renovacion </v>
          </cell>
          <cell r="M809" t="str">
            <v>Existente</v>
          </cell>
        </row>
        <row r="810">
          <cell r="B810" t="str">
            <v>P37</v>
          </cell>
          <cell r="C810" t="str">
            <v>D33</v>
          </cell>
          <cell r="D810">
            <v>1.4999999999999999E-2</v>
          </cell>
          <cell r="E810">
            <v>12</v>
          </cell>
          <cell r="F810">
            <v>1256.21</v>
          </cell>
          <cell r="G810">
            <v>1253.6099999999999</v>
          </cell>
          <cell r="H810">
            <v>1254.9100000000001</v>
          </cell>
          <cell r="I810">
            <v>1253.6099999999999</v>
          </cell>
          <cell r="J810">
            <v>7.3</v>
          </cell>
          <cell r="K810">
            <v>0</v>
          </cell>
          <cell r="L810" t="str">
            <v>Inhabilitar</v>
          </cell>
          <cell r="M810" t="str">
            <v>Existente</v>
          </cell>
        </row>
        <row r="811">
          <cell r="B811">
            <v>731</v>
          </cell>
          <cell r="C811">
            <v>669</v>
          </cell>
          <cell r="D811">
            <v>1.4999999999999999E-2</v>
          </cell>
          <cell r="E811">
            <v>12</v>
          </cell>
          <cell r="F811">
            <v>1313.17</v>
          </cell>
          <cell r="G811">
            <v>1312.55</v>
          </cell>
          <cell r="H811">
            <v>1308.96</v>
          </cell>
          <cell r="I811">
            <v>1308.3699999999999</v>
          </cell>
          <cell r="J811">
            <v>12</v>
          </cell>
          <cell r="K811">
            <v>0</v>
          </cell>
          <cell r="L811" t="str">
            <v xml:space="preserve">Renovacion </v>
          </cell>
          <cell r="M811" t="str">
            <v>Existente</v>
          </cell>
        </row>
        <row r="812">
          <cell r="B812" t="str">
            <v>739i</v>
          </cell>
          <cell r="C812">
            <v>740</v>
          </cell>
          <cell r="D812">
            <v>1.4999999999999999E-2</v>
          </cell>
          <cell r="E812">
            <v>12</v>
          </cell>
          <cell r="F812">
            <v>1314.33</v>
          </cell>
          <cell r="G812">
            <v>1314.08</v>
          </cell>
          <cell r="H812">
            <v>1312.95</v>
          </cell>
          <cell r="I812">
            <v>1311.97</v>
          </cell>
          <cell r="J812">
            <v>47.6</v>
          </cell>
          <cell r="K812">
            <v>0</v>
          </cell>
          <cell r="L812" t="str">
            <v xml:space="preserve">Renovacion </v>
          </cell>
          <cell r="M812" t="str">
            <v>Existente</v>
          </cell>
        </row>
        <row r="813">
          <cell r="B813">
            <v>733</v>
          </cell>
          <cell r="C813">
            <v>669</v>
          </cell>
          <cell r="D813">
            <v>0.01</v>
          </cell>
          <cell r="E813">
            <v>12</v>
          </cell>
          <cell r="F813">
            <v>1313.02</v>
          </cell>
          <cell r="G813">
            <v>1312.55</v>
          </cell>
          <cell r="H813">
            <v>1308.97</v>
          </cell>
          <cell r="I813">
            <v>1308.3699999999999</v>
          </cell>
          <cell r="J813">
            <v>29.1</v>
          </cell>
          <cell r="K813">
            <v>0</v>
          </cell>
          <cell r="L813" t="str">
            <v xml:space="preserve">Tramos Existentes </v>
          </cell>
          <cell r="M813" t="str">
            <v>Existente</v>
          </cell>
        </row>
        <row r="814">
          <cell r="B814" t="str">
            <v>738i</v>
          </cell>
          <cell r="C814">
            <v>736</v>
          </cell>
          <cell r="D814">
            <v>1.4999999999999999E-2</v>
          </cell>
          <cell r="E814">
            <v>12</v>
          </cell>
          <cell r="F814">
            <v>1314.32</v>
          </cell>
          <cell r="G814">
            <v>1314</v>
          </cell>
          <cell r="H814">
            <v>1312.61</v>
          </cell>
          <cell r="I814">
            <v>1312.27</v>
          </cell>
          <cell r="J814">
            <v>25.2</v>
          </cell>
          <cell r="K814">
            <v>0</v>
          </cell>
          <cell r="L814" t="str">
            <v xml:space="preserve">Renovacion </v>
          </cell>
          <cell r="M814" t="str">
            <v>Existente</v>
          </cell>
        </row>
        <row r="815">
          <cell r="B815">
            <v>736</v>
          </cell>
          <cell r="C815">
            <v>735</v>
          </cell>
          <cell r="D815">
            <v>1.4999999999999999E-2</v>
          </cell>
          <cell r="E815">
            <v>12</v>
          </cell>
          <cell r="F815">
            <v>1314</v>
          </cell>
          <cell r="G815">
            <v>1313.9</v>
          </cell>
          <cell r="H815">
            <v>1312.27</v>
          </cell>
          <cell r="I815">
            <v>1312.12</v>
          </cell>
          <cell r="J815">
            <v>13</v>
          </cell>
          <cell r="K815">
            <v>0</v>
          </cell>
          <cell r="L815" t="str">
            <v xml:space="preserve">Renovacion </v>
          </cell>
          <cell r="M815" t="str">
            <v>Existente</v>
          </cell>
        </row>
        <row r="816">
          <cell r="B816">
            <v>735</v>
          </cell>
          <cell r="C816">
            <v>822</v>
          </cell>
          <cell r="D816">
            <v>1.4999999999999999E-2</v>
          </cell>
          <cell r="E816">
            <v>12</v>
          </cell>
          <cell r="F816">
            <v>1313.9</v>
          </cell>
          <cell r="G816">
            <v>1314.29</v>
          </cell>
          <cell r="H816">
            <v>1312.12</v>
          </cell>
          <cell r="I816">
            <v>1311.89</v>
          </cell>
          <cell r="J816">
            <v>33.1</v>
          </cell>
          <cell r="K816">
            <v>0</v>
          </cell>
          <cell r="L816" t="str">
            <v xml:space="preserve">Renovacion </v>
          </cell>
          <cell r="M816" t="str">
            <v>Existente</v>
          </cell>
        </row>
        <row r="817">
          <cell r="B817">
            <v>822</v>
          </cell>
          <cell r="C817">
            <v>731</v>
          </cell>
          <cell r="D817">
            <v>1.4999999999999999E-2</v>
          </cell>
          <cell r="E817">
            <v>12</v>
          </cell>
          <cell r="F817">
            <v>1314.29</v>
          </cell>
          <cell r="G817">
            <v>1313.17</v>
          </cell>
          <cell r="H817">
            <v>1311.89</v>
          </cell>
          <cell r="I817">
            <v>1308.96</v>
          </cell>
          <cell r="J817">
            <v>63.8</v>
          </cell>
          <cell r="K817">
            <v>0</v>
          </cell>
          <cell r="L817" t="str">
            <v xml:space="preserve">Renovacion </v>
          </cell>
          <cell r="M817" t="str">
            <v>Existente</v>
          </cell>
        </row>
        <row r="818">
          <cell r="B818">
            <v>738</v>
          </cell>
          <cell r="C818">
            <v>821</v>
          </cell>
          <cell r="D818">
            <v>1.4999999999999999E-2</v>
          </cell>
          <cell r="E818">
            <v>12</v>
          </cell>
          <cell r="F818">
            <v>1314.32</v>
          </cell>
          <cell r="G818">
            <v>1312.88</v>
          </cell>
          <cell r="H818">
            <v>1311.19</v>
          </cell>
          <cell r="I818">
            <v>1309.1300000000001</v>
          </cell>
          <cell r="J818">
            <v>108.7</v>
          </cell>
          <cell r="K818">
            <v>0</v>
          </cell>
          <cell r="L818" t="str">
            <v xml:space="preserve">Renovacion </v>
          </cell>
          <cell r="M818" t="str">
            <v>Existente</v>
          </cell>
        </row>
        <row r="819">
          <cell r="B819">
            <v>821</v>
          </cell>
          <cell r="C819">
            <v>731</v>
          </cell>
          <cell r="D819">
            <v>1.4999999999999999E-2</v>
          </cell>
          <cell r="E819">
            <v>12</v>
          </cell>
          <cell r="F819">
            <v>1312.88</v>
          </cell>
          <cell r="G819">
            <v>1313.17</v>
          </cell>
          <cell r="H819">
            <v>1309.1300000000001</v>
          </cell>
          <cell r="I819">
            <v>1308.96</v>
          </cell>
          <cell r="J819">
            <v>30.4</v>
          </cell>
          <cell r="K819">
            <v>0</v>
          </cell>
          <cell r="L819" t="str">
            <v xml:space="preserve">Tramos Existentes </v>
          </cell>
          <cell r="M819" t="str">
            <v>Existente</v>
          </cell>
        </row>
        <row r="820">
          <cell r="B820">
            <v>73</v>
          </cell>
          <cell r="C820">
            <v>72</v>
          </cell>
          <cell r="D820">
            <v>0.01</v>
          </cell>
          <cell r="E820">
            <v>10</v>
          </cell>
          <cell r="F820">
            <v>1301.06</v>
          </cell>
          <cell r="G820">
            <v>1300.99</v>
          </cell>
          <cell r="H820">
            <v>1299.02</v>
          </cell>
          <cell r="I820">
            <v>1298.31</v>
          </cell>
          <cell r="J820">
            <v>26.8</v>
          </cell>
          <cell r="K820">
            <v>0</v>
          </cell>
          <cell r="L820" t="str">
            <v xml:space="preserve">Tramos Existentes </v>
          </cell>
          <cell r="M820" t="str">
            <v>Existente</v>
          </cell>
        </row>
        <row r="821">
          <cell r="B821">
            <v>536</v>
          </cell>
          <cell r="C821">
            <v>534</v>
          </cell>
          <cell r="D821">
            <v>1.4999999999999999E-2</v>
          </cell>
          <cell r="E821">
            <v>8</v>
          </cell>
          <cell r="F821">
            <v>1308</v>
          </cell>
          <cell r="G821">
            <v>1307.6500000000001</v>
          </cell>
          <cell r="H821">
            <v>1304.24</v>
          </cell>
          <cell r="I821">
            <v>1303.79</v>
          </cell>
          <cell r="J821">
            <v>33.9</v>
          </cell>
          <cell r="K821">
            <v>0</v>
          </cell>
          <cell r="L821" t="str">
            <v xml:space="preserve">Tramos Existentes </v>
          </cell>
          <cell r="M821" t="str">
            <v>Existente</v>
          </cell>
        </row>
        <row r="822">
          <cell r="B822" t="str">
            <v>544i</v>
          </cell>
          <cell r="C822">
            <v>546</v>
          </cell>
          <cell r="D822">
            <v>1.4999999999999999E-2</v>
          </cell>
          <cell r="E822">
            <v>8</v>
          </cell>
          <cell r="F822">
            <v>1315.27</v>
          </cell>
          <cell r="G822">
            <v>1313.21</v>
          </cell>
          <cell r="H822">
            <v>1314.04</v>
          </cell>
          <cell r="I822">
            <v>1311.66</v>
          </cell>
          <cell r="J822">
            <v>31.7</v>
          </cell>
          <cell r="K822">
            <v>0</v>
          </cell>
          <cell r="L822" t="str">
            <v xml:space="preserve">Tramos Existentes </v>
          </cell>
          <cell r="M822" t="str">
            <v>Existente</v>
          </cell>
        </row>
        <row r="823">
          <cell r="B823">
            <v>526</v>
          </cell>
          <cell r="C823">
            <v>527</v>
          </cell>
          <cell r="D823">
            <v>0.01</v>
          </cell>
          <cell r="E823">
            <v>12</v>
          </cell>
          <cell r="F823">
            <v>1310.24</v>
          </cell>
          <cell r="G823">
            <v>1308.22</v>
          </cell>
          <cell r="H823">
            <v>1308.49</v>
          </cell>
          <cell r="I823">
            <v>1306.21</v>
          </cell>
          <cell r="J823">
            <v>10</v>
          </cell>
          <cell r="K823">
            <v>0</v>
          </cell>
          <cell r="L823" t="str">
            <v xml:space="preserve">Tramos Existentes </v>
          </cell>
          <cell r="M823" t="str">
            <v>Existente</v>
          </cell>
        </row>
        <row r="824">
          <cell r="B824">
            <v>527</v>
          </cell>
          <cell r="C824">
            <v>524</v>
          </cell>
          <cell r="D824">
            <v>1.4999999999999999E-2</v>
          </cell>
          <cell r="E824">
            <v>12</v>
          </cell>
          <cell r="F824">
            <v>1308.22</v>
          </cell>
          <cell r="G824">
            <v>1310.22</v>
          </cell>
          <cell r="H824">
            <v>1306.21</v>
          </cell>
          <cell r="I824">
            <v>1305.01</v>
          </cell>
          <cell r="J824">
            <v>17.8</v>
          </cell>
          <cell r="K824">
            <v>0</v>
          </cell>
          <cell r="L824" t="str">
            <v xml:space="preserve">Tramos Existentes </v>
          </cell>
          <cell r="M824" t="str">
            <v>Existente</v>
          </cell>
        </row>
        <row r="825">
          <cell r="B825" t="str">
            <v>P41</v>
          </cell>
          <cell r="C825">
            <v>594</v>
          </cell>
          <cell r="D825">
            <v>1.4999999999999999E-2</v>
          </cell>
          <cell r="E825">
            <v>12</v>
          </cell>
          <cell r="F825">
            <v>1315.95</v>
          </cell>
          <cell r="G825">
            <v>1315.8</v>
          </cell>
          <cell r="H825">
            <v>1314.75</v>
          </cell>
          <cell r="I825">
            <v>1312.2</v>
          </cell>
          <cell r="J825">
            <v>21.7</v>
          </cell>
          <cell r="K825">
            <v>0</v>
          </cell>
          <cell r="L825" t="str">
            <v xml:space="preserve">Renovacion </v>
          </cell>
          <cell r="M825" t="str">
            <v>Existente</v>
          </cell>
        </row>
        <row r="826">
          <cell r="B826">
            <v>594</v>
          </cell>
          <cell r="C826">
            <v>591</v>
          </cell>
          <cell r="D826">
            <v>1.4999999999999999E-2</v>
          </cell>
          <cell r="E826">
            <v>12</v>
          </cell>
          <cell r="F826">
            <v>1315.8</v>
          </cell>
          <cell r="G826">
            <v>1315.76</v>
          </cell>
          <cell r="H826">
            <v>1312.2</v>
          </cell>
          <cell r="I826">
            <v>1312.12</v>
          </cell>
          <cell r="J826">
            <v>20</v>
          </cell>
          <cell r="K826">
            <v>0</v>
          </cell>
          <cell r="L826" t="str">
            <v xml:space="preserve">Tramos Existentes </v>
          </cell>
          <cell r="M826" t="str">
            <v>Existente</v>
          </cell>
        </row>
        <row r="827">
          <cell r="B827">
            <v>591</v>
          </cell>
          <cell r="C827">
            <v>530</v>
          </cell>
          <cell r="D827">
            <v>1.4999999999999999E-2</v>
          </cell>
          <cell r="E827">
            <v>12</v>
          </cell>
          <cell r="F827">
            <v>1315.76</v>
          </cell>
          <cell r="G827">
            <v>1313.87</v>
          </cell>
          <cell r="H827">
            <v>1312.12</v>
          </cell>
          <cell r="I827">
            <v>1309.08</v>
          </cell>
          <cell r="J827">
            <v>28.5</v>
          </cell>
          <cell r="K827">
            <v>0</v>
          </cell>
          <cell r="L827" t="str">
            <v xml:space="preserve">Tramos Existentes </v>
          </cell>
          <cell r="M827" t="str">
            <v>Existente</v>
          </cell>
        </row>
        <row r="828">
          <cell r="B828">
            <v>530</v>
          </cell>
          <cell r="C828">
            <v>978</v>
          </cell>
          <cell r="D828">
            <v>0.01</v>
          </cell>
          <cell r="E828">
            <v>12</v>
          </cell>
          <cell r="F828">
            <v>1313.87</v>
          </cell>
          <cell r="G828">
            <v>1308.3399999999999</v>
          </cell>
          <cell r="H828">
            <v>1309.08</v>
          </cell>
          <cell r="I828">
            <v>1305.1500000000001</v>
          </cell>
          <cell r="J828">
            <v>22.3</v>
          </cell>
          <cell r="K828">
            <v>0</v>
          </cell>
          <cell r="L828" t="str">
            <v xml:space="preserve">Tramos Existentes </v>
          </cell>
          <cell r="M828" t="str">
            <v>Existente</v>
          </cell>
        </row>
        <row r="829">
          <cell r="B829" t="str">
            <v>531i</v>
          </cell>
          <cell r="C829">
            <v>533</v>
          </cell>
          <cell r="D829">
            <v>0.01</v>
          </cell>
          <cell r="E829">
            <v>8</v>
          </cell>
          <cell r="F829">
            <v>1308.5999999999999</v>
          </cell>
          <cell r="G829">
            <v>1308.6500000000001</v>
          </cell>
          <cell r="H829">
            <v>1306.8399999999999</v>
          </cell>
          <cell r="I829">
            <v>1306.4100000000001</v>
          </cell>
          <cell r="J829">
            <v>27.1</v>
          </cell>
          <cell r="K829">
            <v>0</v>
          </cell>
          <cell r="L829" t="str">
            <v xml:space="preserve">Tramos Existentes </v>
          </cell>
          <cell r="M829" t="str">
            <v>Existente</v>
          </cell>
        </row>
        <row r="830">
          <cell r="B830">
            <v>533</v>
          </cell>
          <cell r="C830">
            <v>469</v>
          </cell>
          <cell r="D830">
            <v>1.4999999999999999E-2</v>
          </cell>
          <cell r="E830">
            <v>8</v>
          </cell>
          <cell r="F830">
            <v>1308.6500000000001</v>
          </cell>
          <cell r="G830">
            <v>1308.3900000000001</v>
          </cell>
          <cell r="H830">
            <v>1306.4100000000001</v>
          </cell>
          <cell r="I830">
            <v>1303.79</v>
          </cell>
          <cell r="J830">
            <v>16.2</v>
          </cell>
          <cell r="K830">
            <v>0</v>
          </cell>
          <cell r="L830" t="str">
            <v xml:space="preserve">Tramos Existentes </v>
          </cell>
          <cell r="M830" t="str">
            <v>Existente</v>
          </cell>
        </row>
        <row r="831">
          <cell r="B831">
            <v>52</v>
          </cell>
          <cell r="C831">
            <v>50</v>
          </cell>
          <cell r="D831">
            <v>1.4999999999999999E-2</v>
          </cell>
          <cell r="E831">
            <v>10</v>
          </cell>
          <cell r="F831">
            <v>1301.55</v>
          </cell>
          <cell r="G831">
            <v>1300.97</v>
          </cell>
          <cell r="H831">
            <v>1299.8599999999999</v>
          </cell>
          <cell r="I831">
            <v>1295.3</v>
          </cell>
          <cell r="J831">
            <v>59.5</v>
          </cell>
          <cell r="K831">
            <v>0</v>
          </cell>
          <cell r="L831" t="str">
            <v xml:space="preserve">Tramos Existentes </v>
          </cell>
          <cell r="M831" t="str">
            <v>Existente</v>
          </cell>
        </row>
        <row r="832">
          <cell r="B832">
            <v>532</v>
          </cell>
          <cell r="C832">
            <v>534</v>
          </cell>
          <cell r="D832">
            <v>1.4999999999999999E-2</v>
          </cell>
          <cell r="E832">
            <v>8</v>
          </cell>
          <cell r="F832">
            <v>1308.02</v>
          </cell>
          <cell r="G832">
            <v>1307.6500000000001</v>
          </cell>
          <cell r="H832">
            <v>1306.58</v>
          </cell>
          <cell r="I832">
            <v>1303.79</v>
          </cell>
          <cell r="J832">
            <v>48.1</v>
          </cell>
          <cell r="K832">
            <v>0</v>
          </cell>
          <cell r="L832" t="str">
            <v xml:space="preserve">Tramos Existentes </v>
          </cell>
          <cell r="M832" t="str">
            <v>Existente</v>
          </cell>
        </row>
        <row r="833">
          <cell r="B833">
            <v>255</v>
          </cell>
          <cell r="C833">
            <v>258</v>
          </cell>
          <cell r="D833">
            <v>1.4999999999999999E-2</v>
          </cell>
          <cell r="E833">
            <v>8</v>
          </cell>
          <cell r="F833">
            <v>1309.75</v>
          </cell>
          <cell r="G833">
            <v>1309.78</v>
          </cell>
          <cell r="H833">
            <v>1308.32</v>
          </cell>
          <cell r="I833">
            <v>1307.8599999999999</v>
          </cell>
          <cell r="J833">
            <v>7.3</v>
          </cell>
          <cell r="K833">
            <v>0</v>
          </cell>
          <cell r="L833" t="str">
            <v xml:space="preserve">Tramos Existentes </v>
          </cell>
          <cell r="M833" t="str">
            <v>Existente</v>
          </cell>
        </row>
        <row r="834">
          <cell r="B834">
            <v>539</v>
          </cell>
          <cell r="C834">
            <v>537</v>
          </cell>
          <cell r="D834">
            <v>1.4999999999999999E-2</v>
          </cell>
          <cell r="E834">
            <v>8</v>
          </cell>
          <cell r="F834">
            <v>1307.67</v>
          </cell>
          <cell r="G834">
            <v>1306.7</v>
          </cell>
          <cell r="H834">
            <v>1307.06</v>
          </cell>
          <cell r="I834">
            <v>1303.28</v>
          </cell>
          <cell r="J834">
            <v>52.1</v>
          </cell>
          <cell r="K834">
            <v>0</v>
          </cell>
          <cell r="L834" t="str">
            <v xml:space="preserve">Tramos Existentes </v>
          </cell>
          <cell r="M834" t="str">
            <v>Existente</v>
          </cell>
        </row>
        <row r="835">
          <cell r="B835">
            <v>54</v>
          </cell>
          <cell r="C835">
            <v>55</v>
          </cell>
          <cell r="D835">
            <v>1.4999999999999999E-2</v>
          </cell>
          <cell r="E835">
            <v>18</v>
          </cell>
          <cell r="F835">
            <v>1303.69</v>
          </cell>
          <cell r="G835">
            <v>1304.1600000000001</v>
          </cell>
          <cell r="H835">
            <v>1302.08</v>
          </cell>
          <cell r="I835">
            <v>1300.6199999999999</v>
          </cell>
          <cell r="J835">
            <v>68</v>
          </cell>
          <cell r="K835">
            <v>0</v>
          </cell>
          <cell r="L835" t="str">
            <v xml:space="preserve">Tramos Existentes </v>
          </cell>
          <cell r="M835" t="str">
            <v>Existente</v>
          </cell>
        </row>
        <row r="836">
          <cell r="B836">
            <v>55</v>
          </cell>
          <cell r="C836" t="str">
            <v>P5</v>
          </cell>
          <cell r="D836">
            <v>1.4999999999999999E-2</v>
          </cell>
          <cell r="E836">
            <v>18</v>
          </cell>
          <cell r="F836">
            <v>1304.1600000000001</v>
          </cell>
          <cell r="G836">
            <v>1301.96</v>
          </cell>
          <cell r="H836">
            <v>1300.6199999999999</v>
          </cell>
          <cell r="I836">
            <v>1299.5899999999999</v>
          </cell>
          <cell r="J836">
            <v>36.200000000000003</v>
          </cell>
          <cell r="K836">
            <v>0</v>
          </cell>
          <cell r="L836" t="str">
            <v xml:space="preserve">Tramos Existentes </v>
          </cell>
          <cell r="M836" t="str">
            <v>Existente</v>
          </cell>
        </row>
        <row r="837">
          <cell r="B837">
            <v>540</v>
          </cell>
          <cell r="C837">
            <v>602</v>
          </cell>
          <cell r="D837">
            <v>0.01</v>
          </cell>
          <cell r="E837">
            <v>8</v>
          </cell>
          <cell r="F837">
            <v>1306.97</v>
          </cell>
          <cell r="G837">
            <v>1305.43</v>
          </cell>
          <cell r="H837">
            <v>1304.79</v>
          </cell>
          <cell r="I837">
            <v>1302.82</v>
          </cell>
          <cell r="J837">
            <v>61.8</v>
          </cell>
          <cell r="K837">
            <v>0</v>
          </cell>
          <cell r="L837" t="str">
            <v xml:space="preserve">Tramos Existentes </v>
          </cell>
          <cell r="M837" t="str">
            <v>Existente</v>
          </cell>
        </row>
        <row r="838">
          <cell r="B838">
            <v>543</v>
          </cell>
          <cell r="C838">
            <v>542</v>
          </cell>
          <cell r="D838">
            <v>1.4999999999999999E-2</v>
          </cell>
          <cell r="E838">
            <v>8</v>
          </cell>
          <cell r="F838">
            <v>1315.93</v>
          </cell>
          <cell r="G838">
            <v>1314.64</v>
          </cell>
          <cell r="H838">
            <v>1314.84</v>
          </cell>
          <cell r="I838">
            <v>1313.14</v>
          </cell>
          <cell r="J838">
            <v>27.9</v>
          </cell>
          <cell r="K838">
            <v>0</v>
          </cell>
          <cell r="L838" t="str">
            <v xml:space="preserve">Tramos Existentes </v>
          </cell>
          <cell r="M838" t="str">
            <v>Existente</v>
          </cell>
        </row>
        <row r="839">
          <cell r="B839">
            <v>542</v>
          </cell>
          <cell r="C839">
            <v>541</v>
          </cell>
          <cell r="D839">
            <v>1.4999999999999999E-2</v>
          </cell>
          <cell r="E839">
            <v>8</v>
          </cell>
          <cell r="F839">
            <v>1314.64</v>
          </cell>
          <cell r="G839">
            <v>1314.59</v>
          </cell>
          <cell r="H839">
            <v>1313.14</v>
          </cell>
          <cell r="I839">
            <v>1313.09</v>
          </cell>
          <cell r="J839">
            <v>1.5</v>
          </cell>
          <cell r="K839">
            <v>0</v>
          </cell>
          <cell r="L839" t="str">
            <v xml:space="preserve">Tramos Existentes </v>
          </cell>
          <cell r="M839" t="str">
            <v>Existente</v>
          </cell>
        </row>
        <row r="840">
          <cell r="B840">
            <v>541</v>
          </cell>
          <cell r="C840">
            <v>479</v>
          </cell>
          <cell r="D840">
            <v>0.01</v>
          </cell>
          <cell r="E840">
            <v>16</v>
          </cell>
          <cell r="F840">
            <v>1314.59</v>
          </cell>
          <cell r="G840">
            <v>1313.91</v>
          </cell>
          <cell r="H840">
            <v>1313.09</v>
          </cell>
          <cell r="I840">
            <v>1312.23</v>
          </cell>
          <cell r="J840">
            <v>43.4</v>
          </cell>
          <cell r="K840">
            <v>0</v>
          </cell>
          <cell r="L840" t="str">
            <v xml:space="preserve">Tramos Existentes </v>
          </cell>
          <cell r="M840" t="str">
            <v>Existente</v>
          </cell>
        </row>
        <row r="841">
          <cell r="B841">
            <v>545</v>
          </cell>
          <cell r="C841">
            <v>544</v>
          </cell>
          <cell r="D841">
            <v>1.4999999999999999E-2</v>
          </cell>
          <cell r="E841">
            <v>8</v>
          </cell>
          <cell r="F841">
            <v>1316.51</v>
          </cell>
          <cell r="G841">
            <v>1315.27</v>
          </cell>
          <cell r="H841">
            <v>1315.38</v>
          </cell>
          <cell r="I841">
            <v>1314.01</v>
          </cell>
          <cell r="J841">
            <v>36.299999999999997</v>
          </cell>
          <cell r="K841">
            <v>0</v>
          </cell>
          <cell r="L841" t="str">
            <v xml:space="preserve">Tramos Existentes </v>
          </cell>
          <cell r="M841" t="str">
            <v>Existente</v>
          </cell>
        </row>
        <row r="842">
          <cell r="B842">
            <v>647</v>
          </cell>
          <cell r="C842">
            <v>648</v>
          </cell>
          <cell r="D842">
            <v>1.4999999999999999E-2</v>
          </cell>
          <cell r="E842">
            <v>10</v>
          </cell>
          <cell r="F842">
            <v>1311.4</v>
          </cell>
          <cell r="G842">
            <v>1304.92</v>
          </cell>
          <cell r="H842">
            <v>1310.3699999999999</v>
          </cell>
          <cell r="I842">
            <v>1300.3</v>
          </cell>
          <cell r="J842">
            <v>27.7</v>
          </cell>
          <cell r="K842">
            <v>0</v>
          </cell>
          <cell r="L842" t="str">
            <v xml:space="preserve">Tramos Existentes </v>
          </cell>
          <cell r="M842" t="str">
            <v>Existente</v>
          </cell>
        </row>
        <row r="843">
          <cell r="B843">
            <v>531</v>
          </cell>
          <cell r="C843">
            <v>469</v>
          </cell>
          <cell r="D843">
            <v>1.4999999999999999E-2</v>
          </cell>
          <cell r="E843">
            <v>8</v>
          </cell>
          <cell r="F843">
            <v>1308.5999999999999</v>
          </cell>
          <cell r="G843">
            <v>1308.3900000000001</v>
          </cell>
          <cell r="H843">
            <v>1306.83</v>
          </cell>
          <cell r="I843">
            <v>1303.79</v>
          </cell>
          <cell r="J843">
            <v>40</v>
          </cell>
          <cell r="K843">
            <v>0</v>
          </cell>
          <cell r="L843" t="str">
            <v xml:space="preserve">Tramos Existentes </v>
          </cell>
          <cell r="M843" t="str">
            <v>Existente</v>
          </cell>
        </row>
        <row r="844">
          <cell r="B844">
            <v>510</v>
          </cell>
          <cell r="C844">
            <v>571</v>
          </cell>
          <cell r="D844">
            <v>0.01</v>
          </cell>
          <cell r="E844">
            <v>10</v>
          </cell>
          <cell r="F844">
            <v>1293.54</v>
          </cell>
          <cell r="G844">
            <v>1293.77</v>
          </cell>
          <cell r="H844">
            <v>1292.03</v>
          </cell>
          <cell r="I844">
            <v>1290.9000000000001</v>
          </cell>
          <cell r="J844">
            <v>21.4</v>
          </cell>
          <cell r="K844">
            <v>0</v>
          </cell>
          <cell r="L844" t="str">
            <v xml:space="preserve">Tramos Existentes </v>
          </cell>
          <cell r="M844" t="str">
            <v>Existente</v>
          </cell>
        </row>
        <row r="845">
          <cell r="B845">
            <v>498</v>
          </cell>
          <cell r="C845">
            <v>499</v>
          </cell>
          <cell r="D845">
            <v>1.4999999999999999E-2</v>
          </cell>
          <cell r="E845">
            <v>10</v>
          </cell>
          <cell r="F845">
            <v>1322.53</v>
          </cell>
          <cell r="G845">
            <v>1322.3</v>
          </cell>
          <cell r="H845">
            <v>1320.6</v>
          </cell>
          <cell r="I845">
            <v>1320.02</v>
          </cell>
          <cell r="J845">
            <v>34.200000000000003</v>
          </cell>
          <cell r="K845">
            <v>0</v>
          </cell>
          <cell r="L845" t="str">
            <v xml:space="preserve">Tramos Existentes </v>
          </cell>
          <cell r="M845" t="str">
            <v>Existente</v>
          </cell>
        </row>
        <row r="846">
          <cell r="B846">
            <v>501</v>
          </cell>
          <cell r="C846">
            <v>502</v>
          </cell>
          <cell r="D846">
            <v>1.4999999999999999E-2</v>
          </cell>
          <cell r="E846">
            <v>10</v>
          </cell>
          <cell r="F846">
            <v>1292.3800000000001</v>
          </cell>
          <cell r="G846">
            <v>1293.4100000000001</v>
          </cell>
          <cell r="H846">
            <v>1290.57</v>
          </cell>
          <cell r="I846">
            <v>1290.01</v>
          </cell>
          <cell r="J846">
            <v>28.8</v>
          </cell>
          <cell r="K846">
            <v>0</v>
          </cell>
          <cell r="L846" t="str">
            <v xml:space="preserve">Tramos Existentes </v>
          </cell>
          <cell r="M846" t="str">
            <v>Existente</v>
          </cell>
        </row>
        <row r="847">
          <cell r="B847">
            <v>502</v>
          </cell>
          <cell r="C847">
            <v>439</v>
          </cell>
          <cell r="D847">
            <v>1.4999999999999999E-2</v>
          </cell>
          <cell r="E847">
            <v>10</v>
          </cell>
          <cell r="F847">
            <v>1293.4100000000001</v>
          </cell>
          <cell r="G847">
            <v>1292.94</v>
          </cell>
          <cell r="H847">
            <v>1290.01</v>
          </cell>
          <cell r="I847">
            <v>1289.48</v>
          </cell>
          <cell r="J847">
            <v>23.3</v>
          </cell>
          <cell r="K847">
            <v>0</v>
          </cell>
          <cell r="L847" t="str">
            <v xml:space="preserve">Tramos Existentes </v>
          </cell>
          <cell r="M847" t="str">
            <v>Existente</v>
          </cell>
        </row>
        <row r="848">
          <cell r="B848">
            <v>504</v>
          </cell>
          <cell r="C848">
            <v>505</v>
          </cell>
          <cell r="D848">
            <v>1.4999999999999999E-2</v>
          </cell>
          <cell r="E848">
            <v>10</v>
          </cell>
          <cell r="F848">
            <v>1293.4000000000001</v>
          </cell>
          <cell r="G848">
            <v>1294.1199999999999</v>
          </cell>
          <cell r="H848">
            <v>1292.07</v>
          </cell>
          <cell r="I848">
            <v>1291.29</v>
          </cell>
          <cell r="J848">
            <v>30.2</v>
          </cell>
          <cell r="K848">
            <v>0</v>
          </cell>
          <cell r="L848" t="str">
            <v xml:space="preserve">Tramos Existentes </v>
          </cell>
          <cell r="M848" t="str">
            <v>Existente</v>
          </cell>
        </row>
        <row r="849">
          <cell r="B849">
            <v>505</v>
          </cell>
          <cell r="C849">
            <v>503</v>
          </cell>
          <cell r="D849">
            <v>1.4999999999999999E-2</v>
          </cell>
          <cell r="E849">
            <v>10</v>
          </cell>
          <cell r="F849">
            <v>1294.1199999999999</v>
          </cell>
          <cell r="G849">
            <v>1293.8699999999999</v>
          </cell>
          <cell r="H849">
            <v>1291.29</v>
          </cell>
          <cell r="I849">
            <v>1290.6199999999999</v>
          </cell>
          <cell r="J849">
            <v>30.6</v>
          </cell>
          <cell r="K849">
            <v>0</v>
          </cell>
          <cell r="L849" t="str">
            <v xml:space="preserve">Tramos Existentes </v>
          </cell>
          <cell r="M849" t="str">
            <v>Existente</v>
          </cell>
        </row>
        <row r="850">
          <cell r="B850">
            <v>503</v>
          </cell>
          <cell r="C850">
            <v>502</v>
          </cell>
          <cell r="D850">
            <v>1.4999999999999999E-2</v>
          </cell>
          <cell r="E850">
            <v>10</v>
          </cell>
          <cell r="F850">
            <v>1293.8699999999999</v>
          </cell>
          <cell r="G850">
            <v>1293.4100000000001</v>
          </cell>
          <cell r="H850">
            <v>1290.6199999999999</v>
          </cell>
          <cell r="I850">
            <v>1290.01</v>
          </cell>
          <cell r="J850">
            <v>30.7</v>
          </cell>
          <cell r="K850">
            <v>0</v>
          </cell>
          <cell r="L850" t="str">
            <v xml:space="preserve">Tramos Existentes </v>
          </cell>
          <cell r="M850" t="str">
            <v>Existente</v>
          </cell>
        </row>
        <row r="851">
          <cell r="B851" t="str">
            <v>505i</v>
          </cell>
          <cell r="C851">
            <v>507</v>
          </cell>
          <cell r="D851">
            <v>1.4999999999999999E-2</v>
          </cell>
          <cell r="E851">
            <v>12</v>
          </cell>
          <cell r="F851">
            <v>1294.1199999999999</v>
          </cell>
          <cell r="G851">
            <v>1294</v>
          </cell>
          <cell r="H851">
            <v>1292.01</v>
          </cell>
          <cell r="I851">
            <v>1291.43</v>
          </cell>
          <cell r="J851">
            <v>31.5</v>
          </cell>
          <cell r="K851">
            <v>0</v>
          </cell>
          <cell r="L851" t="str">
            <v xml:space="preserve">Tramos Existentes </v>
          </cell>
          <cell r="M851" t="str">
            <v>Existente</v>
          </cell>
        </row>
        <row r="852">
          <cell r="B852">
            <v>509</v>
          </cell>
          <cell r="C852">
            <v>571</v>
          </cell>
          <cell r="D852">
            <v>0.01</v>
          </cell>
          <cell r="E852">
            <v>10</v>
          </cell>
          <cell r="F852">
            <v>1294</v>
          </cell>
          <cell r="G852">
            <v>1293.77</v>
          </cell>
          <cell r="H852">
            <v>1291.4000000000001</v>
          </cell>
          <cell r="I852">
            <v>1290.9000000000001</v>
          </cell>
          <cell r="J852">
            <v>29.4</v>
          </cell>
          <cell r="K852">
            <v>0</v>
          </cell>
          <cell r="L852" t="str">
            <v xml:space="preserve">Tramos Existentes </v>
          </cell>
          <cell r="M852" t="str">
            <v>Existente</v>
          </cell>
        </row>
        <row r="853">
          <cell r="B853">
            <v>571</v>
          </cell>
          <cell r="C853">
            <v>572</v>
          </cell>
          <cell r="D853">
            <v>0.01</v>
          </cell>
          <cell r="E853">
            <v>10</v>
          </cell>
          <cell r="F853">
            <v>1293.77</v>
          </cell>
          <cell r="G853">
            <v>1293.6400000000001</v>
          </cell>
          <cell r="H853">
            <v>1290.9000000000001</v>
          </cell>
          <cell r="I853">
            <v>1290.83</v>
          </cell>
          <cell r="J853">
            <v>4.5</v>
          </cell>
          <cell r="K853">
            <v>0</v>
          </cell>
          <cell r="L853" t="str">
            <v xml:space="preserve">Tramos Existentes </v>
          </cell>
          <cell r="M853" t="str">
            <v>Existente</v>
          </cell>
        </row>
        <row r="854">
          <cell r="B854">
            <v>818</v>
          </cell>
          <cell r="C854">
            <v>231</v>
          </cell>
          <cell r="D854">
            <v>1.4999999999999999E-2</v>
          </cell>
          <cell r="E854">
            <v>10</v>
          </cell>
          <cell r="F854">
            <v>1301.3900000000001</v>
          </cell>
          <cell r="G854">
            <v>1294.32</v>
          </cell>
          <cell r="H854">
            <v>1299.74</v>
          </cell>
          <cell r="I854">
            <v>1292.1099999999999</v>
          </cell>
          <cell r="J854">
            <v>32.9</v>
          </cell>
          <cell r="K854">
            <v>0</v>
          </cell>
          <cell r="L854" t="str">
            <v xml:space="preserve">Tramos Existentes </v>
          </cell>
          <cell r="M854" t="str">
            <v>Existente</v>
          </cell>
        </row>
        <row r="855">
          <cell r="B855">
            <v>508</v>
          </cell>
          <cell r="C855">
            <v>509</v>
          </cell>
          <cell r="D855">
            <v>1.4999999999999999E-2</v>
          </cell>
          <cell r="E855">
            <v>10</v>
          </cell>
          <cell r="F855">
            <v>1293.9100000000001</v>
          </cell>
          <cell r="G855">
            <v>1294</v>
          </cell>
          <cell r="H855">
            <v>1292.2</v>
          </cell>
          <cell r="I855">
            <v>1291.4000000000001</v>
          </cell>
          <cell r="J855">
            <v>21.8</v>
          </cell>
          <cell r="K855">
            <v>0</v>
          </cell>
          <cell r="L855" t="str">
            <v xml:space="preserve">Tramos Existentes </v>
          </cell>
          <cell r="M855" t="str">
            <v>Existente</v>
          </cell>
        </row>
        <row r="856">
          <cell r="B856">
            <v>546</v>
          </cell>
          <cell r="C856">
            <v>474</v>
          </cell>
          <cell r="D856">
            <v>1.4999999999999999E-2</v>
          </cell>
          <cell r="E856">
            <v>8</v>
          </cell>
          <cell r="F856">
            <v>1313.21</v>
          </cell>
          <cell r="G856">
            <v>1310.72</v>
          </cell>
          <cell r="H856">
            <v>1311.66</v>
          </cell>
          <cell r="I856">
            <v>1308.7</v>
          </cell>
          <cell r="J856">
            <v>31.5</v>
          </cell>
          <cell r="K856">
            <v>0</v>
          </cell>
          <cell r="L856" t="str">
            <v xml:space="preserve">Tramos Existentes </v>
          </cell>
          <cell r="M856" t="str">
            <v>Existente</v>
          </cell>
        </row>
        <row r="857">
          <cell r="B857" t="str">
            <v>512i</v>
          </cell>
          <cell r="C857">
            <v>515</v>
          </cell>
          <cell r="D857">
            <v>1.4999999999999999E-2</v>
          </cell>
          <cell r="E857">
            <v>12</v>
          </cell>
          <cell r="F857">
            <v>1308.93</v>
          </cell>
          <cell r="G857">
            <v>1306.22</v>
          </cell>
          <cell r="H857">
            <v>1306.5</v>
          </cell>
          <cell r="I857">
            <v>1303.3599999999999</v>
          </cell>
          <cell r="J857">
            <v>76.3</v>
          </cell>
          <cell r="K857">
            <v>0</v>
          </cell>
          <cell r="L857" t="str">
            <v xml:space="preserve">Tramos Existentes </v>
          </cell>
          <cell r="M857" t="str">
            <v>Existente</v>
          </cell>
        </row>
        <row r="858">
          <cell r="B858">
            <v>515</v>
          </cell>
          <cell r="C858">
            <v>516</v>
          </cell>
          <cell r="D858">
            <v>0.01</v>
          </cell>
          <cell r="E858">
            <v>10</v>
          </cell>
          <cell r="F858">
            <v>1306.22</v>
          </cell>
          <cell r="G858">
            <v>1301.06</v>
          </cell>
          <cell r="H858">
            <v>1303.3599999999999</v>
          </cell>
          <cell r="I858">
            <v>1299.3499999999999</v>
          </cell>
          <cell r="J858">
            <v>72.900000000000006</v>
          </cell>
          <cell r="K858">
            <v>0</v>
          </cell>
          <cell r="L858" t="str">
            <v xml:space="preserve">Tramos Existentes </v>
          </cell>
          <cell r="M858" t="str">
            <v>Existente</v>
          </cell>
        </row>
        <row r="859">
          <cell r="B859">
            <v>516</v>
          </cell>
          <cell r="C859">
            <v>518</v>
          </cell>
          <cell r="D859">
            <v>0.01</v>
          </cell>
          <cell r="E859">
            <v>12</v>
          </cell>
          <cell r="F859">
            <v>1301.06</v>
          </cell>
          <cell r="G859">
            <v>1300.67</v>
          </cell>
          <cell r="H859">
            <v>1299.3499999999999</v>
          </cell>
          <cell r="I859">
            <v>1296.97</v>
          </cell>
          <cell r="J859">
            <v>4</v>
          </cell>
          <cell r="K859">
            <v>0</v>
          </cell>
          <cell r="L859" t="str">
            <v xml:space="preserve">Tramos Existentes </v>
          </cell>
          <cell r="M859" t="str">
            <v>Existente</v>
          </cell>
        </row>
        <row r="860">
          <cell r="B860">
            <v>518</v>
          </cell>
          <cell r="C860">
            <v>519</v>
          </cell>
          <cell r="D860">
            <v>1.4999999999999999E-2</v>
          </cell>
          <cell r="E860">
            <v>12</v>
          </cell>
          <cell r="F860">
            <v>1300.67</v>
          </cell>
          <cell r="G860">
            <v>1297.48</v>
          </cell>
          <cell r="H860">
            <v>1296.97</v>
          </cell>
          <cell r="I860">
            <v>1295.72</v>
          </cell>
          <cell r="J860">
            <v>21.7</v>
          </cell>
          <cell r="K860">
            <v>0</v>
          </cell>
          <cell r="L860" t="str">
            <v xml:space="preserve">Tramos Existentes </v>
          </cell>
          <cell r="M860" t="str">
            <v>Existente</v>
          </cell>
        </row>
        <row r="861">
          <cell r="B861">
            <v>519</v>
          </cell>
          <cell r="C861">
            <v>520</v>
          </cell>
          <cell r="D861">
            <v>1.4999999999999999E-2</v>
          </cell>
          <cell r="E861">
            <v>12</v>
          </cell>
          <cell r="F861">
            <v>1297.48</v>
          </cell>
          <cell r="G861">
            <v>1294.3599999999999</v>
          </cell>
          <cell r="H861">
            <v>1295.72</v>
          </cell>
          <cell r="I861">
            <v>1292.7</v>
          </cell>
          <cell r="J861">
            <v>18.7</v>
          </cell>
          <cell r="K861">
            <v>0</v>
          </cell>
          <cell r="L861" t="str">
            <v xml:space="preserve">Tramos Existentes </v>
          </cell>
          <cell r="M861" t="str">
            <v>Existente</v>
          </cell>
        </row>
        <row r="862">
          <cell r="B862">
            <v>520</v>
          </cell>
          <cell r="C862">
            <v>581</v>
          </cell>
          <cell r="D862">
            <v>0.01</v>
          </cell>
          <cell r="E862">
            <v>12</v>
          </cell>
          <cell r="F862">
            <v>1294.3599999999999</v>
          </cell>
          <cell r="G862">
            <v>1293.83</v>
          </cell>
          <cell r="H862">
            <v>1292.7</v>
          </cell>
          <cell r="I862">
            <v>1291.67</v>
          </cell>
          <cell r="J862">
            <v>14.1</v>
          </cell>
          <cell r="K862">
            <v>0</v>
          </cell>
          <cell r="L862" t="str">
            <v>Inhabilitar</v>
          </cell>
          <cell r="M862" t="str">
            <v>Existente</v>
          </cell>
        </row>
        <row r="863">
          <cell r="B863">
            <v>581</v>
          </cell>
          <cell r="C863">
            <v>920</v>
          </cell>
          <cell r="D863">
            <v>0.01</v>
          </cell>
          <cell r="E863">
            <v>12</v>
          </cell>
          <cell r="F863">
            <v>1293.83</v>
          </cell>
          <cell r="G863">
            <v>1287.0999999999999</v>
          </cell>
          <cell r="H863">
            <v>1291.67</v>
          </cell>
          <cell r="I863">
            <v>1286.1600000000001</v>
          </cell>
          <cell r="J863">
            <v>14.9</v>
          </cell>
          <cell r="K863">
            <v>0</v>
          </cell>
          <cell r="L863" t="str">
            <v>Inhabilitar</v>
          </cell>
          <cell r="M863" t="str">
            <v>Existente</v>
          </cell>
        </row>
        <row r="864">
          <cell r="B864">
            <v>920</v>
          </cell>
          <cell r="C864" t="str">
            <v>D18</v>
          </cell>
          <cell r="D864">
            <v>0.01</v>
          </cell>
          <cell r="E864">
            <v>12</v>
          </cell>
          <cell r="F864">
            <v>1287.0999999999999</v>
          </cell>
          <cell r="G864">
            <v>1284.1199999999999</v>
          </cell>
          <cell r="H864">
            <v>1286.1600000000001</v>
          </cell>
          <cell r="I864">
            <v>1284.1199999999999</v>
          </cell>
          <cell r="J864">
            <v>10.8</v>
          </cell>
          <cell r="K864">
            <v>0</v>
          </cell>
          <cell r="L864" t="str">
            <v>Inhabilitar</v>
          </cell>
          <cell r="M864" t="str">
            <v>Existente</v>
          </cell>
        </row>
        <row r="865">
          <cell r="B865">
            <v>514</v>
          </cell>
          <cell r="C865">
            <v>442</v>
          </cell>
          <cell r="D865">
            <v>1.4999999999999999E-2</v>
          </cell>
          <cell r="E865">
            <v>12</v>
          </cell>
          <cell r="F865">
            <v>1306.04</v>
          </cell>
          <cell r="G865">
            <v>1304.69</v>
          </cell>
          <cell r="H865">
            <v>1304.49</v>
          </cell>
          <cell r="I865">
            <v>1301.3900000000001</v>
          </cell>
          <cell r="J865">
            <v>63.6</v>
          </cell>
          <cell r="K865">
            <v>0</v>
          </cell>
          <cell r="L865" t="str">
            <v xml:space="preserve">Tramos Existentes </v>
          </cell>
          <cell r="M865" t="str">
            <v>Existente</v>
          </cell>
        </row>
        <row r="866">
          <cell r="B866">
            <v>506</v>
          </cell>
          <cell r="C866">
            <v>507</v>
          </cell>
          <cell r="D866">
            <v>1.4999999999999999E-2</v>
          </cell>
          <cell r="E866">
            <v>10</v>
          </cell>
          <cell r="F866">
            <v>1293.6400000000001</v>
          </cell>
          <cell r="G866">
            <v>1294</v>
          </cell>
          <cell r="H866">
            <v>1292.23</v>
          </cell>
          <cell r="I866">
            <v>1291.43</v>
          </cell>
          <cell r="J866">
            <v>29.3</v>
          </cell>
          <cell r="K866">
            <v>0</v>
          </cell>
          <cell r="L866" t="str">
            <v xml:space="preserve">Tramos Existentes </v>
          </cell>
          <cell r="M866" t="str">
            <v>Existente</v>
          </cell>
        </row>
        <row r="867">
          <cell r="B867">
            <v>713</v>
          </cell>
          <cell r="C867">
            <v>810</v>
          </cell>
          <cell r="D867">
            <v>1.4999999999999999E-2</v>
          </cell>
          <cell r="E867">
            <v>12</v>
          </cell>
          <cell r="F867">
            <v>1312.21</v>
          </cell>
          <cell r="G867">
            <v>1307.8</v>
          </cell>
          <cell r="H867">
            <v>1309.97</v>
          </cell>
          <cell r="I867">
            <v>1305.5899999999999</v>
          </cell>
          <cell r="J867">
            <v>31.6</v>
          </cell>
          <cell r="K867">
            <v>0</v>
          </cell>
          <cell r="L867" t="str">
            <v xml:space="preserve">Tramos Existentes </v>
          </cell>
          <cell r="M867" t="str">
            <v>Existente</v>
          </cell>
        </row>
        <row r="868">
          <cell r="B868">
            <v>544</v>
          </cell>
          <cell r="C868">
            <v>542</v>
          </cell>
          <cell r="D868">
            <v>1.4999999999999999E-2</v>
          </cell>
          <cell r="E868">
            <v>8</v>
          </cell>
          <cell r="F868">
            <v>1315.27</v>
          </cell>
          <cell r="G868">
            <v>1314.64</v>
          </cell>
          <cell r="H868">
            <v>1314.01</v>
          </cell>
          <cell r="I868">
            <v>1313.14</v>
          </cell>
          <cell r="J868">
            <v>28.4</v>
          </cell>
          <cell r="K868">
            <v>0</v>
          </cell>
          <cell r="L868" t="str">
            <v xml:space="preserve">Tramos Existentes </v>
          </cell>
          <cell r="M868" t="str">
            <v>Existente</v>
          </cell>
        </row>
        <row r="869">
          <cell r="B869">
            <v>607</v>
          </cell>
          <cell r="C869">
            <v>605</v>
          </cell>
          <cell r="D869">
            <v>1.4999999999999999E-2</v>
          </cell>
          <cell r="E869">
            <v>10</v>
          </cell>
          <cell r="F869">
            <v>1305.03</v>
          </cell>
          <cell r="G869">
            <v>1303.3800000000001</v>
          </cell>
          <cell r="H869">
            <v>1302.3</v>
          </cell>
          <cell r="I869">
            <v>1299.5899999999999</v>
          </cell>
          <cell r="J869">
            <v>64.7</v>
          </cell>
          <cell r="K869">
            <v>0</v>
          </cell>
          <cell r="L869" t="str">
            <v xml:space="preserve">Tramos Existentes </v>
          </cell>
          <cell r="M869" t="str">
            <v>Existente</v>
          </cell>
        </row>
        <row r="870">
          <cell r="B870">
            <v>610</v>
          </cell>
          <cell r="C870">
            <v>608</v>
          </cell>
          <cell r="D870">
            <v>0.01</v>
          </cell>
          <cell r="E870">
            <v>8</v>
          </cell>
          <cell r="F870">
            <v>1302.6500000000001</v>
          </cell>
          <cell r="G870">
            <v>1302.46</v>
          </cell>
          <cell r="H870">
            <v>1300.26</v>
          </cell>
          <cell r="I870">
            <v>1299.76</v>
          </cell>
          <cell r="J870">
            <v>113.1</v>
          </cell>
          <cell r="K870">
            <v>0</v>
          </cell>
          <cell r="L870" t="str">
            <v xml:space="preserve">Tramos Existentes </v>
          </cell>
          <cell r="M870" t="str">
            <v>Existente</v>
          </cell>
        </row>
        <row r="871">
          <cell r="B871">
            <v>617</v>
          </cell>
          <cell r="C871">
            <v>615</v>
          </cell>
          <cell r="D871">
            <v>1.4999999999999999E-2</v>
          </cell>
          <cell r="E871">
            <v>10</v>
          </cell>
          <cell r="F871">
            <v>1313.47</v>
          </cell>
          <cell r="G871">
            <v>1313.78</v>
          </cell>
          <cell r="H871">
            <v>1311.44</v>
          </cell>
          <cell r="I871">
            <v>1311.26</v>
          </cell>
          <cell r="J871">
            <v>56.1</v>
          </cell>
          <cell r="K871">
            <v>0</v>
          </cell>
          <cell r="L871" t="str">
            <v xml:space="preserve">Tramos Existentes </v>
          </cell>
          <cell r="M871" t="str">
            <v>Existente</v>
          </cell>
        </row>
        <row r="872">
          <cell r="B872">
            <v>624</v>
          </cell>
          <cell r="C872">
            <v>886</v>
          </cell>
          <cell r="D872">
            <v>1.4999999999999999E-2</v>
          </cell>
          <cell r="E872">
            <v>8</v>
          </cell>
          <cell r="F872">
            <v>1314.74</v>
          </cell>
          <cell r="G872">
            <v>1315.09</v>
          </cell>
          <cell r="H872">
            <v>1313.61</v>
          </cell>
          <cell r="I872">
            <v>1312.27</v>
          </cell>
          <cell r="J872">
            <v>40.799999999999997</v>
          </cell>
          <cell r="K872">
            <v>0</v>
          </cell>
          <cell r="L872" t="str">
            <v xml:space="preserve">Tramos Existentes </v>
          </cell>
          <cell r="M872" t="str">
            <v>Existente</v>
          </cell>
        </row>
        <row r="873">
          <cell r="B873">
            <v>886</v>
          </cell>
          <cell r="C873">
            <v>558</v>
          </cell>
          <cell r="D873">
            <v>1.4999999999999999E-2</v>
          </cell>
          <cell r="E873">
            <v>10</v>
          </cell>
          <cell r="F873">
            <v>1315.09</v>
          </cell>
          <cell r="G873">
            <v>1313.54</v>
          </cell>
          <cell r="H873">
            <v>1312.27</v>
          </cell>
          <cell r="I873">
            <v>1311.02</v>
          </cell>
          <cell r="J873">
            <v>27.9</v>
          </cell>
          <cell r="K873">
            <v>0</v>
          </cell>
          <cell r="L873" t="str">
            <v xml:space="preserve">Tramos Existentes </v>
          </cell>
          <cell r="M873" t="str">
            <v>Existente</v>
          </cell>
        </row>
        <row r="874">
          <cell r="B874" t="str">
            <v>631i</v>
          </cell>
          <cell r="C874">
            <v>426</v>
          </cell>
          <cell r="D874">
            <v>1.4999999999999999E-2</v>
          </cell>
          <cell r="E874">
            <v>16</v>
          </cell>
          <cell r="F874">
            <v>1301.19</v>
          </cell>
          <cell r="G874">
            <v>1301.56</v>
          </cell>
          <cell r="H874">
            <v>1300.03</v>
          </cell>
          <cell r="I874">
            <v>1296.69</v>
          </cell>
          <cell r="J874">
            <v>48</v>
          </cell>
          <cell r="K874">
            <v>0</v>
          </cell>
          <cell r="L874" t="str">
            <v xml:space="preserve">Tramos Existentes </v>
          </cell>
          <cell r="M874" t="str">
            <v>Existente</v>
          </cell>
        </row>
        <row r="875">
          <cell r="B875" t="str">
            <v>641i</v>
          </cell>
          <cell r="C875">
            <v>580</v>
          </cell>
          <cell r="D875">
            <v>1.4999999999999999E-2</v>
          </cell>
          <cell r="E875">
            <v>10</v>
          </cell>
          <cell r="F875">
            <v>1316.06</v>
          </cell>
          <cell r="G875">
            <v>1315.55</v>
          </cell>
          <cell r="H875">
            <v>1314.28</v>
          </cell>
          <cell r="I875">
            <v>1312.27</v>
          </cell>
          <cell r="J875">
            <v>73.7</v>
          </cell>
          <cell r="K875">
            <v>0</v>
          </cell>
          <cell r="L875" t="str">
            <v xml:space="preserve">Tramos Existentes </v>
          </cell>
          <cell r="M875" t="str">
            <v>Existente</v>
          </cell>
        </row>
        <row r="876">
          <cell r="B876">
            <v>642</v>
          </cell>
          <cell r="C876">
            <v>641</v>
          </cell>
          <cell r="D876">
            <v>1.4999999999999999E-2</v>
          </cell>
          <cell r="E876">
            <v>10</v>
          </cell>
          <cell r="F876">
            <v>1316.39</v>
          </cell>
          <cell r="G876">
            <v>1316.06</v>
          </cell>
          <cell r="H876">
            <v>1315.34</v>
          </cell>
          <cell r="I876">
            <v>1314.25</v>
          </cell>
          <cell r="J876">
            <v>7.9</v>
          </cell>
          <cell r="K876">
            <v>0</v>
          </cell>
          <cell r="L876" t="str">
            <v xml:space="preserve">Tramos Existentes </v>
          </cell>
          <cell r="M876" t="str">
            <v>Existente</v>
          </cell>
        </row>
        <row r="877">
          <cell r="B877">
            <v>603</v>
          </cell>
          <cell r="C877">
            <v>602</v>
          </cell>
          <cell r="D877">
            <v>1.4999999999999999E-2</v>
          </cell>
          <cell r="E877">
            <v>8</v>
          </cell>
          <cell r="F877">
            <v>1304.93</v>
          </cell>
          <cell r="G877">
            <v>1305.43</v>
          </cell>
          <cell r="H877">
            <v>1303.81</v>
          </cell>
          <cell r="I877">
            <v>1302.82</v>
          </cell>
          <cell r="J877">
            <v>42.9</v>
          </cell>
          <cell r="K877">
            <v>0</v>
          </cell>
          <cell r="L877" t="str">
            <v xml:space="preserve">Tramos Existentes </v>
          </cell>
          <cell r="M877" t="str">
            <v>Existente</v>
          </cell>
        </row>
        <row r="878">
          <cell r="B878">
            <v>712</v>
          </cell>
          <cell r="C878">
            <v>713</v>
          </cell>
          <cell r="D878">
            <v>1.4999999999999999E-2</v>
          </cell>
          <cell r="E878">
            <v>12</v>
          </cell>
          <cell r="F878">
            <v>1314.81</v>
          </cell>
          <cell r="G878">
            <v>1312.21</v>
          </cell>
          <cell r="H878">
            <v>1311.9</v>
          </cell>
          <cell r="I878">
            <v>1309.97</v>
          </cell>
          <cell r="J878">
            <v>34.4</v>
          </cell>
          <cell r="K878">
            <v>0</v>
          </cell>
          <cell r="L878" t="str">
            <v xml:space="preserve">Tramos Existentes </v>
          </cell>
          <cell r="M878" t="str">
            <v>Existente</v>
          </cell>
        </row>
        <row r="879">
          <cell r="B879">
            <v>598</v>
          </cell>
          <cell r="C879">
            <v>596</v>
          </cell>
          <cell r="D879">
            <v>1.4999999999999999E-2</v>
          </cell>
          <cell r="E879">
            <v>12</v>
          </cell>
          <cell r="F879">
            <v>1315.87</v>
          </cell>
          <cell r="G879">
            <v>1313.92</v>
          </cell>
          <cell r="H879">
            <v>1311.01</v>
          </cell>
          <cell r="I879">
            <v>1308.6400000000001</v>
          </cell>
          <cell r="J879">
            <v>38.700000000000003</v>
          </cell>
          <cell r="K879">
            <v>0</v>
          </cell>
          <cell r="L879" t="str">
            <v xml:space="preserve">Tramos Existentes </v>
          </cell>
          <cell r="M879" t="str">
            <v>Existente</v>
          </cell>
        </row>
        <row r="880">
          <cell r="B880">
            <v>810</v>
          </cell>
          <cell r="C880">
            <v>808</v>
          </cell>
          <cell r="D880">
            <v>1.4999999999999999E-2</v>
          </cell>
          <cell r="E880">
            <v>48</v>
          </cell>
          <cell r="F880">
            <v>1307.8</v>
          </cell>
          <cell r="G880">
            <v>1305.81</v>
          </cell>
          <cell r="H880">
            <v>1305.5899999999999</v>
          </cell>
          <cell r="I880">
            <v>1302.8499999999999</v>
          </cell>
          <cell r="J880">
            <v>37.6</v>
          </cell>
          <cell r="K880">
            <v>0</v>
          </cell>
          <cell r="L880" t="str">
            <v xml:space="preserve">Tramos Existentes </v>
          </cell>
          <cell r="M880" t="str">
            <v>Existente</v>
          </cell>
        </row>
        <row r="881">
          <cell r="B881">
            <v>643</v>
          </cell>
          <cell r="C881">
            <v>645</v>
          </cell>
          <cell r="D881">
            <v>1.4999999999999999E-2</v>
          </cell>
          <cell r="E881">
            <v>12</v>
          </cell>
          <cell r="F881">
            <v>1316.63</v>
          </cell>
          <cell r="G881">
            <v>1313.97</v>
          </cell>
          <cell r="H881">
            <v>1314.43</v>
          </cell>
          <cell r="I881">
            <v>1312.22</v>
          </cell>
          <cell r="J881">
            <v>61.3</v>
          </cell>
          <cell r="K881">
            <v>0</v>
          </cell>
          <cell r="L881" t="str">
            <v xml:space="preserve">Tramos Existentes </v>
          </cell>
          <cell r="M881" t="str">
            <v>Existente</v>
          </cell>
        </row>
        <row r="882">
          <cell r="B882">
            <v>645</v>
          </cell>
          <cell r="C882">
            <v>714</v>
          </cell>
          <cell r="D882">
            <v>1.4999999999999999E-2</v>
          </cell>
          <cell r="E882">
            <v>12</v>
          </cell>
          <cell r="F882">
            <v>1313.97</v>
          </cell>
          <cell r="G882">
            <v>1313.21</v>
          </cell>
          <cell r="H882">
            <v>1312.22</v>
          </cell>
          <cell r="I882">
            <v>1311.06</v>
          </cell>
          <cell r="J882">
            <v>42.7</v>
          </cell>
          <cell r="K882">
            <v>0</v>
          </cell>
          <cell r="L882" t="str">
            <v xml:space="preserve">Tramos Existentes </v>
          </cell>
          <cell r="M882" t="str">
            <v>Existente</v>
          </cell>
        </row>
        <row r="883">
          <cell r="B883">
            <v>714</v>
          </cell>
          <cell r="C883">
            <v>713</v>
          </cell>
          <cell r="D883">
            <v>1.4999999999999999E-2</v>
          </cell>
          <cell r="E883">
            <v>12</v>
          </cell>
          <cell r="F883">
            <v>1313.21</v>
          </cell>
          <cell r="G883">
            <v>1312.21</v>
          </cell>
          <cell r="H883">
            <v>1311.06</v>
          </cell>
          <cell r="I883">
            <v>1309.97</v>
          </cell>
          <cell r="J883">
            <v>33.9</v>
          </cell>
          <cell r="K883">
            <v>0</v>
          </cell>
          <cell r="L883" t="str">
            <v xml:space="preserve">Tramos Existentes </v>
          </cell>
          <cell r="M883" t="str">
            <v>Existente</v>
          </cell>
        </row>
        <row r="884">
          <cell r="B884" t="str">
            <v>874i</v>
          </cell>
          <cell r="C884">
            <v>876</v>
          </cell>
          <cell r="D884">
            <v>1.4999999999999999E-2</v>
          </cell>
          <cell r="E884">
            <v>10</v>
          </cell>
          <cell r="F884">
            <v>1315.55</v>
          </cell>
          <cell r="G884">
            <v>1315.06</v>
          </cell>
          <cell r="H884">
            <v>1313.37</v>
          </cell>
          <cell r="I884">
            <v>1312.96</v>
          </cell>
          <cell r="J884">
            <v>42.7</v>
          </cell>
          <cell r="K884">
            <v>0</v>
          </cell>
          <cell r="L884" t="str">
            <v xml:space="preserve">Tramos Existentes </v>
          </cell>
          <cell r="M884" t="str">
            <v>Existente</v>
          </cell>
        </row>
        <row r="885">
          <cell r="B885">
            <v>876</v>
          </cell>
          <cell r="C885">
            <v>646</v>
          </cell>
          <cell r="D885">
            <v>1.4999999999999999E-2</v>
          </cell>
          <cell r="E885">
            <v>10</v>
          </cell>
          <cell r="F885">
            <v>1315.06</v>
          </cell>
          <cell r="G885">
            <v>1314.73</v>
          </cell>
          <cell r="H885">
            <v>1312.96</v>
          </cell>
          <cell r="I885">
            <v>1312.5</v>
          </cell>
          <cell r="J885">
            <v>37.6</v>
          </cell>
          <cell r="K885">
            <v>0</v>
          </cell>
          <cell r="L885" t="str">
            <v xml:space="preserve">Tramos Existentes </v>
          </cell>
          <cell r="M885" t="str">
            <v>Existente</v>
          </cell>
        </row>
        <row r="886">
          <cell r="B886">
            <v>646</v>
          </cell>
          <cell r="C886">
            <v>644</v>
          </cell>
          <cell r="D886">
            <v>1.4999999999999999E-2</v>
          </cell>
          <cell r="E886">
            <v>10</v>
          </cell>
          <cell r="F886">
            <v>1314.73</v>
          </cell>
          <cell r="G886">
            <v>1313.96</v>
          </cell>
          <cell r="H886">
            <v>1312.5</v>
          </cell>
          <cell r="I886">
            <v>1311.25</v>
          </cell>
          <cell r="J886">
            <v>75.5</v>
          </cell>
          <cell r="K886">
            <v>0</v>
          </cell>
          <cell r="L886" t="str">
            <v xml:space="preserve">Tramos Existentes </v>
          </cell>
          <cell r="M886" t="str">
            <v>Existente</v>
          </cell>
        </row>
        <row r="887">
          <cell r="B887">
            <v>644</v>
          </cell>
          <cell r="C887">
            <v>873</v>
          </cell>
          <cell r="D887">
            <v>1.4999999999999999E-2</v>
          </cell>
          <cell r="E887">
            <v>10</v>
          </cell>
          <cell r="F887">
            <v>1313.96</v>
          </cell>
          <cell r="G887">
            <v>1310.1199999999999</v>
          </cell>
          <cell r="H887">
            <v>1311.25</v>
          </cell>
          <cell r="I887">
            <v>1308.07</v>
          </cell>
          <cell r="J887">
            <v>57.4</v>
          </cell>
          <cell r="K887">
            <v>0</v>
          </cell>
          <cell r="L887" t="str">
            <v xml:space="preserve">Tramos Existentes </v>
          </cell>
          <cell r="M887" t="str">
            <v>Existente</v>
          </cell>
        </row>
        <row r="888">
          <cell r="B888">
            <v>760</v>
          </cell>
          <cell r="C888">
            <v>758</v>
          </cell>
          <cell r="D888">
            <v>1.4999999999999999E-2</v>
          </cell>
          <cell r="E888">
            <v>10</v>
          </cell>
          <cell r="F888">
            <v>1320.53</v>
          </cell>
          <cell r="G888">
            <v>1320.89</v>
          </cell>
          <cell r="H888">
            <v>1319.11</v>
          </cell>
          <cell r="I888">
            <v>1318.59</v>
          </cell>
          <cell r="J888">
            <v>30.1</v>
          </cell>
          <cell r="K888">
            <v>0</v>
          </cell>
          <cell r="L888" t="str">
            <v xml:space="preserve">Tramos Existentes </v>
          </cell>
          <cell r="M888" t="str">
            <v>Existente</v>
          </cell>
        </row>
        <row r="889">
          <cell r="B889">
            <v>641</v>
          </cell>
          <cell r="C889">
            <v>712</v>
          </cell>
          <cell r="D889">
            <v>1.4999999999999999E-2</v>
          </cell>
          <cell r="E889">
            <v>12</v>
          </cell>
          <cell r="F889">
            <v>1316.06</v>
          </cell>
          <cell r="G889">
            <v>1314.81</v>
          </cell>
          <cell r="H889">
            <v>1314.25</v>
          </cell>
          <cell r="I889">
            <v>1311.9</v>
          </cell>
          <cell r="J889">
            <v>39.200000000000003</v>
          </cell>
          <cell r="K889">
            <v>0</v>
          </cell>
          <cell r="L889" t="str">
            <v xml:space="preserve">Tramos Existentes </v>
          </cell>
          <cell r="M889" t="str">
            <v>Existente</v>
          </cell>
        </row>
        <row r="890">
          <cell r="B890">
            <v>567</v>
          </cell>
          <cell r="C890">
            <v>911</v>
          </cell>
          <cell r="D890">
            <v>0.01</v>
          </cell>
          <cell r="E890">
            <v>12</v>
          </cell>
          <cell r="F890">
            <v>1321.09</v>
          </cell>
          <cell r="G890">
            <v>1313.29</v>
          </cell>
          <cell r="H890">
            <v>1318.08</v>
          </cell>
          <cell r="I890">
            <v>1311.38</v>
          </cell>
          <cell r="J890">
            <v>55.5</v>
          </cell>
          <cell r="K890">
            <v>0</v>
          </cell>
          <cell r="L890" t="str">
            <v xml:space="preserve">Tramos Existentes </v>
          </cell>
          <cell r="M890" t="str">
            <v>Existente</v>
          </cell>
        </row>
        <row r="891">
          <cell r="B891" t="str">
            <v>545i</v>
          </cell>
          <cell r="C891">
            <v>580</v>
          </cell>
          <cell r="D891">
            <v>1.4999999999999999E-2</v>
          </cell>
          <cell r="E891">
            <v>8</v>
          </cell>
          <cell r="F891">
            <v>1316.51</v>
          </cell>
          <cell r="G891">
            <v>1315.55</v>
          </cell>
          <cell r="H891">
            <v>1315.4</v>
          </cell>
          <cell r="I891">
            <v>1312.27</v>
          </cell>
          <cell r="J891">
            <v>39</v>
          </cell>
          <cell r="K891">
            <v>0</v>
          </cell>
          <cell r="L891" t="str">
            <v xml:space="preserve">Tramos Existentes </v>
          </cell>
          <cell r="M891" t="str">
            <v>Existente</v>
          </cell>
        </row>
        <row r="892">
          <cell r="B892" t="str">
            <v>546i</v>
          </cell>
          <cell r="C892">
            <v>478</v>
          </cell>
          <cell r="D892">
            <v>1.4999999999999999E-2</v>
          </cell>
          <cell r="E892">
            <v>8</v>
          </cell>
          <cell r="F892">
            <v>1313.21</v>
          </cell>
          <cell r="G892">
            <v>1312.18</v>
          </cell>
          <cell r="H892">
            <v>1311.88</v>
          </cell>
          <cell r="I892">
            <v>1310.25</v>
          </cell>
          <cell r="J892">
            <v>73.3</v>
          </cell>
          <cell r="K892">
            <v>0</v>
          </cell>
          <cell r="L892" t="str">
            <v xml:space="preserve">Tramos Existentes </v>
          </cell>
          <cell r="M892" t="str">
            <v>Existente</v>
          </cell>
        </row>
        <row r="893">
          <cell r="B893">
            <v>550</v>
          </cell>
          <cell r="C893">
            <v>579</v>
          </cell>
          <cell r="D893">
            <v>1.4999999999999999E-2</v>
          </cell>
          <cell r="E893">
            <v>16</v>
          </cell>
          <cell r="F893">
            <v>1316.97</v>
          </cell>
          <cell r="G893">
            <v>1315.81</v>
          </cell>
          <cell r="H893">
            <v>1314.72</v>
          </cell>
          <cell r="I893">
            <v>1312.56</v>
          </cell>
          <cell r="J893">
            <v>69.8</v>
          </cell>
          <cell r="K893">
            <v>0</v>
          </cell>
          <cell r="L893" t="str">
            <v xml:space="preserve">Tramos Existentes </v>
          </cell>
          <cell r="M893" t="str">
            <v>Existente</v>
          </cell>
        </row>
        <row r="894">
          <cell r="B894">
            <v>551</v>
          </cell>
          <cell r="C894">
            <v>553</v>
          </cell>
          <cell r="D894">
            <v>1.4999999999999999E-2</v>
          </cell>
          <cell r="E894">
            <v>8</v>
          </cell>
          <cell r="F894">
            <v>1314.04</v>
          </cell>
          <cell r="G894">
            <v>1313.75</v>
          </cell>
          <cell r="H894">
            <v>1312.28</v>
          </cell>
          <cell r="I894">
            <v>1311.12</v>
          </cell>
          <cell r="J894">
            <v>27.9</v>
          </cell>
          <cell r="K894">
            <v>0</v>
          </cell>
          <cell r="L894" t="str">
            <v xml:space="preserve">Tramos Existentes </v>
          </cell>
          <cell r="M894" t="str">
            <v>Existente</v>
          </cell>
        </row>
        <row r="895">
          <cell r="B895">
            <v>553</v>
          </cell>
          <cell r="C895">
            <v>556</v>
          </cell>
          <cell r="D895">
            <v>1.4999999999999999E-2</v>
          </cell>
          <cell r="E895">
            <v>10</v>
          </cell>
          <cell r="F895">
            <v>1313.75</v>
          </cell>
          <cell r="G895">
            <v>1312.58</v>
          </cell>
          <cell r="H895">
            <v>1311.12</v>
          </cell>
          <cell r="I895">
            <v>1310</v>
          </cell>
          <cell r="J895">
            <v>28.8</v>
          </cell>
          <cell r="K895">
            <v>0</v>
          </cell>
          <cell r="L895" t="str">
            <v xml:space="preserve">Tramos Existentes </v>
          </cell>
          <cell r="M895" t="str">
            <v>Existente</v>
          </cell>
        </row>
        <row r="896">
          <cell r="B896">
            <v>552</v>
          </cell>
          <cell r="C896">
            <v>554</v>
          </cell>
          <cell r="D896">
            <v>1.4999999999999999E-2</v>
          </cell>
          <cell r="E896">
            <v>10</v>
          </cell>
          <cell r="F896">
            <v>1314.06</v>
          </cell>
          <cell r="G896">
            <v>1313.74</v>
          </cell>
          <cell r="H896">
            <v>1312.98</v>
          </cell>
          <cell r="I896">
            <v>1311.67</v>
          </cell>
          <cell r="J896">
            <v>28</v>
          </cell>
          <cell r="K896">
            <v>0</v>
          </cell>
          <cell r="L896" t="str">
            <v xml:space="preserve">Tramos Existentes </v>
          </cell>
          <cell r="M896" t="str">
            <v>Existente</v>
          </cell>
        </row>
        <row r="897">
          <cell r="B897">
            <v>554</v>
          </cell>
          <cell r="C897">
            <v>555</v>
          </cell>
          <cell r="D897">
            <v>1.4999999999999999E-2</v>
          </cell>
          <cell r="E897">
            <v>10</v>
          </cell>
          <cell r="F897">
            <v>1313.74</v>
          </cell>
          <cell r="G897">
            <v>1313</v>
          </cell>
          <cell r="H897">
            <v>1311.67</v>
          </cell>
          <cell r="I897">
            <v>1310.89</v>
          </cell>
          <cell r="J897">
            <v>24.2</v>
          </cell>
          <cell r="K897">
            <v>0</v>
          </cell>
          <cell r="L897" t="str">
            <v xml:space="preserve">Tramos Existentes </v>
          </cell>
          <cell r="M897" t="str">
            <v>Existente</v>
          </cell>
        </row>
        <row r="898">
          <cell r="B898" t="str">
            <v>559i</v>
          </cell>
          <cell r="C898">
            <v>626</v>
          </cell>
          <cell r="D898">
            <v>1.4999999999999999E-2</v>
          </cell>
          <cell r="E898">
            <v>8</v>
          </cell>
          <cell r="F898">
            <v>1315.1</v>
          </cell>
          <cell r="G898">
            <v>1316.16</v>
          </cell>
          <cell r="H898">
            <v>1313.91</v>
          </cell>
          <cell r="I898">
            <v>1313.35</v>
          </cell>
          <cell r="J898">
            <v>27.8</v>
          </cell>
          <cell r="K898">
            <v>0</v>
          </cell>
          <cell r="L898" t="str">
            <v xml:space="preserve">Tramos Existentes </v>
          </cell>
          <cell r="M898" t="str">
            <v>Existente</v>
          </cell>
        </row>
        <row r="899">
          <cell r="B899">
            <v>564</v>
          </cell>
          <cell r="C899">
            <v>563</v>
          </cell>
          <cell r="D899">
            <v>1.4999999999999999E-2</v>
          </cell>
          <cell r="E899">
            <v>10</v>
          </cell>
          <cell r="F899">
            <v>1322.3</v>
          </cell>
          <cell r="G899">
            <v>1322.09</v>
          </cell>
          <cell r="H899">
            <v>1321.04</v>
          </cell>
          <cell r="I899">
            <v>1318.81</v>
          </cell>
          <cell r="J899">
            <v>45.7</v>
          </cell>
          <cell r="K899">
            <v>0</v>
          </cell>
          <cell r="L899" t="str">
            <v xml:space="preserve">Tramos Existentes </v>
          </cell>
          <cell r="M899" t="str">
            <v>Existente</v>
          </cell>
        </row>
        <row r="900">
          <cell r="B900">
            <v>604</v>
          </cell>
          <cell r="C900">
            <v>605</v>
          </cell>
          <cell r="D900">
            <v>0.01</v>
          </cell>
          <cell r="E900">
            <v>8</v>
          </cell>
          <cell r="F900">
            <v>1302.17</v>
          </cell>
          <cell r="G900">
            <v>1303.3800000000001</v>
          </cell>
          <cell r="H900">
            <v>1300.02</v>
          </cell>
          <cell r="I900">
            <v>1299.5899999999999</v>
          </cell>
          <cell r="J900">
            <v>35.1</v>
          </cell>
          <cell r="K900">
            <v>0</v>
          </cell>
          <cell r="L900" t="str">
            <v xml:space="preserve">Tramos Existentes </v>
          </cell>
          <cell r="M900" t="str">
            <v>Existente</v>
          </cell>
        </row>
        <row r="901">
          <cell r="B901" t="str">
            <v>568ii</v>
          </cell>
          <cell r="C901">
            <v>567</v>
          </cell>
          <cell r="D901">
            <v>1.4999999999999999E-2</v>
          </cell>
          <cell r="E901">
            <v>8</v>
          </cell>
          <cell r="F901">
            <v>1323.17</v>
          </cell>
          <cell r="G901">
            <v>1321.09</v>
          </cell>
          <cell r="H901">
            <v>1321.79</v>
          </cell>
          <cell r="I901">
            <v>1318.08</v>
          </cell>
          <cell r="J901">
            <v>76.3</v>
          </cell>
          <cell r="K901">
            <v>0</v>
          </cell>
          <cell r="L901" t="str">
            <v xml:space="preserve">Tramos Existentes </v>
          </cell>
          <cell r="M901" t="str">
            <v>Existente</v>
          </cell>
        </row>
        <row r="902">
          <cell r="B902" t="str">
            <v>645i</v>
          </cell>
          <cell r="C902">
            <v>873</v>
          </cell>
          <cell r="D902">
            <v>1.4999999999999999E-2</v>
          </cell>
          <cell r="E902">
            <v>10</v>
          </cell>
          <cell r="F902">
            <v>1313.97</v>
          </cell>
          <cell r="G902">
            <v>1310.1199999999999</v>
          </cell>
          <cell r="H902">
            <v>1312.37</v>
          </cell>
          <cell r="I902">
            <v>1308.07</v>
          </cell>
          <cell r="J902">
            <v>55.5</v>
          </cell>
          <cell r="K902">
            <v>0</v>
          </cell>
          <cell r="L902" t="str">
            <v xml:space="preserve">Tramos Existentes </v>
          </cell>
          <cell r="M902" t="str">
            <v>Existente</v>
          </cell>
        </row>
        <row r="903">
          <cell r="B903">
            <v>911</v>
          </cell>
          <cell r="C903">
            <v>910</v>
          </cell>
          <cell r="D903">
            <v>0.01</v>
          </cell>
          <cell r="E903">
            <v>16</v>
          </cell>
          <cell r="F903">
            <v>1313.29</v>
          </cell>
          <cell r="G903">
            <v>1314.1</v>
          </cell>
          <cell r="H903">
            <v>1311.38</v>
          </cell>
          <cell r="I903">
            <v>1309.02</v>
          </cell>
          <cell r="J903">
            <v>12.8</v>
          </cell>
          <cell r="K903">
            <v>0</v>
          </cell>
          <cell r="L903" t="str">
            <v xml:space="preserve">Tramos Existentes </v>
          </cell>
          <cell r="M903" t="str">
            <v>Existente</v>
          </cell>
        </row>
        <row r="904">
          <cell r="B904">
            <v>910</v>
          </cell>
          <cell r="C904">
            <v>909</v>
          </cell>
          <cell r="D904">
            <v>0.01</v>
          </cell>
          <cell r="E904">
            <v>16</v>
          </cell>
          <cell r="F904">
            <v>1314.1</v>
          </cell>
          <cell r="G904">
            <v>1314.09</v>
          </cell>
          <cell r="H904">
            <v>1309.02</v>
          </cell>
          <cell r="I904">
            <v>1308.94</v>
          </cell>
          <cell r="J904">
            <v>10.1</v>
          </cell>
          <cell r="K904">
            <v>0</v>
          </cell>
          <cell r="L904" t="str">
            <v xml:space="preserve">Tramos Existentes </v>
          </cell>
          <cell r="M904" t="str">
            <v>Existente</v>
          </cell>
        </row>
        <row r="905">
          <cell r="B905" t="str">
            <v>567i</v>
          </cell>
          <cell r="C905">
            <v>565</v>
          </cell>
          <cell r="D905">
            <v>1.4999999999999999E-2</v>
          </cell>
          <cell r="E905">
            <v>10</v>
          </cell>
          <cell r="F905">
            <v>1321.09</v>
          </cell>
          <cell r="G905">
            <v>1321.65</v>
          </cell>
          <cell r="H905">
            <v>1318.62</v>
          </cell>
          <cell r="I905">
            <v>1318.41</v>
          </cell>
          <cell r="J905">
            <v>73.599999999999994</v>
          </cell>
          <cell r="K905">
            <v>0</v>
          </cell>
          <cell r="L905" t="str">
            <v xml:space="preserve">Tramos Existentes </v>
          </cell>
          <cell r="M905" t="str">
            <v>Existente</v>
          </cell>
        </row>
        <row r="906">
          <cell r="B906" t="str">
            <v>568i</v>
          </cell>
          <cell r="C906">
            <v>569</v>
          </cell>
          <cell r="D906">
            <v>1.4999999999999999E-2</v>
          </cell>
          <cell r="E906">
            <v>12</v>
          </cell>
          <cell r="F906">
            <v>1323.17</v>
          </cell>
          <cell r="G906">
            <v>1323.29</v>
          </cell>
          <cell r="H906">
            <v>1321.77</v>
          </cell>
          <cell r="I906">
            <v>1320.12</v>
          </cell>
          <cell r="J906">
            <v>34.299999999999997</v>
          </cell>
          <cell r="K906">
            <v>0</v>
          </cell>
          <cell r="L906" t="str">
            <v xml:space="preserve">Tramos Existentes </v>
          </cell>
          <cell r="M906" t="str">
            <v>Existente</v>
          </cell>
        </row>
        <row r="907">
          <cell r="B907">
            <v>569</v>
          </cell>
          <cell r="C907">
            <v>562</v>
          </cell>
          <cell r="D907">
            <v>1.4999999999999999E-2</v>
          </cell>
          <cell r="E907">
            <v>10</v>
          </cell>
          <cell r="F907">
            <v>1323.29</v>
          </cell>
          <cell r="G907">
            <v>1322.37</v>
          </cell>
          <cell r="H907">
            <v>1320.12</v>
          </cell>
          <cell r="I907">
            <v>1319.21</v>
          </cell>
          <cell r="J907">
            <v>41.3</v>
          </cell>
          <cell r="K907">
            <v>0</v>
          </cell>
          <cell r="L907" t="str">
            <v xml:space="preserve">Tramos Existentes </v>
          </cell>
          <cell r="M907" t="str">
            <v>Existente</v>
          </cell>
        </row>
        <row r="908">
          <cell r="B908">
            <v>573</v>
          </cell>
          <cell r="C908">
            <v>503</v>
          </cell>
          <cell r="D908">
            <v>1.4999999999999999E-2</v>
          </cell>
          <cell r="E908">
            <v>10</v>
          </cell>
          <cell r="F908">
            <v>1292.99</v>
          </cell>
          <cell r="G908">
            <v>1293.8699999999999</v>
          </cell>
          <cell r="H908">
            <v>1291.3699999999999</v>
          </cell>
          <cell r="I908">
            <v>1290.6199999999999</v>
          </cell>
          <cell r="J908">
            <v>31.2</v>
          </cell>
          <cell r="K908">
            <v>0</v>
          </cell>
          <cell r="L908" t="str">
            <v xml:space="preserve">Tramos Existentes </v>
          </cell>
          <cell r="M908" t="str">
            <v>Existente</v>
          </cell>
        </row>
        <row r="909">
          <cell r="B909">
            <v>592</v>
          </cell>
          <cell r="C909">
            <v>530</v>
          </cell>
          <cell r="D909">
            <v>1.4999999999999999E-2</v>
          </cell>
          <cell r="E909">
            <v>24</v>
          </cell>
          <cell r="F909">
            <v>1315.86</v>
          </cell>
          <cell r="G909">
            <v>1313.87</v>
          </cell>
          <cell r="H909">
            <v>1310.78</v>
          </cell>
          <cell r="I909">
            <v>1309.08</v>
          </cell>
          <cell r="J909">
            <v>28.4</v>
          </cell>
          <cell r="K909">
            <v>0</v>
          </cell>
          <cell r="L909" t="str">
            <v xml:space="preserve">Renovacion </v>
          </cell>
          <cell r="M909" t="str">
            <v>Existente</v>
          </cell>
        </row>
        <row r="910">
          <cell r="B910">
            <v>593</v>
          </cell>
          <cell r="C910">
            <v>530</v>
          </cell>
          <cell r="D910">
            <v>1.4999999999999999E-2</v>
          </cell>
          <cell r="E910">
            <v>12</v>
          </cell>
          <cell r="F910">
            <v>1315.42</v>
          </cell>
          <cell r="G910">
            <v>1313.87</v>
          </cell>
          <cell r="H910">
            <v>1314.31</v>
          </cell>
          <cell r="I910">
            <v>1309.08</v>
          </cell>
          <cell r="J910">
            <v>19.2</v>
          </cell>
          <cell r="K910">
            <v>0</v>
          </cell>
          <cell r="L910" t="str">
            <v xml:space="preserve">Renovacion </v>
          </cell>
          <cell r="M910" t="str">
            <v>Existente</v>
          </cell>
        </row>
        <row r="911">
          <cell r="B911">
            <v>600</v>
          </cell>
          <cell r="C911">
            <v>598</v>
          </cell>
          <cell r="D911">
            <v>1.4999999999999999E-2</v>
          </cell>
          <cell r="E911">
            <v>12</v>
          </cell>
          <cell r="F911">
            <v>1315.41</v>
          </cell>
          <cell r="G911">
            <v>1315.87</v>
          </cell>
          <cell r="H911">
            <v>1311.81</v>
          </cell>
          <cell r="I911">
            <v>1311.01</v>
          </cell>
          <cell r="J911">
            <v>18.3</v>
          </cell>
          <cell r="K911">
            <v>0</v>
          </cell>
          <cell r="L911" t="str">
            <v xml:space="preserve">Renovacion </v>
          </cell>
          <cell r="M911" t="str">
            <v>Existente</v>
          </cell>
        </row>
        <row r="912">
          <cell r="B912" t="str">
            <v>565i</v>
          </cell>
          <cell r="C912">
            <v>566</v>
          </cell>
          <cell r="D912">
            <v>1.4999999999999999E-2</v>
          </cell>
          <cell r="E912">
            <v>16</v>
          </cell>
          <cell r="F912">
            <v>1321.65</v>
          </cell>
          <cell r="G912">
            <v>1319.16</v>
          </cell>
          <cell r="H912">
            <v>1318.45</v>
          </cell>
          <cell r="I912">
            <v>1316.83</v>
          </cell>
          <cell r="J912">
            <v>76.3</v>
          </cell>
          <cell r="K912">
            <v>0</v>
          </cell>
          <cell r="L912" t="str">
            <v xml:space="preserve">Tramos Existentes </v>
          </cell>
          <cell r="M912" t="str">
            <v>Existente</v>
          </cell>
        </row>
        <row r="913">
          <cell r="B913" t="str">
            <v>P38</v>
          </cell>
          <cell r="C913">
            <v>745</v>
          </cell>
          <cell r="D913">
            <v>1.4999999999999999E-2</v>
          </cell>
          <cell r="E913">
            <v>10</v>
          </cell>
          <cell r="F913">
            <v>1323</v>
          </cell>
          <cell r="G913">
            <v>1321.09</v>
          </cell>
          <cell r="H913">
            <v>1321.65</v>
          </cell>
          <cell r="I913">
            <v>1319.18</v>
          </cell>
          <cell r="J913">
            <v>91.1</v>
          </cell>
          <cell r="K913">
            <v>0</v>
          </cell>
          <cell r="L913" t="str">
            <v xml:space="preserve">Tramos Existentes </v>
          </cell>
          <cell r="M913" t="str">
            <v>Existente</v>
          </cell>
        </row>
        <row r="914">
          <cell r="B914" t="str">
            <v>S8</v>
          </cell>
          <cell r="C914" t="str">
            <v>S9</v>
          </cell>
          <cell r="D914">
            <v>1.2999999999999999E-2</v>
          </cell>
          <cell r="E914">
            <v>10</v>
          </cell>
          <cell r="F914">
            <v>1297.21</v>
          </cell>
          <cell r="G914">
            <v>1296.55</v>
          </cell>
          <cell r="H914">
            <v>1290.8</v>
          </cell>
          <cell r="I914">
            <v>1290.6300000000001</v>
          </cell>
          <cell r="J914">
            <v>45.2</v>
          </cell>
          <cell r="K914">
            <v>0</v>
          </cell>
          <cell r="L914" t="str">
            <v>Unificacion de Vertimientos</v>
          </cell>
          <cell r="M914" t="str">
            <v>Nuevo</v>
          </cell>
        </row>
        <row r="915">
          <cell r="B915" t="str">
            <v>P25</v>
          </cell>
          <cell r="C915">
            <v>535</v>
          </cell>
          <cell r="D915">
            <v>0.01</v>
          </cell>
          <cell r="E915">
            <v>48</v>
          </cell>
          <cell r="F915">
            <v>1308.08</v>
          </cell>
          <cell r="G915">
            <v>1307.53</v>
          </cell>
          <cell r="H915">
            <v>1306.58</v>
          </cell>
          <cell r="I915">
            <v>1305.18</v>
          </cell>
          <cell r="J915">
            <v>6.5</v>
          </cell>
          <cell r="K915">
            <v>0</v>
          </cell>
          <cell r="L915" t="str">
            <v xml:space="preserve">Tramos Existentes </v>
          </cell>
          <cell r="M915" t="str">
            <v>Existente</v>
          </cell>
        </row>
        <row r="916">
          <cell r="B916" t="str">
            <v>P26</v>
          </cell>
          <cell r="C916">
            <v>538</v>
          </cell>
          <cell r="D916">
            <v>1.4999999999999999E-2</v>
          </cell>
          <cell r="E916">
            <v>8</v>
          </cell>
          <cell r="F916">
            <v>1307.3699999999999</v>
          </cell>
          <cell r="G916">
            <v>1306.5999999999999</v>
          </cell>
          <cell r="H916">
            <v>1306.03</v>
          </cell>
          <cell r="I916">
            <v>1303.67</v>
          </cell>
          <cell r="J916">
            <v>7.6</v>
          </cell>
          <cell r="K916">
            <v>0</v>
          </cell>
          <cell r="L916" t="str">
            <v xml:space="preserve">Tramos Existentes </v>
          </cell>
          <cell r="M916" t="str">
            <v>Existente</v>
          </cell>
        </row>
        <row r="917">
          <cell r="B917" t="str">
            <v>P27</v>
          </cell>
          <cell r="C917">
            <v>538</v>
          </cell>
          <cell r="D917">
            <v>1.4999999999999999E-2</v>
          </cell>
          <cell r="E917">
            <v>8</v>
          </cell>
          <cell r="F917">
            <v>1306.6199999999999</v>
          </cell>
          <cell r="G917">
            <v>1306.5999999999999</v>
          </cell>
          <cell r="H917">
            <v>1305.05</v>
          </cell>
          <cell r="I917">
            <v>1303.67</v>
          </cell>
          <cell r="J917">
            <v>5.8</v>
          </cell>
          <cell r="K917">
            <v>0</v>
          </cell>
          <cell r="L917" t="str">
            <v xml:space="preserve">Tramos Existentes </v>
          </cell>
          <cell r="M917" t="str">
            <v>Existente</v>
          </cell>
        </row>
        <row r="918">
          <cell r="B918" t="str">
            <v>P28</v>
          </cell>
          <cell r="C918">
            <v>1094</v>
          </cell>
          <cell r="D918">
            <v>0.01</v>
          </cell>
          <cell r="E918">
            <v>8</v>
          </cell>
          <cell r="F918">
            <v>1298.8499999999999</v>
          </cell>
          <cell r="G918">
            <v>1297.6400000000001</v>
          </cell>
          <cell r="H918">
            <v>1296.9100000000001</v>
          </cell>
          <cell r="I918">
            <v>1294.8399999999999</v>
          </cell>
          <cell r="J918">
            <v>52</v>
          </cell>
          <cell r="K918">
            <v>0</v>
          </cell>
          <cell r="L918" t="str">
            <v xml:space="preserve">Tramos Existentes </v>
          </cell>
          <cell r="M918" t="str">
            <v>Existente</v>
          </cell>
        </row>
        <row r="919">
          <cell r="B919" t="str">
            <v>P30</v>
          </cell>
          <cell r="C919">
            <v>1106</v>
          </cell>
          <cell r="D919">
            <v>1.4999999999999999E-2</v>
          </cell>
          <cell r="E919">
            <v>8</v>
          </cell>
          <cell r="F919">
            <v>1293.04</v>
          </cell>
          <cell r="G919">
            <v>1291.55</v>
          </cell>
          <cell r="H919">
            <v>1290.8599999999999</v>
          </cell>
          <cell r="I919">
            <v>1288.95</v>
          </cell>
          <cell r="J919">
            <v>30.2</v>
          </cell>
          <cell r="K919">
            <v>0</v>
          </cell>
          <cell r="L919" t="str">
            <v xml:space="preserve">Tramos Existentes </v>
          </cell>
          <cell r="M919" t="str">
            <v>Existente</v>
          </cell>
        </row>
        <row r="920">
          <cell r="B920" t="str">
            <v>P32</v>
          </cell>
          <cell r="C920">
            <v>601</v>
          </cell>
          <cell r="D920">
            <v>1.4999999999999999E-2</v>
          </cell>
          <cell r="E920">
            <v>10</v>
          </cell>
          <cell r="F920">
            <v>1305.5</v>
          </cell>
          <cell r="G920">
            <v>1305.3499999999999</v>
          </cell>
          <cell r="H920">
            <v>1303.06</v>
          </cell>
          <cell r="I920">
            <v>1302.27</v>
          </cell>
          <cell r="J920">
            <v>5.6</v>
          </cell>
          <cell r="K920">
            <v>0</v>
          </cell>
          <cell r="L920" t="str">
            <v xml:space="preserve">Tramos Existentes </v>
          </cell>
          <cell r="M920" t="str">
            <v>Existente</v>
          </cell>
        </row>
        <row r="921">
          <cell r="B921" t="str">
            <v>P33</v>
          </cell>
          <cell r="C921">
            <v>601</v>
          </cell>
          <cell r="D921">
            <v>1.4999999999999999E-2</v>
          </cell>
          <cell r="E921">
            <v>10</v>
          </cell>
          <cell r="F921">
            <v>1305.3699999999999</v>
          </cell>
          <cell r="G921">
            <v>1305.3499999999999</v>
          </cell>
          <cell r="H921">
            <v>1302.3399999999999</v>
          </cell>
          <cell r="I921">
            <v>1302.27</v>
          </cell>
          <cell r="J921">
            <v>7.5</v>
          </cell>
          <cell r="K921">
            <v>0</v>
          </cell>
          <cell r="L921" t="str">
            <v xml:space="preserve">Tramos Existentes </v>
          </cell>
          <cell r="M921" t="str">
            <v>Existente</v>
          </cell>
        </row>
        <row r="922">
          <cell r="B922" t="str">
            <v>P34</v>
          </cell>
          <cell r="C922">
            <v>606</v>
          </cell>
          <cell r="D922">
            <v>1.4999999999999999E-2</v>
          </cell>
          <cell r="E922">
            <v>8</v>
          </cell>
          <cell r="F922">
            <v>1303.55</v>
          </cell>
          <cell r="G922">
            <v>1303.4000000000001</v>
          </cell>
          <cell r="H922">
            <v>1299.93</v>
          </cell>
          <cell r="I922">
            <v>1299.51</v>
          </cell>
          <cell r="J922">
            <v>7.7</v>
          </cell>
          <cell r="K922">
            <v>0</v>
          </cell>
          <cell r="L922" t="str">
            <v xml:space="preserve">Tramos Existentes </v>
          </cell>
          <cell r="M922" t="str">
            <v>Existente</v>
          </cell>
        </row>
        <row r="923">
          <cell r="B923" t="str">
            <v>P23</v>
          </cell>
          <cell r="C923">
            <v>495</v>
          </cell>
          <cell r="D923">
            <v>1.4999999999999999E-2</v>
          </cell>
          <cell r="E923">
            <v>8</v>
          </cell>
          <cell r="F923">
            <v>1322.58</v>
          </cell>
          <cell r="G923">
            <v>1322.57</v>
          </cell>
          <cell r="H923">
            <v>1321.03</v>
          </cell>
          <cell r="I923">
            <v>1320.71</v>
          </cell>
          <cell r="J923">
            <v>28.2</v>
          </cell>
          <cell r="K923">
            <v>0</v>
          </cell>
          <cell r="L923" t="str">
            <v xml:space="preserve">Tramos Existentes </v>
          </cell>
          <cell r="M923" t="str">
            <v>Existente</v>
          </cell>
        </row>
        <row r="924">
          <cell r="B924" t="str">
            <v>P36</v>
          </cell>
          <cell r="C924">
            <v>609</v>
          </cell>
          <cell r="D924">
            <v>1.4999999999999999E-2</v>
          </cell>
          <cell r="E924">
            <v>8</v>
          </cell>
          <cell r="F924">
            <v>1302.5899999999999</v>
          </cell>
          <cell r="G924">
            <v>1302.48</v>
          </cell>
          <cell r="H924">
            <v>1297.97</v>
          </cell>
          <cell r="I924">
            <v>1297.8399999999999</v>
          </cell>
          <cell r="J924">
            <v>24</v>
          </cell>
          <cell r="K924">
            <v>0</v>
          </cell>
          <cell r="L924" t="str">
            <v xml:space="preserve">Tramos Existentes </v>
          </cell>
          <cell r="M924" t="str">
            <v>Existente</v>
          </cell>
        </row>
        <row r="925">
          <cell r="B925" t="str">
            <v>P20</v>
          </cell>
          <cell r="C925">
            <v>468</v>
          </cell>
          <cell r="D925">
            <v>1.4999999999999999E-2</v>
          </cell>
          <cell r="E925">
            <v>8</v>
          </cell>
          <cell r="F925">
            <v>1308.43</v>
          </cell>
          <cell r="G925">
            <v>1308.45</v>
          </cell>
          <cell r="H925">
            <v>1305.93</v>
          </cell>
          <cell r="I925">
            <v>1305.74</v>
          </cell>
          <cell r="J925">
            <v>9.8000000000000007</v>
          </cell>
          <cell r="K925">
            <v>0</v>
          </cell>
          <cell r="L925" t="str">
            <v xml:space="preserve">Tramos Existentes </v>
          </cell>
          <cell r="M925" t="str">
            <v>Existente</v>
          </cell>
        </row>
        <row r="926">
          <cell r="B926" t="str">
            <v>P40</v>
          </cell>
          <cell r="C926">
            <v>918</v>
          </cell>
          <cell r="D926">
            <v>0.01</v>
          </cell>
          <cell r="E926">
            <v>12</v>
          </cell>
          <cell r="F926">
            <v>1318</v>
          </cell>
          <cell r="G926">
            <v>1314.85</v>
          </cell>
          <cell r="H926">
            <v>1314.42</v>
          </cell>
          <cell r="I926">
            <v>1308.33</v>
          </cell>
          <cell r="J926">
            <v>36.4</v>
          </cell>
          <cell r="K926">
            <v>0</v>
          </cell>
          <cell r="L926" t="str">
            <v xml:space="preserve">Tramos Existentes </v>
          </cell>
          <cell r="M926" t="str">
            <v>Existente</v>
          </cell>
        </row>
        <row r="927">
          <cell r="B927" t="str">
            <v>P6</v>
          </cell>
          <cell r="C927">
            <v>1032</v>
          </cell>
          <cell r="D927">
            <v>1.4999999999999999E-2</v>
          </cell>
          <cell r="E927">
            <v>8</v>
          </cell>
          <cell r="F927">
            <v>1310.67</v>
          </cell>
          <cell r="G927">
            <v>1309.42</v>
          </cell>
          <cell r="H927">
            <v>1308.72</v>
          </cell>
          <cell r="I927">
            <v>1307.42</v>
          </cell>
          <cell r="J927">
            <v>23.4</v>
          </cell>
          <cell r="K927">
            <v>0</v>
          </cell>
          <cell r="L927" t="str">
            <v xml:space="preserve">Tramos Existentes </v>
          </cell>
          <cell r="M927" t="str">
            <v>Existente</v>
          </cell>
        </row>
        <row r="928">
          <cell r="B928">
            <v>676</v>
          </cell>
          <cell r="C928" t="str">
            <v>S2</v>
          </cell>
          <cell r="D928">
            <v>1.2999999999999999E-2</v>
          </cell>
          <cell r="E928">
            <v>10</v>
          </cell>
          <cell r="F928">
            <v>1296.54</v>
          </cell>
          <cell r="G928">
            <v>1293.3499999999999</v>
          </cell>
          <cell r="H928">
            <v>1291.8499999999999</v>
          </cell>
          <cell r="I928">
            <v>1291.8699999999999</v>
          </cell>
          <cell r="J928">
            <v>38.700000000000003</v>
          </cell>
          <cell r="K928">
            <v>0</v>
          </cell>
          <cell r="L928" t="str">
            <v>Unificacion de Vertimientos</v>
          </cell>
          <cell r="M928" t="str">
            <v>Nuevo</v>
          </cell>
        </row>
        <row r="929">
          <cell r="B929" t="str">
            <v>S2</v>
          </cell>
          <cell r="C929" t="str">
            <v>S3</v>
          </cell>
          <cell r="D929">
            <v>1.2999999999999999E-2</v>
          </cell>
          <cell r="E929">
            <v>10</v>
          </cell>
          <cell r="F929">
            <v>1293.3499999999999</v>
          </cell>
          <cell r="G929">
            <v>1294.06</v>
          </cell>
          <cell r="H929">
            <v>1291.8699999999999</v>
          </cell>
          <cell r="I929">
            <v>1291.7</v>
          </cell>
          <cell r="J929">
            <v>27.8</v>
          </cell>
          <cell r="K929">
            <v>0</v>
          </cell>
          <cell r="L929" t="str">
            <v>Unificacion de Vertimientos</v>
          </cell>
          <cell r="M929" t="str">
            <v>Nuevo</v>
          </cell>
        </row>
        <row r="930">
          <cell r="B930" t="str">
            <v>S3</v>
          </cell>
          <cell r="C930" t="str">
            <v>S4</v>
          </cell>
          <cell r="D930">
            <v>1.2999999999999999E-2</v>
          </cell>
          <cell r="E930">
            <v>10</v>
          </cell>
          <cell r="F930">
            <v>1294.06</v>
          </cell>
          <cell r="G930">
            <v>1294</v>
          </cell>
          <cell r="H930">
            <v>1291.7</v>
          </cell>
          <cell r="I930">
            <v>1291.54</v>
          </cell>
          <cell r="J930">
            <v>43.1</v>
          </cell>
          <cell r="K930">
            <v>0</v>
          </cell>
          <cell r="L930" t="str">
            <v>Unificacion de Vertimientos</v>
          </cell>
          <cell r="M930" t="str">
            <v>Nuevo</v>
          </cell>
        </row>
        <row r="931">
          <cell r="B931" t="str">
            <v>S4</v>
          </cell>
          <cell r="C931" t="str">
            <v>S5</v>
          </cell>
          <cell r="D931">
            <v>1.2999999999999999E-2</v>
          </cell>
          <cell r="E931">
            <v>10</v>
          </cell>
          <cell r="F931">
            <v>1294</v>
          </cell>
          <cell r="G931">
            <v>1295.08</v>
          </cell>
          <cell r="H931">
            <v>1291.54</v>
          </cell>
          <cell r="I931">
            <v>1291.3699999999999</v>
          </cell>
          <cell r="J931">
            <v>46.7</v>
          </cell>
          <cell r="K931">
            <v>0</v>
          </cell>
          <cell r="L931" t="str">
            <v>Unificacion de Vertimientos</v>
          </cell>
          <cell r="M931" t="str">
            <v>Nuevo</v>
          </cell>
        </row>
        <row r="932">
          <cell r="B932" t="str">
            <v>S5</v>
          </cell>
          <cell r="C932" t="str">
            <v>S6</v>
          </cell>
          <cell r="D932">
            <v>1.2999999999999999E-2</v>
          </cell>
          <cell r="E932">
            <v>10</v>
          </cell>
          <cell r="F932">
            <v>1295.08</v>
          </cell>
          <cell r="G932">
            <v>1296.1300000000001</v>
          </cell>
          <cell r="H932">
            <v>1291.3699999999999</v>
          </cell>
          <cell r="I932">
            <v>1291.2</v>
          </cell>
          <cell r="J932">
            <v>47.1</v>
          </cell>
          <cell r="K932">
            <v>0</v>
          </cell>
          <cell r="L932" t="str">
            <v>Unificacion de Vertimientos</v>
          </cell>
          <cell r="M932" t="str">
            <v>Nuevo</v>
          </cell>
        </row>
        <row r="933">
          <cell r="B933" t="str">
            <v>S6</v>
          </cell>
          <cell r="C933" t="str">
            <v>S7</v>
          </cell>
          <cell r="D933">
            <v>1.2999999999999999E-2</v>
          </cell>
          <cell r="E933">
            <v>10</v>
          </cell>
          <cell r="F933">
            <v>1296.1300000000001</v>
          </cell>
          <cell r="G933">
            <v>1295.6400000000001</v>
          </cell>
          <cell r="H933">
            <v>1291.2</v>
          </cell>
          <cell r="I933">
            <v>1291.07</v>
          </cell>
          <cell r="J933">
            <v>33.6</v>
          </cell>
          <cell r="K933">
            <v>0</v>
          </cell>
          <cell r="L933" t="str">
            <v>Unificacion de Vertimientos</v>
          </cell>
          <cell r="M933" t="str">
            <v>Nuevo</v>
          </cell>
        </row>
        <row r="934">
          <cell r="B934">
            <v>926</v>
          </cell>
          <cell r="C934">
            <v>925</v>
          </cell>
          <cell r="D934">
            <v>0.01</v>
          </cell>
          <cell r="E934">
            <v>12</v>
          </cell>
          <cell r="F934">
            <v>1300.95</v>
          </cell>
          <cell r="G934">
            <v>1301.6500000000001</v>
          </cell>
          <cell r="H934">
            <v>1298.8499999999999</v>
          </cell>
          <cell r="I934">
            <v>1298.45</v>
          </cell>
          <cell r="J934">
            <v>26.5</v>
          </cell>
          <cell r="K934">
            <v>0</v>
          </cell>
          <cell r="L934" t="str">
            <v xml:space="preserve">Tramos Existentes </v>
          </cell>
          <cell r="M934" t="str">
            <v>Existente</v>
          </cell>
        </row>
        <row r="935">
          <cell r="B935" t="str">
            <v>P35</v>
          </cell>
          <cell r="C935">
            <v>606</v>
          </cell>
          <cell r="D935">
            <v>1.4999999999999999E-2</v>
          </cell>
          <cell r="E935">
            <v>16</v>
          </cell>
          <cell r="F935">
            <v>1302.3800000000001</v>
          </cell>
          <cell r="G935">
            <v>1303.4000000000001</v>
          </cell>
          <cell r="H935">
            <v>1300.08</v>
          </cell>
          <cell r="I935">
            <v>1299.51</v>
          </cell>
          <cell r="J935">
            <v>8.1999999999999993</v>
          </cell>
          <cell r="K935">
            <v>0</v>
          </cell>
          <cell r="L935" t="str">
            <v xml:space="preserve">Tramos Existentes </v>
          </cell>
          <cell r="M935" t="str">
            <v>Existente</v>
          </cell>
        </row>
        <row r="936">
          <cell r="B936">
            <v>964</v>
          </cell>
          <cell r="C936">
            <v>967</v>
          </cell>
          <cell r="D936">
            <v>1.4999999999999999E-2</v>
          </cell>
          <cell r="E936">
            <v>8</v>
          </cell>
          <cell r="F936">
            <v>1313.05</v>
          </cell>
          <cell r="G936">
            <v>1310.01</v>
          </cell>
          <cell r="H936">
            <v>1311.4</v>
          </cell>
          <cell r="I936">
            <v>1304.3</v>
          </cell>
          <cell r="J936">
            <v>80.3</v>
          </cell>
          <cell r="K936">
            <v>0</v>
          </cell>
          <cell r="L936" t="str">
            <v xml:space="preserve">Tramos Existentes </v>
          </cell>
          <cell r="M936" t="str">
            <v>Existente</v>
          </cell>
        </row>
        <row r="937">
          <cell r="B937">
            <v>759</v>
          </cell>
          <cell r="C937">
            <v>758</v>
          </cell>
          <cell r="D937">
            <v>1.4999999999999999E-2</v>
          </cell>
          <cell r="E937">
            <v>10</v>
          </cell>
          <cell r="F937">
            <v>1320.5</v>
          </cell>
          <cell r="G937">
            <v>1320.89</v>
          </cell>
          <cell r="H937">
            <v>1318.79</v>
          </cell>
          <cell r="I937">
            <v>1318.59</v>
          </cell>
          <cell r="J937">
            <v>37.299999999999997</v>
          </cell>
          <cell r="K937">
            <v>0</v>
          </cell>
          <cell r="L937" t="str">
            <v xml:space="preserve">Tramos Existentes </v>
          </cell>
          <cell r="M937" t="str">
            <v>Existente</v>
          </cell>
        </row>
        <row r="938">
          <cell r="B938">
            <v>929</v>
          </cell>
          <cell r="C938">
            <v>930</v>
          </cell>
          <cell r="D938">
            <v>1.4999999999999999E-2</v>
          </cell>
          <cell r="E938">
            <v>8</v>
          </cell>
          <cell r="F938">
            <v>1301.27</v>
          </cell>
          <cell r="G938">
            <v>1299.3499999999999</v>
          </cell>
          <cell r="H938">
            <v>1300.76</v>
          </cell>
          <cell r="I938">
            <v>1297.93</v>
          </cell>
          <cell r="J938">
            <v>82.9</v>
          </cell>
          <cell r="K938">
            <v>0</v>
          </cell>
          <cell r="L938" t="str">
            <v xml:space="preserve">Tramos Existentes </v>
          </cell>
          <cell r="M938" t="str">
            <v>Existente</v>
          </cell>
        </row>
        <row r="939">
          <cell r="B939">
            <v>930</v>
          </cell>
          <cell r="C939">
            <v>1102</v>
          </cell>
          <cell r="D939">
            <v>1.4999999999999999E-2</v>
          </cell>
          <cell r="E939">
            <v>8</v>
          </cell>
          <cell r="F939">
            <v>1299.3499999999999</v>
          </cell>
          <cell r="G939">
            <v>1299.5999999999999</v>
          </cell>
          <cell r="H939">
            <v>1297.93</v>
          </cell>
          <cell r="I939">
            <v>1294.43</v>
          </cell>
          <cell r="J939">
            <v>46.7</v>
          </cell>
          <cell r="K939">
            <v>0</v>
          </cell>
          <cell r="L939" t="str">
            <v xml:space="preserve">Tramos Existentes </v>
          </cell>
          <cell r="M939" t="str">
            <v>Existente</v>
          </cell>
        </row>
        <row r="940">
          <cell r="B940">
            <v>934</v>
          </cell>
          <cell r="C940">
            <v>857</v>
          </cell>
          <cell r="D940">
            <v>1.4999999999999999E-2</v>
          </cell>
          <cell r="E940">
            <v>10</v>
          </cell>
          <cell r="F940">
            <v>1315.38</v>
          </cell>
          <cell r="G940">
            <v>1316.05</v>
          </cell>
          <cell r="H940">
            <v>1313.2</v>
          </cell>
          <cell r="I940">
            <v>1312.73</v>
          </cell>
          <cell r="J940">
            <v>39.799999999999997</v>
          </cell>
          <cell r="K940">
            <v>0</v>
          </cell>
          <cell r="L940" t="str">
            <v xml:space="preserve">Tramos Existentes </v>
          </cell>
          <cell r="M940" t="str">
            <v>Existente</v>
          </cell>
        </row>
        <row r="941">
          <cell r="B941">
            <v>937</v>
          </cell>
          <cell r="C941">
            <v>936</v>
          </cell>
          <cell r="D941">
            <v>0.01</v>
          </cell>
          <cell r="E941">
            <v>8</v>
          </cell>
          <cell r="F941">
            <v>1308.8</v>
          </cell>
          <cell r="G941">
            <v>1308.0999999999999</v>
          </cell>
          <cell r="H941">
            <v>1307.44</v>
          </cell>
          <cell r="I941">
            <v>1305.32</v>
          </cell>
          <cell r="J941">
            <v>35.700000000000003</v>
          </cell>
          <cell r="K941">
            <v>0</v>
          </cell>
          <cell r="L941" t="str">
            <v xml:space="preserve">Tramos Existentes </v>
          </cell>
          <cell r="M941" t="str">
            <v>Existente</v>
          </cell>
        </row>
        <row r="942">
          <cell r="B942">
            <v>936</v>
          </cell>
          <cell r="C942">
            <v>939</v>
          </cell>
          <cell r="D942">
            <v>0.01</v>
          </cell>
          <cell r="E942">
            <v>8</v>
          </cell>
          <cell r="F942">
            <v>1308.0999999999999</v>
          </cell>
          <cell r="G942">
            <v>1302.48</v>
          </cell>
          <cell r="H942">
            <v>1305.32</v>
          </cell>
          <cell r="I942">
            <v>1300.83</v>
          </cell>
          <cell r="J942">
            <v>15</v>
          </cell>
          <cell r="K942">
            <v>0</v>
          </cell>
          <cell r="L942" t="str">
            <v xml:space="preserve">Tramos Existentes </v>
          </cell>
          <cell r="M942" t="str">
            <v>Existente</v>
          </cell>
        </row>
        <row r="943">
          <cell r="B943">
            <v>939</v>
          </cell>
          <cell r="C943">
            <v>1078</v>
          </cell>
          <cell r="D943">
            <v>0.01</v>
          </cell>
          <cell r="E943">
            <v>8</v>
          </cell>
          <cell r="F943">
            <v>1302.48</v>
          </cell>
          <cell r="G943">
            <v>1302.6199999999999</v>
          </cell>
          <cell r="H943">
            <v>1300.83</v>
          </cell>
          <cell r="I943">
            <v>1298.94</v>
          </cell>
          <cell r="J943">
            <v>3.4</v>
          </cell>
          <cell r="K943">
            <v>0</v>
          </cell>
          <cell r="L943" t="str">
            <v xml:space="preserve">Tramos Existentes </v>
          </cell>
          <cell r="M943" t="str">
            <v>Existente</v>
          </cell>
        </row>
        <row r="944">
          <cell r="B944">
            <v>956</v>
          </cell>
          <cell r="C944">
            <v>957</v>
          </cell>
          <cell r="D944">
            <v>1.4999999999999999E-2</v>
          </cell>
          <cell r="E944">
            <v>8</v>
          </cell>
          <cell r="F944">
            <v>1313.92</v>
          </cell>
          <cell r="G944">
            <v>1308.3499999999999</v>
          </cell>
          <cell r="H944">
            <v>1309.75</v>
          </cell>
          <cell r="I944">
            <v>1303.69</v>
          </cell>
          <cell r="J944">
            <v>28.3</v>
          </cell>
          <cell r="K944">
            <v>0</v>
          </cell>
          <cell r="L944" t="str">
            <v xml:space="preserve">Tramos Existentes </v>
          </cell>
          <cell r="M944" t="str">
            <v>Existente</v>
          </cell>
        </row>
        <row r="945">
          <cell r="B945">
            <v>957</v>
          </cell>
          <cell r="C945">
            <v>958</v>
          </cell>
          <cell r="D945">
            <v>1.4999999999999999E-2</v>
          </cell>
          <cell r="E945">
            <v>8</v>
          </cell>
          <cell r="F945">
            <v>1308.3499999999999</v>
          </cell>
          <cell r="G945">
            <v>1304.68</v>
          </cell>
          <cell r="H945">
            <v>1303.69</v>
          </cell>
          <cell r="I945">
            <v>1299.5999999999999</v>
          </cell>
          <cell r="J945">
            <v>5.5</v>
          </cell>
          <cell r="K945">
            <v>0</v>
          </cell>
          <cell r="L945" t="str">
            <v xml:space="preserve">Tramos Existentes </v>
          </cell>
          <cell r="M945" t="str">
            <v>Existente</v>
          </cell>
        </row>
        <row r="946">
          <cell r="B946" t="str">
            <v>P24</v>
          </cell>
          <cell r="C946">
            <v>512</v>
          </cell>
          <cell r="D946">
            <v>1.4999999999999999E-2</v>
          </cell>
          <cell r="E946">
            <v>16</v>
          </cell>
          <cell r="F946">
            <v>1311.06</v>
          </cell>
          <cell r="G946">
            <v>1308.93</v>
          </cell>
          <cell r="H946">
            <v>1308.8800000000001</v>
          </cell>
          <cell r="I946">
            <v>1306.48</v>
          </cell>
          <cell r="J946">
            <v>66</v>
          </cell>
          <cell r="K946">
            <v>0</v>
          </cell>
          <cell r="L946" t="str">
            <v xml:space="preserve">Tramos Existentes </v>
          </cell>
          <cell r="M946" t="str">
            <v>Existente</v>
          </cell>
        </row>
        <row r="947">
          <cell r="B947">
            <v>959</v>
          </cell>
          <cell r="C947" t="str">
            <v>D19</v>
          </cell>
          <cell r="D947">
            <v>1.4999999999999999E-2</v>
          </cell>
          <cell r="E947">
            <v>8</v>
          </cell>
          <cell r="F947">
            <v>1300.76</v>
          </cell>
          <cell r="G947">
            <v>1295.55</v>
          </cell>
          <cell r="H947">
            <v>1295.55</v>
          </cell>
          <cell r="I947">
            <v>1295.55</v>
          </cell>
          <cell r="J947">
            <v>14.5</v>
          </cell>
          <cell r="K947">
            <v>0</v>
          </cell>
          <cell r="L947" t="str">
            <v xml:space="preserve">Tramos Existentes </v>
          </cell>
          <cell r="M947" t="str">
            <v>Existente</v>
          </cell>
        </row>
        <row r="948">
          <cell r="B948" t="str">
            <v>S9</v>
          </cell>
          <cell r="C948" t="str">
            <v>S10</v>
          </cell>
          <cell r="D948">
            <v>1.2999999999999999E-2</v>
          </cell>
          <cell r="E948">
            <v>10</v>
          </cell>
          <cell r="F948">
            <v>1296.55</v>
          </cell>
          <cell r="G948">
            <v>1294.23</v>
          </cell>
          <cell r="H948">
            <v>1290.6300000000001</v>
          </cell>
          <cell r="I948">
            <v>1290.49</v>
          </cell>
          <cell r="J948">
            <v>37.6</v>
          </cell>
          <cell r="K948">
            <v>0</v>
          </cell>
          <cell r="L948" t="str">
            <v>Unificacion de Vertimientos</v>
          </cell>
          <cell r="M948" t="str">
            <v>Nuevo</v>
          </cell>
        </row>
        <row r="949">
          <cell r="B949" t="str">
            <v>964ii</v>
          </cell>
          <cell r="C949">
            <v>415</v>
          </cell>
          <cell r="D949">
            <v>1.4999999999999999E-2</v>
          </cell>
          <cell r="E949">
            <v>8</v>
          </cell>
          <cell r="F949">
            <v>1313.05</v>
          </cell>
          <cell r="G949">
            <v>1313.59</v>
          </cell>
          <cell r="H949">
            <v>1311.5</v>
          </cell>
          <cell r="I949">
            <v>1309.08</v>
          </cell>
          <cell r="J949">
            <v>30.5</v>
          </cell>
          <cell r="K949">
            <v>0</v>
          </cell>
          <cell r="L949" t="str">
            <v xml:space="preserve">Tramos Existentes </v>
          </cell>
          <cell r="M949" t="str">
            <v>Existente</v>
          </cell>
        </row>
        <row r="950">
          <cell r="B950">
            <v>97</v>
          </cell>
          <cell r="C950" t="str">
            <v>P7</v>
          </cell>
          <cell r="D950">
            <v>0.01</v>
          </cell>
          <cell r="E950">
            <v>8</v>
          </cell>
          <cell r="F950">
            <v>1307.3399999999999</v>
          </cell>
          <cell r="G950">
            <v>1307.1199999999999</v>
          </cell>
          <cell r="H950">
            <v>1305.98</v>
          </cell>
          <cell r="I950">
            <v>1304.78</v>
          </cell>
          <cell r="J950">
            <v>7.6</v>
          </cell>
          <cell r="K950">
            <v>0</v>
          </cell>
          <cell r="L950" t="str">
            <v xml:space="preserve">Tramos Existentes </v>
          </cell>
          <cell r="M950" t="str">
            <v>Existente</v>
          </cell>
        </row>
        <row r="951">
          <cell r="B951">
            <v>975</v>
          </cell>
          <cell r="C951">
            <v>529</v>
          </cell>
          <cell r="D951">
            <v>1.4999999999999999E-2</v>
          </cell>
          <cell r="E951">
            <v>8</v>
          </cell>
          <cell r="F951">
            <v>1310.3699999999999</v>
          </cell>
          <cell r="G951">
            <v>1309.26</v>
          </cell>
          <cell r="H951">
            <v>1308.97</v>
          </cell>
          <cell r="I951">
            <v>1306.3</v>
          </cell>
          <cell r="J951">
            <v>28.4</v>
          </cell>
          <cell r="K951">
            <v>0</v>
          </cell>
          <cell r="L951" t="str">
            <v xml:space="preserve">Tramos Existentes </v>
          </cell>
          <cell r="M951" t="str">
            <v>Existente</v>
          </cell>
        </row>
        <row r="952">
          <cell r="B952" t="str">
            <v>98i</v>
          </cell>
          <cell r="C952">
            <v>144</v>
          </cell>
          <cell r="D952">
            <v>1.4999999999999999E-2</v>
          </cell>
          <cell r="E952">
            <v>16</v>
          </cell>
          <cell r="F952">
            <v>1310.84</v>
          </cell>
          <cell r="G952">
            <v>1304.72</v>
          </cell>
          <cell r="H952">
            <v>1307.44</v>
          </cell>
          <cell r="I952">
            <v>1297.8699999999999</v>
          </cell>
          <cell r="J952">
            <v>75.099999999999994</v>
          </cell>
          <cell r="K952">
            <v>0</v>
          </cell>
          <cell r="L952" t="str">
            <v xml:space="preserve">Tramos Existentes </v>
          </cell>
          <cell r="M952" t="str">
            <v>Existente</v>
          </cell>
        </row>
        <row r="953">
          <cell r="B953" t="str">
            <v>P1</v>
          </cell>
          <cell r="C953">
            <v>8</v>
          </cell>
          <cell r="D953">
            <v>1.4999999999999999E-2</v>
          </cell>
          <cell r="E953">
            <v>8</v>
          </cell>
          <cell r="F953">
            <v>1308.99</v>
          </cell>
          <cell r="G953">
            <v>1302.1500000000001</v>
          </cell>
          <cell r="H953">
            <v>1306.8399999999999</v>
          </cell>
          <cell r="I953">
            <v>1299.72</v>
          </cell>
          <cell r="J953">
            <v>58.8</v>
          </cell>
          <cell r="K953">
            <v>0</v>
          </cell>
          <cell r="L953" t="str">
            <v xml:space="preserve">Tramos Existentes </v>
          </cell>
          <cell r="M953" t="str">
            <v>Existente</v>
          </cell>
        </row>
        <row r="954">
          <cell r="B954" t="str">
            <v>P10</v>
          </cell>
          <cell r="C954">
            <v>257</v>
          </cell>
          <cell r="D954">
            <v>1.4999999999999999E-2</v>
          </cell>
          <cell r="E954">
            <v>8</v>
          </cell>
          <cell r="F954">
            <v>1310.55</v>
          </cell>
          <cell r="G954">
            <v>1309.75</v>
          </cell>
          <cell r="H954">
            <v>1308</v>
          </cell>
          <cell r="I954">
            <v>1307.1600000000001</v>
          </cell>
          <cell r="J954">
            <v>98.1</v>
          </cell>
          <cell r="K954">
            <v>0</v>
          </cell>
          <cell r="L954" t="str">
            <v xml:space="preserve">Tramos Existentes </v>
          </cell>
          <cell r="M954" t="str">
            <v>Existente</v>
          </cell>
        </row>
        <row r="955">
          <cell r="B955" t="str">
            <v>P13</v>
          </cell>
          <cell r="C955">
            <v>373</v>
          </cell>
          <cell r="D955">
            <v>1.4999999999999999E-2</v>
          </cell>
          <cell r="E955">
            <v>12</v>
          </cell>
          <cell r="F955">
            <v>1314.7</v>
          </cell>
          <cell r="G955">
            <v>1313.42</v>
          </cell>
          <cell r="H955">
            <v>1312.7</v>
          </cell>
          <cell r="I955">
            <v>1311.27</v>
          </cell>
          <cell r="J955">
            <v>62</v>
          </cell>
          <cell r="K955">
            <v>0</v>
          </cell>
          <cell r="L955" t="str">
            <v xml:space="preserve">Tramos Existentes </v>
          </cell>
          <cell r="M955" t="str">
            <v>Existente</v>
          </cell>
        </row>
        <row r="956">
          <cell r="B956" t="str">
            <v>P18</v>
          </cell>
          <cell r="C956">
            <v>465</v>
          </cell>
          <cell r="D956">
            <v>1.4999999999999999E-2</v>
          </cell>
          <cell r="E956">
            <v>8</v>
          </cell>
          <cell r="F956">
            <v>1309.74</v>
          </cell>
          <cell r="G956">
            <v>1309.4100000000001</v>
          </cell>
          <cell r="H956">
            <v>1307.8800000000001</v>
          </cell>
          <cell r="I956">
            <v>1306.1099999999999</v>
          </cell>
          <cell r="J956">
            <v>9.3000000000000007</v>
          </cell>
          <cell r="K956">
            <v>0</v>
          </cell>
          <cell r="L956" t="str">
            <v xml:space="preserve">Tramos Existentes </v>
          </cell>
          <cell r="M956" t="str">
            <v>Existente</v>
          </cell>
        </row>
        <row r="957">
          <cell r="B957" t="str">
            <v>P19</v>
          </cell>
          <cell r="C957">
            <v>468</v>
          </cell>
          <cell r="D957">
            <v>1.4999999999999999E-2</v>
          </cell>
          <cell r="E957">
            <v>8</v>
          </cell>
          <cell r="F957">
            <v>1308.77</v>
          </cell>
          <cell r="G957">
            <v>1308.45</v>
          </cell>
          <cell r="H957">
            <v>1306.94</v>
          </cell>
          <cell r="I957">
            <v>1305.74</v>
          </cell>
          <cell r="J957">
            <v>10.1</v>
          </cell>
          <cell r="K957">
            <v>0</v>
          </cell>
          <cell r="L957" t="str">
            <v xml:space="preserve">Tramos Existentes </v>
          </cell>
          <cell r="M957" t="str">
            <v>Existente</v>
          </cell>
        </row>
        <row r="958">
          <cell r="B958">
            <v>958</v>
          </cell>
          <cell r="C958">
            <v>959</v>
          </cell>
          <cell r="D958">
            <v>1.4999999999999999E-2</v>
          </cell>
          <cell r="E958">
            <v>8</v>
          </cell>
          <cell r="F958">
            <v>1304.68</v>
          </cell>
          <cell r="G958">
            <v>1300.76</v>
          </cell>
          <cell r="H958">
            <v>1299.5999999999999</v>
          </cell>
          <cell r="I958">
            <v>1295.55</v>
          </cell>
          <cell r="J958">
            <v>4.8</v>
          </cell>
          <cell r="K958">
            <v>0</v>
          </cell>
          <cell r="L958" t="str">
            <v xml:space="preserve">Tramos Existentes </v>
          </cell>
          <cell r="M958" t="str">
            <v>Existente</v>
          </cell>
        </row>
        <row r="959">
          <cell r="B959" t="str">
            <v>A46</v>
          </cell>
          <cell r="C959">
            <v>101</v>
          </cell>
          <cell r="D959">
            <v>1.2999999999999999E-2</v>
          </cell>
          <cell r="E959">
            <v>27</v>
          </cell>
          <cell r="F959">
            <v>1275.5999999999999</v>
          </cell>
          <cell r="G959">
            <v>1303.48</v>
          </cell>
          <cell r="H959">
            <v>1271.6500000000001</v>
          </cell>
          <cell r="I959">
            <v>1271.55</v>
          </cell>
          <cell r="J959">
            <v>52.5</v>
          </cell>
          <cell r="K959">
            <v>0</v>
          </cell>
          <cell r="L959" t="str">
            <v>Unificacion de Vertimientos</v>
          </cell>
          <cell r="M959" t="str">
            <v>Nuevo</v>
          </cell>
        </row>
        <row r="960">
          <cell r="B960" t="str">
            <v>S7</v>
          </cell>
          <cell r="C960" t="str">
            <v>S8</v>
          </cell>
          <cell r="D960">
            <v>1.2999999999999999E-2</v>
          </cell>
          <cell r="E960">
            <v>10</v>
          </cell>
          <cell r="F960">
            <v>1295.6400000000001</v>
          </cell>
          <cell r="G960">
            <v>1297.21</v>
          </cell>
          <cell r="H960">
            <v>1291.07</v>
          </cell>
          <cell r="I960">
            <v>1290.8</v>
          </cell>
          <cell r="J960">
            <v>73.400000000000006</v>
          </cell>
          <cell r="K960">
            <v>0</v>
          </cell>
          <cell r="L960" t="str">
            <v>Unificacion de Vertimientos</v>
          </cell>
          <cell r="M960" t="str">
            <v>Nuevo</v>
          </cell>
        </row>
        <row r="961">
          <cell r="B961" t="str">
            <v>A36</v>
          </cell>
          <cell r="C961" t="str">
            <v>A37</v>
          </cell>
          <cell r="D961">
            <v>1.2999999999999999E-2</v>
          </cell>
          <cell r="E961">
            <v>24</v>
          </cell>
          <cell r="F961">
            <v>1289.71</v>
          </cell>
          <cell r="G961">
            <v>1290</v>
          </cell>
          <cell r="H961">
            <v>1286.1300000000001</v>
          </cell>
          <cell r="I961">
            <v>1286.05</v>
          </cell>
          <cell r="J961">
            <v>78.2</v>
          </cell>
          <cell r="K961">
            <v>0</v>
          </cell>
          <cell r="L961" t="str">
            <v>Unificacion de Vertimientos</v>
          </cell>
          <cell r="M961" t="str">
            <v>Nuevo</v>
          </cell>
        </row>
        <row r="962">
          <cell r="B962" t="str">
            <v>A37</v>
          </cell>
          <cell r="C962" t="str">
            <v>A38</v>
          </cell>
          <cell r="D962">
            <v>1.2999999999999999E-2</v>
          </cell>
          <cell r="E962">
            <v>24</v>
          </cell>
          <cell r="F962">
            <v>1290</v>
          </cell>
          <cell r="G962">
            <v>1290.2</v>
          </cell>
          <cell r="H962">
            <v>1286.05</v>
          </cell>
          <cell r="I962">
            <v>1285.94</v>
          </cell>
          <cell r="J962">
            <v>111.6</v>
          </cell>
          <cell r="K962">
            <v>0</v>
          </cell>
          <cell r="L962" t="str">
            <v>Unificacion de Vertimientos</v>
          </cell>
          <cell r="M962" t="str">
            <v>Nuevo</v>
          </cell>
        </row>
        <row r="963">
          <cell r="B963" t="str">
            <v>A38</v>
          </cell>
          <cell r="C963" t="str">
            <v>A39</v>
          </cell>
          <cell r="D963">
            <v>1.2999999999999999E-2</v>
          </cell>
          <cell r="E963">
            <v>24</v>
          </cell>
          <cell r="F963">
            <v>1290.2</v>
          </cell>
          <cell r="G963">
            <v>1290.1400000000001</v>
          </cell>
          <cell r="H963">
            <v>1285.94</v>
          </cell>
          <cell r="I963">
            <v>1285.9100000000001</v>
          </cell>
          <cell r="J963">
            <v>17.2</v>
          </cell>
          <cell r="K963">
            <v>0</v>
          </cell>
          <cell r="L963" t="str">
            <v>Unificacion de Vertimientos</v>
          </cell>
          <cell r="M963" t="str">
            <v>Nuevo</v>
          </cell>
        </row>
        <row r="964">
          <cell r="B964" t="str">
            <v>A39</v>
          </cell>
          <cell r="C964" t="str">
            <v>A40</v>
          </cell>
          <cell r="D964">
            <v>1.2999999999999999E-2</v>
          </cell>
          <cell r="E964">
            <v>24</v>
          </cell>
          <cell r="F964">
            <v>1290.1400000000001</v>
          </cell>
          <cell r="G964">
            <v>1289.6500000000001</v>
          </cell>
          <cell r="H964">
            <v>1285.9100000000001</v>
          </cell>
          <cell r="I964">
            <v>1285.8699999999999</v>
          </cell>
          <cell r="J964">
            <v>31.4</v>
          </cell>
          <cell r="K964">
            <v>0</v>
          </cell>
          <cell r="L964" t="str">
            <v>Unificacion de Vertimientos</v>
          </cell>
          <cell r="M964" t="str">
            <v>Nuevo</v>
          </cell>
        </row>
        <row r="965">
          <cell r="B965" t="str">
            <v>A40</v>
          </cell>
          <cell r="C965" t="str">
            <v>A41</v>
          </cell>
          <cell r="D965">
            <v>1.2999999999999999E-2</v>
          </cell>
          <cell r="E965">
            <v>24</v>
          </cell>
          <cell r="F965">
            <v>1289.6500000000001</v>
          </cell>
          <cell r="G965">
            <v>1293.77</v>
          </cell>
          <cell r="H965">
            <v>1285.8699999999999</v>
          </cell>
          <cell r="I965">
            <v>1285.8</v>
          </cell>
          <cell r="J965">
            <v>67.3</v>
          </cell>
          <cell r="K965">
            <v>0</v>
          </cell>
          <cell r="L965" t="str">
            <v>Unificacion de Vertimientos</v>
          </cell>
          <cell r="M965" t="str">
            <v>Nuevo</v>
          </cell>
        </row>
        <row r="966">
          <cell r="B966" t="str">
            <v>A41</v>
          </cell>
          <cell r="C966" t="str">
            <v>A42</v>
          </cell>
          <cell r="D966">
            <v>1.2999999999999999E-2</v>
          </cell>
          <cell r="E966">
            <v>24</v>
          </cell>
          <cell r="F966">
            <v>1293.77</v>
          </cell>
          <cell r="G966">
            <v>1289.81</v>
          </cell>
          <cell r="H966">
            <v>1285.8</v>
          </cell>
          <cell r="I966">
            <v>1284.05</v>
          </cell>
          <cell r="J966">
            <v>57.8</v>
          </cell>
          <cell r="K966">
            <v>0</v>
          </cell>
          <cell r="L966" t="str">
            <v>Unificacion de Vertimientos</v>
          </cell>
          <cell r="M966" t="str">
            <v>Nuevo</v>
          </cell>
        </row>
        <row r="967">
          <cell r="B967" t="str">
            <v>A42</v>
          </cell>
          <cell r="C967" t="str">
            <v>A43</v>
          </cell>
          <cell r="D967">
            <v>1.2999999999999999E-2</v>
          </cell>
          <cell r="E967">
            <v>24</v>
          </cell>
          <cell r="F967">
            <v>1289.81</v>
          </cell>
          <cell r="G967">
            <v>1283.29</v>
          </cell>
          <cell r="H967">
            <v>1284.05</v>
          </cell>
          <cell r="I967">
            <v>1280.07</v>
          </cell>
          <cell r="J967">
            <v>20.9</v>
          </cell>
          <cell r="K967">
            <v>0</v>
          </cell>
          <cell r="L967" t="str">
            <v>Unificacion de Vertimientos</v>
          </cell>
          <cell r="M967" t="str">
            <v>Nuevo</v>
          </cell>
        </row>
        <row r="968">
          <cell r="B968" t="str">
            <v>A43</v>
          </cell>
          <cell r="C968" t="str">
            <v>A44</v>
          </cell>
          <cell r="D968">
            <v>1.2999999999999999E-2</v>
          </cell>
          <cell r="E968">
            <v>24</v>
          </cell>
          <cell r="F968">
            <v>1283.29</v>
          </cell>
          <cell r="G968">
            <v>1279.6300000000001</v>
          </cell>
          <cell r="H968">
            <v>1280.07</v>
          </cell>
          <cell r="I968">
            <v>1275.68</v>
          </cell>
          <cell r="J968">
            <v>19.7</v>
          </cell>
          <cell r="K968">
            <v>0</v>
          </cell>
          <cell r="L968" t="str">
            <v>Unificacion de Vertimientos</v>
          </cell>
          <cell r="M968" t="str">
            <v>Nuevo</v>
          </cell>
        </row>
        <row r="969">
          <cell r="B969" t="str">
            <v>A34</v>
          </cell>
          <cell r="C969" t="str">
            <v>A35</v>
          </cell>
          <cell r="D969">
            <v>1.2999999999999999E-2</v>
          </cell>
          <cell r="E969">
            <v>24</v>
          </cell>
          <cell r="F969">
            <v>1289.48</v>
          </cell>
          <cell r="G969">
            <v>1289.73</v>
          </cell>
          <cell r="H969">
            <v>1286.21</v>
          </cell>
          <cell r="I969">
            <v>1286.17</v>
          </cell>
          <cell r="J969">
            <v>28.4</v>
          </cell>
          <cell r="K969">
            <v>0</v>
          </cell>
          <cell r="L969" t="str">
            <v>Unificacion de Vertimientos</v>
          </cell>
          <cell r="M969" t="str">
            <v>Nuevo</v>
          </cell>
        </row>
        <row r="970">
          <cell r="B970" t="str">
            <v>A45</v>
          </cell>
          <cell r="C970" t="str">
            <v>A46</v>
          </cell>
          <cell r="D970">
            <v>1.2999999999999999E-2</v>
          </cell>
          <cell r="E970">
            <v>24</v>
          </cell>
          <cell r="F970">
            <v>1274</v>
          </cell>
          <cell r="G970">
            <v>1275.5999999999999</v>
          </cell>
          <cell r="H970">
            <v>1272.8900000000001</v>
          </cell>
          <cell r="I970">
            <v>1271.6500000000001</v>
          </cell>
          <cell r="J970">
            <v>73.7</v>
          </cell>
          <cell r="K970">
            <v>0</v>
          </cell>
          <cell r="L970" t="str">
            <v xml:space="preserve">Viaducto </v>
          </cell>
          <cell r="M970" t="str">
            <v>Nuevo</v>
          </cell>
        </row>
        <row r="971">
          <cell r="B971" t="str">
            <v>A33</v>
          </cell>
          <cell r="C971" t="str">
            <v>A34</v>
          </cell>
          <cell r="D971">
            <v>1.2999999999999999E-2</v>
          </cell>
          <cell r="E971">
            <v>24</v>
          </cell>
          <cell r="F971">
            <v>1290</v>
          </cell>
          <cell r="G971">
            <v>1289.48</v>
          </cell>
          <cell r="H971">
            <v>1285.96</v>
          </cell>
          <cell r="I971">
            <v>1286.21</v>
          </cell>
          <cell r="J971">
            <v>37.299999999999997</v>
          </cell>
          <cell r="K971">
            <v>0</v>
          </cell>
          <cell r="L971" t="str">
            <v>Unificacion de Vertimientos</v>
          </cell>
          <cell r="M971" t="str">
            <v>Nuevo</v>
          </cell>
        </row>
        <row r="972">
          <cell r="B972">
            <v>101</v>
          </cell>
          <cell r="C972">
            <v>102</v>
          </cell>
          <cell r="D972">
            <v>1.2999999999999999E-2</v>
          </cell>
          <cell r="E972">
            <v>27</v>
          </cell>
          <cell r="F972">
            <v>1303.48</v>
          </cell>
          <cell r="G972">
            <v>1297.5999999999999</v>
          </cell>
          <cell r="H972">
            <v>1271.55</v>
          </cell>
          <cell r="I972">
            <v>1271.4100000000001</v>
          </cell>
          <cell r="J972">
            <v>69.900000000000006</v>
          </cell>
          <cell r="K972">
            <v>0</v>
          </cell>
          <cell r="L972" t="str">
            <v>Unificacion de Vertimientos</v>
          </cell>
          <cell r="M972" t="str">
            <v>Nuevo</v>
          </cell>
        </row>
        <row r="973">
          <cell r="B973">
            <v>102</v>
          </cell>
          <cell r="C973">
            <v>103</v>
          </cell>
          <cell r="D973">
            <v>1.2999999999999999E-2</v>
          </cell>
          <cell r="E973">
            <v>27</v>
          </cell>
          <cell r="F973">
            <v>1297.5999999999999</v>
          </cell>
          <cell r="G973">
            <v>1296.45</v>
          </cell>
          <cell r="H973">
            <v>1271.4100000000001</v>
          </cell>
          <cell r="I973">
            <v>1271.31</v>
          </cell>
          <cell r="J973">
            <v>47.6</v>
          </cell>
          <cell r="K973">
            <v>0</v>
          </cell>
          <cell r="L973" t="str">
            <v>Unificacion de Vertimientos</v>
          </cell>
          <cell r="M973" t="str">
            <v>Nuevo</v>
          </cell>
        </row>
        <row r="974">
          <cell r="B974">
            <v>103</v>
          </cell>
          <cell r="C974">
            <v>104</v>
          </cell>
          <cell r="D974">
            <v>1.2999999999999999E-2</v>
          </cell>
          <cell r="E974">
            <v>27</v>
          </cell>
          <cell r="F974">
            <v>1296.45</v>
          </cell>
          <cell r="G974">
            <v>1297.25</v>
          </cell>
          <cell r="H974">
            <v>1271.31</v>
          </cell>
          <cell r="I974">
            <v>1271.26</v>
          </cell>
          <cell r="J974">
            <v>23.7</v>
          </cell>
          <cell r="K974">
            <v>0</v>
          </cell>
          <cell r="L974" t="str">
            <v>Unificacion de Vertimientos</v>
          </cell>
          <cell r="M974" t="str">
            <v>Nuevo</v>
          </cell>
        </row>
        <row r="975">
          <cell r="B975">
            <v>104</v>
          </cell>
          <cell r="C975">
            <v>105</v>
          </cell>
          <cell r="D975">
            <v>1.2999999999999999E-2</v>
          </cell>
          <cell r="E975">
            <v>27</v>
          </cell>
          <cell r="F975">
            <v>1297.25</v>
          </cell>
          <cell r="G975">
            <v>1300.3599999999999</v>
          </cell>
          <cell r="H975">
            <v>1271.26</v>
          </cell>
          <cell r="I975">
            <v>1271.21</v>
          </cell>
          <cell r="J975">
            <v>22.8</v>
          </cell>
          <cell r="K975">
            <v>0</v>
          </cell>
          <cell r="L975" t="str">
            <v>Unificacion de Vertimientos</v>
          </cell>
          <cell r="M975" t="str">
            <v>Nuevo</v>
          </cell>
        </row>
        <row r="976">
          <cell r="B976">
            <v>105</v>
          </cell>
          <cell r="C976">
            <v>106</v>
          </cell>
          <cell r="D976">
            <v>1.2999999999999999E-2</v>
          </cell>
          <cell r="E976">
            <v>27</v>
          </cell>
          <cell r="F976">
            <v>1300.3599999999999</v>
          </cell>
          <cell r="G976">
            <v>1301.96</v>
          </cell>
          <cell r="H976">
            <v>1271.21</v>
          </cell>
          <cell r="I976">
            <v>1271.1600000000001</v>
          </cell>
          <cell r="J976">
            <v>23</v>
          </cell>
          <cell r="K976">
            <v>0</v>
          </cell>
          <cell r="L976" t="str">
            <v>Unificacion de Vertimientos</v>
          </cell>
          <cell r="M976" t="str">
            <v>Nuevo</v>
          </cell>
        </row>
        <row r="977">
          <cell r="B977">
            <v>106</v>
          </cell>
          <cell r="C977">
            <v>107</v>
          </cell>
          <cell r="D977">
            <v>1.2999999999999999E-2</v>
          </cell>
          <cell r="E977">
            <v>27</v>
          </cell>
          <cell r="F977">
            <v>1301.96</v>
          </cell>
          <cell r="G977">
            <v>1294.8599999999999</v>
          </cell>
          <cell r="H977">
            <v>1271.1600000000001</v>
          </cell>
          <cell r="I977">
            <v>1271.05</v>
          </cell>
          <cell r="J977">
            <v>49.8</v>
          </cell>
          <cell r="K977">
            <v>0</v>
          </cell>
          <cell r="L977" t="str">
            <v xml:space="preserve">Viaducto </v>
          </cell>
          <cell r="M977" t="str">
            <v>Nuevo</v>
          </cell>
        </row>
        <row r="978">
          <cell r="B978">
            <v>107</v>
          </cell>
          <cell r="C978">
            <v>108</v>
          </cell>
          <cell r="D978">
            <v>1.2999999999999999E-2</v>
          </cell>
          <cell r="E978">
            <v>27</v>
          </cell>
          <cell r="F978">
            <v>1294.8599999999999</v>
          </cell>
          <cell r="G978">
            <v>1287.77</v>
          </cell>
          <cell r="H978">
            <v>1271.05</v>
          </cell>
          <cell r="I978">
            <v>1270.93</v>
          </cell>
          <cell r="J978">
            <v>55.6</v>
          </cell>
          <cell r="K978">
            <v>0</v>
          </cell>
          <cell r="L978" t="str">
            <v>Unificacion de Vertimientos</v>
          </cell>
          <cell r="M978" t="str">
            <v>Nuevo</v>
          </cell>
        </row>
        <row r="979">
          <cell r="B979">
            <v>108</v>
          </cell>
          <cell r="C979">
            <v>109</v>
          </cell>
          <cell r="D979">
            <v>1.2999999999999999E-2</v>
          </cell>
          <cell r="E979">
            <v>27</v>
          </cell>
          <cell r="F979">
            <v>1287.77</v>
          </cell>
          <cell r="G979">
            <v>1299.9100000000001</v>
          </cell>
          <cell r="H979">
            <v>1270.93</v>
          </cell>
          <cell r="I979">
            <v>1270.8699999999999</v>
          </cell>
          <cell r="J979">
            <v>29.4</v>
          </cell>
          <cell r="K979">
            <v>0</v>
          </cell>
          <cell r="L979" t="str">
            <v>Unificacion de Vertimientos</v>
          </cell>
          <cell r="M979" t="str">
            <v>Nuevo</v>
          </cell>
        </row>
        <row r="980">
          <cell r="B980">
            <v>109</v>
          </cell>
          <cell r="C980">
            <v>110</v>
          </cell>
          <cell r="D980">
            <v>1.2999999999999999E-2</v>
          </cell>
          <cell r="E980">
            <v>27</v>
          </cell>
          <cell r="F980">
            <v>1299.9100000000001</v>
          </cell>
          <cell r="G980">
            <v>1299.8900000000001</v>
          </cell>
          <cell r="H980">
            <v>1270.8699999999999</v>
          </cell>
          <cell r="I980">
            <v>1270.72</v>
          </cell>
          <cell r="J980">
            <v>74.5</v>
          </cell>
          <cell r="K980">
            <v>0</v>
          </cell>
          <cell r="L980" t="str">
            <v>Unificacion de Vertimientos</v>
          </cell>
          <cell r="M980" t="str">
            <v>Nuevo</v>
          </cell>
        </row>
        <row r="981">
          <cell r="B981" t="str">
            <v>A44</v>
          </cell>
          <cell r="C981" t="str">
            <v>A45</v>
          </cell>
          <cell r="D981">
            <v>1.2999999999999999E-2</v>
          </cell>
          <cell r="E981">
            <v>24</v>
          </cell>
          <cell r="F981">
            <v>1279.6300000000001</v>
          </cell>
          <cell r="G981">
            <v>1274</v>
          </cell>
          <cell r="H981">
            <v>1275.68</v>
          </cell>
          <cell r="I981">
            <v>1272.8900000000001</v>
          </cell>
          <cell r="J981">
            <v>15.7</v>
          </cell>
          <cell r="K981">
            <v>0</v>
          </cell>
          <cell r="L981" t="str">
            <v>Unificacion de Vertimientos</v>
          </cell>
          <cell r="M981" t="str">
            <v>Nuevo</v>
          </cell>
        </row>
        <row r="982">
          <cell r="B982" t="str">
            <v>A23</v>
          </cell>
          <cell r="C982" t="str">
            <v>A24</v>
          </cell>
          <cell r="D982">
            <v>1.2999999999999999E-2</v>
          </cell>
          <cell r="E982">
            <v>24</v>
          </cell>
          <cell r="F982">
            <v>1288.9100000000001</v>
          </cell>
          <cell r="G982">
            <v>1287.9000000000001</v>
          </cell>
          <cell r="H982">
            <v>1287.27</v>
          </cell>
          <cell r="I982">
            <v>1286.99</v>
          </cell>
          <cell r="J982">
            <v>53.7</v>
          </cell>
          <cell r="K982">
            <v>0</v>
          </cell>
          <cell r="L982" t="str">
            <v>Unificacion de Vertimientos</v>
          </cell>
          <cell r="M982" t="str">
            <v>Nuevo</v>
          </cell>
        </row>
        <row r="983">
          <cell r="B983" t="str">
            <v>S10</v>
          </cell>
          <cell r="C983" t="str">
            <v>S11</v>
          </cell>
          <cell r="D983">
            <v>1.2999999999999999E-2</v>
          </cell>
          <cell r="E983">
            <v>10</v>
          </cell>
          <cell r="F983">
            <v>1294.23</v>
          </cell>
          <cell r="G983">
            <v>1291.78</v>
          </cell>
          <cell r="H983">
            <v>1290.49</v>
          </cell>
          <cell r="I983">
            <v>1290.17</v>
          </cell>
          <cell r="J983">
            <v>38.9</v>
          </cell>
          <cell r="K983">
            <v>0</v>
          </cell>
          <cell r="L983" t="str">
            <v>Unificacion de Vertimientos</v>
          </cell>
          <cell r="M983" t="str">
            <v>Nuevo</v>
          </cell>
        </row>
        <row r="984">
          <cell r="B984" t="str">
            <v>S11</v>
          </cell>
          <cell r="C984" t="str">
            <v>S12</v>
          </cell>
          <cell r="D984">
            <v>1.2999999999999999E-2</v>
          </cell>
          <cell r="E984">
            <v>10</v>
          </cell>
          <cell r="F984">
            <v>1291.78</v>
          </cell>
          <cell r="G984">
            <v>1294.23</v>
          </cell>
          <cell r="H984">
            <v>1290.17</v>
          </cell>
          <cell r="I984">
            <v>1289.8900000000001</v>
          </cell>
          <cell r="J984">
            <v>75.7</v>
          </cell>
          <cell r="K984">
            <v>0</v>
          </cell>
          <cell r="L984" t="str">
            <v>Unificacion de Vertimientos</v>
          </cell>
          <cell r="M984" t="str">
            <v>Nuevo</v>
          </cell>
        </row>
        <row r="985">
          <cell r="B985" t="str">
            <v>S12</v>
          </cell>
          <cell r="C985" t="str">
            <v>S13</v>
          </cell>
          <cell r="D985">
            <v>1.2999999999999999E-2</v>
          </cell>
          <cell r="E985">
            <v>10</v>
          </cell>
          <cell r="F985">
            <v>1294.23</v>
          </cell>
          <cell r="G985">
            <v>1294.47</v>
          </cell>
          <cell r="H985">
            <v>1289.8900000000001</v>
          </cell>
          <cell r="I985">
            <v>1289.79</v>
          </cell>
          <cell r="J985">
            <v>25.7</v>
          </cell>
          <cell r="K985">
            <v>0</v>
          </cell>
          <cell r="L985" t="str">
            <v>Unificacion de Vertimientos</v>
          </cell>
          <cell r="M985" t="str">
            <v>Nuevo</v>
          </cell>
        </row>
        <row r="986">
          <cell r="B986" t="str">
            <v>S13</v>
          </cell>
          <cell r="C986" t="str">
            <v>S14</v>
          </cell>
          <cell r="D986">
            <v>1.2999999999999999E-2</v>
          </cell>
          <cell r="E986">
            <v>10</v>
          </cell>
          <cell r="F986">
            <v>1294.47</v>
          </cell>
          <cell r="G986">
            <v>1294.51</v>
          </cell>
          <cell r="H986">
            <v>1289.79</v>
          </cell>
          <cell r="I986">
            <v>1289.68</v>
          </cell>
          <cell r="J986">
            <v>28.5</v>
          </cell>
          <cell r="K986">
            <v>0</v>
          </cell>
          <cell r="L986" t="str">
            <v>Unificacion de Vertimientos</v>
          </cell>
          <cell r="M986" t="str">
            <v>Nuevo</v>
          </cell>
        </row>
        <row r="987">
          <cell r="B987" t="str">
            <v>S14</v>
          </cell>
          <cell r="C987" t="str">
            <v>S15</v>
          </cell>
          <cell r="D987">
            <v>1.2999999999999999E-2</v>
          </cell>
          <cell r="E987">
            <v>10</v>
          </cell>
          <cell r="F987">
            <v>1294.51</v>
          </cell>
          <cell r="G987">
            <v>1294.73</v>
          </cell>
          <cell r="H987">
            <v>1289.68</v>
          </cell>
          <cell r="I987">
            <v>1289.57</v>
          </cell>
          <cell r="J987">
            <v>27.9</v>
          </cell>
          <cell r="K987">
            <v>0</v>
          </cell>
          <cell r="L987" t="str">
            <v>Unificacion de Vertimientos</v>
          </cell>
          <cell r="M987" t="str">
            <v>Nuevo</v>
          </cell>
        </row>
        <row r="988">
          <cell r="B988" t="str">
            <v>S15</v>
          </cell>
          <cell r="C988" t="str">
            <v>S16</v>
          </cell>
          <cell r="D988">
            <v>1.2999999999999999E-2</v>
          </cell>
          <cell r="E988">
            <v>10</v>
          </cell>
          <cell r="F988">
            <v>1294.73</v>
          </cell>
          <cell r="G988">
            <v>1294.77</v>
          </cell>
          <cell r="H988">
            <v>1289.57</v>
          </cell>
          <cell r="I988">
            <v>1289.44</v>
          </cell>
          <cell r="J988">
            <v>34.299999999999997</v>
          </cell>
          <cell r="K988">
            <v>0</v>
          </cell>
          <cell r="L988" t="str">
            <v>Unificacion de Vertimientos</v>
          </cell>
          <cell r="M988" t="str">
            <v>Nuevo</v>
          </cell>
        </row>
        <row r="989">
          <cell r="B989" t="str">
            <v>S16</v>
          </cell>
          <cell r="C989" t="str">
            <v>A19</v>
          </cell>
          <cell r="D989">
            <v>1.2999999999999999E-2</v>
          </cell>
          <cell r="E989">
            <v>10</v>
          </cell>
          <cell r="F989">
            <v>1294.77</v>
          </cell>
          <cell r="G989">
            <v>1289.26</v>
          </cell>
          <cell r="H989">
            <v>1289.44</v>
          </cell>
          <cell r="I989">
            <v>1287.27</v>
          </cell>
          <cell r="J989">
            <v>37.9</v>
          </cell>
          <cell r="K989">
            <v>0</v>
          </cell>
          <cell r="L989" t="str">
            <v>Unificacion de Vertimientos</v>
          </cell>
          <cell r="M989" t="str">
            <v>Nuevo</v>
          </cell>
        </row>
        <row r="990">
          <cell r="B990" t="str">
            <v>A19</v>
          </cell>
          <cell r="C990" t="str">
            <v>A20</v>
          </cell>
          <cell r="D990">
            <v>1.2999999999999999E-2</v>
          </cell>
          <cell r="E990">
            <v>24</v>
          </cell>
          <cell r="F990">
            <v>1289.26</v>
          </cell>
          <cell r="G990">
            <v>1289.56</v>
          </cell>
          <cell r="H990">
            <v>1287.27</v>
          </cell>
          <cell r="I990">
            <v>1287.5899999999999</v>
          </cell>
          <cell r="J990">
            <v>17.5</v>
          </cell>
          <cell r="K990">
            <v>0</v>
          </cell>
          <cell r="L990" t="str">
            <v>Unificacion de Vertimientos</v>
          </cell>
          <cell r="M990" t="str">
            <v>Nuevo</v>
          </cell>
        </row>
        <row r="991">
          <cell r="B991" t="str">
            <v>A20</v>
          </cell>
          <cell r="C991" t="str">
            <v>A21</v>
          </cell>
          <cell r="D991">
            <v>1.2999999999999999E-2</v>
          </cell>
          <cell r="E991">
            <v>24</v>
          </cell>
          <cell r="F991">
            <v>1289.56</v>
          </cell>
          <cell r="G991">
            <v>1289.17</v>
          </cell>
          <cell r="H991">
            <v>1287.5899999999999</v>
          </cell>
          <cell r="I991">
            <v>1287.52</v>
          </cell>
          <cell r="J991">
            <v>28.6</v>
          </cell>
          <cell r="K991">
            <v>0</v>
          </cell>
          <cell r="L991" t="str">
            <v>Unificacion de Vertimientos</v>
          </cell>
          <cell r="M991" t="str">
            <v>Nuevo</v>
          </cell>
        </row>
        <row r="992">
          <cell r="B992" t="str">
            <v>A35</v>
          </cell>
          <cell r="C992" t="str">
            <v>A36</v>
          </cell>
          <cell r="D992">
            <v>1.2999999999999999E-2</v>
          </cell>
          <cell r="E992">
            <v>24</v>
          </cell>
          <cell r="F992">
            <v>1289.73</v>
          </cell>
          <cell r="G992">
            <v>1289.71</v>
          </cell>
          <cell r="H992">
            <v>1286.17</v>
          </cell>
          <cell r="I992">
            <v>1286.1300000000001</v>
          </cell>
          <cell r="J992">
            <v>31.1</v>
          </cell>
          <cell r="K992">
            <v>0</v>
          </cell>
          <cell r="L992" t="str">
            <v>Unificacion de Vertimientos</v>
          </cell>
          <cell r="M992" t="str">
            <v>Nuevo</v>
          </cell>
        </row>
        <row r="993">
          <cell r="B993" t="str">
            <v>A22</v>
          </cell>
          <cell r="C993" t="str">
            <v>A23</v>
          </cell>
          <cell r="D993">
            <v>1.2999999999999999E-2</v>
          </cell>
          <cell r="E993">
            <v>24</v>
          </cell>
          <cell r="F993">
            <v>1289.8</v>
          </cell>
          <cell r="G993">
            <v>1288.9100000000001</v>
          </cell>
          <cell r="H993">
            <v>1287.44</v>
          </cell>
          <cell r="I993">
            <v>1287.27</v>
          </cell>
          <cell r="J993">
            <v>82.1</v>
          </cell>
          <cell r="K993">
            <v>0</v>
          </cell>
          <cell r="L993" t="str">
            <v>Unificacion de Vertimientos</v>
          </cell>
          <cell r="M993" t="str">
            <v>Nuevo</v>
          </cell>
        </row>
        <row r="994">
          <cell r="B994">
            <v>928</v>
          </cell>
          <cell r="C994">
            <v>926</v>
          </cell>
          <cell r="D994">
            <v>1.4999999999999999E-2</v>
          </cell>
          <cell r="E994">
            <v>8</v>
          </cell>
          <cell r="F994">
            <v>1300.58</v>
          </cell>
          <cell r="G994">
            <v>1300.95</v>
          </cell>
          <cell r="H994">
            <v>1299.6400000000001</v>
          </cell>
          <cell r="I994">
            <v>1298.8499999999999</v>
          </cell>
          <cell r="J994">
            <v>30.6</v>
          </cell>
          <cell r="K994">
            <v>0</v>
          </cell>
          <cell r="L994" t="str">
            <v xml:space="preserve">Tramos Existentes </v>
          </cell>
          <cell r="M994" t="str">
            <v>Nuevo</v>
          </cell>
        </row>
        <row r="995">
          <cell r="B995" t="str">
            <v>A24</v>
          </cell>
          <cell r="C995" t="str">
            <v>A25</v>
          </cell>
          <cell r="D995">
            <v>1.2999999999999999E-2</v>
          </cell>
          <cell r="E995">
            <v>24</v>
          </cell>
          <cell r="F995">
            <v>1287.9000000000001</v>
          </cell>
          <cell r="G995">
            <v>1289.06</v>
          </cell>
          <cell r="H995">
            <v>1286.99</v>
          </cell>
          <cell r="I995">
            <v>1286.8900000000001</v>
          </cell>
          <cell r="J995">
            <v>46.6</v>
          </cell>
          <cell r="K995">
            <v>0</v>
          </cell>
          <cell r="L995" t="str">
            <v>Unificacion de Vertimientos</v>
          </cell>
          <cell r="M995" t="str">
            <v>Nuevo</v>
          </cell>
        </row>
        <row r="996">
          <cell r="B996" t="str">
            <v>A25</v>
          </cell>
          <cell r="C996" t="str">
            <v>A26</v>
          </cell>
          <cell r="D996">
            <v>1.2999999999999999E-2</v>
          </cell>
          <cell r="E996">
            <v>24</v>
          </cell>
          <cell r="F996">
            <v>1289.06</v>
          </cell>
          <cell r="G996">
            <v>1289.42</v>
          </cell>
          <cell r="H996">
            <v>1286.8900000000001</v>
          </cell>
          <cell r="I996">
            <v>1286.75</v>
          </cell>
          <cell r="J996">
            <v>64.900000000000006</v>
          </cell>
          <cell r="K996">
            <v>0</v>
          </cell>
          <cell r="L996" t="str">
            <v>Unificacion de Vertimientos</v>
          </cell>
          <cell r="M996" t="str">
            <v>Nuevo</v>
          </cell>
        </row>
        <row r="997">
          <cell r="B997" t="str">
            <v>A26</v>
          </cell>
          <cell r="C997" t="str">
            <v>A27</v>
          </cell>
          <cell r="D997">
            <v>1.2999999999999999E-2</v>
          </cell>
          <cell r="E997">
            <v>24</v>
          </cell>
          <cell r="F997">
            <v>1289.42</v>
          </cell>
          <cell r="G997">
            <v>1289.1400000000001</v>
          </cell>
          <cell r="H997">
            <v>1286.75</v>
          </cell>
          <cell r="I997">
            <v>1286.67</v>
          </cell>
          <cell r="J997">
            <v>34.5</v>
          </cell>
          <cell r="K997">
            <v>0</v>
          </cell>
          <cell r="L997" t="str">
            <v>Unificacion de Vertimientos</v>
          </cell>
          <cell r="M997" t="str">
            <v>Nuevo</v>
          </cell>
        </row>
        <row r="998">
          <cell r="B998" t="str">
            <v>A27</v>
          </cell>
          <cell r="C998" t="str">
            <v>A28</v>
          </cell>
          <cell r="D998">
            <v>1.2999999999999999E-2</v>
          </cell>
          <cell r="E998">
            <v>24</v>
          </cell>
          <cell r="F998">
            <v>1289.1400000000001</v>
          </cell>
          <cell r="G998">
            <v>1290.1300000000001</v>
          </cell>
          <cell r="H998">
            <v>1286.67</v>
          </cell>
          <cell r="I998">
            <v>1286.42</v>
          </cell>
          <cell r="J998">
            <v>75.7</v>
          </cell>
          <cell r="K998">
            <v>0</v>
          </cell>
          <cell r="L998" t="str">
            <v>Unificacion de Vertimientos</v>
          </cell>
          <cell r="M998" t="str">
            <v>Nuevo</v>
          </cell>
        </row>
        <row r="999">
          <cell r="B999" t="str">
            <v>A28</v>
          </cell>
          <cell r="C999" t="str">
            <v>A29</v>
          </cell>
          <cell r="D999">
            <v>1.2999999999999999E-2</v>
          </cell>
          <cell r="E999">
            <v>24</v>
          </cell>
          <cell r="F999">
            <v>1290.1300000000001</v>
          </cell>
          <cell r="G999">
            <v>1289.24</v>
          </cell>
          <cell r="H999">
            <v>1286.42</v>
          </cell>
          <cell r="I999">
            <v>1286.42</v>
          </cell>
          <cell r="J999">
            <v>40.5</v>
          </cell>
          <cell r="K999">
            <v>0</v>
          </cell>
          <cell r="L999" t="str">
            <v>Unificacion de Vertimientos</v>
          </cell>
          <cell r="M999" t="str">
            <v>Nuevo</v>
          </cell>
        </row>
        <row r="1000">
          <cell r="B1000" t="str">
            <v>A29</v>
          </cell>
          <cell r="C1000" t="str">
            <v>A30</v>
          </cell>
          <cell r="D1000">
            <v>1.2999999999999999E-2</v>
          </cell>
          <cell r="E1000">
            <v>24</v>
          </cell>
          <cell r="F1000">
            <v>1289.24</v>
          </cell>
          <cell r="G1000">
            <v>1289.2</v>
          </cell>
          <cell r="H1000">
            <v>1286.42</v>
          </cell>
          <cell r="I1000">
            <v>1286.3699999999999</v>
          </cell>
          <cell r="J1000">
            <v>20.2</v>
          </cell>
          <cell r="K1000">
            <v>0</v>
          </cell>
          <cell r="L1000" t="str">
            <v>Unificacion de Vertimientos</v>
          </cell>
          <cell r="M1000" t="str">
            <v>Nuevo</v>
          </cell>
        </row>
        <row r="1001">
          <cell r="B1001" t="str">
            <v>A30</v>
          </cell>
          <cell r="C1001" t="str">
            <v>A31</v>
          </cell>
          <cell r="D1001">
            <v>1.2999999999999999E-2</v>
          </cell>
          <cell r="E1001">
            <v>24</v>
          </cell>
          <cell r="F1001">
            <v>1289.2</v>
          </cell>
          <cell r="G1001">
            <v>1290.04</v>
          </cell>
          <cell r="H1001">
            <v>1286.3699999999999</v>
          </cell>
          <cell r="I1001">
            <v>1286.28</v>
          </cell>
          <cell r="J1001">
            <v>40.1</v>
          </cell>
          <cell r="K1001">
            <v>0</v>
          </cell>
          <cell r="L1001" t="str">
            <v>Unificacion de Vertimientos</v>
          </cell>
          <cell r="M1001" t="str">
            <v>Nuevo</v>
          </cell>
        </row>
        <row r="1002">
          <cell r="B1002" t="str">
            <v>A31</v>
          </cell>
          <cell r="C1002" t="str">
            <v>A32</v>
          </cell>
          <cell r="D1002">
            <v>1.2999999999999999E-2</v>
          </cell>
          <cell r="E1002">
            <v>24</v>
          </cell>
          <cell r="F1002">
            <v>1290.04</v>
          </cell>
          <cell r="G1002">
            <v>1289.6400000000001</v>
          </cell>
          <cell r="H1002">
            <v>1286.28</v>
          </cell>
          <cell r="I1002">
            <v>1286.0999999999999</v>
          </cell>
          <cell r="J1002">
            <v>63.1</v>
          </cell>
          <cell r="K1002">
            <v>0</v>
          </cell>
          <cell r="L1002" t="str">
            <v>Unificacion de Vertimientos</v>
          </cell>
          <cell r="M1002" t="str">
            <v>Nuevo</v>
          </cell>
        </row>
        <row r="1003">
          <cell r="B1003" t="str">
            <v>A32</v>
          </cell>
          <cell r="C1003" t="str">
            <v>A33</v>
          </cell>
          <cell r="D1003">
            <v>1.2999999999999999E-2</v>
          </cell>
          <cell r="E1003">
            <v>24</v>
          </cell>
          <cell r="F1003">
            <v>1289.6400000000001</v>
          </cell>
          <cell r="G1003">
            <v>1290</v>
          </cell>
          <cell r="H1003">
            <v>1286.0999999999999</v>
          </cell>
          <cell r="I1003">
            <v>1285.96</v>
          </cell>
          <cell r="J1003">
            <v>64.599999999999994</v>
          </cell>
          <cell r="K1003">
            <v>0</v>
          </cell>
          <cell r="L1003" t="str">
            <v xml:space="preserve">Viaducto </v>
          </cell>
          <cell r="M1003" t="str">
            <v>Nuevo</v>
          </cell>
        </row>
        <row r="1004">
          <cell r="B1004" t="str">
            <v>A21</v>
          </cell>
          <cell r="C1004" t="str">
            <v>A22</v>
          </cell>
          <cell r="D1004">
            <v>1.2999999999999999E-2</v>
          </cell>
          <cell r="E1004">
            <v>24</v>
          </cell>
          <cell r="F1004">
            <v>1289.17</v>
          </cell>
          <cell r="G1004">
            <v>1289.8</v>
          </cell>
          <cell r="H1004">
            <v>1287.52</v>
          </cell>
          <cell r="I1004">
            <v>1287.44</v>
          </cell>
          <cell r="J1004">
            <v>35.4</v>
          </cell>
          <cell r="K1004">
            <v>0</v>
          </cell>
          <cell r="L1004" t="str">
            <v>Unificacion de Vertimientos</v>
          </cell>
          <cell r="M1004" t="str">
            <v>Nuevo</v>
          </cell>
        </row>
        <row r="1005">
          <cell r="B1005">
            <v>895</v>
          </cell>
          <cell r="C1005">
            <v>897</v>
          </cell>
          <cell r="D1005">
            <v>1.4999999999999999E-2</v>
          </cell>
          <cell r="E1005">
            <v>12</v>
          </cell>
          <cell r="F1005">
            <v>1312.83</v>
          </cell>
          <cell r="G1005">
            <v>1306.8800000000001</v>
          </cell>
          <cell r="H1005">
            <v>1307.71</v>
          </cell>
          <cell r="I1005">
            <v>1302.68</v>
          </cell>
          <cell r="J1005">
            <v>36.1</v>
          </cell>
          <cell r="K1005">
            <v>0</v>
          </cell>
          <cell r="L1005" t="str">
            <v xml:space="preserve">Tramos Existentes </v>
          </cell>
          <cell r="M1005" t="str">
            <v>Existente</v>
          </cell>
        </row>
        <row r="1006">
          <cell r="B1006">
            <v>831</v>
          </cell>
          <cell r="C1006">
            <v>723</v>
          </cell>
          <cell r="D1006">
            <v>1.4999999999999999E-2</v>
          </cell>
          <cell r="E1006">
            <v>12</v>
          </cell>
          <cell r="F1006">
            <v>1311.75</v>
          </cell>
          <cell r="G1006">
            <v>1311.78</v>
          </cell>
          <cell r="H1006">
            <v>1310.4100000000001</v>
          </cell>
          <cell r="I1006">
            <v>1308.3900000000001</v>
          </cell>
          <cell r="J1006">
            <v>81.2</v>
          </cell>
          <cell r="K1006">
            <v>0</v>
          </cell>
          <cell r="L1006" t="str">
            <v xml:space="preserve">Tramos Existentes </v>
          </cell>
          <cell r="M1006" t="str">
            <v>Existente</v>
          </cell>
        </row>
        <row r="1007">
          <cell r="B1007">
            <v>941</v>
          </cell>
          <cell r="C1007">
            <v>943</v>
          </cell>
          <cell r="D1007">
            <v>0.01</v>
          </cell>
          <cell r="E1007">
            <v>24</v>
          </cell>
          <cell r="F1007">
            <v>1279.96</v>
          </cell>
          <cell r="G1007">
            <v>1279.1500000000001</v>
          </cell>
          <cell r="H1007">
            <v>1275.72</v>
          </cell>
          <cell r="I1007">
            <v>1274.93</v>
          </cell>
          <cell r="J1007">
            <v>11.2</v>
          </cell>
          <cell r="K1007">
            <v>0</v>
          </cell>
          <cell r="L1007" t="str">
            <v xml:space="preserve">Tramos Existentes </v>
          </cell>
          <cell r="M1007" t="str">
            <v>Existente</v>
          </cell>
        </row>
        <row r="1008">
          <cell r="B1008">
            <v>817</v>
          </cell>
          <cell r="C1008">
            <v>225</v>
          </cell>
          <cell r="D1008">
            <v>1.4999999999999999E-2</v>
          </cell>
          <cell r="E1008">
            <v>8</v>
          </cell>
          <cell r="F1008">
            <v>1303.8</v>
          </cell>
          <cell r="G1008">
            <v>1302.48</v>
          </cell>
          <cell r="H1008">
            <v>1302.47</v>
          </cell>
          <cell r="I1008">
            <v>1299.0899999999999</v>
          </cell>
          <cell r="J1008">
            <v>25.7</v>
          </cell>
          <cell r="K1008">
            <v>0</v>
          </cell>
          <cell r="L1008" t="str">
            <v xml:space="preserve">Tramos Existentes </v>
          </cell>
          <cell r="M1008" t="str">
            <v>Existente</v>
          </cell>
        </row>
        <row r="1009">
          <cell r="B1009" t="str">
            <v>82i</v>
          </cell>
          <cell r="C1009">
            <v>98</v>
          </cell>
          <cell r="D1009">
            <v>1.4999999999999999E-2</v>
          </cell>
          <cell r="E1009">
            <v>14</v>
          </cell>
          <cell r="F1009">
            <v>1314.77</v>
          </cell>
          <cell r="G1009">
            <v>1310.84</v>
          </cell>
          <cell r="H1009">
            <v>1312.85</v>
          </cell>
          <cell r="I1009">
            <v>1306.3900000000001</v>
          </cell>
          <cell r="J1009">
            <v>72.599999999999994</v>
          </cell>
          <cell r="K1009">
            <v>0</v>
          </cell>
          <cell r="L1009" t="str">
            <v xml:space="preserve">Tramos Existentes </v>
          </cell>
          <cell r="M1009" t="str">
            <v>Existente</v>
          </cell>
        </row>
        <row r="1010">
          <cell r="B1010" t="str">
            <v>P7</v>
          </cell>
          <cell r="C1010">
            <v>96</v>
          </cell>
          <cell r="D1010">
            <v>1.4999999999999999E-2</v>
          </cell>
          <cell r="E1010">
            <v>20</v>
          </cell>
          <cell r="F1010">
            <v>1307.1199999999999</v>
          </cell>
          <cell r="G1010">
            <v>1305.77</v>
          </cell>
          <cell r="H1010">
            <v>1304.78</v>
          </cell>
          <cell r="I1010">
            <v>1303.06</v>
          </cell>
          <cell r="J1010">
            <v>20.3</v>
          </cell>
          <cell r="K1010">
            <v>0</v>
          </cell>
          <cell r="L1010" t="str">
            <v xml:space="preserve">Tramos Existentes </v>
          </cell>
          <cell r="M1010" t="str">
            <v>Existente</v>
          </cell>
        </row>
        <row r="1011">
          <cell r="B1011">
            <v>825</v>
          </cell>
          <cell r="C1011">
            <v>824</v>
          </cell>
          <cell r="D1011">
            <v>1.4999999999999999E-2</v>
          </cell>
          <cell r="E1011">
            <v>8</v>
          </cell>
          <cell r="F1011">
            <v>1310.7</v>
          </cell>
          <cell r="G1011">
            <v>1310.6500000000001</v>
          </cell>
          <cell r="H1011">
            <v>1309.6099999999999</v>
          </cell>
          <cell r="I1011">
            <v>1308.95</v>
          </cell>
          <cell r="J1011">
            <v>19.899999999999999</v>
          </cell>
          <cell r="K1011">
            <v>0</v>
          </cell>
          <cell r="L1011" t="str">
            <v xml:space="preserve">Tramos Existentes </v>
          </cell>
          <cell r="M1011" t="str">
            <v>Existente</v>
          </cell>
        </row>
        <row r="1012">
          <cell r="B1012">
            <v>826</v>
          </cell>
          <cell r="C1012">
            <v>828</v>
          </cell>
          <cell r="D1012">
            <v>1.4999999999999999E-2</v>
          </cell>
          <cell r="E1012">
            <v>12</v>
          </cell>
          <cell r="F1012">
            <v>1310.56</v>
          </cell>
          <cell r="G1012">
            <v>1312.07</v>
          </cell>
          <cell r="H1012">
            <v>1309.73</v>
          </cell>
          <cell r="I1012">
            <v>1309.6600000000001</v>
          </cell>
          <cell r="J1012">
            <v>50.3</v>
          </cell>
          <cell r="K1012">
            <v>0</v>
          </cell>
          <cell r="L1012" t="str">
            <v xml:space="preserve">Tramos Existentes </v>
          </cell>
          <cell r="M1012" t="str">
            <v>Existente</v>
          </cell>
        </row>
        <row r="1013">
          <cell r="B1013">
            <v>828</v>
          </cell>
          <cell r="C1013">
            <v>829</v>
          </cell>
          <cell r="D1013">
            <v>1.4999999999999999E-2</v>
          </cell>
          <cell r="E1013">
            <v>12</v>
          </cell>
          <cell r="F1013">
            <v>1312.07</v>
          </cell>
          <cell r="G1013">
            <v>1312.29</v>
          </cell>
          <cell r="H1013">
            <v>1309.6600000000001</v>
          </cell>
          <cell r="I1013">
            <v>1308.6099999999999</v>
          </cell>
          <cell r="J1013">
            <v>17.100000000000001</v>
          </cell>
          <cell r="K1013">
            <v>0</v>
          </cell>
          <cell r="L1013" t="str">
            <v xml:space="preserve">Tramos Existentes </v>
          </cell>
          <cell r="M1013" t="str">
            <v>Existente</v>
          </cell>
        </row>
        <row r="1014">
          <cell r="B1014">
            <v>829</v>
          </cell>
          <cell r="C1014">
            <v>891</v>
          </cell>
          <cell r="D1014">
            <v>1.4999999999999999E-2</v>
          </cell>
          <cell r="E1014">
            <v>12</v>
          </cell>
          <cell r="F1014">
            <v>1312.29</v>
          </cell>
          <cell r="G1014">
            <v>1312.53</v>
          </cell>
          <cell r="H1014">
            <v>1308.6099999999999</v>
          </cell>
          <cell r="I1014">
            <v>1308.53</v>
          </cell>
          <cell r="J1014">
            <v>30.2</v>
          </cell>
          <cell r="K1014">
            <v>0</v>
          </cell>
          <cell r="L1014" t="str">
            <v xml:space="preserve">Tramos Existentes </v>
          </cell>
          <cell r="M1014" t="str">
            <v>Existente</v>
          </cell>
        </row>
        <row r="1015">
          <cell r="B1015">
            <v>945</v>
          </cell>
          <cell r="C1015">
            <v>942</v>
          </cell>
          <cell r="D1015">
            <v>0.01</v>
          </cell>
          <cell r="E1015">
            <v>12</v>
          </cell>
          <cell r="F1015">
            <v>1280.24</v>
          </cell>
          <cell r="G1015">
            <v>1280.43</v>
          </cell>
          <cell r="H1015">
            <v>1279.0999999999999</v>
          </cell>
          <cell r="I1015">
            <v>1277.5999999999999</v>
          </cell>
          <cell r="J1015">
            <v>91.1</v>
          </cell>
          <cell r="K1015">
            <v>0</v>
          </cell>
          <cell r="L1015" t="str">
            <v xml:space="preserve">Tramos Existentes </v>
          </cell>
          <cell r="M1015" t="str">
            <v>Existente</v>
          </cell>
        </row>
        <row r="1016">
          <cell r="B1016">
            <v>894</v>
          </cell>
          <cell r="C1016">
            <v>895</v>
          </cell>
          <cell r="D1016">
            <v>1.4999999999999999E-2</v>
          </cell>
          <cell r="E1016">
            <v>12</v>
          </cell>
          <cell r="F1016">
            <v>1312.67</v>
          </cell>
          <cell r="G1016">
            <v>1312.83</v>
          </cell>
          <cell r="H1016">
            <v>1308.42</v>
          </cell>
          <cell r="I1016">
            <v>1307.71</v>
          </cell>
          <cell r="J1016">
            <v>25.9</v>
          </cell>
          <cell r="K1016">
            <v>0</v>
          </cell>
          <cell r="L1016" t="str">
            <v xml:space="preserve">Tramos Existentes </v>
          </cell>
          <cell r="M1016" t="str">
            <v>Existente</v>
          </cell>
        </row>
        <row r="1017">
          <cell r="B1017">
            <v>947</v>
          </cell>
          <cell r="C1017">
            <v>945</v>
          </cell>
          <cell r="D1017">
            <v>0.01</v>
          </cell>
          <cell r="E1017">
            <v>12</v>
          </cell>
          <cell r="F1017">
            <v>1282.68</v>
          </cell>
          <cell r="G1017">
            <v>1280.24</v>
          </cell>
          <cell r="H1017">
            <v>1281.82</v>
          </cell>
          <cell r="I1017">
            <v>1279.0999999999999</v>
          </cell>
          <cell r="J1017">
            <v>34.299999999999997</v>
          </cell>
          <cell r="K1017">
            <v>0</v>
          </cell>
          <cell r="L1017" t="str">
            <v xml:space="preserve">Tramos Existentes </v>
          </cell>
          <cell r="M1017" t="str">
            <v>Existente</v>
          </cell>
        </row>
        <row r="1018">
          <cell r="B1018">
            <v>897</v>
          </cell>
          <cell r="C1018" t="str">
            <v>D15</v>
          </cell>
          <cell r="D1018">
            <v>1.4999999999999999E-2</v>
          </cell>
          <cell r="E1018">
            <v>12</v>
          </cell>
          <cell r="F1018">
            <v>1306.8800000000001</v>
          </cell>
          <cell r="G1018">
            <v>1284.51</v>
          </cell>
          <cell r="H1018">
            <v>1302.68</v>
          </cell>
          <cell r="I1018">
            <v>1284.51</v>
          </cell>
          <cell r="J1018">
            <v>48.7</v>
          </cell>
          <cell r="K1018">
            <v>0</v>
          </cell>
          <cell r="L1018" t="str">
            <v xml:space="preserve">Tramos Existentes </v>
          </cell>
          <cell r="M1018" t="str">
            <v>Existente</v>
          </cell>
        </row>
        <row r="1019">
          <cell r="B1019">
            <v>827</v>
          </cell>
          <cell r="C1019">
            <v>976</v>
          </cell>
          <cell r="D1019">
            <v>1.4999999999999999E-2</v>
          </cell>
          <cell r="E1019">
            <v>12</v>
          </cell>
          <cell r="F1019">
            <v>1311.94</v>
          </cell>
          <cell r="G1019">
            <v>1311.88</v>
          </cell>
          <cell r="H1019">
            <v>1309.29</v>
          </cell>
          <cell r="I1019">
            <v>1308.1099999999999</v>
          </cell>
          <cell r="J1019">
            <v>43.8</v>
          </cell>
          <cell r="K1019">
            <v>0</v>
          </cell>
          <cell r="L1019" t="str">
            <v xml:space="preserve">Tramos Existentes </v>
          </cell>
          <cell r="M1019" t="str">
            <v>Existente</v>
          </cell>
        </row>
        <row r="1020">
          <cell r="B1020" t="str">
            <v>83ii</v>
          </cell>
          <cell r="C1020">
            <v>96</v>
          </cell>
          <cell r="D1020">
            <v>1.4999999999999999E-2</v>
          </cell>
          <cell r="E1020">
            <v>12</v>
          </cell>
          <cell r="F1020">
            <v>1314</v>
          </cell>
          <cell r="G1020">
            <v>1305.77</v>
          </cell>
          <cell r="H1020">
            <v>1312.09</v>
          </cell>
          <cell r="I1020">
            <v>1303.06</v>
          </cell>
          <cell r="J1020">
            <v>71.3</v>
          </cell>
          <cell r="K1020">
            <v>0</v>
          </cell>
          <cell r="L1020" t="str">
            <v xml:space="preserve">Tramos Existentes </v>
          </cell>
          <cell r="M1020" t="str">
            <v>Existente</v>
          </cell>
        </row>
        <row r="1021">
          <cell r="B1021">
            <v>96</v>
          </cell>
          <cell r="C1021">
            <v>95</v>
          </cell>
          <cell r="D1021">
            <v>1.4999999999999999E-2</v>
          </cell>
          <cell r="E1021">
            <v>24</v>
          </cell>
          <cell r="F1021">
            <v>1305.77</v>
          </cell>
          <cell r="G1021">
            <v>1302.1400000000001</v>
          </cell>
          <cell r="H1021">
            <v>1303.06</v>
          </cell>
          <cell r="I1021">
            <v>1299.95</v>
          </cell>
          <cell r="J1021">
            <v>34.299999999999997</v>
          </cell>
          <cell r="K1021">
            <v>0</v>
          </cell>
          <cell r="L1021" t="str">
            <v xml:space="preserve">Tramos Existentes </v>
          </cell>
          <cell r="M1021" t="str">
            <v>Existente</v>
          </cell>
        </row>
        <row r="1022">
          <cell r="B1022">
            <v>95</v>
          </cell>
          <cell r="C1022">
            <v>91</v>
          </cell>
          <cell r="D1022">
            <v>1.4999999999999999E-2</v>
          </cell>
          <cell r="E1022">
            <v>24</v>
          </cell>
          <cell r="F1022">
            <v>1302.1400000000001</v>
          </cell>
          <cell r="G1022">
            <v>1302.19</v>
          </cell>
          <cell r="H1022">
            <v>1299.95</v>
          </cell>
          <cell r="I1022">
            <v>1296.05</v>
          </cell>
          <cell r="J1022">
            <v>39</v>
          </cell>
          <cell r="K1022">
            <v>0</v>
          </cell>
          <cell r="L1022" t="str">
            <v xml:space="preserve">Tramos Existentes </v>
          </cell>
          <cell r="M1022" t="str">
            <v>Existente</v>
          </cell>
        </row>
        <row r="1023">
          <cell r="B1023" t="str">
            <v>83i</v>
          </cell>
          <cell r="C1023">
            <v>84</v>
          </cell>
          <cell r="D1023">
            <v>1.4999999999999999E-2</v>
          </cell>
          <cell r="E1023">
            <v>12</v>
          </cell>
          <cell r="F1023">
            <v>1314</v>
          </cell>
          <cell r="G1023">
            <v>1312.65</v>
          </cell>
          <cell r="H1023">
            <v>1311.7</v>
          </cell>
          <cell r="I1023">
            <v>1309.74</v>
          </cell>
          <cell r="J1023">
            <v>72.400000000000006</v>
          </cell>
          <cell r="K1023">
            <v>0</v>
          </cell>
          <cell r="L1023" t="str">
            <v xml:space="preserve">Tramos Existentes </v>
          </cell>
          <cell r="M1023" t="str">
            <v>Existente</v>
          </cell>
        </row>
        <row r="1024">
          <cell r="B1024">
            <v>84</v>
          </cell>
          <cell r="C1024">
            <v>988</v>
          </cell>
          <cell r="D1024">
            <v>1.4999999999999999E-2</v>
          </cell>
          <cell r="E1024">
            <v>12</v>
          </cell>
          <cell r="F1024">
            <v>1312.65</v>
          </cell>
          <cell r="G1024">
            <v>1307.74</v>
          </cell>
          <cell r="H1024">
            <v>1309.74</v>
          </cell>
          <cell r="I1024">
            <v>1305.3800000000001</v>
          </cell>
          <cell r="J1024">
            <v>72</v>
          </cell>
          <cell r="K1024">
            <v>0</v>
          </cell>
          <cell r="L1024" t="str">
            <v xml:space="preserve">Tramos Existentes </v>
          </cell>
          <cell r="M1024" t="str">
            <v>Existente</v>
          </cell>
        </row>
        <row r="1025">
          <cell r="B1025">
            <v>988</v>
          </cell>
          <cell r="C1025">
            <v>442</v>
          </cell>
          <cell r="D1025">
            <v>1.4999999999999999E-2</v>
          </cell>
          <cell r="E1025">
            <v>12</v>
          </cell>
          <cell r="F1025">
            <v>1307.74</v>
          </cell>
          <cell r="G1025">
            <v>1304.69</v>
          </cell>
          <cell r="H1025">
            <v>1305.3800000000001</v>
          </cell>
          <cell r="I1025">
            <v>1301.3900000000001</v>
          </cell>
          <cell r="J1025">
            <v>72</v>
          </cell>
          <cell r="K1025">
            <v>0</v>
          </cell>
          <cell r="L1025" t="str">
            <v xml:space="preserve">Tramos Existentes </v>
          </cell>
          <cell r="M1025" t="str">
            <v>Existente</v>
          </cell>
        </row>
        <row r="1026">
          <cell r="B1026">
            <v>925</v>
          </cell>
          <cell r="C1026">
            <v>1097</v>
          </cell>
          <cell r="D1026">
            <v>0.01</v>
          </cell>
          <cell r="E1026">
            <v>12</v>
          </cell>
          <cell r="F1026">
            <v>1301.6500000000001</v>
          </cell>
          <cell r="G1026">
            <v>1297.4100000000001</v>
          </cell>
          <cell r="H1026">
            <v>1298.45</v>
          </cell>
          <cell r="I1026">
            <v>1295.4100000000001</v>
          </cell>
          <cell r="J1026">
            <v>12.4</v>
          </cell>
          <cell r="K1026">
            <v>0</v>
          </cell>
          <cell r="L1026" t="str">
            <v xml:space="preserve">Tramos Existentes </v>
          </cell>
          <cell r="M1026" t="str">
            <v>Existente</v>
          </cell>
        </row>
        <row r="1027">
          <cell r="B1027">
            <v>891</v>
          </cell>
          <cell r="C1027">
            <v>894</v>
          </cell>
          <cell r="D1027">
            <v>1.4999999999999999E-2</v>
          </cell>
          <cell r="E1027">
            <v>12</v>
          </cell>
          <cell r="F1027">
            <v>1312.53</v>
          </cell>
          <cell r="G1027">
            <v>1312.67</v>
          </cell>
          <cell r="H1027">
            <v>1308.53</v>
          </cell>
          <cell r="I1027">
            <v>1308.42</v>
          </cell>
          <cell r="J1027">
            <v>29.7</v>
          </cell>
          <cell r="K1027">
            <v>0</v>
          </cell>
          <cell r="L1027" t="str">
            <v xml:space="preserve">Tramos Existentes </v>
          </cell>
          <cell r="M1027" t="str">
            <v>Existente</v>
          </cell>
        </row>
        <row r="1028">
          <cell r="B1028">
            <v>8</v>
          </cell>
          <cell r="C1028">
            <v>7</v>
          </cell>
          <cell r="D1028">
            <v>1.4999999999999999E-2</v>
          </cell>
          <cell r="E1028">
            <v>10</v>
          </cell>
          <cell r="F1028">
            <v>1302.1500000000001</v>
          </cell>
          <cell r="G1028">
            <v>1301.97</v>
          </cell>
          <cell r="H1028">
            <v>1299.72</v>
          </cell>
          <cell r="I1028">
            <v>1297.07</v>
          </cell>
          <cell r="J1028">
            <v>2.8</v>
          </cell>
          <cell r="K1028">
            <v>0</v>
          </cell>
          <cell r="L1028" t="str">
            <v xml:space="preserve">Tramos Existentes </v>
          </cell>
          <cell r="M1028" t="str">
            <v>Existente</v>
          </cell>
        </row>
        <row r="1029">
          <cell r="B1029">
            <v>517</v>
          </cell>
          <cell r="C1029">
            <v>518</v>
          </cell>
          <cell r="D1029">
            <v>1.4999999999999999E-2</v>
          </cell>
          <cell r="E1029">
            <v>10</v>
          </cell>
          <cell r="F1029">
            <v>1300.69</v>
          </cell>
          <cell r="G1029">
            <v>1300.67</v>
          </cell>
          <cell r="H1029">
            <v>1299.47</v>
          </cell>
          <cell r="I1029">
            <v>1296.97</v>
          </cell>
          <cell r="J1029">
            <v>2.9</v>
          </cell>
          <cell r="K1029">
            <v>0</v>
          </cell>
          <cell r="L1029" t="str">
            <v xml:space="preserve">Tramos Existentes </v>
          </cell>
          <cell r="M1029" t="str">
            <v>Existente</v>
          </cell>
        </row>
        <row r="1030">
          <cell r="B1030">
            <v>765</v>
          </cell>
          <cell r="C1030">
            <v>537</v>
          </cell>
          <cell r="D1030">
            <v>1.4999999999999999E-2</v>
          </cell>
          <cell r="E1030">
            <v>8</v>
          </cell>
          <cell r="F1030">
            <v>1307.52</v>
          </cell>
          <cell r="G1030">
            <v>1306.7</v>
          </cell>
          <cell r="H1030">
            <v>1303.83</v>
          </cell>
          <cell r="I1030">
            <v>1303.28</v>
          </cell>
          <cell r="J1030">
            <v>45.2</v>
          </cell>
          <cell r="K1030">
            <v>0</v>
          </cell>
          <cell r="L1030" t="str">
            <v xml:space="preserve">Tramos Existentes </v>
          </cell>
          <cell r="M1030" t="str">
            <v>Existente</v>
          </cell>
        </row>
        <row r="1031">
          <cell r="B1031">
            <v>768</v>
          </cell>
          <cell r="C1031">
            <v>258</v>
          </cell>
          <cell r="D1031">
            <v>0.01</v>
          </cell>
          <cell r="E1031">
            <v>6</v>
          </cell>
          <cell r="F1031">
            <v>1310.6099999999999</v>
          </cell>
          <cell r="G1031">
            <v>1309.78</v>
          </cell>
          <cell r="H1031">
            <v>1309.26</v>
          </cell>
          <cell r="I1031">
            <v>1307.8599999999999</v>
          </cell>
          <cell r="J1031">
            <v>102.9</v>
          </cell>
          <cell r="K1031">
            <v>0</v>
          </cell>
          <cell r="L1031" t="str">
            <v xml:space="preserve">Tramos Existentes </v>
          </cell>
          <cell r="M1031" t="str">
            <v>Existente</v>
          </cell>
        </row>
        <row r="1032">
          <cell r="B1032">
            <v>769</v>
          </cell>
          <cell r="C1032">
            <v>726</v>
          </cell>
          <cell r="D1032">
            <v>1.4999999999999999E-2</v>
          </cell>
          <cell r="E1032">
            <v>12</v>
          </cell>
          <cell r="F1032">
            <v>1310.76</v>
          </cell>
          <cell r="G1032">
            <v>1312.28</v>
          </cell>
          <cell r="H1032">
            <v>1309.55</v>
          </cell>
          <cell r="I1032">
            <v>1307.6600000000001</v>
          </cell>
          <cell r="J1032">
            <v>85.4</v>
          </cell>
          <cell r="K1032">
            <v>0</v>
          </cell>
          <cell r="L1032" t="str">
            <v xml:space="preserve">Tramos Existentes </v>
          </cell>
          <cell r="M1032" t="str">
            <v>Existente</v>
          </cell>
        </row>
        <row r="1033">
          <cell r="B1033" t="str">
            <v>77i</v>
          </cell>
          <cell r="C1033">
            <v>78</v>
          </cell>
          <cell r="D1033">
            <v>1.4999999999999999E-2</v>
          </cell>
          <cell r="E1033">
            <v>10</v>
          </cell>
          <cell r="F1033">
            <v>1298.25</v>
          </cell>
          <cell r="G1033">
            <v>1298.21</v>
          </cell>
          <cell r="H1033">
            <v>1297</v>
          </cell>
          <cell r="I1033">
            <v>1296.96</v>
          </cell>
          <cell r="J1033">
            <v>1.5</v>
          </cell>
          <cell r="K1033">
            <v>0</v>
          </cell>
          <cell r="L1033" t="str">
            <v xml:space="preserve">Tramos Existentes </v>
          </cell>
          <cell r="M1033" t="str">
            <v>Existente</v>
          </cell>
        </row>
        <row r="1034">
          <cell r="B1034">
            <v>78</v>
          </cell>
          <cell r="C1034">
            <v>22</v>
          </cell>
          <cell r="D1034">
            <v>1.4999999999999999E-2</v>
          </cell>
          <cell r="E1034">
            <v>10</v>
          </cell>
          <cell r="F1034">
            <v>1298.21</v>
          </cell>
          <cell r="G1034">
            <v>1298.3499999999999</v>
          </cell>
          <cell r="H1034">
            <v>1296.96</v>
          </cell>
          <cell r="I1034">
            <v>1296.6099999999999</v>
          </cell>
          <cell r="J1034">
            <v>10.7</v>
          </cell>
          <cell r="K1034">
            <v>0</v>
          </cell>
          <cell r="L1034" t="str">
            <v xml:space="preserve">Renovacion </v>
          </cell>
          <cell r="M1034" t="str">
            <v>Existente</v>
          </cell>
        </row>
        <row r="1035">
          <cell r="B1035">
            <v>770</v>
          </cell>
          <cell r="C1035">
            <v>725</v>
          </cell>
          <cell r="D1035">
            <v>1.4999999999999999E-2</v>
          </cell>
          <cell r="E1035">
            <v>12</v>
          </cell>
          <cell r="F1035">
            <v>1311.76</v>
          </cell>
          <cell r="G1035">
            <v>1311.77</v>
          </cell>
          <cell r="H1035">
            <v>1310.45</v>
          </cell>
          <cell r="I1035">
            <v>1307.83</v>
          </cell>
          <cell r="J1035">
            <v>91.5</v>
          </cell>
          <cell r="K1035">
            <v>0</v>
          </cell>
          <cell r="L1035" t="str">
            <v xml:space="preserve">Tramos Existentes </v>
          </cell>
          <cell r="M1035" t="str">
            <v>Existente</v>
          </cell>
        </row>
        <row r="1036">
          <cell r="B1036" t="str">
            <v>771i</v>
          </cell>
          <cell r="C1036">
            <v>438</v>
          </cell>
          <cell r="D1036">
            <v>1.4999999999999999E-2</v>
          </cell>
          <cell r="E1036">
            <v>10</v>
          </cell>
          <cell r="F1036">
            <v>1293.43</v>
          </cell>
          <cell r="G1036">
            <v>1293.46</v>
          </cell>
          <cell r="H1036">
            <v>1290.26</v>
          </cell>
          <cell r="I1036">
            <v>1288.52</v>
          </cell>
          <cell r="J1036">
            <v>4</v>
          </cell>
          <cell r="K1036">
            <v>0</v>
          </cell>
          <cell r="L1036" t="str">
            <v xml:space="preserve">Tramos Existentes </v>
          </cell>
          <cell r="M1036" t="str">
            <v>Existente</v>
          </cell>
        </row>
        <row r="1037">
          <cell r="B1037" t="str">
            <v>786i</v>
          </cell>
          <cell r="C1037">
            <v>788</v>
          </cell>
          <cell r="D1037">
            <v>1.4999999999999999E-2</v>
          </cell>
          <cell r="E1037">
            <v>8</v>
          </cell>
          <cell r="F1037">
            <v>1292.23</v>
          </cell>
          <cell r="G1037">
            <v>1289.6500000000001</v>
          </cell>
          <cell r="H1037">
            <v>1291.4000000000001</v>
          </cell>
          <cell r="I1037">
            <v>1287.78</v>
          </cell>
          <cell r="J1037">
            <v>14.5</v>
          </cell>
          <cell r="K1037">
            <v>0</v>
          </cell>
          <cell r="L1037" t="str">
            <v xml:space="preserve">Tramos Existentes </v>
          </cell>
          <cell r="M1037" t="str">
            <v>Existente</v>
          </cell>
        </row>
        <row r="1038">
          <cell r="B1038">
            <v>942</v>
          </cell>
          <cell r="C1038">
            <v>941</v>
          </cell>
          <cell r="D1038">
            <v>0.01</v>
          </cell>
          <cell r="E1038">
            <v>12</v>
          </cell>
          <cell r="F1038">
            <v>1280.43</v>
          </cell>
          <cell r="G1038">
            <v>1279.96</v>
          </cell>
          <cell r="H1038">
            <v>1277.5999999999999</v>
          </cell>
          <cell r="I1038">
            <v>1275.72</v>
          </cell>
          <cell r="J1038">
            <v>4.4000000000000004</v>
          </cell>
          <cell r="K1038">
            <v>0</v>
          </cell>
          <cell r="L1038" t="str">
            <v xml:space="preserve">Tramos Existentes </v>
          </cell>
          <cell r="M1038" t="str">
            <v>Existente</v>
          </cell>
        </row>
        <row r="1039">
          <cell r="B1039">
            <v>87</v>
          </cell>
          <cell r="C1039">
            <v>8</v>
          </cell>
          <cell r="D1039">
            <v>1.4999999999999999E-2</v>
          </cell>
          <cell r="E1039">
            <v>12</v>
          </cell>
          <cell r="F1039">
            <v>1305.3599999999999</v>
          </cell>
          <cell r="G1039">
            <v>1302.1500000000001</v>
          </cell>
          <cell r="H1039">
            <v>1303.68</v>
          </cell>
          <cell r="I1039">
            <v>1299.72</v>
          </cell>
          <cell r="J1039">
            <v>76.2</v>
          </cell>
          <cell r="K1039">
            <v>0</v>
          </cell>
          <cell r="L1039" t="str">
            <v xml:space="preserve">Tramos Existentes </v>
          </cell>
          <cell r="M1039" t="str">
            <v>Existente</v>
          </cell>
        </row>
        <row r="1040">
          <cell r="B1040">
            <v>832</v>
          </cell>
          <cell r="C1040">
            <v>722</v>
          </cell>
          <cell r="D1040">
            <v>1.4999999999999999E-2</v>
          </cell>
          <cell r="E1040">
            <v>12</v>
          </cell>
          <cell r="F1040">
            <v>1311.71</v>
          </cell>
          <cell r="G1040">
            <v>1311.74</v>
          </cell>
          <cell r="H1040">
            <v>1310.33</v>
          </cell>
          <cell r="I1040">
            <v>1308.74</v>
          </cell>
          <cell r="J1040">
            <v>55.5</v>
          </cell>
          <cell r="K1040">
            <v>0</v>
          </cell>
          <cell r="L1040" t="str">
            <v xml:space="preserve">Tramos Existentes </v>
          </cell>
          <cell r="M1040" t="str">
            <v>Existente</v>
          </cell>
        </row>
        <row r="1041">
          <cell r="B1041">
            <v>80</v>
          </cell>
          <cell r="C1041">
            <v>121</v>
          </cell>
          <cell r="D1041">
            <v>1.4999999999999999E-2</v>
          </cell>
          <cell r="E1041">
            <v>8</v>
          </cell>
          <cell r="F1041">
            <v>1298.77</v>
          </cell>
          <cell r="G1041">
            <v>1271.45</v>
          </cell>
          <cell r="H1041">
            <v>1297.56</v>
          </cell>
          <cell r="I1041">
            <v>1295.25</v>
          </cell>
          <cell r="J1041">
            <v>59.1</v>
          </cell>
          <cell r="K1041">
            <v>0</v>
          </cell>
          <cell r="L1041" t="str">
            <v xml:space="preserve">Tramos Existentes </v>
          </cell>
          <cell r="M1041" t="str">
            <v>Existente</v>
          </cell>
        </row>
        <row r="1042">
          <cell r="B1042">
            <v>870</v>
          </cell>
          <cell r="C1042">
            <v>869</v>
          </cell>
          <cell r="D1042">
            <v>1.4999999999999999E-2</v>
          </cell>
          <cell r="E1042">
            <v>16</v>
          </cell>
          <cell r="F1042">
            <v>1314.75</v>
          </cell>
          <cell r="G1042">
            <v>1313.86</v>
          </cell>
          <cell r="H1042">
            <v>1312.66</v>
          </cell>
          <cell r="I1042">
            <v>1310.95</v>
          </cell>
          <cell r="J1042">
            <v>20.399999999999999</v>
          </cell>
          <cell r="K1042">
            <v>0</v>
          </cell>
          <cell r="L1042" t="str">
            <v xml:space="preserve">Tramos Existentes </v>
          </cell>
          <cell r="M1042" t="str">
            <v>Existente</v>
          </cell>
        </row>
        <row r="1043">
          <cell r="B1043">
            <v>869</v>
          </cell>
          <cell r="C1043">
            <v>868</v>
          </cell>
          <cell r="D1043">
            <v>1.4999999999999999E-2</v>
          </cell>
          <cell r="E1043">
            <v>16</v>
          </cell>
          <cell r="F1043">
            <v>1313.86</v>
          </cell>
          <cell r="G1043">
            <v>1310.6199999999999</v>
          </cell>
          <cell r="H1043">
            <v>1310.95</v>
          </cell>
          <cell r="I1043">
            <v>1307.93</v>
          </cell>
          <cell r="J1043">
            <v>15</v>
          </cell>
          <cell r="K1043">
            <v>0</v>
          </cell>
          <cell r="L1043" t="str">
            <v xml:space="preserve">Tramos Existentes </v>
          </cell>
          <cell r="M1043" t="str">
            <v>Existente</v>
          </cell>
        </row>
        <row r="1044">
          <cell r="B1044">
            <v>868</v>
          </cell>
          <cell r="C1044">
            <v>867</v>
          </cell>
          <cell r="D1044">
            <v>1.4999999999999999E-2</v>
          </cell>
          <cell r="E1044">
            <v>12</v>
          </cell>
          <cell r="F1044">
            <v>1310.6199999999999</v>
          </cell>
          <cell r="G1044">
            <v>1308.23</v>
          </cell>
          <cell r="H1044">
            <v>1307.93</v>
          </cell>
          <cell r="I1044">
            <v>1304.42</v>
          </cell>
          <cell r="J1044">
            <v>6.5</v>
          </cell>
          <cell r="K1044">
            <v>0</v>
          </cell>
          <cell r="L1044" t="str">
            <v xml:space="preserve">Tramos Existentes </v>
          </cell>
          <cell r="M1044" t="str">
            <v>Existente</v>
          </cell>
        </row>
        <row r="1045">
          <cell r="B1045">
            <v>867</v>
          </cell>
          <cell r="C1045">
            <v>800</v>
          </cell>
          <cell r="D1045">
            <v>1.4999999999999999E-2</v>
          </cell>
          <cell r="E1045">
            <v>16</v>
          </cell>
          <cell r="F1045">
            <v>1308.23</v>
          </cell>
          <cell r="G1045">
            <v>1304.19</v>
          </cell>
          <cell r="H1045">
            <v>1304.42</v>
          </cell>
          <cell r="I1045">
            <v>1299.29</v>
          </cell>
          <cell r="J1045">
            <v>47.5</v>
          </cell>
          <cell r="K1045">
            <v>0</v>
          </cell>
          <cell r="L1045" t="str">
            <v xml:space="preserve">Tramos Existentes </v>
          </cell>
          <cell r="M1045" t="str">
            <v>Existente</v>
          </cell>
        </row>
        <row r="1046">
          <cell r="B1046">
            <v>800</v>
          </cell>
          <cell r="C1046">
            <v>861</v>
          </cell>
          <cell r="D1046">
            <v>1.4999999999999999E-2</v>
          </cell>
          <cell r="E1046">
            <v>16</v>
          </cell>
          <cell r="F1046">
            <v>1304.19</v>
          </cell>
          <cell r="G1046">
            <v>1294.3499999999999</v>
          </cell>
          <cell r="H1046">
            <v>1299.29</v>
          </cell>
          <cell r="I1046">
            <v>1292.52</v>
          </cell>
          <cell r="J1046">
            <v>29.4</v>
          </cell>
          <cell r="K1046">
            <v>0</v>
          </cell>
          <cell r="L1046" t="str">
            <v xml:space="preserve">Tramos Existentes </v>
          </cell>
          <cell r="M1046" t="str">
            <v>Existente</v>
          </cell>
        </row>
        <row r="1047">
          <cell r="B1047">
            <v>861</v>
          </cell>
          <cell r="C1047">
            <v>798</v>
          </cell>
          <cell r="D1047">
            <v>1.4999999999999999E-2</v>
          </cell>
          <cell r="E1047">
            <v>16</v>
          </cell>
          <cell r="F1047">
            <v>1294.3499999999999</v>
          </cell>
          <cell r="G1047">
            <v>1293.68</v>
          </cell>
          <cell r="H1047">
            <v>1292.52</v>
          </cell>
          <cell r="I1047">
            <v>1289.5</v>
          </cell>
          <cell r="J1047">
            <v>53.2</v>
          </cell>
          <cell r="K1047">
            <v>0</v>
          </cell>
          <cell r="L1047" t="str">
            <v xml:space="preserve">Tramos Existentes </v>
          </cell>
          <cell r="M1047" t="str">
            <v>Existente</v>
          </cell>
        </row>
        <row r="1048">
          <cell r="B1048">
            <v>814</v>
          </cell>
          <cell r="C1048">
            <v>949</v>
          </cell>
          <cell r="D1048">
            <v>0.01</v>
          </cell>
          <cell r="E1048">
            <v>24</v>
          </cell>
          <cell r="F1048">
            <v>1286.4000000000001</v>
          </cell>
          <cell r="G1048">
            <v>1286.03</v>
          </cell>
          <cell r="H1048">
            <v>1284.22</v>
          </cell>
          <cell r="I1048">
            <v>1282.0999999999999</v>
          </cell>
          <cell r="J1048">
            <v>20.2</v>
          </cell>
          <cell r="K1048">
            <v>0</v>
          </cell>
          <cell r="L1048" t="str">
            <v xml:space="preserve">Tramos Existentes </v>
          </cell>
          <cell r="M1048" t="str">
            <v>Existente</v>
          </cell>
        </row>
        <row r="1049">
          <cell r="B1049">
            <v>949</v>
          </cell>
          <cell r="C1049">
            <v>947</v>
          </cell>
          <cell r="D1049">
            <v>0.01</v>
          </cell>
          <cell r="E1049">
            <v>24</v>
          </cell>
          <cell r="F1049">
            <v>1286.03</v>
          </cell>
          <cell r="G1049">
            <v>1282.68</v>
          </cell>
          <cell r="H1049">
            <v>1282.0999999999999</v>
          </cell>
          <cell r="I1049">
            <v>1281.82</v>
          </cell>
          <cell r="J1049">
            <v>71.7</v>
          </cell>
          <cell r="K1049">
            <v>0</v>
          </cell>
          <cell r="L1049" t="str">
            <v xml:space="preserve">Tramos Existentes </v>
          </cell>
          <cell r="M1049" t="str">
            <v>Existente</v>
          </cell>
        </row>
        <row r="1050">
          <cell r="B1050">
            <v>788</v>
          </cell>
          <cell r="C1050" t="str">
            <v>D11</v>
          </cell>
          <cell r="D1050">
            <v>1.4999999999999999E-2</v>
          </cell>
          <cell r="E1050">
            <v>10</v>
          </cell>
          <cell r="F1050">
            <v>1289.6500000000001</v>
          </cell>
          <cell r="G1050">
            <v>1286.76</v>
          </cell>
          <cell r="H1050">
            <v>1287.78</v>
          </cell>
          <cell r="I1050">
            <v>1286.76</v>
          </cell>
          <cell r="J1050">
            <v>17.3</v>
          </cell>
          <cell r="K1050">
            <v>0</v>
          </cell>
          <cell r="L1050" t="str">
            <v xml:space="preserve">Tramos Existentes </v>
          </cell>
          <cell r="M1050" t="str">
            <v>Existente</v>
          </cell>
        </row>
        <row r="1051">
          <cell r="B1051">
            <v>905</v>
          </cell>
          <cell r="C1051">
            <v>906</v>
          </cell>
          <cell r="D1051">
            <v>1.4999999999999999E-2</v>
          </cell>
          <cell r="E1051">
            <v>16</v>
          </cell>
          <cell r="F1051">
            <v>1320.42</v>
          </cell>
          <cell r="G1051">
            <v>1320.61</v>
          </cell>
          <cell r="H1051">
            <v>1315.61</v>
          </cell>
          <cell r="I1051">
            <v>1313.27</v>
          </cell>
          <cell r="J1051">
            <v>9</v>
          </cell>
          <cell r="K1051">
            <v>0</v>
          </cell>
          <cell r="L1051" t="str">
            <v xml:space="preserve">Tramos Existentes </v>
          </cell>
          <cell r="M1051" t="str">
            <v>Existente</v>
          </cell>
        </row>
        <row r="1052">
          <cell r="B1052">
            <v>830</v>
          </cell>
          <cell r="C1052">
            <v>973</v>
          </cell>
          <cell r="D1052">
            <v>1.4999999999999999E-2</v>
          </cell>
          <cell r="E1052">
            <v>12</v>
          </cell>
          <cell r="F1052">
            <v>1312.44</v>
          </cell>
          <cell r="G1052">
            <v>1312.17</v>
          </cell>
          <cell r="H1052">
            <v>1310.99</v>
          </cell>
          <cell r="I1052">
            <v>1306.6199999999999</v>
          </cell>
          <cell r="J1052">
            <v>77.599999999999994</v>
          </cell>
          <cell r="K1052">
            <v>0</v>
          </cell>
          <cell r="L1052" t="str">
            <v xml:space="preserve">Tramos Existentes </v>
          </cell>
          <cell r="M1052" t="str">
            <v>Existente</v>
          </cell>
        </row>
        <row r="1053">
          <cell r="B1053">
            <v>968</v>
          </cell>
          <cell r="C1053">
            <v>882</v>
          </cell>
          <cell r="D1053">
            <v>1.4999999999999999E-2</v>
          </cell>
          <cell r="E1053">
            <v>8</v>
          </cell>
          <cell r="F1053">
            <v>1310.52</v>
          </cell>
          <cell r="G1053">
            <v>1308.8599999999999</v>
          </cell>
          <cell r="H1053">
            <v>1307.99</v>
          </cell>
          <cell r="I1053">
            <v>1306.31</v>
          </cell>
          <cell r="J1053">
            <v>40.1</v>
          </cell>
          <cell r="K1053">
            <v>0</v>
          </cell>
          <cell r="L1053" t="str">
            <v xml:space="preserve">Tramos Existentes </v>
          </cell>
          <cell r="M1053" t="str">
            <v>Existente</v>
          </cell>
        </row>
        <row r="1054">
          <cell r="B1054">
            <v>887</v>
          </cell>
          <cell r="C1054">
            <v>886</v>
          </cell>
          <cell r="D1054">
            <v>1.4999999999999999E-2</v>
          </cell>
          <cell r="E1054">
            <v>8</v>
          </cell>
          <cell r="F1054">
            <v>1315.12</v>
          </cell>
          <cell r="G1054">
            <v>1315.09</v>
          </cell>
          <cell r="H1054">
            <v>1312.51</v>
          </cell>
          <cell r="I1054">
            <v>1312.27</v>
          </cell>
          <cell r="J1054">
            <v>28.4</v>
          </cell>
          <cell r="K1054">
            <v>0</v>
          </cell>
          <cell r="L1054" t="str">
            <v xml:space="preserve">Tramos Existentes </v>
          </cell>
          <cell r="M1054" t="str">
            <v>Existente</v>
          </cell>
        </row>
        <row r="1055">
          <cell r="B1055">
            <v>892</v>
          </cell>
          <cell r="C1055">
            <v>972</v>
          </cell>
          <cell r="D1055">
            <v>1.4999999999999999E-2</v>
          </cell>
          <cell r="E1055">
            <v>12</v>
          </cell>
          <cell r="F1055">
            <v>1312.98</v>
          </cell>
          <cell r="G1055">
            <v>1312.87</v>
          </cell>
          <cell r="H1055">
            <v>1311.81</v>
          </cell>
          <cell r="I1055">
            <v>1306.9100000000001</v>
          </cell>
          <cell r="J1055">
            <v>73.3</v>
          </cell>
          <cell r="K1055">
            <v>0</v>
          </cell>
          <cell r="L1055" t="str">
            <v xml:space="preserve">Tramos Existentes </v>
          </cell>
          <cell r="M1055" t="str">
            <v>Existente</v>
          </cell>
        </row>
        <row r="1056">
          <cell r="B1056">
            <v>893</v>
          </cell>
          <cell r="C1056">
            <v>971</v>
          </cell>
          <cell r="D1056">
            <v>1.4999999999999999E-2</v>
          </cell>
          <cell r="E1056">
            <v>12</v>
          </cell>
          <cell r="F1056">
            <v>1312.84</v>
          </cell>
          <cell r="G1056">
            <v>1312.86</v>
          </cell>
          <cell r="H1056">
            <v>1311.56</v>
          </cell>
          <cell r="I1056">
            <v>1307.0999999999999</v>
          </cell>
          <cell r="J1056">
            <v>68</v>
          </cell>
          <cell r="K1056">
            <v>0</v>
          </cell>
          <cell r="L1056" t="str">
            <v xml:space="preserve">Tramos Existentes </v>
          </cell>
          <cell r="M1056" t="str">
            <v>Existente</v>
          </cell>
        </row>
        <row r="1057">
          <cell r="B1057">
            <v>896</v>
          </cell>
          <cell r="C1057">
            <v>900</v>
          </cell>
          <cell r="D1057">
            <v>1.4999999999999999E-2</v>
          </cell>
          <cell r="E1057">
            <v>12</v>
          </cell>
          <cell r="F1057">
            <v>1312.81</v>
          </cell>
          <cell r="G1057">
            <v>1312.36</v>
          </cell>
          <cell r="H1057">
            <v>1311.57</v>
          </cell>
          <cell r="I1057">
            <v>1307.56</v>
          </cell>
          <cell r="J1057">
            <v>54.7</v>
          </cell>
          <cell r="K1057">
            <v>0</v>
          </cell>
          <cell r="L1057" t="str">
            <v xml:space="preserve">Tramos Existentes </v>
          </cell>
          <cell r="M1057" t="str">
            <v>Existente</v>
          </cell>
        </row>
        <row r="1058">
          <cell r="B1058">
            <v>898</v>
          </cell>
          <cell r="C1058">
            <v>725</v>
          </cell>
          <cell r="D1058">
            <v>1.4999999999999999E-2</v>
          </cell>
          <cell r="E1058">
            <v>12</v>
          </cell>
          <cell r="F1058">
            <v>1311.81</v>
          </cell>
          <cell r="G1058">
            <v>1311.77</v>
          </cell>
          <cell r="H1058">
            <v>1309.81</v>
          </cell>
          <cell r="I1058">
            <v>1307.83</v>
          </cell>
          <cell r="J1058">
            <v>37.200000000000003</v>
          </cell>
          <cell r="K1058">
            <v>0</v>
          </cell>
          <cell r="L1058" t="str">
            <v xml:space="preserve">Tramos Existentes </v>
          </cell>
          <cell r="M1058" t="str">
            <v>Existente</v>
          </cell>
        </row>
        <row r="1059">
          <cell r="B1059">
            <v>9</v>
          </cell>
          <cell r="C1059">
            <v>110</v>
          </cell>
          <cell r="D1059">
            <v>1.4999999999999999E-2</v>
          </cell>
          <cell r="E1059">
            <v>10</v>
          </cell>
          <cell r="F1059">
            <v>1301.94</v>
          </cell>
          <cell r="G1059">
            <v>1299.8900000000001</v>
          </cell>
          <cell r="H1059">
            <v>1299.96</v>
          </cell>
          <cell r="I1059">
            <v>1297.3900000000001</v>
          </cell>
          <cell r="J1059">
            <v>45.1</v>
          </cell>
          <cell r="K1059">
            <v>0</v>
          </cell>
          <cell r="L1059" t="str">
            <v xml:space="preserve">Tramos Existentes </v>
          </cell>
          <cell r="M1059" t="str">
            <v>Existente</v>
          </cell>
        </row>
        <row r="1060">
          <cell r="B1060">
            <v>901</v>
          </cell>
          <cell r="C1060">
            <v>758</v>
          </cell>
          <cell r="D1060">
            <v>1.4999999999999999E-2</v>
          </cell>
          <cell r="E1060">
            <v>10</v>
          </cell>
          <cell r="F1060">
            <v>1321.08</v>
          </cell>
          <cell r="G1060">
            <v>1320.89</v>
          </cell>
          <cell r="H1060">
            <v>1319.5</v>
          </cell>
          <cell r="I1060">
            <v>1318.59</v>
          </cell>
          <cell r="J1060">
            <v>21.7</v>
          </cell>
          <cell r="K1060">
            <v>0</v>
          </cell>
          <cell r="L1060" t="str">
            <v xml:space="preserve">Tramos Existentes </v>
          </cell>
          <cell r="M1060" t="str">
            <v>Existente</v>
          </cell>
        </row>
        <row r="1061">
          <cell r="B1061" t="str">
            <v>964i</v>
          </cell>
          <cell r="C1061">
            <v>966</v>
          </cell>
          <cell r="D1061">
            <v>1.4999999999999999E-2</v>
          </cell>
          <cell r="E1061">
            <v>8</v>
          </cell>
          <cell r="F1061">
            <v>1313.05</v>
          </cell>
          <cell r="G1061">
            <v>1311.17</v>
          </cell>
          <cell r="H1061">
            <v>1311.45</v>
          </cell>
          <cell r="I1061">
            <v>1308.8599999999999</v>
          </cell>
          <cell r="J1061">
            <v>29.1</v>
          </cell>
          <cell r="K1061">
            <v>0</v>
          </cell>
          <cell r="L1061" t="str">
            <v xml:space="preserve">Tramos Existentes </v>
          </cell>
          <cell r="M1061" t="str">
            <v>Existente</v>
          </cell>
        </row>
        <row r="1062">
          <cell r="B1062">
            <v>902</v>
          </cell>
          <cell r="C1062">
            <v>905</v>
          </cell>
          <cell r="D1062">
            <v>1.4999999999999999E-2</v>
          </cell>
          <cell r="E1062">
            <v>16</v>
          </cell>
          <cell r="F1062">
            <v>1319.7</v>
          </cell>
          <cell r="G1062">
            <v>1320.42</v>
          </cell>
          <cell r="H1062">
            <v>1317.07</v>
          </cell>
          <cell r="I1062">
            <v>1315.61</v>
          </cell>
          <cell r="J1062">
            <v>23.4</v>
          </cell>
          <cell r="K1062">
            <v>0</v>
          </cell>
          <cell r="L1062" t="str">
            <v xml:space="preserve">Tramos Existentes </v>
          </cell>
          <cell r="M1062" t="str">
            <v>Existente</v>
          </cell>
        </row>
        <row r="1063">
          <cell r="B1063">
            <v>881</v>
          </cell>
          <cell r="C1063">
            <v>970</v>
          </cell>
          <cell r="D1063">
            <v>1.4999999999999999E-2</v>
          </cell>
          <cell r="E1063">
            <v>8</v>
          </cell>
          <cell r="F1063">
            <v>1308.98</v>
          </cell>
          <cell r="G1063">
            <v>1310.28</v>
          </cell>
          <cell r="H1063">
            <v>1305.23</v>
          </cell>
          <cell r="I1063">
            <v>1304.97</v>
          </cell>
          <cell r="J1063">
            <v>20.6</v>
          </cell>
          <cell r="K1063">
            <v>0</v>
          </cell>
          <cell r="L1063" t="str">
            <v xml:space="preserve">Tramos Existentes </v>
          </cell>
          <cell r="M1063" t="str">
            <v>Existente</v>
          </cell>
        </row>
        <row r="1064">
          <cell r="B1064">
            <v>919</v>
          </cell>
          <cell r="C1064">
            <v>912</v>
          </cell>
          <cell r="D1064">
            <v>1.4999999999999999E-2</v>
          </cell>
          <cell r="E1064">
            <v>10</v>
          </cell>
          <cell r="F1064">
            <v>1315.46</v>
          </cell>
          <cell r="G1064">
            <v>1312.99</v>
          </cell>
          <cell r="H1064">
            <v>1310.3399999999999</v>
          </cell>
          <cell r="I1064">
            <v>1308.32</v>
          </cell>
          <cell r="J1064">
            <v>20.3</v>
          </cell>
          <cell r="K1064">
            <v>0</v>
          </cell>
          <cell r="L1064" t="str">
            <v xml:space="preserve">Tramos Existentes </v>
          </cell>
          <cell r="M1064" t="str">
            <v>Existente</v>
          </cell>
        </row>
        <row r="1065">
          <cell r="B1065">
            <v>915</v>
          </cell>
          <cell r="C1065">
            <v>905</v>
          </cell>
          <cell r="D1065">
            <v>1.4999999999999999E-2</v>
          </cell>
          <cell r="E1065">
            <v>12</v>
          </cell>
          <cell r="F1065">
            <v>1320.26</v>
          </cell>
          <cell r="G1065">
            <v>1320.42</v>
          </cell>
          <cell r="H1065">
            <v>1318.73</v>
          </cell>
          <cell r="I1065">
            <v>1315.61</v>
          </cell>
          <cell r="J1065">
            <v>51.2</v>
          </cell>
          <cell r="K1065">
            <v>0</v>
          </cell>
          <cell r="L1065" t="str">
            <v xml:space="preserve">Tramos Existentes </v>
          </cell>
          <cell r="M1065" t="str">
            <v>Existente</v>
          </cell>
        </row>
        <row r="1066">
          <cell r="B1066">
            <v>917</v>
          </cell>
          <cell r="C1066">
            <v>747</v>
          </cell>
          <cell r="D1066">
            <v>1.4999999999999999E-2</v>
          </cell>
          <cell r="E1066">
            <v>10</v>
          </cell>
          <cell r="F1066">
            <v>1321.46</v>
          </cell>
          <cell r="G1066">
            <v>1321.07</v>
          </cell>
          <cell r="H1066">
            <v>1319.69</v>
          </cell>
          <cell r="I1066">
            <v>1318.75</v>
          </cell>
          <cell r="J1066">
            <v>19.8</v>
          </cell>
          <cell r="K1066">
            <v>0</v>
          </cell>
          <cell r="L1066" t="str">
            <v xml:space="preserve">Tramos Existentes </v>
          </cell>
          <cell r="M1066" t="str">
            <v>Existente</v>
          </cell>
        </row>
        <row r="1067">
          <cell r="B1067">
            <v>92</v>
          </cell>
          <cell r="C1067">
            <v>93</v>
          </cell>
          <cell r="D1067">
            <v>0.01</v>
          </cell>
          <cell r="E1067">
            <v>14</v>
          </cell>
          <cell r="F1067">
            <v>1304.56</v>
          </cell>
          <cell r="G1067">
            <v>1302.1300000000001</v>
          </cell>
          <cell r="H1067">
            <v>1303.04</v>
          </cell>
          <cell r="I1067">
            <v>1300.54</v>
          </cell>
          <cell r="J1067">
            <v>47.5</v>
          </cell>
          <cell r="K1067">
            <v>0</v>
          </cell>
          <cell r="L1067" t="str">
            <v xml:space="preserve">Tramos Existentes </v>
          </cell>
          <cell r="M1067" t="str">
            <v>Existente</v>
          </cell>
        </row>
        <row r="1068">
          <cell r="B1068">
            <v>93</v>
          </cell>
          <cell r="C1068">
            <v>94</v>
          </cell>
          <cell r="D1068">
            <v>0.01</v>
          </cell>
          <cell r="E1068">
            <v>12</v>
          </cell>
          <cell r="F1068">
            <v>1302.1300000000001</v>
          </cell>
          <cell r="G1068">
            <v>1303.2</v>
          </cell>
          <cell r="H1068">
            <v>1300.54</v>
          </cell>
          <cell r="I1068">
            <v>1296.0899999999999</v>
          </cell>
          <cell r="J1068">
            <v>17.600000000000001</v>
          </cell>
          <cell r="K1068">
            <v>0</v>
          </cell>
          <cell r="L1068" t="str">
            <v xml:space="preserve">Tramos Existentes </v>
          </cell>
          <cell r="M1068" t="str">
            <v>Existente</v>
          </cell>
        </row>
        <row r="1069">
          <cell r="B1069">
            <v>94</v>
          </cell>
          <cell r="C1069">
            <v>91</v>
          </cell>
          <cell r="D1069">
            <v>1.4999999999999999E-2</v>
          </cell>
          <cell r="E1069">
            <v>24</v>
          </cell>
          <cell r="F1069">
            <v>1303.2</v>
          </cell>
          <cell r="G1069">
            <v>1302.19</v>
          </cell>
          <cell r="H1069">
            <v>1296.0899999999999</v>
          </cell>
          <cell r="I1069">
            <v>1296.05</v>
          </cell>
          <cell r="J1069">
            <v>53.6</v>
          </cell>
          <cell r="K1069">
            <v>0</v>
          </cell>
          <cell r="L1069" t="str">
            <v xml:space="preserve">Tramos Existentes </v>
          </cell>
          <cell r="M1069" t="str">
            <v>Existente</v>
          </cell>
        </row>
        <row r="1070">
          <cell r="B1070" t="str">
            <v>923i</v>
          </cell>
          <cell r="C1070">
            <v>924</v>
          </cell>
          <cell r="D1070">
            <v>1.4999999999999999E-2</v>
          </cell>
          <cell r="E1070">
            <v>8</v>
          </cell>
          <cell r="F1070">
            <v>1302.1199999999999</v>
          </cell>
          <cell r="G1070">
            <v>1301.69</v>
          </cell>
          <cell r="H1070">
            <v>1300.97</v>
          </cell>
          <cell r="I1070">
            <v>1299.21</v>
          </cell>
          <cell r="J1070">
            <v>30.8</v>
          </cell>
          <cell r="K1070">
            <v>0</v>
          </cell>
          <cell r="L1070" t="str">
            <v xml:space="preserve">Tramos Existentes </v>
          </cell>
          <cell r="M1070" t="str">
            <v>Existente</v>
          </cell>
        </row>
        <row r="1071">
          <cell r="B1071">
            <v>924</v>
          </cell>
          <cell r="C1071">
            <v>1097</v>
          </cell>
          <cell r="D1071">
            <v>1.4999999999999999E-2</v>
          </cell>
          <cell r="E1071">
            <v>8</v>
          </cell>
          <cell r="F1071">
            <v>1301.69</v>
          </cell>
          <cell r="G1071">
            <v>1297.4100000000001</v>
          </cell>
          <cell r="H1071">
            <v>1299.21</v>
          </cell>
          <cell r="I1071">
            <v>1295.4100000000001</v>
          </cell>
          <cell r="J1071">
            <v>10.5</v>
          </cell>
          <cell r="K1071">
            <v>0</v>
          </cell>
          <cell r="L1071" t="str">
            <v xml:space="preserve">Tramos Existentes </v>
          </cell>
          <cell r="M1071" t="str">
            <v>Existente</v>
          </cell>
        </row>
        <row r="1072">
          <cell r="B1072">
            <v>923</v>
          </cell>
          <cell r="C1072">
            <v>928</v>
          </cell>
          <cell r="D1072">
            <v>1.4999999999999999E-2</v>
          </cell>
          <cell r="E1072">
            <v>8</v>
          </cell>
          <cell r="F1072">
            <v>1302.1199999999999</v>
          </cell>
          <cell r="G1072">
            <v>1300.58</v>
          </cell>
          <cell r="H1072">
            <v>1300.82</v>
          </cell>
          <cell r="I1072">
            <v>1299.6400000000001</v>
          </cell>
          <cell r="J1072">
            <v>32.200000000000003</v>
          </cell>
          <cell r="K1072">
            <v>0</v>
          </cell>
          <cell r="L1072" t="str">
            <v xml:space="preserve">Tramos Existentes </v>
          </cell>
          <cell r="M1072" t="str">
            <v>Existente</v>
          </cell>
        </row>
        <row r="1073">
          <cell r="B1073">
            <v>904</v>
          </cell>
          <cell r="C1073">
            <v>902</v>
          </cell>
          <cell r="D1073">
            <v>1.4999999999999999E-2</v>
          </cell>
          <cell r="E1073">
            <v>8</v>
          </cell>
          <cell r="F1073">
            <v>1319.32</v>
          </cell>
          <cell r="G1073">
            <v>1319.7</v>
          </cell>
          <cell r="H1073">
            <v>1317.41</v>
          </cell>
          <cell r="I1073">
            <v>1317.07</v>
          </cell>
          <cell r="J1073">
            <v>4.8</v>
          </cell>
          <cell r="K1073">
            <v>0</v>
          </cell>
          <cell r="L1073" t="str">
            <v xml:space="preserve">Tramos Existentes </v>
          </cell>
          <cell r="M1073" t="str">
            <v>Existente</v>
          </cell>
        </row>
        <row r="1074">
          <cell r="B1074">
            <v>862</v>
          </cell>
          <cell r="C1074">
            <v>861</v>
          </cell>
          <cell r="D1074">
            <v>1.4999999999999999E-2</v>
          </cell>
          <cell r="E1074">
            <v>16</v>
          </cell>
          <cell r="F1074">
            <v>1297.3699999999999</v>
          </cell>
          <cell r="G1074">
            <v>1294.3499999999999</v>
          </cell>
          <cell r="H1074">
            <v>1295.1500000000001</v>
          </cell>
          <cell r="I1074">
            <v>1292.52</v>
          </cell>
          <cell r="J1074">
            <v>32.4</v>
          </cell>
          <cell r="K1074">
            <v>0</v>
          </cell>
          <cell r="L1074" t="str">
            <v xml:space="preserve">Tramos Existentes </v>
          </cell>
          <cell r="M1074" t="str">
            <v>Existente</v>
          </cell>
        </row>
        <row r="1075">
          <cell r="B1075" t="str">
            <v>84i</v>
          </cell>
          <cell r="C1075">
            <v>86</v>
          </cell>
          <cell r="D1075">
            <v>1.4999999999999999E-2</v>
          </cell>
          <cell r="E1075">
            <v>12</v>
          </cell>
          <cell r="F1075">
            <v>1312.65</v>
          </cell>
          <cell r="G1075">
            <v>1311.35</v>
          </cell>
          <cell r="H1075">
            <v>1310.18</v>
          </cell>
          <cell r="I1075">
            <v>1305.6400000000001</v>
          </cell>
          <cell r="J1075">
            <v>79</v>
          </cell>
          <cell r="K1075">
            <v>0</v>
          </cell>
          <cell r="L1075" t="str">
            <v xml:space="preserve">Tramos Existentes </v>
          </cell>
          <cell r="M1075" t="str">
            <v>Existente</v>
          </cell>
        </row>
        <row r="1076">
          <cell r="B1076">
            <v>845</v>
          </cell>
          <cell r="C1076">
            <v>844</v>
          </cell>
          <cell r="D1076">
            <v>1.4999999999999999E-2</v>
          </cell>
          <cell r="E1076">
            <v>8</v>
          </cell>
          <cell r="F1076">
            <v>1299.8499999999999</v>
          </cell>
          <cell r="G1076">
            <v>1298.77</v>
          </cell>
          <cell r="H1076">
            <v>1298.1300000000001</v>
          </cell>
          <cell r="I1076">
            <v>1297.6500000000001</v>
          </cell>
          <cell r="J1076">
            <v>13.3</v>
          </cell>
          <cell r="K1076">
            <v>0</v>
          </cell>
          <cell r="L1076" t="str">
            <v xml:space="preserve">Tramos Existentes </v>
          </cell>
          <cell r="M1076" t="str">
            <v>Existente</v>
          </cell>
        </row>
        <row r="1077">
          <cell r="B1077">
            <v>844</v>
          </cell>
          <cell r="C1077">
            <v>847</v>
          </cell>
          <cell r="D1077">
            <v>1.4999999999999999E-2</v>
          </cell>
          <cell r="E1077">
            <v>10</v>
          </cell>
          <cell r="F1077">
            <v>1298.77</v>
          </cell>
          <cell r="G1077">
            <v>1297.45</v>
          </cell>
          <cell r="H1077">
            <v>1297.6500000000001</v>
          </cell>
          <cell r="I1077">
            <v>1296.01</v>
          </cell>
          <cell r="J1077">
            <v>33.700000000000003</v>
          </cell>
          <cell r="K1077">
            <v>0</v>
          </cell>
          <cell r="L1077" t="str">
            <v xml:space="preserve">Tramos Existentes </v>
          </cell>
          <cell r="M1077" t="str">
            <v>Existente</v>
          </cell>
        </row>
        <row r="1078">
          <cell r="B1078">
            <v>847</v>
          </cell>
          <cell r="C1078">
            <v>820</v>
          </cell>
          <cell r="D1078">
            <v>1.4999999999999999E-2</v>
          </cell>
          <cell r="E1078">
            <v>12</v>
          </cell>
          <cell r="F1078">
            <v>1297.45</v>
          </cell>
          <cell r="G1078">
            <v>1295.1199999999999</v>
          </cell>
          <cell r="H1078">
            <v>1296.01</v>
          </cell>
          <cell r="I1078">
            <v>1293.51</v>
          </cell>
          <cell r="J1078">
            <v>31.9</v>
          </cell>
          <cell r="K1078">
            <v>0</v>
          </cell>
          <cell r="L1078" t="str">
            <v xml:space="preserve">Tramos Existentes </v>
          </cell>
          <cell r="M1078" t="str">
            <v>Existente</v>
          </cell>
        </row>
        <row r="1079">
          <cell r="B1079">
            <v>846</v>
          </cell>
          <cell r="C1079">
            <v>847</v>
          </cell>
          <cell r="D1079">
            <v>1.4999999999999999E-2</v>
          </cell>
          <cell r="E1079">
            <v>8</v>
          </cell>
          <cell r="F1079">
            <v>1298.6400000000001</v>
          </cell>
          <cell r="G1079">
            <v>1297.45</v>
          </cell>
          <cell r="H1079">
            <v>1297.28</v>
          </cell>
          <cell r="I1079">
            <v>1296.01</v>
          </cell>
          <cell r="J1079">
            <v>28.4</v>
          </cell>
          <cell r="K1079">
            <v>0</v>
          </cell>
          <cell r="L1079" t="str">
            <v xml:space="preserve">Tramos Existentes </v>
          </cell>
          <cell r="M1079" t="str">
            <v>Existente</v>
          </cell>
        </row>
        <row r="1080">
          <cell r="B1080">
            <v>852</v>
          </cell>
          <cell r="C1080">
            <v>853</v>
          </cell>
          <cell r="D1080">
            <v>1.4999999999999999E-2</v>
          </cell>
          <cell r="E1080">
            <v>10</v>
          </cell>
          <cell r="F1080">
            <v>1315.96</v>
          </cell>
          <cell r="G1080">
            <v>1315.85</v>
          </cell>
          <cell r="H1080">
            <v>1314.33</v>
          </cell>
          <cell r="I1080">
            <v>1312.57</v>
          </cell>
          <cell r="J1080">
            <v>16.5</v>
          </cell>
          <cell r="K1080">
            <v>0</v>
          </cell>
          <cell r="L1080" t="str">
            <v xml:space="preserve">Tramos Existentes </v>
          </cell>
          <cell r="M1080" t="str">
            <v>Existente</v>
          </cell>
        </row>
        <row r="1081">
          <cell r="B1081">
            <v>855</v>
          </cell>
          <cell r="C1081">
            <v>856</v>
          </cell>
          <cell r="D1081">
            <v>1.4999999999999999E-2</v>
          </cell>
          <cell r="E1081">
            <v>10</v>
          </cell>
          <cell r="F1081">
            <v>1314.33</v>
          </cell>
          <cell r="G1081">
            <v>1313.36</v>
          </cell>
          <cell r="H1081">
            <v>1312.35</v>
          </cell>
          <cell r="I1081">
            <v>1311.28</v>
          </cell>
          <cell r="J1081">
            <v>65.900000000000006</v>
          </cell>
          <cell r="K1081">
            <v>0</v>
          </cell>
          <cell r="L1081" t="str">
            <v xml:space="preserve">Tramos Existentes </v>
          </cell>
          <cell r="M1081" t="str">
            <v>Existente</v>
          </cell>
        </row>
        <row r="1082">
          <cell r="B1082" t="str">
            <v>932ii</v>
          </cell>
          <cell r="C1082">
            <v>857</v>
          </cell>
          <cell r="D1082">
            <v>1.4999999999999999E-2</v>
          </cell>
          <cell r="E1082">
            <v>10</v>
          </cell>
          <cell r="F1082">
            <v>1316.66</v>
          </cell>
          <cell r="G1082">
            <v>1316.05</v>
          </cell>
          <cell r="H1082">
            <v>1314.86</v>
          </cell>
          <cell r="I1082">
            <v>1312.73</v>
          </cell>
          <cell r="J1082">
            <v>78.400000000000006</v>
          </cell>
          <cell r="K1082">
            <v>0</v>
          </cell>
          <cell r="L1082" t="str">
            <v xml:space="preserve">Tramos Existentes </v>
          </cell>
          <cell r="M1082" t="str">
            <v>Existente</v>
          </cell>
        </row>
        <row r="1083">
          <cell r="B1083">
            <v>857</v>
          </cell>
          <cell r="C1083">
            <v>858</v>
          </cell>
          <cell r="D1083">
            <v>1.4999999999999999E-2</v>
          </cell>
          <cell r="E1083">
            <v>12</v>
          </cell>
          <cell r="F1083">
            <v>1316.05</v>
          </cell>
          <cell r="G1083">
            <v>1309.18</v>
          </cell>
          <cell r="H1083">
            <v>1312.73</v>
          </cell>
          <cell r="I1083">
            <v>1304.5999999999999</v>
          </cell>
          <cell r="J1083">
            <v>72.400000000000006</v>
          </cell>
          <cell r="K1083">
            <v>0</v>
          </cell>
          <cell r="L1083" t="str">
            <v xml:space="preserve">Tramos Existentes </v>
          </cell>
          <cell r="M1083" t="str">
            <v>Existente</v>
          </cell>
        </row>
        <row r="1084">
          <cell r="B1084">
            <v>966</v>
          </cell>
          <cell r="C1084">
            <v>968</v>
          </cell>
          <cell r="D1084">
            <v>1.4999999999999999E-2</v>
          </cell>
          <cell r="E1084">
            <v>8</v>
          </cell>
          <cell r="F1084">
            <v>1311.17</v>
          </cell>
          <cell r="G1084">
            <v>1310.52</v>
          </cell>
          <cell r="H1084">
            <v>1308.8599999999999</v>
          </cell>
          <cell r="I1084">
            <v>1307.99</v>
          </cell>
          <cell r="J1084">
            <v>44.8</v>
          </cell>
          <cell r="K1084">
            <v>0</v>
          </cell>
          <cell r="L1084" t="str">
            <v xml:space="preserve">Tramos Existentes </v>
          </cell>
          <cell r="M1084" t="str">
            <v>Existente</v>
          </cell>
        </row>
        <row r="1085">
          <cell r="B1085">
            <v>863</v>
          </cell>
          <cell r="C1085">
            <v>862</v>
          </cell>
          <cell r="D1085">
            <v>1.4999999999999999E-2</v>
          </cell>
          <cell r="E1085">
            <v>12</v>
          </cell>
          <cell r="F1085">
            <v>1301.93</v>
          </cell>
          <cell r="G1085">
            <v>1297.3699999999999</v>
          </cell>
          <cell r="H1085">
            <v>1299.78</v>
          </cell>
          <cell r="I1085">
            <v>1295.1500000000001</v>
          </cell>
          <cell r="J1085">
            <v>16.3</v>
          </cell>
          <cell r="K1085">
            <v>0</v>
          </cell>
          <cell r="L1085" t="str">
            <v xml:space="preserve">Tramos Existentes </v>
          </cell>
          <cell r="M1085" t="str">
            <v>Existente</v>
          </cell>
        </row>
        <row r="1086">
          <cell r="B1086">
            <v>758</v>
          </cell>
          <cell r="C1086">
            <v>755</v>
          </cell>
          <cell r="D1086">
            <v>1.4999999999999999E-2</v>
          </cell>
          <cell r="E1086">
            <v>10</v>
          </cell>
          <cell r="F1086">
            <v>1320.89</v>
          </cell>
          <cell r="G1086">
            <v>1320.93</v>
          </cell>
          <cell r="H1086">
            <v>1318.59</v>
          </cell>
          <cell r="I1086">
            <v>1317.71</v>
          </cell>
          <cell r="J1086">
            <v>33.700000000000003</v>
          </cell>
          <cell r="K1086">
            <v>0</v>
          </cell>
          <cell r="L1086" t="str">
            <v xml:space="preserve">Tramos Existentes </v>
          </cell>
          <cell r="M1086" t="str">
            <v>Existente</v>
          </cell>
        </row>
        <row r="1087">
          <cell r="B1087" t="str">
            <v>87i</v>
          </cell>
          <cell r="C1087">
            <v>90</v>
          </cell>
          <cell r="D1087">
            <v>1.4999999999999999E-2</v>
          </cell>
          <cell r="E1087">
            <v>12</v>
          </cell>
          <cell r="F1087">
            <v>1305.3599999999999</v>
          </cell>
          <cell r="G1087">
            <v>1302.25</v>
          </cell>
          <cell r="H1087">
            <v>1303.96</v>
          </cell>
          <cell r="I1087">
            <v>1300.0899999999999</v>
          </cell>
          <cell r="J1087">
            <v>74</v>
          </cell>
          <cell r="K1087">
            <v>0</v>
          </cell>
          <cell r="L1087" t="str">
            <v xml:space="preserve">Tramos Existentes </v>
          </cell>
          <cell r="M1087" t="str">
            <v>Existente</v>
          </cell>
        </row>
        <row r="1088">
          <cell r="B1088">
            <v>90</v>
          </cell>
          <cell r="C1088">
            <v>89</v>
          </cell>
          <cell r="D1088">
            <v>1.4999999999999999E-2</v>
          </cell>
          <cell r="E1088">
            <v>16</v>
          </cell>
          <cell r="F1088">
            <v>1302.25</v>
          </cell>
          <cell r="G1088">
            <v>1302.26</v>
          </cell>
          <cell r="H1088">
            <v>1300.0899999999999</v>
          </cell>
          <cell r="I1088">
            <v>1300</v>
          </cell>
          <cell r="J1088">
            <v>2.5</v>
          </cell>
          <cell r="K1088">
            <v>0</v>
          </cell>
          <cell r="L1088" t="str">
            <v xml:space="preserve">Tramos Existentes </v>
          </cell>
          <cell r="M1088" t="str">
            <v>Existente</v>
          </cell>
        </row>
        <row r="1089">
          <cell r="B1089" t="str">
            <v>872i</v>
          </cell>
          <cell r="C1089">
            <v>806</v>
          </cell>
          <cell r="D1089">
            <v>1.4999999999999999E-2</v>
          </cell>
          <cell r="E1089">
            <v>16</v>
          </cell>
          <cell r="F1089">
            <v>1313.09</v>
          </cell>
          <cell r="G1089">
            <v>1307.54</v>
          </cell>
          <cell r="H1089">
            <v>1309.6600000000001</v>
          </cell>
          <cell r="I1089">
            <v>1302.76</v>
          </cell>
          <cell r="J1089">
            <v>74.3</v>
          </cell>
          <cell r="K1089">
            <v>0</v>
          </cell>
          <cell r="L1089" t="str">
            <v xml:space="preserve">Tramos Existentes </v>
          </cell>
          <cell r="M1089" t="str">
            <v>Existente</v>
          </cell>
        </row>
        <row r="1090">
          <cell r="B1090">
            <v>875</v>
          </cell>
          <cell r="C1090">
            <v>874</v>
          </cell>
          <cell r="D1090">
            <v>1.4999999999999999E-2</v>
          </cell>
          <cell r="E1090">
            <v>10</v>
          </cell>
          <cell r="F1090">
            <v>1315.47</v>
          </cell>
          <cell r="G1090">
            <v>1315.55</v>
          </cell>
          <cell r="H1090">
            <v>1313.56</v>
          </cell>
          <cell r="I1090">
            <v>1312.82</v>
          </cell>
          <cell r="J1090">
            <v>2.6</v>
          </cell>
          <cell r="K1090">
            <v>0</v>
          </cell>
          <cell r="L1090" t="str">
            <v xml:space="preserve">Tramos Existentes </v>
          </cell>
          <cell r="M1090" t="str">
            <v>Existente</v>
          </cell>
        </row>
        <row r="1091">
          <cell r="B1091">
            <v>88</v>
          </cell>
          <cell r="C1091">
            <v>157</v>
          </cell>
          <cell r="D1091">
            <v>1.4999999999999999E-2</v>
          </cell>
          <cell r="E1091">
            <v>12</v>
          </cell>
          <cell r="F1091">
            <v>1305.25</v>
          </cell>
          <cell r="G1091">
            <v>1303.5</v>
          </cell>
          <cell r="H1091">
            <v>1302.3499999999999</v>
          </cell>
          <cell r="I1091">
            <v>1301.05</v>
          </cell>
          <cell r="J1091">
            <v>69.900000000000006</v>
          </cell>
          <cell r="K1091">
            <v>0</v>
          </cell>
          <cell r="L1091" t="str">
            <v xml:space="preserve">Tramos Existentes </v>
          </cell>
          <cell r="M1091" t="str">
            <v>Existente</v>
          </cell>
        </row>
        <row r="1092">
          <cell r="B1092">
            <v>991</v>
          </cell>
          <cell r="C1092">
            <v>880</v>
          </cell>
          <cell r="D1092">
            <v>1.4999999999999999E-2</v>
          </cell>
          <cell r="E1092">
            <v>10</v>
          </cell>
          <cell r="F1092">
            <v>1314.97</v>
          </cell>
          <cell r="G1092">
            <v>1313.49</v>
          </cell>
          <cell r="H1092">
            <v>1313.28</v>
          </cell>
          <cell r="I1092">
            <v>1309.24</v>
          </cell>
          <cell r="J1092">
            <v>34.299999999999997</v>
          </cell>
          <cell r="K1092">
            <v>0</v>
          </cell>
          <cell r="L1092" t="str">
            <v xml:space="preserve">Tramos Existentes </v>
          </cell>
          <cell r="M1092" t="str">
            <v>Existente</v>
          </cell>
        </row>
        <row r="1093">
          <cell r="B1093">
            <v>880</v>
          </cell>
          <cell r="C1093">
            <v>992</v>
          </cell>
          <cell r="D1093">
            <v>1.4999999999999999E-2</v>
          </cell>
          <cell r="E1093">
            <v>10</v>
          </cell>
          <cell r="F1093">
            <v>1313.49</v>
          </cell>
          <cell r="G1093">
            <v>1313.22</v>
          </cell>
          <cell r="H1093">
            <v>1309.24</v>
          </cell>
          <cell r="I1093">
            <v>1309.17</v>
          </cell>
          <cell r="J1093">
            <v>29.7</v>
          </cell>
          <cell r="K1093">
            <v>0</v>
          </cell>
          <cell r="L1093" t="str">
            <v xml:space="preserve">Tramos Existentes </v>
          </cell>
          <cell r="M1093" t="str">
            <v>Existente</v>
          </cell>
        </row>
        <row r="1094">
          <cell r="B1094" t="str">
            <v>965i</v>
          </cell>
          <cell r="C1094">
            <v>969</v>
          </cell>
          <cell r="D1094">
            <v>1.4999999999999999E-2</v>
          </cell>
          <cell r="E1094">
            <v>8</v>
          </cell>
          <cell r="F1094">
            <v>1314.1</v>
          </cell>
          <cell r="G1094">
            <v>1310.77</v>
          </cell>
          <cell r="H1094">
            <v>1312.49</v>
          </cell>
          <cell r="I1094">
            <v>1308.79</v>
          </cell>
          <cell r="J1094">
            <v>38.799999999999997</v>
          </cell>
          <cell r="K1094">
            <v>0</v>
          </cell>
          <cell r="L1094" t="str">
            <v xml:space="preserve">Tramos Existentes </v>
          </cell>
          <cell r="M1094" t="str">
            <v>Existente</v>
          </cell>
        </row>
        <row r="1095">
          <cell r="B1095">
            <v>969</v>
          </cell>
          <cell r="C1095">
            <v>881</v>
          </cell>
          <cell r="D1095">
            <v>1.4999999999999999E-2</v>
          </cell>
          <cell r="E1095">
            <v>8</v>
          </cell>
          <cell r="F1095">
            <v>1310.77</v>
          </cell>
          <cell r="G1095">
            <v>1308.98</v>
          </cell>
          <cell r="H1095">
            <v>1308.79</v>
          </cell>
          <cell r="I1095">
            <v>1305.23</v>
          </cell>
          <cell r="J1095">
            <v>41.2</v>
          </cell>
          <cell r="K1095">
            <v>0</v>
          </cell>
          <cell r="L1095" t="str">
            <v xml:space="preserve">Tramos Existentes </v>
          </cell>
          <cell r="M1095" t="str">
            <v>Existente</v>
          </cell>
        </row>
        <row r="1096">
          <cell r="B1096">
            <v>858</v>
          </cell>
          <cell r="C1096">
            <v>859</v>
          </cell>
          <cell r="D1096">
            <v>1.4999999999999999E-2</v>
          </cell>
          <cell r="E1096">
            <v>12</v>
          </cell>
          <cell r="F1096">
            <v>1309.18</v>
          </cell>
          <cell r="G1096">
            <v>1307.8699999999999</v>
          </cell>
          <cell r="H1096">
            <v>1304.5999999999999</v>
          </cell>
          <cell r="I1096">
            <v>1298.1199999999999</v>
          </cell>
          <cell r="J1096">
            <v>21.4</v>
          </cell>
          <cell r="K1096">
            <v>0</v>
          </cell>
          <cell r="L1096" t="str">
            <v xml:space="preserve">Tramos Existentes </v>
          </cell>
          <cell r="M1096" t="str">
            <v>Existente</v>
          </cell>
        </row>
        <row r="1097">
          <cell r="B1097">
            <v>632</v>
          </cell>
          <cell r="C1097">
            <v>352</v>
          </cell>
          <cell r="D1097">
            <v>0.01</v>
          </cell>
          <cell r="E1097">
            <v>24</v>
          </cell>
          <cell r="F1097">
            <v>1299.43</v>
          </cell>
          <cell r="G1097">
            <v>1299.3699999999999</v>
          </cell>
          <cell r="H1097">
            <v>1295.9100000000001</v>
          </cell>
          <cell r="I1097">
            <v>1295.6099999999999</v>
          </cell>
          <cell r="J1097">
            <v>27.5</v>
          </cell>
          <cell r="K1097">
            <v>0</v>
          </cell>
          <cell r="L1097" t="str">
            <v xml:space="preserve">Tramos Existentes </v>
          </cell>
          <cell r="M1097" t="str">
            <v>Existente</v>
          </cell>
        </row>
        <row r="1098">
          <cell r="B1098" t="str">
            <v>43iii</v>
          </cell>
          <cell r="C1098">
            <v>44</v>
          </cell>
          <cell r="D1098">
            <v>0.01</v>
          </cell>
          <cell r="E1098">
            <v>8</v>
          </cell>
          <cell r="F1098">
            <v>1312.26</v>
          </cell>
          <cell r="G1098">
            <v>1309.32</v>
          </cell>
          <cell r="H1098">
            <v>1311.1</v>
          </cell>
          <cell r="I1098">
            <v>1305.95</v>
          </cell>
          <cell r="J1098">
            <v>72.099999999999994</v>
          </cell>
          <cell r="K1098">
            <v>0</v>
          </cell>
          <cell r="L1098" t="str">
            <v xml:space="preserve">Tramos Existentes </v>
          </cell>
          <cell r="M1098" t="str">
            <v>Existente</v>
          </cell>
        </row>
        <row r="1099">
          <cell r="B1099" t="str">
            <v>81i</v>
          </cell>
          <cell r="C1099">
            <v>372</v>
          </cell>
          <cell r="D1099">
            <v>0.01</v>
          </cell>
          <cell r="E1099">
            <v>16</v>
          </cell>
          <cell r="F1099">
            <v>1315.78</v>
          </cell>
          <cell r="G1099">
            <v>1314.05</v>
          </cell>
          <cell r="H1099">
            <v>1313.46</v>
          </cell>
          <cell r="I1099">
            <v>1311.64</v>
          </cell>
          <cell r="J1099">
            <v>72.599999999999994</v>
          </cell>
          <cell r="K1099">
            <v>0</v>
          </cell>
          <cell r="L1099" t="str">
            <v xml:space="preserve">Tramos Existentes </v>
          </cell>
          <cell r="M1099" t="str">
            <v>Existente</v>
          </cell>
        </row>
        <row r="1100">
          <cell r="B1100">
            <v>372</v>
          </cell>
          <cell r="C1100">
            <v>447</v>
          </cell>
          <cell r="D1100">
            <v>0.01</v>
          </cell>
          <cell r="E1100">
            <v>12</v>
          </cell>
          <cell r="F1100">
            <v>1314.05</v>
          </cell>
          <cell r="G1100">
            <v>1308.95</v>
          </cell>
          <cell r="H1100">
            <v>1311.64</v>
          </cell>
          <cell r="I1100">
            <v>1306.57</v>
          </cell>
          <cell r="J1100">
            <v>70.8</v>
          </cell>
          <cell r="K1100">
            <v>0</v>
          </cell>
          <cell r="L1100" t="str">
            <v xml:space="preserve">Tramos Existentes </v>
          </cell>
          <cell r="M1100" t="str">
            <v>Existente</v>
          </cell>
        </row>
        <row r="1101">
          <cell r="B1101">
            <v>447</v>
          </cell>
          <cell r="C1101">
            <v>859</v>
          </cell>
          <cell r="D1101">
            <v>1.4999999999999999E-2</v>
          </cell>
          <cell r="E1101">
            <v>12</v>
          </cell>
          <cell r="F1101">
            <v>1308.95</v>
          </cell>
          <cell r="G1101">
            <v>1307.8699999999999</v>
          </cell>
          <cell r="H1101">
            <v>1306.57</v>
          </cell>
          <cell r="I1101">
            <v>1298.1199999999999</v>
          </cell>
          <cell r="J1101">
            <v>50.9</v>
          </cell>
          <cell r="K1101">
            <v>0</v>
          </cell>
          <cell r="L1101" t="str">
            <v xml:space="preserve">Tramos Existentes </v>
          </cell>
          <cell r="M1101" t="str">
            <v>Existente</v>
          </cell>
        </row>
        <row r="1102">
          <cell r="B1102">
            <v>284</v>
          </cell>
          <cell r="C1102">
            <v>283</v>
          </cell>
          <cell r="D1102">
            <v>0.01</v>
          </cell>
          <cell r="E1102">
            <v>12</v>
          </cell>
          <cell r="F1102">
            <v>1290.3399999999999</v>
          </cell>
          <cell r="G1102">
            <v>1283.79</v>
          </cell>
          <cell r="H1102">
            <v>1285.8900000000001</v>
          </cell>
          <cell r="I1102">
            <v>1278.6099999999999</v>
          </cell>
          <cell r="J1102">
            <v>11</v>
          </cell>
          <cell r="K1102">
            <v>0</v>
          </cell>
          <cell r="L1102" t="str">
            <v xml:space="preserve">Tramos Existentes </v>
          </cell>
          <cell r="M1102" t="str">
            <v>Existente</v>
          </cell>
        </row>
        <row r="1103">
          <cell r="B1103">
            <v>285</v>
          </cell>
          <cell r="C1103">
            <v>284</v>
          </cell>
          <cell r="D1103">
            <v>0.01</v>
          </cell>
          <cell r="E1103">
            <v>12</v>
          </cell>
          <cell r="F1103">
            <v>1297.01</v>
          </cell>
          <cell r="G1103">
            <v>1290.3399999999999</v>
          </cell>
          <cell r="H1103">
            <v>1293.1300000000001</v>
          </cell>
          <cell r="I1103">
            <v>1285.8900000000001</v>
          </cell>
          <cell r="J1103">
            <v>12.4</v>
          </cell>
          <cell r="K1103">
            <v>0</v>
          </cell>
          <cell r="L1103" t="str">
            <v xml:space="preserve">Tramos Existentes </v>
          </cell>
          <cell r="M1103" t="str">
            <v>Existente</v>
          </cell>
        </row>
        <row r="1104">
          <cell r="B1104">
            <v>351</v>
          </cell>
          <cell r="C1104">
            <v>285</v>
          </cell>
          <cell r="D1104">
            <v>0.01</v>
          </cell>
          <cell r="E1104">
            <v>16</v>
          </cell>
          <cell r="F1104">
            <v>1300.97</v>
          </cell>
          <cell r="G1104">
            <v>1297.01</v>
          </cell>
          <cell r="H1104">
            <v>1295.3800000000001</v>
          </cell>
          <cell r="I1104">
            <v>1293.1300000000001</v>
          </cell>
          <cell r="J1104">
            <v>76.7</v>
          </cell>
          <cell r="K1104">
            <v>0</v>
          </cell>
          <cell r="L1104" t="str">
            <v xml:space="preserve">Tramos Existentes </v>
          </cell>
          <cell r="M1104" t="str">
            <v>Existente</v>
          </cell>
        </row>
        <row r="1105">
          <cell r="B1105" t="str">
            <v>372ii</v>
          </cell>
          <cell r="C1105">
            <v>931</v>
          </cell>
          <cell r="D1105">
            <v>1.4999999999999999E-2</v>
          </cell>
          <cell r="E1105">
            <v>14</v>
          </cell>
          <cell r="F1105">
            <v>1314.05</v>
          </cell>
          <cell r="G1105">
            <v>1310.98</v>
          </cell>
          <cell r="H1105">
            <v>1312.19</v>
          </cell>
          <cell r="I1105">
            <v>1306.01</v>
          </cell>
          <cell r="J1105">
            <v>72.3</v>
          </cell>
          <cell r="K1105">
            <v>0</v>
          </cell>
          <cell r="L1105" t="str">
            <v xml:space="preserve">Tramos Existentes </v>
          </cell>
          <cell r="M1105" t="str">
            <v>Existente</v>
          </cell>
        </row>
        <row r="1106">
          <cell r="B1106" t="str">
            <v>287i</v>
          </cell>
          <cell r="C1106" t="str">
            <v>D3</v>
          </cell>
          <cell r="D1106">
            <v>0.01</v>
          </cell>
          <cell r="E1106">
            <v>24</v>
          </cell>
          <cell r="F1106">
            <v>1276.33</v>
          </cell>
          <cell r="G1106">
            <v>1251</v>
          </cell>
          <cell r="H1106">
            <v>1275.07</v>
          </cell>
          <cell r="I1106">
            <v>1273.03</v>
          </cell>
          <cell r="J1106">
            <v>24.8</v>
          </cell>
          <cell r="K1106">
            <v>0</v>
          </cell>
          <cell r="L1106" t="str">
            <v xml:space="preserve">Tramos Existentes </v>
          </cell>
          <cell r="M1106" t="str">
            <v>Existente</v>
          </cell>
        </row>
        <row r="1107">
          <cell r="B1107">
            <v>374</v>
          </cell>
          <cell r="C1107">
            <v>375</v>
          </cell>
          <cell r="D1107">
            <v>1.4999999999999999E-2</v>
          </cell>
          <cell r="E1107">
            <v>8</v>
          </cell>
          <cell r="F1107">
            <v>1313.43</v>
          </cell>
          <cell r="G1107">
            <v>1313.05</v>
          </cell>
          <cell r="H1107">
            <v>1311.46</v>
          </cell>
          <cell r="I1107">
            <v>1310.6400000000001</v>
          </cell>
          <cell r="J1107">
            <v>70.599999999999994</v>
          </cell>
          <cell r="K1107">
            <v>0</v>
          </cell>
          <cell r="L1107" t="str">
            <v xml:space="preserve">Tramos Existentes </v>
          </cell>
          <cell r="M1107" t="str">
            <v>Existente</v>
          </cell>
        </row>
        <row r="1108">
          <cell r="B1108">
            <v>652</v>
          </cell>
          <cell r="C1108">
            <v>653</v>
          </cell>
          <cell r="D1108">
            <v>1.4999999999999999E-2</v>
          </cell>
          <cell r="E1108">
            <v>18</v>
          </cell>
          <cell r="F1108">
            <v>1279.18</v>
          </cell>
          <cell r="G1108">
            <v>1275.99</v>
          </cell>
          <cell r="H1108">
            <v>1275.52</v>
          </cell>
          <cell r="I1108">
            <v>1274.18</v>
          </cell>
          <cell r="J1108">
            <v>3.2</v>
          </cell>
          <cell r="K1108">
            <v>0</v>
          </cell>
          <cell r="L1108" t="str">
            <v xml:space="preserve">Tramos Existentes </v>
          </cell>
          <cell r="M1108" t="str">
            <v>Existente</v>
          </cell>
        </row>
        <row r="1109">
          <cell r="B1109">
            <v>444</v>
          </cell>
          <cell r="C1109">
            <v>513</v>
          </cell>
          <cell r="D1109">
            <v>1.4999999999999999E-2</v>
          </cell>
          <cell r="E1109">
            <v>16</v>
          </cell>
          <cell r="F1109">
            <v>1311.33</v>
          </cell>
          <cell r="G1109">
            <v>1309</v>
          </cell>
          <cell r="H1109">
            <v>1309.3800000000001</v>
          </cell>
          <cell r="I1109">
            <v>1306.74</v>
          </cell>
          <cell r="J1109">
            <v>72.3</v>
          </cell>
          <cell r="K1109">
            <v>0</v>
          </cell>
          <cell r="L1109" t="str">
            <v xml:space="preserve">Tramos Existentes </v>
          </cell>
          <cell r="M1109" t="str">
            <v>Existente</v>
          </cell>
        </row>
        <row r="1110">
          <cell r="B1110">
            <v>513</v>
          </cell>
          <cell r="C1110">
            <v>512</v>
          </cell>
          <cell r="D1110">
            <v>1.4999999999999999E-2</v>
          </cell>
          <cell r="E1110">
            <v>18</v>
          </cell>
          <cell r="F1110">
            <v>1309</v>
          </cell>
          <cell r="G1110">
            <v>1308.93</v>
          </cell>
          <cell r="H1110">
            <v>1306.74</v>
          </cell>
          <cell r="I1110">
            <v>1306.48</v>
          </cell>
          <cell r="J1110">
            <v>1.8</v>
          </cell>
          <cell r="K1110">
            <v>0</v>
          </cell>
          <cell r="L1110" t="str">
            <v xml:space="preserve">Tramos Existentes </v>
          </cell>
          <cell r="M1110" t="str">
            <v>Existente</v>
          </cell>
        </row>
        <row r="1111">
          <cell r="B1111">
            <v>354</v>
          </cell>
          <cell r="C1111">
            <v>632</v>
          </cell>
          <cell r="D1111">
            <v>0.01</v>
          </cell>
          <cell r="E1111">
            <v>24</v>
          </cell>
          <cell r="F1111">
            <v>1301.76</v>
          </cell>
          <cell r="G1111">
            <v>1299.43</v>
          </cell>
          <cell r="H1111">
            <v>1299.32</v>
          </cell>
          <cell r="I1111">
            <v>1295.9100000000001</v>
          </cell>
          <cell r="J1111">
            <v>44</v>
          </cell>
          <cell r="K1111">
            <v>0</v>
          </cell>
          <cell r="L1111" t="str">
            <v xml:space="preserve">Tramos Existentes </v>
          </cell>
          <cell r="M1111" t="str">
            <v>Existente</v>
          </cell>
        </row>
        <row r="1112">
          <cell r="B1112">
            <v>423</v>
          </cell>
          <cell r="C1112">
            <v>354</v>
          </cell>
          <cell r="D1112">
            <v>1.4999999999999999E-2</v>
          </cell>
          <cell r="E1112">
            <v>8</v>
          </cell>
          <cell r="F1112">
            <v>1303.3699999999999</v>
          </cell>
          <cell r="G1112">
            <v>1301.76</v>
          </cell>
          <cell r="H1112">
            <v>1302.17</v>
          </cell>
          <cell r="I1112">
            <v>1299.32</v>
          </cell>
          <cell r="J1112">
            <v>27.5</v>
          </cell>
          <cell r="K1112">
            <v>0</v>
          </cell>
          <cell r="L1112" t="str">
            <v xml:space="preserve">Tramos Existentes </v>
          </cell>
          <cell r="M1112" t="str">
            <v>Existente</v>
          </cell>
        </row>
        <row r="1113">
          <cell r="B1113" t="str">
            <v>988i</v>
          </cell>
          <cell r="C1113">
            <v>376</v>
          </cell>
          <cell r="D1113">
            <v>1.4999999999999999E-2</v>
          </cell>
          <cell r="E1113">
            <v>12</v>
          </cell>
          <cell r="F1113">
            <v>1307.74</v>
          </cell>
          <cell r="G1113">
            <v>1307.98</v>
          </cell>
          <cell r="H1113">
            <v>1306.48</v>
          </cell>
          <cell r="I1113">
            <v>1306.48</v>
          </cell>
          <cell r="J1113">
            <v>29.7</v>
          </cell>
          <cell r="K1113">
            <v>0</v>
          </cell>
          <cell r="L1113" t="str">
            <v xml:space="preserve">Tramos Existentes </v>
          </cell>
          <cell r="M1113" t="str">
            <v>Existente</v>
          </cell>
        </row>
        <row r="1114">
          <cell r="B1114">
            <v>376</v>
          </cell>
          <cell r="C1114">
            <v>989</v>
          </cell>
          <cell r="D1114">
            <v>1.4999999999999999E-2</v>
          </cell>
          <cell r="E1114">
            <v>12</v>
          </cell>
          <cell r="F1114">
            <v>1307.98</v>
          </cell>
          <cell r="G1114">
            <v>1308.6199999999999</v>
          </cell>
          <cell r="H1114">
            <v>1306.48</v>
          </cell>
          <cell r="I1114">
            <v>1304.94</v>
          </cell>
          <cell r="J1114">
            <v>47.9</v>
          </cell>
          <cell r="K1114">
            <v>0</v>
          </cell>
          <cell r="L1114" t="str">
            <v xml:space="preserve">Tramos Existentes </v>
          </cell>
          <cell r="M1114" t="str">
            <v>Existente</v>
          </cell>
        </row>
        <row r="1115">
          <cell r="B1115" t="str">
            <v>43i</v>
          </cell>
          <cell r="C1115">
            <v>377</v>
          </cell>
          <cell r="D1115">
            <v>1.4999999999999999E-2</v>
          </cell>
          <cell r="E1115">
            <v>12</v>
          </cell>
          <cell r="F1115">
            <v>1312.26</v>
          </cell>
          <cell r="G1115">
            <v>1308.6500000000001</v>
          </cell>
          <cell r="H1115">
            <v>1311.03</v>
          </cell>
          <cell r="I1115">
            <v>1307.3900000000001</v>
          </cell>
          <cell r="J1115">
            <v>74.400000000000006</v>
          </cell>
          <cell r="K1115">
            <v>0</v>
          </cell>
          <cell r="L1115" t="str">
            <v xml:space="preserve">Tramos Existentes </v>
          </cell>
          <cell r="M1115" t="str">
            <v>Existente</v>
          </cell>
        </row>
        <row r="1116">
          <cell r="B1116">
            <v>362</v>
          </cell>
          <cell r="C1116">
            <v>363</v>
          </cell>
          <cell r="D1116">
            <v>0.01</v>
          </cell>
          <cell r="E1116">
            <v>10</v>
          </cell>
          <cell r="F1116">
            <v>1280.68</v>
          </cell>
          <cell r="G1116">
            <v>1280.31</v>
          </cell>
          <cell r="H1116">
            <v>1278.93</v>
          </cell>
          <cell r="I1116">
            <v>1277.53</v>
          </cell>
          <cell r="J1116">
            <v>24.1</v>
          </cell>
          <cell r="K1116">
            <v>0</v>
          </cell>
          <cell r="L1116" t="str">
            <v xml:space="preserve">Tramos Existentes </v>
          </cell>
          <cell r="M1116" t="str">
            <v>Existente</v>
          </cell>
        </row>
        <row r="1117">
          <cell r="B1117" t="str">
            <v>374i</v>
          </cell>
          <cell r="C1117">
            <v>373</v>
          </cell>
          <cell r="D1117">
            <v>1.4999999999999999E-2</v>
          </cell>
          <cell r="E1117">
            <v>16</v>
          </cell>
          <cell r="F1117">
            <v>1313.43</v>
          </cell>
          <cell r="G1117">
            <v>1313.42</v>
          </cell>
          <cell r="H1117">
            <v>1311.47</v>
          </cell>
          <cell r="I1117">
            <v>1311.27</v>
          </cell>
          <cell r="J1117">
            <v>2.4</v>
          </cell>
          <cell r="K1117">
            <v>0</v>
          </cell>
          <cell r="L1117" t="str">
            <v xml:space="preserve">Tramos Existentes </v>
          </cell>
          <cell r="M1117" t="str">
            <v>Existente</v>
          </cell>
        </row>
        <row r="1118">
          <cell r="B1118">
            <v>511</v>
          </cell>
          <cell r="C1118">
            <v>585</v>
          </cell>
          <cell r="D1118">
            <v>0.01</v>
          </cell>
          <cell r="E1118">
            <v>18</v>
          </cell>
          <cell r="F1118">
            <v>1308.3900000000001</v>
          </cell>
          <cell r="G1118">
            <v>1304.1500000000001</v>
          </cell>
          <cell r="H1118">
            <v>1306.28</v>
          </cell>
          <cell r="I1118">
            <v>1301.3900000000001</v>
          </cell>
          <cell r="J1118">
            <v>24.3</v>
          </cell>
          <cell r="K1118">
            <v>0</v>
          </cell>
          <cell r="L1118" t="str">
            <v xml:space="preserve">Tramos Existentes </v>
          </cell>
          <cell r="M1118" t="str">
            <v>Existente</v>
          </cell>
        </row>
        <row r="1119">
          <cell r="B1119">
            <v>405</v>
          </cell>
          <cell r="C1119">
            <v>407</v>
          </cell>
          <cell r="D1119">
            <v>1.4999999999999999E-2</v>
          </cell>
          <cell r="E1119">
            <v>16</v>
          </cell>
          <cell r="F1119">
            <v>1312.28</v>
          </cell>
          <cell r="G1119">
            <v>1311.32</v>
          </cell>
          <cell r="H1119">
            <v>1308.44</v>
          </cell>
          <cell r="I1119">
            <v>1307.54</v>
          </cell>
          <cell r="J1119">
            <v>36.799999999999997</v>
          </cell>
          <cell r="K1119">
            <v>0</v>
          </cell>
          <cell r="L1119" t="str">
            <v xml:space="preserve">Tramos Existentes </v>
          </cell>
          <cell r="M1119" t="str">
            <v>Existente</v>
          </cell>
        </row>
        <row r="1120">
          <cell r="B1120">
            <v>367</v>
          </cell>
          <cell r="C1120">
            <v>433</v>
          </cell>
          <cell r="D1120">
            <v>0.01</v>
          </cell>
          <cell r="E1120">
            <v>10</v>
          </cell>
          <cell r="F1120">
            <v>1290.6199999999999</v>
          </cell>
          <cell r="G1120">
            <v>1290.8499999999999</v>
          </cell>
          <cell r="H1120">
            <v>1289.1300000000001</v>
          </cell>
          <cell r="I1120">
            <v>1286.22</v>
          </cell>
          <cell r="J1120">
            <v>7.5</v>
          </cell>
          <cell r="K1120">
            <v>0</v>
          </cell>
          <cell r="L1120" t="str">
            <v xml:space="preserve">Tramos Existentes </v>
          </cell>
          <cell r="M1120" t="str">
            <v>Existente</v>
          </cell>
        </row>
        <row r="1121">
          <cell r="B1121">
            <v>291</v>
          </cell>
          <cell r="C1121">
            <v>368</v>
          </cell>
          <cell r="D1121">
            <v>1.4999999999999999E-2</v>
          </cell>
          <cell r="E1121">
            <v>12</v>
          </cell>
          <cell r="F1121">
            <v>1289.97</v>
          </cell>
          <cell r="G1121">
            <v>1290.6600000000001</v>
          </cell>
          <cell r="H1121">
            <v>1287.9100000000001</v>
          </cell>
          <cell r="I1121">
            <v>1287.1400000000001</v>
          </cell>
          <cell r="J1121">
            <v>31.3</v>
          </cell>
          <cell r="K1121">
            <v>0</v>
          </cell>
          <cell r="L1121" t="str">
            <v xml:space="preserve">Tramos Existentes </v>
          </cell>
          <cell r="M1121" t="str">
            <v>Existente</v>
          </cell>
        </row>
        <row r="1122">
          <cell r="B1122">
            <v>369</v>
          </cell>
          <cell r="C1122">
            <v>368</v>
          </cell>
          <cell r="D1122">
            <v>1.4999999999999999E-2</v>
          </cell>
          <cell r="E1122">
            <v>10</v>
          </cell>
          <cell r="F1122">
            <v>1293.6099999999999</v>
          </cell>
          <cell r="G1122">
            <v>1290.6600000000001</v>
          </cell>
          <cell r="H1122">
            <v>1292.17</v>
          </cell>
          <cell r="I1122">
            <v>1287.1400000000001</v>
          </cell>
          <cell r="J1122">
            <v>63.2</v>
          </cell>
          <cell r="K1122">
            <v>0</v>
          </cell>
          <cell r="L1122" t="str">
            <v xml:space="preserve">Tramos Existentes </v>
          </cell>
          <cell r="M1122" t="str">
            <v>Existente</v>
          </cell>
        </row>
        <row r="1123">
          <cell r="B1123">
            <v>431</v>
          </cell>
          <cell r="C1123">
            <v>370</v>
          </cell>
          <cell r="D1123">
            <v>0.01</v>
          </cell>
          <cell r="E1123">
            <v>8</v>
          </cell>
          <cell r="F1123">
            <v>1293.1600000000001</v>
          </cell>
          <cell r="G1123">
            <v>1290.3</v>
          </cell>
          <cell r="H1123">
            <v>1291.8599999999999</v>
          </cell>
          <cell r="I1123">
            <v>1288.83</v>
          </cell>
          <cell r="J1123">
            <v>53.1</v>
          </cell>
          <cell r="K1123">
            <v>0</v>
          </cell>
          <cell r="L1123" t="str">
            <v xml:space="preserve">Tramos Existentes </v>
          </cell>
          <cell r="M1123" t="str">
            <v>Existente</v>
          </cell>
        </row>
        <row r="1124">
          <cell r="B1124">
            <v>370</v>
          </cell>
          <cell r="C1124">
            <v>433</v>
          </cell>
          <cell r="D1124">
            <v>0.01</v>
          </cell>
          <cell r="E1124">
            <v>10</v>
          </cell>
          <cell r="F1124">
            <v>1290.3</v>
          </cell>
          <cell r="G1124">
            <v>1290.8499999999999</v>
          </cell>
          <cell r="H1124">
            <v>1288.83</v>
          </cell>
          <cell r="I1124">
            <v>1286.22</v>
          </cell>
          <cell r="J1124">
            <v>10.1</v>
          </cell>
          <cell r="K1124">
            <v>0</v>
          </cell>
          <cell r="L1124" t="str">
            <v xml:space="preserve">Tramos Existentes </v>
          </cell>
          <cell r="M1124" t="str">
            <v>Existente</v>
          </cell>
        </row>
        <row r="1125">
          <cell r="B1125" t="str">
            <v>372i</v>
          </cell>
          <cell r="C1125">
            <v>373</v>
          </cell>
          <cell r="D1125">
            <v>1.4999999999999999E-2</v>
          </cell>
          <cell r="E1125">
            <v>12</v>
          </cell>
          <cell r="F1125">
            <v>1314.05</v>
          </cell>
          <cell r="G1125">
            <v>1313.42</v>
          </cell>
          <cell r="H1125">
            <v>1312.14</v>
          </cell>
          <cell r="I1125">
            <v>1311.27</v>
          </cell>
          <cell r="J1125">
            <v>72.400000000000006</v>
          </cell>
          <cell r="K1125">
            <v>0</v>
          </cell>
          <cell r="L1125" t="str">
            <v xml:space="preserve">Tramos Existentes </v>
          </cell>
          <cell r="M1125" t="str">
            <v>Existente</v>
          </cell>
        </row>
        <row r="1126">
          <cell r="B1126">
            <v>373</v>
          </cell>
          <cell r="C1126">
            <v>445</v>
          </cell>
          <cell r="D1126">
            <v>1.4999999999999999E-2</v>
          </cell>
          <cell r="E1126">
            <v>16</v>
          </cell>
          <cell r="F1126">
            <v>1313.42</v>
          </cell>
          <cell r="G1126">
            <v>1309.96</v>
          </cell>
          <cell r="H1126">
            <v>1311.27</v>
          </cell>
          <cell r="I1126">
            <v>1307.6199999999999</v>
          </cell>
          <cell r="J1126">
            <v>70.7</v>
          </cell>
          <cell r="K1126">
            <v>0</v>
          </cell>
          <cell r="L1126" t="str">
            <v xml:space="preserve">Tramos Existentes </v>
          </cell>
          <cell r="M1126" t="str">
            <v>Existente</v>
          </cell>
        </row>
        <row r="1127">
          <cell r="B1127">
            <v>283</v>
          </cell>
          <cell r="C1127">
            <v>282</v>
          </cell>
          <cell r="D1127">
            <v>1.4999999999999999E-2</v>
          </cell>
          <cell r="E1127">
            <v>12</v>
          </cell>
          <cell r="F1127">
            <v>1283.79</v>
          </cell>
          <cell r="G1127">
            <v>1278.6199999999999</v>
          </cell>
          <cell r="H1127">
            <v>1278.6099999999999</v>
          </cell>
          <cell r="I1127">
            <v>1275.73</v>
          </cell>
          <cell r="J1127">
            <v>10.199999999999999</v>
          </cell>
          <cell r="K1127">
            <v>0</v>
          </cell>
          <cell r="L1127" t="str">
            <v xml:space="preserve">Tramos Existentes </v>
          </cell>
          <cell r="M1127" t="str">
            <v>Existente</v>
          </cell>
        </row>
        <row r="1128">
          <cell r="B1128">
            <v>450</v>
          </cell>
          <cell r="C1128">
            <v>511</v>
          </cell>
          <cell r="D1128">
            <v>0.01</v>
          </cell>
          <cell r="E1128">
            <v>18</v>
          </cell>
          <cell r="F1128">
            <v>1308.79</v>
          </cell>
          <cell r="G1128">
            <v>1308.3900000000001</v>
          </cell>
          <cell r="H1128">
            <v>1307.24</v>
          </cell>
          <cell r="I1128">
            <v>1306.28</v>
          </cell>
          <cell r="J1128">
            <v>4.4000000000000004</v>
          </cell>
          <cell r="K1128">
            <v>0</v>
          </cell>
          <cell r="L1128" t="str">
            <v xml:space="preserve">Tramos Existentes </v>
          </cell>
          <cell r="M1128" t="str">
            <v>Existente</v>
          </cell>
        </row>
        <row r="1129">
          <cell r="B1129">
            <v>44</v>
          </cell>
          <cell r="C1129">
            <v>378</v>
          </cell>
          <cell r="D1129">
            <v>1.4999999999999999E-2</v>
          </cell>
          <cell r="E1129">
            <v>12</v>
          </cell>
          <cell r="F1129">
            <v>1309.32</v>
          </cell>
          <cell r="G1129">
            <v>1307.67</v>
          </cell>
          <cell r="H1129">
            <v>1305.95</v>
          </cell>
          <cell r="I1129">
            <v>1303.26</v>
          </cell>
          <cell r="J1129">
            <v>76.2</v>
          </cell>
          <cell r="K1129">
            <v>0</v>
          </cell>
          <cell r="L1129" t="str">
            <v xml:space="preserve">Tramos Existentes </v>
          </cell>
          <cell r="M1129" t="str">
            <v>Existente</v>
          </cell>
        </row>
        <row r="1130">
          <cell r="B1130">
            <v>585</v>
          </cell>
          <cell r="C1130">
            <v>586</v>
          </cell>
          <cell r="D1130">
            <v>0.01</v>
          </cell>
          <cell r="E1130">
            <v>18</v>
          </cell>
          <cell r="F1130">
            <v>1304.1500000000001</v>
          </cell>
          <cell r="G1130">
            <v>1298.19</v>
          </cell>
          <cell r="H1130">
            <v>1301.3900000000001</v>
          </cell>
          <cell r="I1130">
            <v>1295.43</v>
          </cell>
          <cell r="J1130">
            <v>21.5</v>
          </cell>
          <cell r="K1130">
            <v>0</v>
          </cell>
          <cell r="L1130" t="str">
            <v xml:space="preserve">Tramos Existentes </v>
          </cell>
          <cell r="M1130" t="str">
            <v>Existente</v>
          </cell>
        </row>
        <row r="1131">
          <cell r="B1131">
            <v>586</v>
          </cell>
          <cell r="C1131">
            <v>587</v>
          </cell>
          <cell r="D1131">
            <v>1.4999999999999999E-2</v>
          </cell>
          <cell r="E1131">
            <v>18</v>
          </cell>
          <cell r="F1131">
            <v>1298.19</v>
          </cell>
          <cell r="G1131">
            <v>1292.04</v>
          </cell>
          <cell r="H1131">
            <v>1295.43</v>
          </cell>
          <cell r="I1131">
            <v>1288.49</v>
          </cell>
          <cell r="J1131">
            <v>21.9</v>
          </cell>
          <cell r="K1131">
            <v>0</v>
          </cell>
          <cell r="L1131" t="str">
            <v xml:space="preserve">Tramos Existentes </v>
          </cell>
          <cell r="M1131" t="str">
            <v>Existente</v>
          </cell>
        </row>
        <row r="1132">
          <cell r="B1132">
            <v>587</v>
          </cell>
          <cell r="C1132">
            <v>589</v>
          </cell>
          <cell r="D1132">
            <v>1.4999999999999999E-2</v>
          </cell>
          <cell r="E1132">
            <v>18</v>
          </cell>
          <cell r="F1132">
            <v>1292.04</v>
          </cell>
          <cell r="G1132">
            <v>1287.1600000000001</v>
          </cell>
          <cell r="H1132">
            <v>1288.49</v>
          </cell>
          <cell r="I1132">
            <v>1284.9100000000001</v>
          </cell>
          <cell r="J1132">
            <v>36.5</v>
          </cell>
          <cell r="K1132">
            <v>0</v>
          </cell>
          <cell r="L1132" t="str">
            <v xml:space="preserve">Tramos Existentes </v>
          </cell>
          <cell r="M1132" t="str">
            <v>Existente</v>
          </cell>
        </row>
        <row r="1133">
          <cell r="B1133">
            <v>589</v>
          </cell>
          <cell r="C1133">
            <v>590</v>
          </cell>
          <cell r="D1133">
            <v>1.4999999999999999E-2</v>
          </cell>
          <cell r="E1133">
            <v>18</v>
          </cell>
          <cell r="F1133">
            <v>1287.1600000000001</v>
          </cell>
          <cell r="G1133">
            <v>1282.3699999999999</v>
          </cell>
          <cell r="H1133">
            <v>1284.9100000000001</v>
          </cell>
          <cell r="I1133">
            <v>1281.1400000000001</v>
          </cell>
          <cell r="J1133">
            <v>35</v>
          </cell>
          <cell r="K1133">
            <v>0</v>
          </cell>
          <cell r="L1133" t="str">
            <v xml:space="preserve">Tramos Existentes </v>
          </cell>
          <cell r="M1133" t="str">
            <v>Existente</v>
          </cell>
        </row>
        <row r="1134">
          <cell r="B1134">
            <v>590</v>
          </cell>
          <cell r="C1134">
            <v>651</v>
          </cell>
          <cell r="D1134">
            <v>1.4999999999999999E-2</v>
          </cell>
          <cell r="E1134">
            <v>18</v>
          </cell>
          <cell r="F1134">
            <v>1282.3699999999999</v>
          </cell>
          <cell r="G1134">
            <v>1282.29</v>
          </cell>
          <cell r="H1134">
            <v>1281.1400000000001</v>
          </cell>
          <cell r="I1134">
            <v>1278.1300000000001</v>
          </cell>
          <cell r="J1134">
            <v>11.2</v>
          </cell>
          <cell r="K1134">
            <v>0</v>
          </cell>
          <cell r="L1134" t="str">
            <v xml:space="preserve">Tramos Existentes </v>
          </cell>
          <cell r="M1134" t="str">
            <v>Existente</v>
          </cell>
        </row>
        <row r="1135">
          <cell r="B1135">
            <v>364</v>
          </cell>
          <cell r="C1135">
            <v>291</v>
          </cell>
          <cell r="D1135">
            <v>1.4999999999999999E-2</v>
          </cell>
          <cell r="E1135">
            <v>10</v>
          </cell>
          <cell r="F1135">
            <v>1289.72</v>
          </cell>
          <cell r="G1135">
            <v>1289.97</v>
          </cell>
          <cell r="H1135">
            <v>1288.1199999999999</v>
          </cell>
          <cell r="I1135">
            <v>1287.9100000000001</v>
          </cell>
          <cell r="J1135">
            <v>18.5</v>
          </cell>
          <cell r="K1135">
            <v>0</v>
          </cell>
          <cell r="L1135" t="str">
            <v xml:space="preserve">Tramos Existentes </v>
          </cell>
          <cell r="M1135" t="str">
            <v>Existente</v>
          </cell>
        </row>
        <row r="1136">
          <cell r="B1136">
            <v>365</v>
          </cell>
          <cell r="C1136">
            <v>364</v>
          </cell>
          <cell r="D1136">
            <v>1.4999999999999999E-2</v>
          </cell>
          <cell r="E1136">
            <v>10</v>
          </cell>
          <cell r="F1136">
            <v>1292.04</v>
          </cell>
          <cell r="G1136">
            <v>1289.72</v>
          </cell>
          <cell r="H1136">
            <v>1290.6099999999999</v>
          </cell>
          <cell r="I1136">
            <v>1288.1199999999999</v>
          </cell>
          <cell r="J1136">
            <v>65.5</v>
          </cell>
          <cell r="K1136">
            <v>0</v>
          </cell>
          <cell r="L1136" t="str">
            <v xml:space="preserve">Tramos Existentes </v>
          </cell>
          <cell r="M1136" t="str">
            <v>Existente</v>
          </cell>
        </row>
        <row r="1137">
          <cell r="B1137">
            <v>651</v>
          </cell>
          <cell r="C1137">
            <v>652</v>
          </cell>
          <cell r="D1137">
            <v>1.4999999999999999E-2</v>
          </cell>
          <cell r="E1137">
            <v>18</v>
          </cell>
          <cell r="F1137">
            <v>1282.29</v>
          </cell>
          <cell r="G1137">
            <v>1279.18</v>
          </cell>
          <cell r="H1137">
            <v>1278.1300000000001</v>
          </cell>
          <cell r="I1137">
            <v>1275.52</v>
          </cell>
          <cell r="J1137">
            <v>5.7</v>
          </cell>
          <cell r="K1137">
            <v>0</v>
          </cell>
          <cell r="L1137" t="str">
            <v xml:space="preserve">Tramos Existentes </v>
          </cell>
          <cell r="M1137" t="str">
            <v>Existente</v>
          </cell>
        </row>
        <row r="1138">
          <cell r="B1138">
            <v>445</v>
          </cell>
          <cell r="C1138">
            <v>450</v>
          </cell>
          <cell r="D1138">
            <v>1.4999999999999999E-2</v>
          </cell>
          <cell r="E1138">
            <v>18</v>
          </cell>
          <cell r="F1138">
            <v>1309.96</v>
          </cell>
          <cell r="G1138">
            <v>1308.79</v>
          </cell>
          <cell r="H1138">
            <v>1307.6199999999999</v>
          </cell>
          <cell r="I1138">
            <v>1307.24</v>
          </cell>
          <cell r="J1138">
            <v>71.7</v>
          </cell>
          <cell r="K1138">
            <v>0</v>
          </cell>
          <cell r="L1138" t="str">
            <v xml:space="preserve">Tramos Existentes </v>
          </cell>
          <cell r="M1138" t="str">
            <v>Existente</v>
          </cell>
        </row>
        <row r="1139">
          <cell r="B1139">
            <v>394</v>
          </cell>
          <cell r="C1139">
            <v>393</v>
          </cell>
          <cell r="D1139">
            <v>1.4999999999999999E-2</v>
          </cell>
          <cell r="E1139">
            <v>8</v>
          </cell>
          <cell r="F1139">
            <v>1311.53</v>
          </cell>
          <cell r="G1139">
            <v>1311.07</v>
          </cell>
          <cell r="H1139">
            <v>1308.97</v>
          </cell>
          <cell r="I1139">
            <v>1308.46</v>
          </cell>
          <cell r="J1139">
            <v>65.2</v>
          </cell>
          <cell r="K1139">
            <v>0</v>
          </cell>
          <cell r="L1139" t="str">
            <v xml:space="preserve">Tramos Existentes </v>
          </cell>
          <cell r="M1139" t="str">
            <v>Existente</v>
          </cell>
        </row>
        <row r="1140">
          <cell r="B1140">
            <v>377</v>
          </cell>
          <cell r="C1140">
            <v>989</v>
          </cell>
          <cell r="D1140">
            <v>1.4999999999999999E-2</v>
          </cell>
          <cell r="E1140">
            <v>12</v>
          </cell>
          <cell r="F1140">
            <v>1308.6500000000001</v>
          </cell>
          <cell r="G1140">
            <v>1308.6199999999999</v>
          </cell>
          <cell r="H1140">
            <v>1307.3900000000001</v>
          </cell>
          <cell r="I1140">
            <v>1304.94</v>
          </cell>
          <cell r="J1140">
            <v>1.6</v>
          </cell>
          <cell r="K1140">
            <v>0</v>
          </cell>
          <cell r="L1140" t="str">
            <v xml:space="preserve">Tramos Existentes </v>
          </cell>
          <cell r="M1140" t="str">
            <v>Existente</v>
          </cell>
        </row>
        <row r="1141">
          <cell r="B1141">
            <v>27</v>
          </cell>
          <cell r="C1141">
            <v>26</v>
          </cell>
          <cell r="D1141">
            <v>0.01</v>
          </cell>
          <cell r="E1141">
            <v>10</v>
          </cell>
          <cell r="F1141">
            <v>1298.47</v>
          </cell>
          <cell r="G1141">
            <v>1298.8699999999999</v>
          </cell>
          <cell r="H1141">
            <v>1297.08</v>
          </cell>
          <cell r="I1141">
            <v>1296.1199999999999</v>
          </cell>
          <cell r="J1141">
            <v>32.4</v>
          </cell>
          <cell r="K1141">
            <v>0</v>
          </cell>
          <cell r="L1141" t="str">
            <v xml:space="preserve">Tramos Existentes </v>
          </cell>
          <cell r="M1141" t="str">
            <v>Existente</v>
          </cell>
        </row>
        <row r="1142">
          <cell r="B1142">
            <v>269</v>
          </cell>
          <cell r="C1142">
            <v>334</v>
          </cell>
          <cell r="D1142">
            <v>1.4999999999999999E-2</v>
          </cell>
          <cell r="E1142">
            <v>10</v>
          </cell>
          <cell r="F1142">
            <v>1304.18</v>
          </cell>
          <cell r="G1142">
            <v>1302.5899999999999</v>
          </cell>
          <cell r="H1142">
            <v>1301.44</v>
          </cell>
          <cell r="I1142">
            <v>1299.6199999999999</v>
          </cell>
          <cell r="J1142">
            <v>5.5</v>
          </cell>
          <cell r="K1142">
            <v>0</v>
          </cell>
          <cell r="L1142" t="str">
            <v xml:space="preserve">Tramos Existentes </v>
          </cell>
          <cell r="M1142" t="str">
            <v>Existente</v>
          </cell>
        </row>
        <row r="1143">
          <cell r="B1143">
            <v>270</v>
          </cell>
          <cell r="C1143">
            <v>269</v>
          </cell>
          <cell r="D1143">
            <v>1.4999999999999999E-2</v>
          </cell>
          <cell r="E1143">
            <v>10</v>
          </cell>
          <cell r="F1143">
            <v>1307.24</v>
          </cell>
          <cell r="G1143">
            <v>1304.18</v>
          </cell>
          <cell r="H1143">
            <v>1303.6400000000001</v>
          </cell>
          <cell r="I1143">
            <v>1301.44</v>
          </cell>
          <cell r="J1143">
            <v>7.3</v>
          </cell>
          <cell r="K1143">
            <v>0</v>
          </cell>
          <cell r="L1143" t="str">
            <v xml:space="preserve">Tramos Existentes </v>
          </cell>
          <cell r="M1143" t="str">
            <v>Existente</v>
          </cell>
        </row>
        <row r="1144">
          <cell r="B1144">
            <v>535</v>
          </cell>
          <cell r="C1144">
            <v>538</v>
          </cell>
          <cell r="D1144">
            <v>1.4999999999999999E-2</v>
          </cell>
          <cell r="E1144">
            <v>16</v>
          </cell>
          <cell r="F1144">
            <v>1307.53</v>
          </cell>
          <cell r="G1144">
            <v>1306.5999999999999</v>
          </cell>
          <cell r="H1144">
            <v>1305.18</v>
          </cell>
          <cell r="I1144">
            <v>1303.67</v>
          </cell>
          <cell r="J1144">
            <v>26.8</v>
          </cell>
          <cell r="K1144">
            <v>0</v>
          </cell>
          <cell r="L1144" t="str">
            <v xml:space="preserve">Tramos Existentes </v>
          </cell>
          <cell r="M1144" t="str">
            <v>Existente</v>
          </cell>
        </row>
        <row r="1145">
          <cell r="B1145">
            <v>538</v>
          </cell>
          <cell r="C1145">
            <v>601</v>
          </cell>
          <cell r="D1145">
            <v>1.4999999999999999E-2</v>
          </cell>
          <cell r="E1145">
            <v>16</v>
          </cell>
          <cell r="F1145">
            <v>1306.5999999999999</v>
          </cell>
          <cell r="G1145">
            <v>1305.3499999999999</v>
          </cell>
          <cell r="H1145">
            <v>1303.67</v>
          </cell>
          <cell r="I1145">
            <v>1302.27</v>
          </cell>
          <cell r="J1145">
            <v>27.3</v>
          </cell>
          <cell r="K1145">
            <v>0</v>
          </cell>
          <cell r="L1145" t="str">
            <v xml:space="preserve">Tramos Existentes </v>
          </cell>
          <cell r="M1145" t="str">
            <v>Existente</v>
          </cell>
        </row>
        <row r="1146">
          <cell r="B1146">
            <v>331</v>
          </cell>
          <cell r="C1146">
            <v>270</v>
          </cell>
          <cell r="D1146">
            <v>1.4999999999999999E-2</v>
          </cell>
          <cell r="E1146">
            <v>10</v>
          </cell>
          <cell r="F1146">
            <v>1309.26</v>
          </cell>
          <cell r="G1146">
            <v>1307.24</v>
          </cell>
          <cell r="H1146">
            <v>1305.9100000000001</v>
          </cell>
          <cell r="I1146">
            <v>1303.6400000000001</v>
          </cell>
          <cell r="J1146">
            <v>4.7</v>
          </cell>
          <cell r="K1146">
            <v>0</v>
          </cell>
          <cell r="L1146" t="str">
            <v xml:space="preserve">Tramos Existentes </v>
          </cell>
          <cell r="M1146" t="str">
            <v>Existente</v>
          </cell>
        </row>
        <row r="1147">
          <cell r="B1147">
            <v>606</v>
          </cell>
          <cell r="C1147">
            <v>609</v>
          </cell>
          <cell r="D1147">
            <v>1.4999999999999999E-2</v>
          </cell>
          <cell r="E1147">
            <v>16</v>
          </cell>
          <cell r="F1147">
            <v>1303.4000000000001</v>
          </cell>
          <cell r="G1147">
            <v>1302.48</v>
          </cell>
          <cell r="H1147">
            <v>1299.51</v>
          </cell>
          <cell r="I1147">
            <v>1297.8399999999999</v>
          </cell>
          <cell r="J1147">
            <v>27.2</v>
          </cell>
          <cell r="K1147">
            <v>0</v>
          </cell>
          <cell r="L1147" t="str">
            <v xml:space="preserve">Tramos Existentes </v>
          </cell>
          <cell r="M1147" t="str">
            <v>Existente</v>
          </cell>
        </row>
        <row r="1148">
          <cell r="B1148">
            <v>395</v>
          </cell>
          <cell r="C1148">
            <v>400</v>
          </cell>
          <cell r="D1148">
            <v>1.4999999999999999E-2</v>
          </cell>
          <cell r="E1148">
            <v>10</v>
          </cell>
          <cell r="F1148">
            <v>1310.0899999999999</v>
          </cell>
          <cell r="G1148">
            <v>1310.04</v>
          </cell>
          <cell r="H1148">
            <v>1307.07</v>
          </cell>
          <cell r="I1148">
            <v>1306.6300000000001</v>
          </cell>
          <cell r="J1148">
            <v>27.1</v>
          </cell>
          <cell r="K1148">
            <v>0</v>
          </cell>
          <cell r="L1148" t="str">
            <v xml:space="preserve">Tramos Existentes </v>
          </cell>
          <cell r="M1148" t="str">
            <v>Existente</v>
          </cell>
        </row>
        <row r="1149">
          <cell r="B1149">
            <v>672</v>
          </cell>
          <cell r="C1149" t="str">
            <v>D8</v>
          </cell>
          <cell r="D1149">
            <v>1.4999999999999999E-2</v>
          </cell>
          <cell r="E1149">
            <v>18</v>
          </cell>
          <cell r="F1149">
            <v>1301.0999999999999</v>
          </cell>
          <cell r="G1149">
            <v>1255.51</v>
          </cell>
          <cell r="H1149">
            <v>1296.67</v>
          </cell>
          <cell r="I1149">
            <v>1295.31</v>
          </cell>
          <cell r="J1149">
            <v>30.8</v>
          </cell>
          <cell r="K1149">
            <v>0</v>
          </cell>
          <cell r="L1149" t="str">
            <v xml:space="preserve">Tramos Existentes </v>
          </cell>
          <cell r="M1149" t="str">
            <v>Existente</v>
          </cell>
        </row>
        <row r="1150">
          <cell r="B1150">
            <v>391</v>
          </cell>
          <cell r="C1150">
            <v>395</v>
          </cell>
          <cell r="D1150">
            <v>1.4999999999999999E-2</v>
          </cell>
          <cell r="E1150">
            <v>10</v>
          </cell>
          <cell r="F1150">
            <v>1310.08</v>
          </cell>
          <cell r="G1150">
            <v>1310.0899999999999</v>
          </cell>
          <cell r="H1150">
            <v>1307.5999999999999</v>
          </cell>
          <cell r="I1150">
            <v>1307.07</v>
          </cell>
          <cell r="J1150">
            <v>30.8</v>
          </cell>
          <cell r="K1150">
            <v>0</v>
          </cell>
          <cell r="L1150" t="str">
            <v xml:space="preserve">Tramos Existentes </v>
          </cell>
          <cell r="M1150" t="str">
            <v>Existente</v>
          </cell>
        </row>
        <row r="1151">
          <cell r="B1151">
            <v>293</v>
          </cell>
          <cell r="C1151">
            <v>296</v>
          </cell>
          <cell r="D1151">
            <v>0.01</v>
          </cell>
          <cell r="E1151">
            <v>10</v>
          </cell>
          <cell r="F1151">
            <v>1285.8599999999999</v>
          </cell>
          <cell r="G1151">
            <v>1283.27</v>
          </cell>
          <cell r="H1151">
            <v>1283.8699999999999</v>
          </cell>
          <cell r="I1151">
            <v>1280.81</v>
          </cell>
          <cell r="J1151">
            <v>19.100000000000001</v>
          </cell>
          <cell r="K1151">
            <v>0</v>
          </cell>
          <cell r="L1151" t="str">
            <v xml:space="preserve">Tramos Existentes </v>
          </cell>
          <cell r="M1151" t="str">
            <v>Existente</v>
          </cell>
        </row>
        <row r="1152">
          <cell r="B1152">
            <v>397</v>
          </cell>
          <cell r="C1152">
            <v>395</v>
          </cell>
          <cell r="D1152">
            <v>1.4999999999999999E-2</v>
          </cell>
          <cell r="E1152">
            <v>10</v>
          </cell>
          <cell r="F1152">
            <v>1310.6400000000001</v>
          </cell>
          <cell r="G1152">
            <v>1310.0899999999999</v>
          </cell>
          <cell r="H1152">
            <v>1310.0999999999999</v>
          </cell>
          <cell r="I1152">
            <v>1307.07</v>
          </cell>
          <cell r="J1152">
            <v>5.8</v>
          </cell>
          <cell r="K1152">
            <v>0</v>
          </cell>
          <cell r="L1152" t="str">
            <v xml:space="preserve">Tramos Existentes </v>
          </cell>
          <cell r="M1152" t="str">
            <v>Existente</v>
          </cell>
        </row>
        <row r="1153">
          <cell r="B1153">
            <v>378</v>
          </cell>
          <cell r="C1153">
            <v>380</v>
          </cell>
          <cell r="D1153">
            <v>1.4999999999999999E-2</v>
          </cell>
          <cell r="E1153">
            <v>24</v>
          </cell>
          <cell r="F1153">
            <v>1307.67</v>
          </cell>
          <cell r="G1153">
            <v>1303.8599999999999</v>
          </cell>
          <cell r="H1153">
            <v>1303.26</v>
          </cell>
          <cell r="I1153">
            <v>1294.03</v>
          </cell>
          <cell r="J1153">
            <v>41.8</v>
          </cell>
          <cell r="K1153">
            <v>0</v>
          </cell>
          <cell r="L1153" t="str">
            <v xml:space="preserve">Tramos Existentes </v>
          </cell>
          <cell r="M1153" t="str">
            <v>Existente</v>
          </cell>
        </row>
        <row r="1154">
          <cell r="B1154">
            <v>398</v>
          </cell>
          <cell r="C1154">
            <v>396</v>
          </cell>
          <cell r="D1154">
            <v>1.4999999999999999E-2</v>
          </cell>
          <cell r="E1154">
            <v>8</v>
          </cell>
          <cell r="F1154">
            <v>1311.11</v>
          </cell>
          <cell r="G1154">
            <v>1310.06</v>
          </cell>
          <cell r="H1154">
            <v>1308.8699999999999</v>
          </cell>
          <cell r="I1154">
            <v>1305.19</v>
          </cell>
          <cell r="J1154">
            <v>83.6</v>
          </cell>
          <cell r="K1154">
            <v>0</v>
          </cell>
          <cell r="L1154" t="str">
            <v xml:space="preserve">Tramos Existentes </v>
          </cell>
          <cell r="M1154" t="str">
            <v>Existente</v>
          </cell>
        </row>
        <row r="1155">
          <cell r="B1155">
            <v>40</v>
          </cell>
          <cell r="C1155">
            <v>61</v>
          </cell>
          <cell r="D1155">
            <v>0.01</v>
          </cell>
          <cell r="E1155">
            <v>8</v>
          </cell>
          <cell r="F1155">
            <v>1297.05</v>
          </cell>
          <cell r="G1155">
            <v>1296.54</v>
          </cell>
          <cell r="H1155">
            <v>1295.3</v>
          </cell>
          <cell r="I1155">
            <v>1293.7</v>
          </cell>
          <cell r="J1155">
            <v>12.8</v>
          </cell>
          <cell r="K1155">
            <v>0</v>
          </cell>
          <cell r="L1155" t="str">
            <v xml:space="preserve">Tramos Existentes </v>
          </cell>
          <cell r="M1155" t="str">
            <v>Existente</v>
          </cell>
        </row>
        <row r="1156">
          <cell r="B1156">
            <v>401</v>
          </cell>
          <cell r="C1156">
            <v>402</v>
          </cell>
          <cell r="D1156">
            <v>1.4999999999999999E-2</v>
          </cell>
          <cell r="E1156">
            <v>10</v>
          </cell>
          <cell r="F1156">
            <v>1312.12</v>
          </cell>
          <cell r="G1156">
            <v>1312.63</v>
          </cell>
          <cell r="H1156">
            <v>1310.26</v>
          </cell>
          <cell r="I1156">
            <v>1309.1199999999999</v>
          </cell>
          <cell r="J1156">
            <v>51</v>
          </cell>
          <cell r="K1156">
            <v>0</v>
          </cell>
          <cell r="L1156" t="str">
            <v xml:space="preserve">Tramos Existentes </v>
          </cell>
          <cell r="M1156" t="str">
            <v>Existente</v>
          </cell>
        </row>
        <row r="1157">
          <cell r="B1157">
            <v>686</v>
          </cell>
          <cell r="C1157">
            <v>618</v>
          </cell>
          <cell r="D1157">
            <v>1.4999999999999999E-2</v>
          </cell>
          <cell r="E1157">
            <v>8</v>
          </cell>
          <cell r="F1157">
            <v>1315.3</v>
          </cell>
          <cell r="G1157">
            <v>1313.49</v>
          </cell>
          <cell r="H1157">
            <v>1314.01</v>
          </cell>
          <cell r="I1157">
            <v>1312.16</v>
          </cell>
          <cell r="J1157">
            <v>27.3</v>
          </cell>
          <cell r="K1157">
            <v>0</v>
          </cell>
          <cell r="L1157" t="str">
            <v xml:space="preserve">Tramos Existentes </v>
          </cell>
          <cell r="M1157" t="str">
            <v>Existente</v>
          </cell>
        </row>
        <row r="1158">
          <cell r="B1158">
            <v>402</v>
          </cell>
          <cell r="C1158">
            <v>405</v>
          </cell>
          <cell r="D1158">
            <v>1.4999999999999999E-2</v>
          </cell>
          <cell r="E1158">
            <v>10</v>
          </cell>
          <cell r="F1158">
            <v>1312.63</v>
          </cell>
          <cell r="G1158">
            <v>1312.28</v>
          </cell>
          <cell r="H1158">
            <v>1309.1199999999999</v>
          </cell>
          <cell r="I1158">
            <v>1308.44</v>
          </cell>
          <cell r="J1158">
            <v>36.1</v>
          </cell>
          <cell r="K1158">
            <v>0</v>
          </cell>
          <cell r="L1158" t="str">
            <v xml:space="preserve">Tramos Existentes </v>
          </cell>
          <cell r="M1158" t="str">
            <v>Existente</v>
          </cell>
        </row>
        <row r="1159">
          <cell r="B1159">
            <v>332</v>
          </cell>
          <cell r="C1159">
            <v>331</v>
          </cell>
          <cell r="D1159">
            <v>1.4999999999999999E-2</v>
          </cell>
          <cell r="E1159">
            <v>8</v>
          </cell>
          <cell r="F1159">
            <v>1311.84</v>
          </cell>
          <cell r="G1159">
            <v>1309.26</v>
          </cell>
          <cell r="H1159">
            <v>1308.51</v>
          </cell>
          <cell r="I1159">
            <v>1305.9100000000001</v>
          </cell>
          <cell r="J1159">
            <v>12.9</v>
          </cell>
          <cell r="K1159">
            <v>0</v>
          </cell>
          <cell r="L1159" t="str">
            <v xml:space="preserve">Tramos Existentes </v>
          </cell>
          <cell r="M1159" t="str">
            <v>Existente</v>
          </cell>
        </row>
        <row r="1160">
          <cell r="B1160">
            <v>277</v>
          </cell>
          <cell r="C1160">
            <v>276</v>
          </cell>
          <cell r="D1160">
            <v>1.4999999999999999E-2</v>
          </cell>
          <cell r="E1160">
            <v>12</v>
          </cell>
          <cell r="F1160">
            <v>1317.23</v>
          </cell>
          <cell r="G1160">
            <v>1317.96</v>
          </cell>
          <cell r="H1160">
            <v>1316.31</v>
          </cell>
          <cell r="I1160">
            <v>1315.75</v>
          </cell>
          <cell r="J1160">
            <v>31.2</v>
          </cell>
          <cell r="K1160">
            <v>0</v>
          </cell>
          <cell r="L1160" t="str">
            <v xml:space="preserve">Tramos Existentes </v>
          </cell>
          <cell r="M1160" t="str">
            <v>Existente</v>
          </cell>
        </row>
        <row r="1161">
          <cell r="B1161">
            <v>28</v>
          </cell>
          <cell r="C1161">
            <v>29</v>
          </cell>
          <cell r="D1161">
            <v>1.4999999999999999E-2</v>
          </cell>
          <cell r="E1161">
            <v>8</v>
          </cell>
          <cell r="F1161">
            <v>1298.0899999999999</v>
          </cell>
          <cell r="G1161">
            <v>1298.27</v>
          </cell>
          <cell r="H1161">
            <v>1297.01</v>
          </cell>
          <cell r="I1161">
            <v>1295.5999999999999</v>
          </cell>
          <cell r="J1161">
            <v>30.1</v>
          </cell>
          <cell r="K1161">
            <v>0</v>
          </cell>
          <cell r="L1161" t="str">
            <v xml:space="preserve">Renovacion </v>
          </cell>
          <cell r="M1161" t="str">
            <v>Existente</v>
          </cell>
        </row>
        <row r="1162">
          <cell r="B1162">
            <v>346</v>
          </cell>
          <cell r="C1162">
            <v>349</v>
          </cell>
          <cell r="D1162">
            <v>1.4999999999999999E-2</v>
          </cell>
          <cell r="E1162">
            <v>8</v>
          </cell>
          <cell r="F1162">
            <v>1305.1400000000001</v>
          </cell>
          <cell r="G1162">
            <v>1295.4100000000001</v>
          </cell>
          <cell r="H1162">
            <v>1303.93</v>
          </cell>
          <cell r="I1162">
            <v>1293.58</v>
          </cell>
          <cell r="J1162">
            <v>33.4</v>
          </cell>
          <cell r="K1162">
            <v>0</v>
          </cell>
          <cell r="L1162" t="str">
            <v xml:space="preserve">Tramos Existentes </v>
          </cell>
          <cell r="M1162" t="str">
            <v>Existente</v>
          </cell>
        </row>
        <row r="1163">
          <cell r="B1163">
            <v>497</v>
          </cell>
          <cell r="C1163">
            <v>495</v>
          </cell>
          <cell r="D1163">
            <v>1.4999999999999999E-2</v>
          </cell>
          <cell r="E1163">
            <v>10</v>
          </cell>
          <cell r="F1163">
            <v>1322.68</v>
          </cell>
          <cell r="G1163">
            <v>1322.57</v>
          </cell>
          <cell r="H1163">
            <v>1321.01</v>
          </cell>
          <cell r="I1163">
            <v>1320.71</v>
          </cell>
          <cell r="J1163">
            <v>11.7</v>
          </cell>
          <cell r="K1163">
            <v>0</v>
          </cell>
          <cell r="L1163" t="str">
            <v xml:space="preserve">Tramos Existentes </v>
          </cell>
          <cell r="M1163" t="str">
            <v>Existente</v>
          </cell>
        </row>
        <row r="1164">
          <cell r="B1164">
            <v>38</v>
          </cell>
          <cell r="C1164">
            <v>39</v>
          </cell>
          <cell r="D1164">
            <v>0.01</v>
          </cell>
          <cell r="E1164">
            <v>8</v>
          </cell>
          <cell r="F1164">
            <v>1298.17</v>
          </cell>
          <cell r="G1164">
            <v>1297.8900000000001</v>
          </cell>
          <cell r="H1164">
            <v>1296.51</v>
          </cell>
          <cell r="I1164">
            <v>1296.04</v>
          </cell>
          <cell r="J1164">
            <v>14</v>
          </cell>
          <cell r="K1164">
            <v>0</v>
          </cell>
          <cell r="L1164" t="str">
            <v xml:space="preserve">Tramos Existentes </v>
          </cell>
          <cell r="M1164" t="str">
            <v>Existente</v>
          </cell>
        </row>
        <row r="1165">
          <cell r="B1165">
            <v>39</v>
          </cell>
          <cell r="C1165">
            <v>61</v>
          </cell>
          <cell r="D1165">
            <v>0.01</v>
          </cell>
          <cell r="E1165">
            <v>8</v>
          </cell>
          <cell r="F1165">
            <v>1297.8900000000001</v>
          </cell>
          <cell r="G1165">
            <v>1296.54</v>
          </cell>
          <cell r="H1165">
            <v>1296.04</v>
          </cell>
          <cell r="I1165">
            <v>1293.7</v>
          </cell>
          <cell r="J1165">
            <v>28.8</v>
          </cell>
          <cell r="K1165">
            <v>0</v>
          </cell>
          <cell r="L1165" t="str">
            <v xml:space="preserve">Tramos Existentes </v>
          </cell>
          <cell r="M1165" t="str">
            <v>Existente</v>
          </cell>
        </row>
        <row r="1166">
          <cell r="B1166">
            <v>280</v>
          </cell>
          <cell r="C1166">
            <v>346</v>
          </cell>
          <cell r="D1166">
            <v>1.4999999999999999E-2</v>
          </cell>
          <cell r="E1166">
            <v>10</v>
          </cell>
          <cell r="F1166">
            <v>1311.57</v>
          </cell>
          <cell r="G1166">
            <v>1305.1400000000001</v>
          </cell>
          <cell r="H1166">
            <v>1308.24</v>
          </cell>
          <cell r="I1166">
            <v>1303.93</v>
          </cell>
          <cell r="J1166">
            <v>44.2</v>
          </cell>
          <cell r="K1166">
            <v>0</v>
          </cell>
          <cell r="L1166" t="str">
            <v xml:space="preserve">Tramos Existentes </v>
          </cell>
          <cell r="M1166" t="str">
            <v>Existente</v>
          </cell>
        </row>
        <row r="1167">
          <cell r="B1167">
            <v>278</v>
          </cell>
          <cell r="C1167">
            <v>280</v>
          </cell>
          <cell r="D1167">
            <v>1.4999999999999999E-2</v>
          </cell>
          <cell r="E1167">
            <v>8</v>
          </cell>
          <cell r="F1167">
            <v>1314.1</v>
          </cell>
          <cell r="G1167">
            <v>1311.57</v>
          </cell>
          <cell r="H1167">
            <v>1313.16</v>
          </cell>
          <cell r="I1167">
            <v>1308.24</v>
          </cell>
          <cell r="J1167">
            <v>17.2</v>
          </cell>
          <cell r="K1167">
            <v>0</v>
          </cell>
          <cell r="L1167" t="str">
            <v xml:space="preserve">Tramos Existentes </v>
          </cell>
          <cell r="M1167" t="str">
            <v>Existente</v>
          </cell>
        </row>
        <row r="1168">
          <cell r="B1168">
            <v>61</v>
          </cell>
          <cell r="C1168">
            <v>62</v>
          </cell>
          <cell r="D1168">
            <v>0.01</v>
          </cell>
          <cell r="E1168">
            <v>10</v>
          </cell>
          <cell r="F1168">
            <v>1296.54</v>
          </cell>
          <cell r="G1168">
            <v>1294.55</v>
          </cell>
          <cell r="H1168">
            <v>1293.7</v>
          </cell>
          <cell r="I1168">
            <v>1291.54</v>
          </cell>
          <cell r="J1168">
            <v>30.8</v>
          </cell>
          <cell r="K1168">
            <v>0</v>
          </cell>
          <cell r="L1168" t="str">
            <v xml:space="preserve">Tramos Existentes </v>
          </cell>
          <cell r="M1168" t="str">
            <v>Existente</v>
          </cell>
        </row>
        <row r="1169">
          <cell r="B1169">
            <v>274</v>
          </cell>
          <cell r="C1169">
            <v>271</v>
          </cell>
          <cell r="D1169">
            <v>1.4999999999999999E-2</v>
          </cell>
          <cell r="E1169">
            <v>8</v>
          </cell>
          <cell r="F1169">
            <v>1317.09</v>
          </cell>
          <cell r="G1169">
            <v>1316.81</v>
          </cell>
          <cell r="H1169">
            <v>1315.58</v>
          </cell>
          <cell r="I1169">
            <v>1315</v>
          </cell>
          <cell r="J1169">
            <v>31.3</v>
          </cell>
          <cell r="K1169">
            <v>0</v>
          </cell>
          <cell r="L1169" t="str">
            <v xml:space="preserve">Tramos Existentes </v>
          </cell>
          <cell r="M1169" t="str">
            <v>Existente</v>
          </cell>
        </row>
        <row r="1170">
          <cell r="B1170">
            <v>279</v>
          </cell>
          <cell r="C1170">
            <v>278</v>
          </cell>
          <cell r="D1170">
            <v>1.4999999999999999E-2</v>
          </cell>
          <cell r="E1170">
            <v>8</v>
          </cell>
          <cell r="F1170">
            <v>1316</v>
          </cell>
          <cell r="G1170">
            <v>1314.1</v>
          </cell>
          <cell r="H1170">
            <v>1314.97</v>
          </cell>
          <cell r="I1170">
            <v>1313.16</v>
          </cell>
          <cell r="J1170">
            <v>26</v>
          </cell>
          <cell r="K1170">
            <v>0</v>
          </cell>
          <cell r="L1170" t="str">
            <v xml:space="preserve">Tramos Existentes </v>
          </cell>
          <cell r="M1170" t="str">
            <v>Existente</v>
          </cell>
        </row>
        <row r="1171">
          <cell r="B1171">
            <v>986</v>
          </cell>
          <cell r="C1171">
            <v>356</v>
          </cell>
          <cell r="D1171">
            <v>1.4999999999999999E-2</v>
          </cell>
          <cell r="E1171">
            <v>16</v>
          </cell>
          <cell r="F1171">
            <v>1301.3900000000001</v>
          </cell>
          <cell r="G1171">
            <v>1300.22</v>
          </cell>
          <cell r="H1171">
            <v>1299.3399999999999</v>
          </cell>
          <cell r="I1171">
            <v>1298.06</v>
          </cell>
          <cell r="J1171">
            <v>11.5</v>
          </cell>
          <cell r="K1171">
            <v>0</v>
          </cell>
          <cell r="L1171" t="str">
            <v xml:space="preserve">Tramos Existentes </v>
          </cell>
          <cell r="M1171" t="str">
            <v>Existente</v>
          </cell>
        </row>
        <row r="1172">
          <cell r="B1172">
            <v>63</v>
          </cell>
          <cell r="C1172">
            <v>64</v>
          </cell>
          <cell r="D1172">
            <v>0.01</v>
          </cell>
          <cell r="E1172">
            <v>12</v>
          </cell>
          <cell r="F1172">
            <v>1291.06</v>
          </cell>
          <cell r="G1172">
            <v>1288.0999999999999</v>
          </cell>
          <cell r="H1172">
            <v>1287.94</v>
          </cell>
          <cell r="I1172">
            <v>1283.6500000000001</v>
          </cell>
          <cell r="J1172">
            <v>16.3</v>
          </cell>
          <cell r="K1172">
            <v>0</v>
          </cell>
          <cell r="L1172" t="str">
            <v xml:space="preserve">Tramos Existentes </v>
          </cell>
          <cell r="M1172" t="str">
            <v>Existente</v>
          </cell>
        </row>
        <row r="1173">
          <cell r="B1173">
            <v>64</v>
          </cell>
          <cell r="C1173">
            <v>65</v>
          </cell>
          <cell r="D1173">
            <v>0.01</v>
          </cell>
          <cell r="E1173">
            <v>12</v>
          </cell>
          <cell r="F1173">
            <v>1288.0999999999999</v>
          </cell>
          <cell r="G1173">
            <v>1282.26</v>
          </cell>
          <cell r="H1173">
            <v>1283.6500000000001</v>
          </cell>
          <cell r="I1173">
            <v>1278.98</v>
          </cell>
          <cell r="J1173">
            <v>18.2</v>
          </cell>
          <cell r="K1173">
            <v>0</v>
          </cell>
          <cell r="L1173" t="str">
            <v xml:space="preserve">Tramos Existentes </v>
          </cell>
          <cell r="M1173" t="str">
            <v>Existente</v>
          </cell>
        </row>
        <row r="1174">
          <cell r="B1174">
            <v>65</v>
          </cell>
          <cell r="C1174">
            <v>66</v>
          </cell>
          <cell r="D1174">
            <v>0.01</v>
          </cell>
          <cell r="E1174">
            <v>12</v>
          </cell>
          <cell r="F1174">
            <v>1282.26</v>
          </cell>
          <cell r="G1174">
            <v>1279.42</v>
          </cell>
          <cell r="H1174">
            <v>1278.98</v>
          </cell>
          <cell r="I1174">
            <v>1274.83</v>
          </cell>
          <cell r="J1174">
            <v>7.8</v>
          </cell>
          <cell r="K1174">
            <v>0</v>
          </cell>
          <cell r="L1174" t="str">
            <v xml:space="preserve">Tramos Existentes </v>
          </cell>
          <cell r="M1174" t="str">
            <v>Existente</v>
          </cell>
        </row>
        <row r="1175">
          <cell r="B1175">
            <v>66</v>
          </cell>
          <cell r="C1175">
            <v>68</v>
          </cell>
          <cell r="D1175">
            <v>0.01</v>
          </cell>
          <cell r="E1175">
            <v>12</v>
          </cell>
          <cell r="F1175">
            <v>1279.42</v>
          </cell>
          <cell r="G1175">
            <v>1273.33</v>
          </cell>
          <cell r="H1175">
            <v>1274.83</v>
          </cell>
          <cell r="I1175">
            <v>1272.2</v>
          </cell>
          <cell r="J1175">
            <v>13.6</v>
          </cell>
          <cell r="K1175">
            <v>0</v>
          </cell>
          <cell r="L1175" t="str">
            <v xml:space="preserve">Tramos Existentes </v>
          </cell>
          <cell r="M1175" t="str">
            <v>Existente</v>
          </cell>
        </row>
        <row r="1176">
          <cell r="B1176">
            <v>68</v>
          </cell>
          <cell r="C1176" t="str">
            <v>D2</v>
          </cell>
          <cell r="D1176">
            <v>0.01</v>
          </cell>
          <cell r="E1176">
            <v>12</v>
          </cell>
          <cell r="F1176">
            <v>1273.33</v>
          </cell>
          <cell r="G1176">
            <v>1266.3900000000001</v>
          </cell>
          <cell r="H1176">
            <v>1272.2</v>
          </cell>
          <cell r="I1176">
            <v>1266.3900000000001</v>
          </cell>
          <cell r="J1176">
            <v>9.9</v>
          </cell>
          <cell r="K1176">
            <v>0</v>
          </cell>
          <cell r="L1176" t="str">
            <v>Inhabilitar</v>
          </cell>
          <cell r="M1176" t="str">
            <v>Existente</v>
          </cell>
        </row>
        <row r="1177">
          <cell r="B1177">
            <v>388</v>
          </cell>
          <cell r="C1177">
            <v>312</v>
          </cell>
          <cell r="D1177">
            <v>1.4999999999999999E-2</v>
          </cell>
          <cell r="E1177">
            <v>8</v>
          </cell>
          <cell r="F1177">
            <v>1312.11</v>
          </cell>
          <cell r="G1177">
            <v>1312.64</v>
          </cell>
          <cell r="H1177">
            <v>1309.77</v>
          </cell>
          <cell r="I1177">
            <v>1309.4000000000001</v>
          </cell>
          <cell r="J1177">
            <v>65.099999999999994</v>
          </cell>
          <cell r="K1177">
            <v>0</v>
          </cell>
          <cell r="L1177" t="str">
            <v xml:space="preserve">Tramos Existentes </v>
          </cell>
          <cell r="M1177" t="str">
            <v>Existente</v>
          </cell>
        </row>
        <row r="1178">
          <cell r="B1178">
            <v>390</v>
          </cell>
          <cell r="C1178">
            <v>389</v>
          </cell>
          <cell r="D1178">
            <v>1.4999999999999999E-2</v>
          </cell>
          <cell r="E1178">
            <v>8</v>
          </cell>
          <cell r="F1178">
            <v>1311.97</v>
          </cell>
          <cell r="G1178">
            <v>1310.1300000000001</v>
          </cell>
          <cell r="H1178">
            <v>1310.45</v>
          </cell>
          <cell r="I1178">
            <v>1308.53</v>
          </cell>
          <cell r="J1178">
            <v>48.5</v>
          </cell>
          <cell r="K1178">
            <v>0</v>
          </cell>
          <cell r="L1178" t="str">
            <v xml:space="preserve">Tramos Existentes </v>
          </cell>
          <cell r="M1178" t="str">
            <v>Existente</v>
          </cell>
        </row>
        <row r="1179">
          <cell r="B1179">
            <v>389</v>
          </cell>
          <cell r="C1179">
            <v>452</v>
          </cell>
          <cell r="D1179">
            <v>1.4999999999999999E-2</v>
          </cell>
          <cell r="E1179">
            <v>12</v>
          </cell>
          <cell r="F1179">
            <v>1310.1300000000001</v>
          </cell>
          <cell r="G1179">
            <v>1310</v>
          </cell>
          <cell r="H1179">
            <v>1308.53</v>
          </cell>
          <cell r="I1179">
            <v>1303.8499999999999</v>
          </cell>
          <cell r="J1179">
            <v>15.6</v>
          </cell>
          <cell r="K1179">
            <v>0</v>
          </cell>
          <cell r="L1179" t="str">
            <v xml:space="preserve">Tramos Existentes </v>
          </cell>
          <cell r="M1179" t="str">
            <v>Existente</v>
          </cell>
        </row>
        <row r="1180">
          <cell r="B1180">
            <v>62</v>
          </cell>
          <cell r="C1180">
            <v>63</v>
          </cell>
          <cell r="D1180">
            <v>0.01</v>
          </cell>
          <cell r="E1180">
            <v>12</v>
          </cell>
          <cell r="F1180">
            <v>1294.55</v>
          </cell>
          <cell r="G1180">
            <v>1291.06</v>
          </cell>
          <cell r="H1180">
            <v>1291.54</v>
          </cell>
          <cell r="I1180">
            <v>1287.94</v>
          </cell>
          <cell r="J1180">
            <v>36.5</v>
          </cell>
          <cell r="K1180">
            <v>0</v>
          </cell>
          <cell r="L1180" t="str">
            <v xml:space="preserve">Tramos Existentes </v>
          </cell>
          <cell r="M1180" t="str">
            <v>Existente</v>
          </cell>
        </row>
        <row r="1181">
          <cell r="B1181">
            <v>838</v>
          </cell>
          <cell r="C1181">
            <v>836</v>
          </cell>
          <cell r="D1181">
            <v>1.4999999999999999E-2</v>
          </cell>
          <cell r="E1181">
            <v>8</v>
          </cell>
          <cell r="F1181">
            <v>1301.3499999999999</v>
          </cell>
          <cell r="G1181">
            <v>1295.77</v>
          </cell>
          <cell r="H1181">
            <v>1298.0999999999999</v>
          </cell>
          <cell r="I1181">
            <v>1294.04</v>
          </cell>
          <cell r="J1181">
            <v>14.2</v>
          </cell>
          <cell r="K1181">
            <v>0</v>
          </cell>
          <cell r="L1181" t="str">
            <v xml:space="preserve">Tramos Existentes </v>
          </cell>
          <cell r="M1181" t="str">
            <v>Existente</v>
          </cell>
        </row>
        <row r="1182">
          <cell r="B1182" t="str">
            <v>P11</v>
          </cell>
          <cell r="C1182">
            <v>315</v>
          </cell>
          <cell r="D1182">
            <v>0.01</v>
          </cell>
          <cell r="E1182">
            <v>8</v>
          </cell>
          <cell r="F1182">
            <v>1313.05</v>
          </cell>
          <cell r="G1182">
            <v>1312.62</v>
          </cell>
          <cell r="H1182">
            <v>1311.51</v>
          </cell>
          <cell r="I1182">
            <v>1310.3800000000001</v>
          </cell>
          <cell r="J1182">
            <v>94.2</v>
          </cell>
          <cell r="K1182">
            <v>0</v>
          </cell>
          <cell r="L1182" t="str">
            <v xml:space="preserve">Tramos Existentes </v>
          </cell>
          <cell r="M1182" t="str">
            <v>Existente</v>
          </cell>
        </row>
        <row r="1183">
          <cell r="B1183">
            <v>716</v>
          </cell>
          <cell r="C1183">
            <v>715</v>
          </cell>
          <cell r="D1183">
            <v>1.4999999999999999E-2</v>
          </cell>
          <cell r="E1183">
            <v>16</v>
          </cell>
          <cell r="F1183">
            <v>1311.62</v>
          </cell>
          <cell r="G1183">
            <v>1306.23</v>
          </cell>
          <cell r="H1183">
            <v>1308.3</v>
          </cell>
          <cell r="I1183">
            <v>1303.8800000000001</v>
          </cell>
          <cell r="J1183">
            <v>32.4</v>
          </cell>
          <cell r="K1183">
            <v>0</v>
          </cell>
          <cell r="L1183" t="str">
            <v xml:space="preserve">Tramos Existentes </v>
          </cell>
          <cell r="M1183" t="str">
            <v>Existente</v>
          </cell>
        </row>
        <row r="1184">
          <cell r="B1184">
            <v>308</v>
          </cell>
          <cell r="C1184">
            <v>309</v>
          </cell>
          <cell r="D1184">
            <v>1.4999999999999999E-2</v>
          </cell>
          <cell r="E1184">
            <v>12</v>
          </cell>
          <cell r="F1184">
            <v>1313.98</v>
          </cell>
          <cell r="G1184">
            <v>1313</v>
          </cell>
          <cell r="H1184">
            <v>1312.39</v>
          </cell>
          <cell r="I1184">
            <v>1309.19</v>
          </cell>
          <cell r="J1184">
            <v>61.6</v>
          </cell>
          <cell r="K1184">
            <v>0</v>
          </cell>
          <cell r="L1184" t="str">
            <v xml:space="preserve">Tramos Existentes </v>
          </cell>
          <cell r="M1184" t="str">
            <v>Existente</v>
          </cell>
        </row>
        <row r="1185">
          <cell r="B1185" t="str">
            <v>310i</v>
          </cell>
          <cell r="C1185">
            <v>371</v>
          </cell>
          <cell r="D1185">
            <v>1.4999999999999999E-2</v>
          </cell>
          <cell r="E1185">
            <v>12</v>
          </cell>
          <cell r="F1185">
            <v>1312.23</v>
          </cell>
          <cell r="G1185">
            <v>1311.93</v>
          </cell>
          <cell r="H1185">
            <v>1310.82</v>
          </cell>
          <cell r="I1185">
            <v>1308.6199999999999</v>
          </cell>
          <cell r="J1185">
            <v>73.2</v>
          </cell>
          <cell r="K1185">
            <v>0</v>
          </cell>
          <cell r="L1185" t="str">
            <v xml:space="preserve">Tramos Existentes </v>
          </cell>
          <cell r="M1185" t="str">
            <v>Existente</v>
          </cell>
        </row>
        <row r="1186">
          <cell r="B1186">
            <v>310</v>
          </cell>
          <cell r="C1186">
            <v>687</v>
          </cell>
          <cell r="D1186">
            <v>1.4999999999999999E-2</v>
          </cell>
          <cell r="E1186">
            <v>8</v>
          </cell>
          <cell r="F1186">
            <v>1312.23</v>
          </cell>
          <cell r="G1186">
            <v>1309.45</v>
          </cell>
          <cell r="H1186">
            <v>1310.73</v>
          </cell>
          <cell r="I1186">
            <v>1307.9000000000001</v>
          </cell>
          <cell r="J1186">
            <v>76.400000000000006</v>
          </cell>
          <cell r="K1186">
            <v>0</v>
          </cell>
          <cell r="L1186" t="str">
            <v xml:space="preserve">Tramos Existentes </v>
          </cell>
          <cell r="M1186" t="str">
            <v>Existente</v>
          </cell>
        </row>
        <row r="1187">
          <cell r="B1187">
            <v>687</v>
          </cell>
          <cell r="C1187">
            <v>146</v>
          </cell>
          <cell r="D1187">
            <v>1.4999999999999999E-2</v>
          </cell>
          <cell r="E1187">
            <v>16</v>
          </cell>
          <cell r="F1187">
            <v>1309.45</v>
          </cell>
          <cell r="G1187">
            <v>1303.98</v>
          </cell>
          <cell r="H1187">
            <v>1307.9000000000001</v>
          </cell>
          <cell r="I1187">
            <v>1299.78</v>
          </cell>
          <cell r="J1187">
            <v>73.7</v>
          </cell>
          <cell r="K1187">
            <v>0</v>
          </cell>
          <cell r="L1187" t="str">
            <v xml:space="preserve">Tramos Existentes </v>
          </cell>
          <cell r="M1187" t="str">
            <v>Existente</v>
          </cell>
        </row>
        <row r="1188">
          <cell r="B1188">
            <v>387</v>
          </cell>
          <cell r="C1188">
            <v>311</v>
          </cell>
          <cell r="D1188">
            <v>1.4999999999999999E-2</v>
          </cell>
          <cell r="E1188">
            <v>8</v>
          </cell>
          <cell r="F1188">
            <v>1312.99</v>
          </cell>
          <cell r="G1188">
            <v>1312.96</v>
          </cell>
          <cell r="H1188">
            <v>1311.06</v>
          </cell>
          <cell r="I1188">
            <v>1310.24</v>
          </cell>
          <cell r="J1188">
            <v>63.3</v>
          </cell>
          <cell r="K1188">
            <v>0</v>
          </cell>
          <cell r="L1188" t="str">
            <v xml:space="preserve">Tramos Existentes </v>
          </cell>
          <cell r="M1188" t="str">
            <v>Existente</v>
          </cell>
        </row>
        <row r="1189">
          <cell r="B1189">
            <v>311</v>
          </cell>
          <cell r="C1189">
            <v>312</v>
          </cell>
          <cell r="D1189">
            <v>1.4999999999999999E-2</v>
          </cell>
          <cell r="E1189">
            <v>8</v>
          </cell>
          <cell r="F1189">
            <v>1312.96</v>
          </cell>
          <cell r="G1189">
            <v>1312.64</v>
          </cell>
          <cell r="H1189">
            <v>1310.24</v>
          </cell>
          <cell r="I1189">
            <v>1309.4000000000001</v>
          </cell>
          <cell r="J1189">
            <v>26</v>
          </cell>
          <cell r="K1189">
            <v>0</v>
          </cell>
          <cell r="L1189" t="str">
            <v xml:space="preserve">Tramos Existentes </v>
          </cell>
          <cell r="M1189" t="str">
            <v>Existente</v>
          </cell>
        </row>
        <row r="1190">
          <cell r="B1190">
            <v>579</v>
          </cell>
          <cell r="C1190">
            <v>580</v>
          </cell>
          <cell r="D1190">
            <v>1.4999999999999999E-2</v>
          </cell>
          <cell r="E1190">
            <v>16</v>
          </cell>
          <cell r="F1190">
            <v>1315.81</v>
          </cell>
          <cell r="G1190">
            <v>1315.55</v>
          </cell>
          <cell r="H1190">
            <v>1312.56</v>
          </cell>
          <cell r="I1190">
            <v>1312.27</v>
          </cell>
          <cell r="J1190">
            <v>72.599999999999994</v>
          </cell>
          <cell r="K1190">
            <v>0</v>
          </cell>
          <cell r="L1190" t="str">
            <v xml:space="preserve">Tramos Existentes </v>
          </cell>
          <cell r="M1190" t="str">
            <v>Existente</v>
          </cell>
        </row>
        <row r="1191">
          <cell r="B1191">
            <v>292</v>
          </cell>
          <cell r="C1191">
            <v>293</v>
          </cell>
          <cell r="D1191">
            <v>0.01</v>
          </cell>
          <cell r="E1191">
            <v>10</v>
          </cell>
          <cell r="F1191">
            <v>1286.96</v>
          </cell>
          <cell r="G1191">
            <v>1285.8599999999999</v>
          </cell>
          <cell r="H1191">
            <v>1284.94</v>
          </cell>
          <cell r="I1191">
            <v>1283.8699999999999</v>
          </cell>
          <cell r="J1191">
            <v>70.7</v>
          </cell>
          <cell r="K1191">
            <v>0</v>
          </cell>
          <cell r="L1191" t="str">
            <v xml:space="preserve">Tramos Existentes </v>
          </cell>
          <cell r="M1191" t="str">
            <v>Existente</v>
          </cell>
        </row>
        <row r="1192">
          <cell r="B1192">
            <v>307</v>
          </cell>
          <cell r="C1192">
            <v>579</v>
          </cell>
          <cell r="D1192">
            <v>1.4999999999999999E-2</v>
          </cell>
          <cell r="E1192">
            <v>10</v>
          </cell>
          <cell r="F1192">
            <v>1314.4</v>
          </cell>
          <cell r="G1192">
            <v>1315.81</v>
          </cell>
          <cell r="H1192">
            <v>1313</v>
          </cell>
          <cell r="I1192">
            <v>1312.56</v>
          </cell>
          <cell r="J1192">
            <v>40.200000000000003</v>
          </cell>
          <cell r="K1192">
            <v>0</v>
          </cell>
          <cell r="L1192" t="str">
            <v xml:space="preserve">Tramos Existentes </v>
          </cell>
          <cell r="M1192" t="str">
            <v>Existente</v>
          </cell>
        </row>
        <row r="1193">
          <cell r="B1193">
            <v>836</v>
          </cell>
          <cell r="C1193">
            <v>833</v>
          </cell>
          <cell r="D1193">
            <v>1.4999999999999999E-2</v>
          </cell>
          <cell r="E1193">
            <v>12</v>
          </cell>
          <cell r="F1193">
            <v>1295.77</v>
          </cell>
          <cell r="G1193">
            <v>1295.3699999999999</v>
          </cell>
          <cell r="H1193">
            <v>1294.04</v>
          </cell>
          <cell r="I1193">
            <v>1293.31</v>
          </cell>
          <cell r="J1193">
            <v>44.7</v>
          </cell>
          <cell r="K1193">
            <v>0</v>
          </cell>
          <cell r="L1193" t="str">
            <v xml:space="preserve">Tramos Existentes </v>
          </cell>
          <cell r="M1193" t="str">
            <v>Existente</v>
          </cell>
        </row>
        <row r="1194">
          <cell r="B1194">
            <v>833</v>
          </cell>
          <cell r="C1194">
            <v>834</v>
          </cell>
          <cell r="D1194">
            <v>1.4999999999999999E-2</v>
          </cell>
          <cell r="E1194">
            <v>8</v>
          </cell>
          <cell r="F1194">
            <v>1295.3699999999999</v>
          </cell>
          <cell r="G1194">
            <v>1294.8699999999999</v>
          </cell>
          <cell r="H1194">
            <v>1293.31</v>
          </cell>
          <cell r="I1194">
            <v>1293.18</v>
          </cell>
          <cell r="J1194">
            <v>19.3</v>
          </cell>
          <cell r="K1194">
            <v>0</v>
          </cell>
          <cell r="L1194" t="str">
            <v xml:space="preserve">Tramos Existentes </v>
          </cell>
          <cell r="M1194" t="str">
            <v>Existente</v>
          </cell>
        </row>
        <row r="1195">
          <cell r="B1195">
            <v>834</v>
          </cell>
          <cell r="C1195">
            <v>960</v>
          </cell>
          <cell r="D1195">
            <v>1.4999999999999999E-2</v>
          </cell>
          <cell r="E1195">
            <v>8</v>
          </cell>
          <cell r="F1195">
            <v>1294.8699999999999</v>
          </cell>
          <cell r="G1195">
            <v>1292.69</v>
          </cell>
          <cell r="H1195">
            <v>1293.18</v>
          </cell>
          <cell r="I1195">
            <v>1291.3399999999999</v>
          </cell>
          <cell r="J1195">
            <v>59.5</v>
          </cell>
          <cell r="K1195">
            <v>0</v>
          </cell>
          <cell r="L1195" t="str">
            <v xml:space="preserve">Tramos Existentes </v>
          </cell>
          <cell r="M1195" t="str">
            <v>Existente</v>
          </cell>
        </row>
        <row r="1196">
          <cell r="B1196">
            <v>313</v>
          </cell>
          <cell r="C1196">
            <v>386</v>
          </cell>
          <cell r="D1196">
            <v>1.4999999999999999E-2</v>
          </cell>
          <cell r="E1196">
            <v>8</v>
          </cell>
          <cell r="F1196">
            <v>1312.94</v>
          </cell>
          <cell r="G1196">
            <v>1312.54</v>
          </cell>
          <cell r="H1196">
            <v>1312.22</v>
          </cell>
          <cell r="I1196">
            <v>1311.34</v>
          </cell>
          <cell r="J1196">
            <v>81.900000000000006</v>
          </cell>
          <cell r="K1196">
            <v>0</v>
          </cell>
          <cell r="L1196" t="str">
            <v xml:space="preserve">Tramos Existentes </v>
          </cell>
          <cell r="M1196" t="str">
            <v>Existente</v>
          </cell>
        </row>
        <row r="1197">
          <cell r="B1197">
            <v>386</v>
          </cell>
          <cell r="C1197">
            <v>384</v>
          </cell>
          <cell r="D1197">
            <v>1.4999999999999999E-2</v>
          </cell>
          <cell r="E1197">
            <v>8</v>
          </cell>
          <cell r="F1197">
            <v>1312.54</v>
          </cell>
          <cell r="G1197">
            <v>1312.12</v>
          </cell>
          <cell r="H1197">
            <v>1311.34</v>
          </cell>
          <cell r="I1197">
            <v>1309.4000000000001</v>
          </cell>
          <cell r="J1197">
            <v>31.1</v>
          </cell>
          <cell r="K1197">
            <v>0</v>
          </cell>
          <cell r="L1197" t="str">
            <v xml:space="preserve">Tramos Existentes </v>
          </cell>
          <cell r="M1197" t="str">
            <v>Existente</v>
          </cell>
        </row>
        <row r="1198">
          <cell r="B1198">
            <v>314</v>
          </cell>
          <cell r="C1198">
            <v>385</v>
          </cell>
          <cell r="D1198">
            <v>1.4999999999999999E-2</v>
          </cell>
          <cell r="E1198">
            <v>10</v>
          </cell>
          <cell r="F1198">
            <v>1312.66</v>
          </cell>
          <cell r="G1198">
            <v>1312.17</v>
          </cell>
          <cell r="H1198">
            <v>1311.38</v>
          </cell>
          <cell r="I1198">
            <v>1310.1400000000001</v>
          </cell>
          <cell r="J1198">
            <v>80.400000000000006</v>
          </cell>
          <cell r="K1198">
            <v>0</v>
          </cell>
          <cell r="L1198" t="str">
            <v xml:space="preserve">Tramos Existentes </v>
          </cell>
          <cell r="M1198" t="str">
            <v>Existente</v>
          </cell>
        </row>
        <row r="1199">
          <cell r="B1199">
            <v>385</v>
          </cell>
          <cell r="C1199">
            <v>523</v>
          </cell>
          <cell r="D1199">
            <v>1.4999999999999999E-2</v>
          </cell>
          <cell r="E1199">
            <v>12</v>
          </cell>
          <cell r="F1199">
            <v>1312.17</v>
          </cell>
          <cell r="G1199">
            <v>1309.9000000000001</v>
          </cell>
          <cell r="H1199">
            <v>1310.1400000000001</v>
          </cell>
          <cell r="I1199">
            <v>1307.5</v>
          </cell>
          <cell r="J1199">
            <v>91</v>
          </cell>
          <cell r="K1199">
            <v>0</v>
          </cell>
          <cell r="L1199" t="str">
            <v xml:space="preserve">Tramos Existentes </v>
          </cell>
          <cell r="M1199" t="str">
            <v>Existente</v>
          </cell>
        </row>
        <row r="1200">
          <cell r="B1200">
            <v>366</v>
          </cell>
          <cell r="C1200">
            <v>291</v>
          </cell>
          <cell r="D1200">
            <v>1.4999999999999999E-2</v>
          </cell>
          <cell r="E1200">
            <v>10</v>
          </cell>
          <cell r="F1200">
            <v>1292.53</v>
          </cell>
          <cell r="G1200">
            <v>1289.97</v>
          </cell>
          <cell r="H1200">
            <v>1291.24</v>
          </cell>
          <cell r="I1200">
            <v>1287.9100000000001</v>
          </cell>
          <cell r="J1200">
            <v>65.5</v>
          </cell>
          <cell r="K1200">
            <v>0</v>
          </cell>
          <cell r="L1200" t="str">
            <v xml:space="preserve">Tramos Existentes </v>
          </cell>
          <cell r="M1200" t="str">
            <v>Existente</v>
          </cell>
        </row>
        <row r="1201">
          <cell r="B1201">
            <v>312</v>
          </cell>
          <cell r="C1201">
            <v>838</v>
          </cell>
          <cell r="D1201">
            <v>1.4999999999999999E-2</v>
          </cell>
          <cell r="E1201">
            <v>8</v>
          </cell>
          <cell r="F1201">
            <v>1312.64</v>
          </cell>
          <cell r="G1201">
            <v>1301.3499999999999</v>
          </cell>
          <cell r="H1201">
            <v>1309.4000000000001</v>
          </cell>
          <cell r="I1201">
            <v>1298.0999999999999</v>
          </cell>
          <cell r="J1201">
            <v>40.1</v>
          </cell>
          <cell r="K1201">
            <v>0</v>
          </cell>
          <cell r="L1201" t="str">
            <v xml:space="preserve">Tramos Existentes </v>
          </cell>
          <cell r="M1201" t="str">
            <v>Existente</v>
          </cell>
        </row>
        <row r="1202">
          <cell r="B1202" t="str">
            <v>310ii</v>
          </cell>
          <cell r="C1202">
            <v>309</v>
          </cell>
          <cell r="D1202">
            <v>1.4999999999999999E-2</v>
          </cell>
          <cell r="E1202">
            <v>12</v>
          </cell>
          <cell r="F1202">
            <v>1312.23</v>
          </cell>
          <cell r="G1202">
            <v>1313</v>
          </cell>
          <cell r="H1202">
            <v>1310.95</v>
          </cell>
          <cell r="I1202">
            <v>1309.19</v>
          </cell>
          <cell r="J1202">
            <v>72.400000000000006</v>
          </cell>
          <cell r="K1202">
            <v>0</v>
          </cell>
          <cell r="L1202" t="str">
            <v xml:space="preserve">Tramos Existentes </v>
          </cell>
          <cell r="M1202" t="str">
            <v>Existente</v>
          </cell>
        </row>
        <row r="1203">
          <cell r="B1203">
            <v>296</v>
          </cell>
          <cell r="C1203">
            <v>363</v>
          </cell>
          <cell r="D1203">
            <v>0.01</v>
          </cell>
          <cell r="E1203">
            <v>16</v>
          </cell>
          <cell r="F1203">
            <v>1283.27</v>
          </cell>
          <cell r="G1203">
            <v>1280.31</v>
          </cell>
          <cell r="H1203">
            <v>1280.81</v>
          </cell>
          <cell r="I1203">
            <v>1277.53</v>
          </cell>
          <cell r="J1203">
            <v>18.899999999999999</v>
          </cell>
          <cell r="K1203">
            <v>0</v>
          </cell>
          <cell r="L1203" t="str">
            <v xml:space="preserve">Tramos Existentes </v>
          </cell>
          <cell r="M1203" t="str">
            <v>Existente</v>
          </cell>
        </row>
        <row r="1204">
          <cell r="B1204">
            <v>363</v>
          </cell>
          <cell r="C1204">
            <v>361</v>
          </cell>
          <cell r="D1204">
            <v>0.01</v>
          </cell>
          <cell r="E1204">
            <v>16</v>
          </cell>
          <cell r="F1204">
            <v>1280.31</v>
          </cell>
          <cell r="G1204">
            <v>1278.96</v>
          </cell>
          <cell r="H1204">
            <v>1277.53</v>
          </cell>
          <cell r="I1204">
            <v>1275.6500000000001</v>
          </cell>
          <cell r="J1204">
            <v>11.2</v>
          </cell>
          <cell r="K1204">
            <v>0</v>
          </cell>
          <cell r="L1204" t="str">
            <v xml:space="preserve">Tramos Existentes </v>
          </cell>
          <cell r="M1204" t="str">
            <v>Existente</v>
          </cell>
        </row>
        <row r="1205">
          <cell r="B1205">
            <v>294</v>
          </cell>
          <cell r="C1205">
            <v>293</v>
          </cell>
          <cell r="D1205">
            <v>0.01</v>
          </cell>
          <cell r="E1205">
            <v>10</v>
          </cell>
          <cell r="F1205">
            <v>1286.71</v>
          </cell>
          <cell r="G1205">
            <v>1285.8599999999999</v>
          </cell>
          <cell r="H1205">
            <v>1285.01</v>
          </cell>
          <cell r="I1205">
            <v>1283.8699999999999</v>
          </cell>
          <cell r="J1205">
            <v>29</v>
          </cell>
          <cell r="K1205">
            <v>0</v>
          </cell>
          <cell r="L1205" t="str">
            <v xml:space="preserve">Tramos Existentes </v>
          </cell>
          <cell r="M1205" t="str">
            <v>Existente</v>
          </cell>
        </row>
        <row r="1206">
          <cell r="B1206">
            <v>295</v>
          </cell>
          <cell r="C1206">
            <v>296</v>
          </cell>
          <cell r="D1206">
            <v>0.01</v>
          </cell>
          <cell r="E1206">
            <v>10</v>
          </cell>
          <cell r="F1206">
            <v>1283.8900000000001</v>
          </cell>
          <cell r="G1206">
            <v>1283.27</v>
          </cell>
          <cell r="H1206">
            <v>1282.31</v>
          </cell>
          <cell r="I1206">
            <v>1280.81</v>
          </cell>
          <cell r="J1206">
            <v>28.9</v>
          </cell>
          <cell r="K1206">
            <v>0</v>
          </cell>
          <cell r="L1206" t="str">
            <v xml:space="preserve">Tramos Existentes </v>
          </cell>
          <cell r="M1206" t="str">
            <v>Existente</v>
          </cell>
        </row>
        <row r="1207">
          <cell r="B1207">
            <v>297</v>
          </cell>
          <cell r="C1207">
            <v>296</v>
          </cell>
          <cell r="D1207">
            <v>0.01</v>
          </cell>
          <cell r="E1207">
            <v>10</v>
          </cell>
          <cell r="F1207">
            <v>1283.79</v>
          </cell>
          <cell r="G1207">
            <v>1283.27</v>
          </cell>
          <cell r="H1207">
            <v>1281.8599999999999</v>
          </cell>
          <cell r="I1207">
            <v>1280.81</v>
          </cell>
          <cell r="J1207">
            <v>70.599999999999994</v>
          </cell>
          <cell r="K1207">
            <v>0</v>
          </cell>
          <cell r="L1207" t="str">
            <v xml:space="preserve">Tramos Existentes </v>
          </cell>
          <cell r="M1207" t="str">
            <v>Existente</v>
          </cell>
        </row>
        <row r="1208">
          <cell r="B1208">
            <v>298</v>
          </cell>
          <cell r="C1208">
            <v>363</v>
          </cell>
          <cell r="D1208">
            <v>0.01</v>
          </cell>
          <cell r="E1208">
            <v>10</v>
          </cell>
          <cell r="F1208">
            <v>1280.2</v>
          </cell>
          <cell r="G1208">
            <v>1280.31</v>
          </cell>
          <cell r="H1208">
            <v>1278.45</v>
          </cell>
          <cell r="I1208">
            <v>1277.53</v>
          </cell>
          <cell r="J1208">
            <v>69.5</v>
          </cell>
          <cell r="K1208">
            <v>0</v>
          </cell>
          <cell r="L1208" t="str">
            <v xml:space="preserve">Tramos Existentes </v>
          </cell>
          <cell r="M1208" t="str">
            <v>Existente</v>
          </cell>
        </row>
        <row r="1209">
          <cell r="B1209">
            <v>299</v>
          </cell>
          <cell r="C1209">
            <v>300</v>
          </cell>
          <cell r="D1209">
            <v>0.01</v>
          </cell>
          <cell r="E1209">
            <v>16</v>
          </cell>
          <cell r="F1209">
            <v>1278.19</v>
          </cell>
          <cell r="G1209">
            <v>1278.76</v>
          </cell>
          <cell r="H1209">
            <v>1276.5999999999999</v>
          </cell>
          <cell r="I1209">
            <v>1275.8800000000001</v>
          </cell>
          <cell r="J1209">
            <v>54.4</v>
          </cell>
          <cell r="K1209">
            <v>0</v>
          </cell>
          <cell r="L1209" t="str">
            <v xml:space="preserve">Tramos Existentes </v>
          </cell>
          <cell r="M1209" t="str">
            <v>Existente</v>
          </cell>
        </row>
        <row r="1210">
          <cell r="B1210">
            <v>300</v>
          </cell>
          <cell r="C1210">
            <v>361</v>
          </cell>
          <cell r="D1210">
            <v>0.01</v>
          </cell>
          <cell r="E1210">
            <v>16</v>
          </cell>
          <cell r="F1210">
            <v>1278.76</v>
          </cell>
          <cell r="G1210">
            <v>1278.96</v>
          </cell>
          <cell r="H1210">
            <v>1275.8800000000001</v>
          </cell>
          <cell r="I1210">
            <v>1275.6500000000001</v>
          </cell>
          <cell r="J1210">
            <v>5.7</v>
          </cell>
          <cell r="K1210">
            <v>0</v>
          </cell>
          <cell r="L1210" t="str">
            <v xml:space="preserve">Tramos Existentes </v>
          </cell>
          <cell r="M1210" t="str">
            <v>Existente</v>
          </cell>
        </row>
        <row r="1211">
          <cell r="B1211">
            <v>580</v>
          </cell>
          <cell r="C1211">
            <v>716</v>
          </cell>
          <cell r="D1211">
            <v>1.4999999999999999E-2</v>
          </cell>
          <cell r="E1211">
            <v>16</v>
          </cell>
          <cell r="F1211">
            <v>1315.55</v>
          </cell>
          <cell r="G1211">
            <v>1311.62</v>
          </cell>
          <cell r="H1211">
            <v>1312.27</v>
          </cell>
          <cell r="I1211">
            <v>1308.3</v>
          </cell>
          <cell r="J1211">
            <v>46</v>
          </cell>
          <cell r="K1211">
            <v>0</v>
          </cell>
          <cell r="L1211" t="str">
            <v xml:space="preserve">Tramos Existentes </v>
          </cell>
          <cell r="M1211" t="str">
            <v>Existente</v>
          </cell>
        </row>
        <row r="1212">
          <cell r="B1212">
            <v>842</v>
          </cell>
          <cell r="C1212">
            <v>774</v>
          </cell>
          <cell r="D1212">
            <v>0.01</v>
          </cell>
          <cell r="E1212">
            <v>14</v>
          </cell>
          <cell r="F1212">
            <v>1274.81</v>
          </cell>
          <cell r="G1212">
            <v>1273.98</v>
          </cell>
          <cell r="H1212">
            <v>1273.1099999999999</v>
          </cell>
          <cell r="I1212">
            <v>1271.42</v>
          </cell>
          <cell r="J1212">
            <v>43.7</v>
          </cell>
          <cell r="K1212">
            <v>0</v>
          </cell>
          <cell r="L1212" t="str">
            <v xml:space="preserve">Tramos Existentes </v>
          </cell>
          <cell r="M1212" t="str">
            <v>Existente</v>
          </cell>
        </row>
        <row r="1213">
          <cell r="B1213">
            <v>434</v>
          </cell>
          <cell r="C1213">
            <v>775</v>
          </cell>
          <cell r="D1213">
            <v>1.4999999999999999E-2</v>
          </cell>
          <cell r="E1213">
            <v>10</v>
          </cell>
          <cell r="F1213">
            <v>1289.67</v>
          </cell>
          <cell r="G1213">
            <v>1287.72</v>
          </cell>
          <cell r="H1213">
            <v>1284.5999999999999</v>
          </cell>
          <cell r="I1213">
            <v>1284.51</v>
          </cell>
          <cell r="J1213">
            <v>10.8</v>
          </cell>
          <cell r="K1213">
            <v>0</v>
          </cell>
          <cell r="L1213" t="str">
            <v xml:space="preserve">Tramos Existentes </v>
          </cell>
          <cell r="M1213" t="str">
            <v>Existente</v>
          </cell>
        </row>
        <row r="1214">
          <cell r="B1214">
            <v>309</v>
          </cell>
          <cell r="C1214">
            <v>304</v>
          </cell>
          <cell r="D1214">
            <v>1.4999999999999999E-2</v>
          </cell>
          <cell r="E1214">
            <v>12</v>
          </cell>
          <cell r="F1214">
            <v>1313</v>
          </cell>
          <cell r="G1214">
            <v>1310.78</v>
          </cell>
          <cell r="H1214">
            <v>1309.19</v>
          </cell>
          <cell r="I1214">
            <v>1307.93</v>
          </cell>
          <cell r="J1214">
            <v>78.3</v>
          </cell>
          <cell r="K1214">
            <v>0</v>
          </cell>
          <cell r="L1214" t="str">
            <v xml:space="preserve">Tramos Existentes </v>
          </cell>
          <cell r="M1214" t="str">
            <v>Existente</v>
          </cell>
        </row>
        <row r="1215">
          <cell r="B1215">
            <v>304</v>
          </cell>
          <cell r="C1215">
            <v>144</v>
          </cell>
          <cell r="D1215">
            <v>1.4999999999999999E-2</v>
          </cell>
          <cell r="E1215">
            <v>12</v>
          </cell>
          <cell r="F1215">
            <v>1310.78</v>
          </cell>
          <cell r="G1215">
            <v>1304.72</v>
          </cell>
          <cell r="H1215">
            <v>1307.93</v>
          </cell>
          <cell r="I1215">
            <v>1297.8699999999999</v>
          </cell>
          <cell r="J1215">
            <v>74.2</v>
          </cell>
          <cell r="K1215">
            <v>0</v>
          </cell>
          <cell r="L1215" t="str">
            <v xml:space="preserve">Tramos Existentes </v>
          </cell>
          <cell r="M1215" t="str">
            <v>Existente</v>
          </cell>
        </row>
        <row r="1216">
          <cell r="B1216" t="str">
            <v>305i</v>
          </cell>
          <cell r="C1216">
            <v>802</v>
          </cell>
          <cell r="D1216">
            <v>1.4999999999999999E-2</v>
          </cell>
          <cell r="E1216">
            <v>10</v>
          </cell>
          <cell r="F1216">
            <v>1312.56</v>
          </cell>
          <cell r="G1216">
            <v>1306.02</v>
          </cell>
          <cell r="H1216">
            <v>1310.54</v>
          </cell>
          <cell r="I1216">
            <v>1304.18</v>
          </cell>
          <cell r="J1216">
            <v>58.8</v>
          </cell>
          <cell r="K1216">
            <v>0</v>
          </cell>
          <cell r="L1216" t="str">
            <v xml:space="preserve">Tramos Existentes </v>
          </cell>
          <cell r="M1216" t="str">
            <v>Existente</v>
          </cell>
        </row>
        <row r="1217">
          <cell r="B1217">
            <v>802</v>
          </cell>
          <cell r="C1217">
            <v>803</v>
          </cell>
          <cell r="D1217">
            <v>1.4999999999999999E-2</v>
          </cell>
          <cell r="E1217">
            <v>10</v>
          </cell>
          <cell r="F1217">
            <v>1306.02</v>
          </cell>
          <cell r="G1217">
            <v>1304.98</v>
          </cell>
          <cell r="H1217">
            <v>1304.18</v>
          </cell>
          <cell r="I1217">
            <v>1303.27</v>
          </cell>
          <cell r="J1217">
            <v>15.5</v>
          </cell>
          <cell r="K1217">
            <v>0</v>
          </cell>
          <cell r="L1217" t="str">
            <v xml:space="preserve">Tramos Existentes </v>
          </cell>
          <cell r="M1217" t="str">
            <v>Existente</v>
          </cell>
        </row>
        <row r="1218">
          <cell r="B1218">
            <v>803</v>
          </cell>
          <cell r="C1218">
            <v>805</v>
          </cell>
          <cell r="D1218">
            <v>1.4999999999999999E-2</v>
          </cell>
          <cell r="E1218">
            <v>10</v>
          </cell>
          <cell r="F1218">
            <v>1304.98</v>
          </cell>
          <cell r="G1218">
            <v>1305.8</v>
          </cell>
          <cell r="H1218">
            <v>1303.27</v>
          </cell>
          <cell r="I1218">
            <v>1301.83</v>
          </cell>
          <cell r="J1218">
            <v>73.7</v>
          </cell>
          <cell r="K1218">
            <v>0</v>
          </cell>
          <cell r="L1218" t="str">
            <v xml:space="preserve">Tramos Existentes </v>
          </cell>
          <cell r="M1218" t="str">
            <v>Existente</v>
          </cell>
        </row>
        <row r="1219">
          <cell r="B1219">
            <v>306</v>
          </cell>
          <cell r="C1219">
            <v>305</v>
          </cell>
          <cell r="D1219">
            <v>1.4999999999999999E-2</v>
          </cell>
          <cell r="E1219">
            <v>10</v>
          </cell>
          <cell r="F1219">
            <v>1314.13</v>
          </cell>
          <cell r="G1219">
            <v>1312.56</v>
          </cell>
          <cell r="H1219">
            <v>1312.58</v>
          </cell>
          <cell r="I1219">
            <v>1310.1600000000001</v>
          </cell>
          <cell r="J1219">
            <v>61</v>
          </cell>
          <cell r="K1219">
            <v>0</v>
          </cell>
          <cell r="L1219" t="str">
            <v xml:space="preserve">Tramos Existentes </v>
          </cell>
          <cell r="M1219" t="str">
            <v>Existente</v>
          </cell>
        </row>
        <row r="1220">
          <cell r="B1220">
            <v>305</v>
          </cell>
          <cell r="C1220">
            <v>142</v>
          </cell>
          <cell r="D1220">
            <v>1.4999999999999999E-2</v>
          </cell>
          <cell r="E1220">
            <v>8</v>
          </cell>
          <cell r="F1220">
            <v>1312.56</v>
          </cell>
          <cell r="G1220">
            <v>1304.44</v>
          </cell>
          <cell r="H1220">
            <v>1310.1600000000001</v>
          </cell>
          <cell r="I1220">
            <v>1299.93</v>
          </cell>
          <cell r="J1220">
            <v>76.3</v>
          </cell>
          <cell r="K1220">
            <v>0</v>
          </cell>
          <cell r="L1220" t="str">
            <v xml:space="preserve">Tramos Existentes </v>
          </cell>
          <cell r="M1220" t="str">
            <v>Existente</v>
          </cell>
        </row>
        <row r="1221">
          <cell r="B1221" t="str">
            <v>686i</v>
          </cell>
          <cell r="C1221">
            <v>307</v>
          </cell>
          <cell r="D1221">
            <v>1.4999999999999999E-2</v>
          </cell>
          <cell r="E1221">
            <v>8</v>
          </cell>
          <cell r="F1221">
            <v>1315.3</v>
          </cell>
          <cell r="G1221">
            <v>1314.4</v>
          </cell>
          <cell r="H1221">
            <v>1314.02</v>
          </cell>
          <cell r="I1221">
            <v>1313</v>
          </cell>
          <cell r="J1221">
            <v>76.900000000000006</v>
          </cell>
          <cell r="K1221">
            <v>0</v>
          </cell>
          <cell r="L1221" t="str">
            <v xml:space="preserve">Tramos Existentes </v>
          </cell>
          <cell r="M1221" t="str">
            <v>Existente</v>
          </cell>
        </row>
        <row r="1222">
          <cell r="B1222">
            <v>361</v>
          </cell>
          <cell r="C1222">
            <v>842</v>
          </cell>
          <cell r="D1222">
            <v>0.01</v>
          </cell>
          <cell r="E1222">
            <v>16</v>
          </cell>
          <cell r="F1222">
            <v>1278.96</v>
          </cell>
          <cell r="G1222">
            <v>1274.81</v>
          </cell>
          <cell r="H1222">
            <v>1275.6500000000001</v>
          </cell>
          <cell r="I1222">
            <v>1273.1099999999999</v>
          </cell>
          <cell r="J1222">
            <v>44.9</v>
          </cell>
          <cell r="K1222">
            <v>0</v>
          </cell>
          <cell r="L1222" t="str">
            <v xml:space="preserve">Tramos Existentes </v>
          </cell>
          <cell r="M1222" t="str">
            <v>Existente</v>
          </cell>
        </row>
        <row r="1223">
          <cell r="B1223">
            <v>355</v>
          </cell>
          <cell r="C1223">
            <v>356</v>
          </cell>
          <cell r="D1223">
            <v>0.01</v>
          </cell>
          <cell r="E1223">
            <v>12</v>
          </cell>
          <cell r="F1223">
            <v>1299.98</v>
          </cell>
          <cell r="G1223">
            <v>1300.22</v>
          </cell>
          <cell r="H1223">
            <v>1298.8</v>
          </cell>
          <cell r="I1223">
            <v>1298.06</v>
          </cell>
          <cell r="J1223">
            <v>15.6</v>
          </cell>
          <cell r="K1223">
            <v>0</v>
          </cell>
          <cell r="L1223" t="str">
            <v xml:space="preserve">Tramos Existentes </v>
          </cell>
          <cell r="M1223" t="str">
            <v>Existente</v>
          </cell>
        </row>
        <row r="1224">
          <cell r="B1224">
            <v>523</v>
          </cell>
          <cell r="C1224">
            <v>451</v>
          </cell>
          <cell r="D1224">
            <v>1.4999999999999999E-2</v>
          </cell>
          <cell r="E1224">
            <v>12</v>
          </cell>
          <cell r="F1224">
            <v>1309.9000000000001</v>
          </cell>
          <cell r="G1224">
            <v>1307.22</v>
          </cell>
          <cell r="H1224">
            <v>1307.5</v>
          </cell>
          <cell r="I1224">
            <v>1303.81</v>
          </cell>
          <cell r="J1224">
            <v>69.900000000000006</v>
          </cell>
          <cell r="K1224">
            <v>0</v>
          </cell>
          <cell r="L1224" t="str">
            <v xml:space="preserve">Tramos Existentes </v>
          </cell>
          <cell r="M1224" t="str">
            <v>Existente</v>
          </cell>
        </row>
        <row r="1225">
          <cell r="B1225">
            <v>340</v>
          </cell>
          <cell r="C1225">
            <v>339</v>
          </cell>
          <cell r="D1225">
            <v>1.4999999999999999E-2</v>
          </cell>
          <cell r="E1225">
            <v>10</v>
          </cell>
          <cell r="F1225">
            <v>1309.98</v>
          </cell>
          <cell r="G1225">
            <v>1312.35</v>
          </cell>
          <cell r="H1225">
            <v>1308.56</v>
          </cell>
          <cell r="I1225">
            <v>1308.51</v>
          </cell>
          <cell r="J1225">
            <v>24.4</v>
          </cell>
          <cell r="K1225">
            <v>0</v>
          </cell>
          <cell r="L1225" t="str">
            <v xml:space="preserve">Tramos Existentes </v>
          </cell>
          <cell r="M1225" t="str">
            <v>Existente</v>
          </cell>
        </row>
        <row r="1226">
          <cell r="B1226">
            <v>339</v>
          </cell>
          <cell r="C1226">
            <v>337</v>
          </cell>
          <cell r="D1226">
            <v>1.4999999999999999E-2</v>
          </cell>
          <cell r="E1226">
            <v>8</v>
          </cell>
          <cell r="F1226">
            <v>1312.35</v>
          </cell>
          <cell r="G1226">
            <v>1310.72</v>
          </cell>
          <cell r="H1226">
            <v>1308.51</v>
          </cell>
          <cell r="I1226">
            <v>1307.76</v>
          </cell>
          <cell r="J1226">
            <v>29.4</v>
          </cell>
          <cell r="K1226">
            <v>0</v>
          </cell>
          <cell r="L1226" t="str">
            <v xml:space="preserve">Tramos Existentes </v>
          </cell>
          <cell r="M1226" t="str">
            <v>Existente</v>
          </cell>
        </row>
        <row r="1227">
          <cell r="B1227">
            <v>342</v>
          </cell>
          <cell r="C1227">
            <v>341</v>
          </cell>
          <cell r="D1227">
            <v>0.01</v>
          </cell>
          <cell r="E1227">
            <v>8</v>
          </cell>
          <cell r="F1227">
            <v>1316.56</v>
          </cell>
          <cell r="G1227">
            <v>1316.17</v>
          </cell>
          <cell r="H1227">
            <v>1314.75</v>
          </cell>
          <cell r="I1227">
            <v>1314.16</v>
          </cell>
          <cell r="J1227">
            <v>26.8</v>
          </cell>
          <cell r="K1227">
            <v>0</v>
          </cell>
          <cell r="L1227" t="str">
            <v xml:space="preserve">Tramos Existentes </v>
          </cell>
          <cell r="M1227" t="str">
            <v>Existente</v>
          </cell>
        </row>
        <row r="1228">
          <cell r="B1228">
            <v>344</v>
          </cell>
          <cell r="C1228">
            <v>345</v>
          </cell>
          <cell r="D1228">
            <v>1.4999999999999999E-2</v>
          </cell>
          <cell r="E1228">
            <v>10</v>
          </cell>
          <cell r="F1228">
            <v>1314.11</v>
          </cell>
          <cell r="G1228">
            <v>1312.1</v>
          </cell>
          <cell r="H1228">
            <v>1312.41</v>
          </cell>
          <cell r="I1228">
            <v>1310.3399999999999</v>
          </cell>
          <cell r="J1228">
            <v>20.2</v>
          </cell>
          <cell r="K1228">
            <v>0</v>
          </cell>
          <cell r="L1228" t="str">
            <v xml:space="preserve">Tramos Existentes </v>
          </cell>
          <cell r="M1228" t="str">
            <v>Existente</v>
          </cell>
        </row>
        <row r="1229">
          <cell r="B1229">
            <v>345</v>
          </cell>
          <cell r="C1229">
            <v>346</v>
          </cell>
          <cell r="D1229">
            <v>0.01</v>
          </cell>
          <cell r="E1229">
            <v>8</v>
          </cell>
          <cell r="F1229">
            <v>1312.1</v>
          </cell>
          <cell r="G1229">
            <v>1305.1400000000001</v>
          </cell>
          <cell r="H1229">
            <v>1310.3399999999999</v>
          </cell>
          <cell r="I1229">
            <v>1303.93</v>
          </cell>
          <cell r="J1229">
            <v>32.6</v>
          </cell>
          <cell r="K1229">
            <v>0</v>
          </cell>
          <cell r="L1229" t="str">
            <v xml:space="preserve">Tramos Existentes </v>
          </cell>
          <cell r="M1229" t="str">
            <v>Existente</v>
          </cell>
        </row>
        <row r="1230">
          <cell r="B1230">
            <v>348</v>
          </cell>
          <cell r="C1230">
            <v>349</v>
          </cell>
          <cell r="D1230">
            <v>1.4999999999999999E-2</v>
          </cell>
          <cell r="E1230">
            <v>8</v>
          </cell>
          <cell r="F1230">
            <v>1313.03</v>
          </cell>
          <cell r="G1230">
            <v>1295.4100000000001</v>
          </cell>
          <cell r="H1230">
            <v>1311.96</v>
          </cell>
          <cell r="I1230">
            <v>1293.58</v>
          </cell>
          <cell r="J1230">
            <v>47.6</v>
          </cell>
          <cell r="K1230">
            <v>0</v>
          </cell>
          <cell r="L1230" t="str">
            <v xml:space="preserve">Tramos Existentes </v>
          </cell>
          <cell r="M1230" t="str">
            <v>Existente</v>
          </cell>
        </row>
        <row r="1231">
          <cell r="B1231">
            <v>350</v>
          </cell>
          <cell r="C1231">
            <v>411</v>
          </cell>
          <cell r="D1231">
            <v>1.4999999999999999E-2</v>
          </cell>
          <cell r="E1231">
            <v>10</v>
          </cell>
          <cell r="F1231">
            <v>1311.86</v>
          </cell>
          <cell r="G1231">
            <v>1313.45</v>
          </cell>
          <cell r="H1231">
            <v>1310.67</v>
          </cell>
          <cell r="I1231">
            <v>1310.1099999999999</v>
          </cell>
          <cell r="J1231">
            <v>30.7</v>
          </cell>
          <cell r="K1231">
            <v>0</v>
          </cell>
          <cell r="L1231" t="str">
            <v xml:space="preserve">Tramos Existentes </v>
          </cell>
          <cell r="M1231" t="str">
            <v>Existente</v>
          </cell>
        </row>
        <row r="1232">
          <cell r="B1232">
            <v>336</v>
          </cell>
          <cell r="C1232">
            <v>337</v>
          </cell>
          <cell r="D1232">
            <v>1.4999999999999999E-2</v>
          </cell>
          <cell r="E1232">
            <v>8</v>
          </cell>
          <cell r="F1232">
            <v>1310.2</v>
          </cell>
          <cell r="G1232">
            <v>1310.72</v>
          </cell>
          <cell r="H1232">
            <v>1308.8499999999999</v>
          </cell>
          <cell r="I1232">
            <v>1307.76</v>
          </cell>
          <cell r="J1232">
            <v>23.6</v>
          </cell>
          <cell r="K1232">
            <v>0</v>
          </cell>
          <cell r="L1232" t="str">
            <v xml:space="preserve">Tramos Existentes </v>
          </cell>
          <cell r="M1232" t="str">
            <v>Existente</v>
          </cell>
        </row>
        <row r="1233">
          <cell r="B1233">
            <v>353</v>
          </cell>
          <cell r="C1233">
            <v>355</v>
          </cell>
          <cell r="D1233">
            <v>0.01</v>
          </cell>
          <cell r="E1233">
            <v>12</v>
          </cell>
          <cell r="F1233">
            <v>1300.02</v>
          </cell>
          <cell r="G1233">
            <v>1299.98</v>
          </cell>
          <cell r="H1233">
            <v>1298.8599999999999</v>
          </cell>
          <cell r="I1233">
            <v>1298.8</v>
          </cell>
          <cell r="J1233">
            <v>20.399999999999999</v>
          </cell>
          <cell r="K1233">
            <v>0</v>
          </cell>
          <cell r="L1233" t="str">
            <v xml:space="preserve">Tramos Existentes </v>
          </cell>
          <cell r="M1233" t="str">
            <v>Existente</v>
          </cell>
        </row>
        <row r="1234">
          <cell r="B1234">
            <v>850</v>
          </cell>
          <cell r="C1234" t="str">
            <v>D24</v>
          </cell>
          <cell r="D1234">
            <v>1.4999999999999999E-2</v>
          </cell>
          <cell r="E1234">
            <v>20</v>
          </cell>
          <cell r="F1234">
            <v>1301.23</v>
          </cell>
          <cell r="G1234">
            <v>1298.28</v>
          </cell>
          <cell r="H1234">
            <v>1298.32</v>
          </cell>
          <cell r="I1234">
            <v>1298.28</v>
          </cell>
          <cell r="J1234">
            <v>13.1</v>
          </cell>
          <cell r="K1234">
            <v>0</v>
          </cell>
          <cell r="L1234" t="str">
            <v>Inhabilitar</v>
          </cell>
          <cell r="M1234" t="str">
            <v>Existente</v>
          </cell>
        </row>
        <row r="1235">
          <cell r="B1235">
            <v>356</v>
          </cell>
          <cell r="C1235">
            <v>633</v>
          </cell>
          <cell r="D1235">
            <v>0.01</v>
          </cell>
          <cell r="E1235">
            <v>16</v>
          </cell>
          <cell r="F1235">
            <v>1300.22</v>
          </cell>
          <cell r="G1235">
            <v>1290.6199999999999</v>
          </cell>
          <cell r="H1235">
            <v>1298.06</v>
          </cell>
          <cell r="I1235">
            <v>1287.57</v>
          </cell>
          <cell r="J1235">
            <v>32.1</v>
          </cell>
          <cell r="K1235">
            <v>0</v>
          </cell>
          <cell r="L1235" t="str">
            <v xml:space="preserve">Tramos Existentes </v>
          </cell>
          <cell r="M1235" t="str">
            <v>Existente</v>
          </cell>
        </row>
        <row r="1236">
          <cell r="B1236">
            <v>633</v>
          </cell>
          <cell r="C1236">
            <v>985</v>
          </cell>
          <cell r="D1236">
            <v>0.01</v>
          </cell>
          <cell r="E1236">
            <v>24</v>
          </cell>
          <cell r="F1236">
            <v>1290.6199999999999</v>
          </cell>
          <cell r="G1236">
            <v>1280.7</v>
          </cell>
          <cell r="H1236">
            <v>1287.57</v>
          </cell>
          <cell r="I1236">
            <v>1278.2</v>
          </cell>
          <cell r="J1236">
            <v>46.5</v>
          </cell>
          <cell r="K1236">
            <v>0</v>
          </cell>
          <cell r="L1236" t="str">
            <v xml:space="preserve">Tramos Existentes </v>
          </cell>
          <cell r="M1236" t="str">
            <v>Existente</v>
          </cell>
        </row>
        <row r="1237">
          <cell r="B1237">
            <v>359</v>
          </cell>
          <cell r="C1237">
            <v>358</v>
          </cell>
          <cell r="D1237">
            <v>0.01</v>
          </cell>
          <cell r="E1237">
            <v>16</v>
          </cell>
          <cell r="F1237">
            <v>1303.8599999999999</v>
          </cell>
          <cell r="G1237">
            <v>1303.71</v>
          </cell>
          <cell r="H1237">
            <v>1299.8900000000001</v>
          </cell>
          <cell r="I1237">
            <v>1299.5</v>
          </cell>
          <cell r="J1237">
            <v>19.7</v>
          </cell>
          <cell r="K1237">
            <v>0</v>
          </cell>
          <cell r="L1237" t="str">
            <v xml:space="preserve">Tramos Existentes </v>
          </cell>
          <cell r="M1237" t="str">
            <v>Existente</v>
          </cell>
        </row>
        <row r="1238">
          <cell r="B1238">
            <v>358</v>
          </cell>
          <cell r="C1238">
            <v>357</v>
          </cell>
          <cell r="D1238">
            <v>1.4999999999999999E-2</v>
          </cell>
          <cell r="E1238">
            <v>16</v>
          </cell>
          <cell r="F1238">
            <v>1303.71</v>
          </cell>
          <cell r="G1238">
            <v>1303.17</v>
          </cell>
          <cell r="H1238">
            <v>1299.5</v>
          </cell>
          <cell r="I1238">
            <v>1298.99</v>
          </cell>
          <cell r="J1238">
            <v>17.899999999999999</v>
          </cell>
          <cell r="K1238">
            <v>0</v>
          </cell>
          <cell r="L1238" t="str">
            <v xml:space="preserve">Tramos Existentes </v>
          </cell>
          <cell r="M1238" t="str">
            <v>Existente</v>
          </cell>
        </row>
        <row r="1239">
          <cell r="B1239">
            <v>357</v>
          </cell>
          <cell r="C1239">
            <v>356</v>
          </cell>
          <cell r="D1239">
            <v>1.4999999999999999E-2</v>
          </cell>
          <cell r="E1239">
            <v>16</v>
          </cell>
          <cell r="F1239">
            <v>1303.17</v>
          </cell>
          <cell r="G1239">
            <v>1300.22</v>
          </cell>
          <cell r="H1239">
            <v>1298.99</v>
          </cell>
          <cell r="I1239">
            <v>1298.06</v>
          </cell>
          <cell r="J1239">
            <v>69.2</v>
          </cell>
          <cell r="K1239">
            <v>0</v>
          </cell>
          <cell r="L1239" t="str">
            <v xml:space="preserve">Tramos Existentes </v>
          </cell>
          <cell r="M1239" t="str">
            <v>Existente</v>
          </cell>
        </row>
        <row r="1240">
          <cell r="B1240">
            <v>421</v>
          </cell>
          <cell r="C1240">
            <v>360</v>
          </cell>
          <cell r="D1240">
            <v>1.4999999999999999E-2</v>
          </cell>
          <cell r="E1240">
            <v>16</v>
          </cell>
          <cell r="F1240">
            <v>1303.55</v>
          </cell>
          <cell r="G1240">
            <v>1302.55</v>
          </cell>
          <cell r="H1240">
            <v>1302.1199999999999</v>
          </cell>
          <cell r="I1240">
            <v>1300.7</v>
          </cell>
          <cell r="J1240">
            <v>47.2</v>
          </cell>
          <cell r="K1240">
            <v>0</v>
          </cell>
          <cell r="L1240" t="str">
            <v xml:space="preserve">Tramos Existentes </v>
          </cell>
          <cell r="M1240" t="str">
            <v>Existente</v>
          </cell>
        </row>
        <row r="1241">
          <cell r="B1241">
            <v>368</v>
          </cell>
          <cell r="C1241">
            <v>433</v>
          </cell>
          <cell r="D1241">
            <v>0.01</v>
          </cell>
          <cell r="E1241">
            <v>10</v>
          </cell>
          <cell r="F1241">
            <v>1290.6600000000001</v>
          </cell>
          <cell r="G1241">
            <v>1290.8499999999999</v>
          </cell>
          <cell r="H1241">
            <v>1287.1400000000001</v>
          </cell>
          <cell r="I1241">
            <v>1286.22</v>
          </cell>
          <cell r="J1241">
            <v>38</v>
          </cell>
          <cell r="K1241">
            <v>0</v>
          </cell>
          <cell r="L1241" t="str">
            <v xml:space="preserve">Tramos Existentes </v>
          </cell>
          <cell r="M1241" t="str">
            <v>Existente</v>
          </cell>
        </row>
        <row r="1242">
          <cell r="B1242">
            <v>360</v>
          </cell>
          <cell r="C1242">
            <v>986</v>
          </cell>
          <cell r="D1242">
            <v>1.4999999999999999E-2</v>
          </cell>
          <cell r="E1242">
            <v>16</v>
          </cell>
          <cell r="F1242">
            <v>1302.55</v>
          </cell>
          <cell r="G1242">
            <v>1301.3900000000001</v>
          </cell>
          <cell r="H1242">
            <v>1300.7</v>
          </cell>
          <cell r="I1242">
            <v>1299.3399999999999</v>
          </cell>
          <cell r="J1242">
            <v>34.299999999999997</v>
          </cell>
          <cell r="K1242">
            <v>0</v>
          </cell>
          <cell r="L1242" t="str">
            <v xml:space="preserve">Tramos Existentes </v>
          </cell>
          <cell r="M1242" t="str">
            <v>Existente</v>
          </cell>
        </row>
        <row r="1243">
          <cell r="B1243">
            <v>53</v>
          </cell>
          <cell r="C1243">
            <v>353</v>
          </cell>
          <cell r="D1243">
            <v>0.01</v>
          </cell>
          <cell r="E1243">
            <v>8</v>
          </cell>
          <cell r="F1243">
            <v>1299.71</v>
          </cell>
          <cell r="G1243">
            <v>1300.02</v>
          </cell>
          <cell r="H1243">
            <v>1298.8900000000001</v>
          </cell>
          <cell r="I1243">
            <v>1298.8599999999999</v>
          </cell>
          <cell r="J1243">
            <v>26.5</v>
          </cell>
          <cell r="K1243">
            <v>0</v>
          </cell>
          <cell r="L1243" t="str">
            <v xml:space="preserve">Tramos Existentes </v>
          </cell>
          <cell r="M1243" t="str">
            <v>Existente</v>
          </cell>
        </row>
        <row r="1244">
          <cell r="B1244">
            <v>529</v>
          </cell>
          <cell r="C1244">
            <v>528</v>
          </cell>
          <cell r="D1244">
            <v>1.4999999999999999E-2</v>
          </cell>
          <cell r="E1244">
            <v>8</v>
          </cell>
          <cell r="F1244">
            <v>1309.26</v>
          </cell>
          <cell r="G1244">
            <v>1310</v>
          </cell>
          <cell r="H1244">
            <v>1306.3</v>
          </cell>
          <cell r="I1244">
            <v>1306.22</v>
          </cell>
          <cell r="J1244">
            <v>29.8</v>
          </cell>
          <cell r="K1244">
            <v>0</v>
          </cell>
          <cell r="L1244" t="str">
            <v xml:space="preserve">Tramos Existentes </v>
          </cell>
          <cell r="M1244" t="str">
            <v>Existente</v>
          </cell>
        </row>
        <row r="1245">
          <cell r="B1245">
            <v>315</v>
          </cell>
          <cell r="C1245">
            <v>384</v>
          </cell>
          <cell r="D1245">
            <v>1.4999999999999999E-2</v>
          </cell>
          <cell r="E1245">
            <v>8</v>
          </cell>
          <cell r="F1245">
            <v>1312.62</v>
          </cell>
          <cell r="G1245">
            <v>1312.12</v>
          </cell>
          <cell r="H1245">
            <v>1310.3800000000001</v>
          </cell>
          <cell r="I1245">
            <v>1309.4000000000001</v>
          </cell>
          <cell r="J1245">
            <v>74.599999999999994</v>
          </cell>
          <cell r="K1245">
            <v>0</v>
          </cell>
          <cell r="L1245" t="str">
            <v xml:space="preserve">Tramos Existentes </v>
          </cell>
          <cell r="M1245" t="str">
            <v>Existente</v>
          </cell>
        </row>
        <row r="1246">
          <cell r="B1246">
            <v>384</v>
          </cell>
          <cell r="C1246">
            <v>383</v>
          </cell>
          <cell r="D1246">
            <v>1.4999999999999999E-2</v>
          </cell>
          <cell r="E1246">
            <v>8</v>
          </cell>
          <cell r="F1246">
            <v>1312.12</v>
          </cell>
          <cell r="G1246">
            <v>1311.18</v>
          </cell>
          <cell r="H1246">
            <v>1309.4000000000001</v>
          </cell>
          <cell r="I1246">
            <v>1309.3699999999999</v>
          </cell>
          <cell r="J1246">
            <v>12.8</v>
          </cell>
          <cell r="K1246">
            <v>0</v>
          </cell>
          <cell r="L1246" t="str">
            <v xml:space="preserve">Tramos Existentes </v>
          </cell>
          <cell r="M1246" t="str">
            <v>Existente</v>
          </cell>
        </row>
        <row r="1247">
          <cell r="B1247" t="str">
            <v>P12</v>
          </cell>
          <cell r="C1247">
            <v>317</v>
          </cell>
          <cell r="D1247">
            <v>1.4999999999999999E-2</v>
          </cell>
          <cell r="E1247">
            <v>8</v>
          </cell>
          <cell r="F1247">
            <v>1312.09</v>
          </cell>
          <cell r="G1247">
            <v>1312.14</v>
          </cell>
          <cell r="H1247">
            <v>1311.45</v>
          </cell>
          <cell r="I1247">
            <v>1310.46</v>
          </cell>
          <cell r="J1247">
            <v>82.6</v>
          </cell>
          <cell r="K1247">
            <v>0</v>
          </cell>
          <cell r="L1247" t="str">
            <v xml:space="preserve">Tramos Existentes </v>
          </cell>
          <cell r="M1247" t="str">
            <v>Existente</v>
          </cell>
        </row>
        <row r="1248">
          <cell r="B1248">
            <v>317</v>
          </cell>
          <cell r="C1248">
            <v>316</v>
          </cell>
          <cell r="D1248">
            <v>1.4999999999999999E-2</v>
          </cell>
          <cell r="E1248">
            <v>8</v>
          </cell>
          <cell r="F1248">
            <v>1312.14</v>
          </cell>
          <cell r="G1248">
            <v>1312.25</v>
          </cell>
          <cell r="H1248">
            <v>1310.46</v>
          </cell>
          <cell r="I1248">
            <v>1310.4100000000001</v>
          </cell>
          <cell r="J1248">
            <v>7.4</v>
          </cell>
          <cell r="K1248">
            <v>0</v>
          </cell>
          <cell r="L1248" t="str">
            <v xml:space="preserve">Tramos Existentes </v>
          </cell>
          <cell r="M1248" t="str">
            <v>Existente</v>
          </cell>
        </row>
        <row r="1249">
          <cell r="B1249">
            <v>316</v>
          </cell>
          <cell r="C1249">
            <v>381</v>
          </cell>
          <cell r="D1249">
            <v>1.4999999999999999E-2</v>
          </cell>
          <cell r="E1249">
            <v>8</v>
          </cell>
          <cell r="F1249">
            <v>1312.25</v>
          </cell>
          <cell r="G1249">
            <v>1311.18</v>
          </cell>
          <cell r="H1249">
            <v>1310.4100000000001</v>
          </cell>
          <cell r="I1249">
            <v>1308.17</v>
          </cell>
          <cell r="J1249">
            <v>85.6</v>
          </cell>
          <cell r="K1249">
            <v>0</v>
          </cell>
          <cell r="L1249" t="str">
            <v xml:space="preserve">Tramos Existentes </v>
          </cell>
          <cell r="M1249" t="str">
            <v>Existente</v>
          </cell>
        </row>
        <row r="1250">
          <cell r="B1250">
            <v>433</v>
          </cell>
          <cell r="C1250">
            <v>434</v>
          </cell>
          <cell r="D1250">
            <v>1.4999999999999999E-2</v>
          </cell>
          <cell r="E1250">
            <v>10</v>
          </cell>
          <cell r="F1250">
            <v>1290.8499999999999</v>
          </cell>
          <cell r="G1250">
            <v>1289.67</v>
          </cell>
          <cell r="H1250">
            <v>1286.22</v>
          </cell>
          <cell r="I1250">
            <v>1284.5999999999999</v>
          </cell>
          <cell r="J1250">
            <v>7.3</v>
          </cell>
          <cell r="K1250">
            <v>0</v>
          </cell>
          <cell r="L1250" t="str">
            <v xml:space="preserve">Tramos Existentes </v>
          </cell>
          <cell r="M1250" t="str">
            <v>Existente</v>
          </cell>
        </row>
        <row r="1251">
          <cell r="B1251">
            <v>382</v>
          </cell>
          <cell r="C1251">
            <v>528</v>
          </cell>
          <cell r="D1251">
            <v>1.4999999999999999E-2</v>
          </cell>
          <cell r="E1251">
            <v>8</v>
          </cell>
          <cell r="F1251">
            <v>1309.3399999999999</v>
          </cell>
          <cell r="G1251">
            <v>1310</v>
          </cell>
          <cell r="H1251">
            <v>1308.1400000000001</v>
          </cell>
          <cell r="I1251">
            <v>1306.22</v>
          </cell>
          <cell r="J1251">
            <v>69</v>
          </cell>
          <cell r="K1251">
            <v>0</v>
          </cell>
          <cell r="L1251" t="str">
            <v xml:space="preserve">Tramos Existentes </v>
          </cell>
          <cell r="M1251" t="str">
            <v>Existente</v>
          </cell>
        </row>
        <row r="1252">
          <cell r="B1252">
            <v>528</v>
          </cell>
          <cell r="C1252">
            <v>527</v>
          </cell>
          <cell r="D1252">
            <v>1.4999999999999999E-2</v>
          </cell>
          <cell r="E1252">
            <v>12</v>
          </cell>
          <cell r="F1252">
            <v>1310</v>
          </cell>
          <cell r="G1252">
            <v>1308.22</v>
          </cell>
          <cell r="H1252">
            <v>1306.22</v>
          </cell>
          <cell r="I1252">
            <v>1306.21</v>
          </cell>
          <cell r="J1252">
            <v>8.5</v>
          </cell>
          <cell r="K1252">
            <v>0</v>
          </cell>
          <cell r="L1252" t="str">
            <v xml:space="preserve">Tramos Existentes </v>
          </cell>
          <cell r="M1252" t="str">
            <v>Existente</v>
          </cell>
        </row>
        <row r="1253">
          <cell r="B1253">
            <v>337</v>
          </cell>
          <cell r="C1253">
            <v>338</v>
          </cell>
          <cell r="D1253">
            <v>1.4999999999999999E-2</v>
          </cell>
          <cell r="E1253">
            <v>10</v>
          </cell>
          <cell r="F1253">
            <v>1310.72</v>
          </cell>
          <cell r="G1253">
            <v>1311.42</v>
          </cell>
          <cell r="H1253">
            <v>1307.76</v>
          </cell>
          <cell r="I1253">
            <v>1307.69</v>
          </cell>
          <cell r="J1253">
            <v>48.6</v>
          </cell>
          <cell r="K1253">
            <v>0</v>
          </cell>
          <cell r="L1253" t="str">
            <v xml:space="preserve">Tramos Existentes </v>
          </cell>
          <cell r="M1253" t="str">
            <v>Existente</v>
          </cell>
        </row>
        <row r="1254">
          <cell r="B1254">
            <v>319</v>
          </cell>
          <cell r="C1254">
            <v>529</v>
          </cell>
          <cell r="D1254">
            <v>1.4999999999999999E-2</v>
          </cell>
          <cell r="E1254">
            <v>8</v>
          </cell>
          <cell r="F1254">
            <v>1312</v>
          </cell>
          <cell r="G1254">
            <v>1309.26</v>
          </cell>
          <cell r="H1254">
            <v>1308.0999999999999</v>
          </cell>
          <cell r="I1254">
            <v>1306.3</v>
          </cell>
          <cell r="J1254">
            <v>70.7</v>
          </cell>
          <cell r="K1254">
            <v>0</v>
          </cell>
          <cell r="L1254" t="str">
            <v xml:space="preserve">Tramos Existentes </v>
          </cell>
          <cell r="M1254" t="str">
            <v>Existente</v>
          </cell>
        </row>
        <row r="1255">
          <cell r="B1255">
            <v>618</v>
          </cell>
          <cell r="C1255">
            <v>332</v>
          </cell>
          <cell r="D1255">
            <v>1.4999999999999999E-2</v>
          </cell>
          <cell r="E1255">
            <v>8</v>
          </cell>
          <cell r="F1255">
            <v>1313.49</v>
          </cell>
          <cell r="G1255">
            <v>1311.84</v>
          </cell>
          <cell r="H1255">
            <v>1312.16</v>
          </cell>
          <cell r="I1255">
            <v>1308.51</v>
          </cell>
          <cell r="J1255">
            <v>29.7</v>
          </cell>
          <cell r="K1255">
            <v>0</v>
          </cell>
          <cell r="L1255" t="str">
            <v xml:space="preserve">Tramos Existentes </v>
          </cell>
          <cell r="M1255" t="str">
            <v>Existente</v>
          </cell>
        </row>
        <row r="1256">
          <cell r="B1256">
            <v>324</v>
          </cell>
          <cell r="C1256">
            <v>329</v>
          </cell>
          <cell r="D1256">
            <v>1.4999999999999999E-2</v>
          </cell>
          <cell r="E1256">
            <v>8</v>
          </cell>
          <cell r="F1256">
            <v>1309.44</v>
          </cell>
          <cell r="G1256">
            <v>1309.53</v>
          </cell>
          <cell r="H1256">
            <v>1306.8599999999999</v>
          </cell>
          <cell r="I1256">
            <v>1306.6199999999999</v>
          </cell>
          <cell r="J1256">
            <v>3.4</v>
          </cell>
          <cell r="K1256">
            <v>0</v>
          </cell>
          <cell r="L1256" t="str">
            <v xml:space="preserve">Tramos Existentes </v>
          </cell>
          <cell r="M1256" t="str">
            <v>Existente</v>
          </cell>
        </row>
        <row r="1257">
          <cell r="B1257">
            <v>620</v>
          </cell>
          <cell r="C1257">
            <v>619</v>
          </cell>
          <cell r="D1257">
            <v>1.4999999999999999E-2</v>
          </cell>
          <cell r="E1257">
            <v>8</v>
          </cell>
          <cell r="F1257">
            <v>1312.42</v>
          </cell>
          <cell r="G1257">
            <v>1312.63</v>
          </cell>
          <cell r="H1257">
            <v>1310.73</v>
          </cell>
          <cell r="I1257">
            <v>1310.55</v>
          </cell>
          <cell r="J1257">
            <v>27.5</v>
          </cell>
          <cell r="K1257">
            <v>0</v>
          </cell>
          <cell r="L1257" t="str">
            <v xml:space="preserve">Tramos Existentes </v>
          </cell>
          <cell r="M1257" t="str">
            <v>Existente</v>
          </cell>
        </row>
        <row r="1258">
          <cell r="B1258">
            <v>619</v>
          </cell>
          <cell r="C1258">
            <v>616</v>
          </cell>
          <cell r="D1258">
            <v>1.4999999999999999E-2</v>
          </cell>
          <cell r="E1258">
            <v>8</v>
          </cell>
          <cell r="F1258">
            <v>1312.63</v>
          </cell>
          <cell r="G1258">
            <v>1312.89</v>
          </cell>
          <cell r="H1258">
            <v>1310.55</v>
          </cell>
          <cell r="I1258">
            <v>1310.3399999999999</v>
          </cell>
          <cell r="J1258">
            <v>60.1</v>
          </cell>
          <cell r="K1258">
            <v>0</v>
          </cell>
          <cell r="L1258" t="str">
            <v xml:space="preserve">Tramos Existentes </v>
          </cell>
          <cell r="M1258" t="str">
            <v>Existente</v>
          </cell>
        </row>
        <row r="1259">
          <cell r="B1259">
            <v>616</v>
          </cell>
          <cell r="C1259">
            <v>338</v>
          </cell>
          <cell r="D1259">
            <v>1.4999999999999999E-2</v>
          </cell>
          <cell r="E1259">
            <v>10</v>
          </cell>
          <cell r="F1259">
            <v>1312.89</v>
          </cell>
          <cell r="G1259">
            <v>1311.42</v>
          </cell>
          <cell r="H1259">
            <v>1310.3399999999999</v>
          </cell>
          <cell r="I1259">
            <v>1307.69</v>
          </cell>
          <cell r="J1259">
            <v>38.4</v>
          </cell>
          <cell r="K1259">
            <v>0</v>
          </cell>
          <cell r="L1259" t="str">
            <v xml:space="preserve">Tramos Existentes </v>
          </cell>
          <cell r="M1259" t="str">
            <v>Existente</v>
          </cell>
        </row>
        <row r="1260">
          <cell r="B1260">
            <v>338</v>
          </cell>
          <cell r="C1260">
            <v>335</v>
          </cell>
          <cell r="D1260">
            <v>1.4999999999999999E-2</v>
          </cell>
          <cell r="E1260">
            <v>8</v>
          </cell>
          <cell r="F1260">
            <v>1311.42</v>
          </cell>
          <cell r="G1260">
            <v>1302.44</v>
          </cell>
          <cell r="H1260">
            <v>1307.69</v>
          </cell>
          <cell r="I1260">
            <v>1301.4000000000001</v>
          </cell>
          <cell r="J1260">
            <v>28.5</v>
          </cell>
          <cell r="K1260">
            <v>0</v>
          </cell>
          <cell r="L1260" t="str">
            <v xml:space="preserve">Tramos Existentes </v>
          </cell>
          <cell r="M1260" t="str">
            <v>Existente</v>
          </cell>
        </row>
        <row r="1261">
          <cell r="B1261">
            <v>335</v>
          </cell>
          <cell r="C1261">
            <v>333</v>
          </cell>
          <cell r="D1261">
            <v>1.4999999999999999E-2</v>
          </cell>
          <cell r="E1261">
            <v>8</v>
          </cell>
          <cell r="F1261">
            <v>1302.44</v>
          </cell>
          <cell r="G1261">
            <v>1300.6300000000001</v>
          </cell>
          <cell r="H1261">
            <v>1301.4000000000001</v>
          </cell>
          <cell r="I1261">
            <v>1299.46</v>
          </cell>
          <cell r="J1261">
            <v>11</v>
          </cell>
          <cell r="K1261">
            <v>0</v>
          </cell>
          <cell r="L1261" t="str">
            <v xml:space="preserve">Tramos Existentes </v>
          </cell>
          <cell r="M1261" t="str">
            <v>Existente</v>
          </cell>
        </row>
        <row r="1262">
          <cell r="B1262">
            <v>333</v>
          </cell>
          <cell r="C1262">
            <v>849</v>
          </cell>
          <cell r="D1262">
            <v>1.4999999999999999E-2</v>
          </cell>
          <cell r="E1262">
            <v>20</v>
          </cell>
          <cell r="F1262">
            <v>1300.6300000000001</v>
          </cell>
          <cell r="G1262">
            <v>1300.33</v>
          </cell>
          <cell r="H1262">
            <v>1299.46</v>
          </cell>
          <cell r="I1262">
            <v>1298.49</v>
          </cell>
          <cell r="J1262">
            <v>34.5</v>
          </cell>
          <cell r="K1262">
            <v>0</v>
          </cell>
          <cell r="L1262" t="str">
            <v xml:space="preserve">Tramos Existentes </v>
          </cell>
          <cell r="M1262" t="str">
            <v>Existente</v>
          </cell>
        </row>
        <row r="1263">
          <cell r="B1263">
            <v>849</v>
          </cell>
          <cell r="C1263">
            <v>850</v>
          </cell>
          <cell r="D1263">
            <v>1.4999999999999999E-2</v>
          </cell>
          <cell r="E1263">
            <v>20</v>
          </cell>
          <cell r="F1263">
            <v>1300.33</v>
          </cell>
          <cell r="G1263">
            <v>1301.23</v>
          </cell>
          <cell r="H1263">
            <v>1298.49</v>
          </cell>
          <cell r="I1263">
            <v>1298.32</v>
          </cell>
          <cell r="J1263">
            <v>28</v>
          </cell>
          <cell r="K1263">
            <v>0</v>
          </cell>
          <cell r="L1263" t="str">
            <v xml:space="preserve">Tramos Existentes </v>
          </cell>
          <cell r="M1263" t="str">
            <v>Existente</v>
          </cell>
        </row>
        <row r="1264">
          <cell r="B1264">
            <v>320</v>
          </cell>
          <cell r="C1264">
            <v>319</v>
          </cell>
          <cell r="D1264">
            <v>1.4999999999999999E-2</v>
          </cell>
          <cell r="E1264">
            <v>8</v>
          </cell>
          <cell r="F1264">
            <v>1312.18</v>
          </cell>
          <cell r="G1264">
            <v>1312</v>
          </cell>
          <cell r="H1264">
            <v>1308.3</v>
          </cell>
          <cell r="I1264">
            <v>1308.0999999999999</v>
          </cell>
          <cell r="J1264">
            <v>58.2</v>
          </cell>
          <cell r="K1264">
            <v>0</v>
          </cell>
          <cell r="L1264" t="str">
            <v xml:space="preserve">Tramos Existentes </v>
          </cell>
          <cell r="M1264" t="str">
            <v>Existente</v>
          </cell>
        </row>
        <row r="1265">
          <cell r="B1265">
            <v>460</v>
          </cell>
          <cell r="C1265">
            <v>521</v>
          </cell>
          <cell r="D1265">
            <v>1.4999999999999999E-2</v>
          </cell>
          <cell r="E1265">
            <v>12</v>
          </cell>
          <cell r="F1265">
            <v>1314.34</v>
          </cell>
          <cell r="G1265">
            <v>1312.76</v>
          </cell>
          <cell r="H1265">
            <v>1311.43</v>
          </cell>
          <cell r="I1265">
            <v>1310.53</v>
          </cell>
          <cell r="J1265">
            <v>68.3</v>
          </cell>
          <cell r="K1265">
            <v>0</v>
          </cell>
          <cell r="L1265" t="str">
            <v xml:space="preserve">Tramos Existentes </v>
          </cell>
          <cell r="M1265" t="str">
            <v>Existente</v>
          </cell>
        </row>
        <row r="1266">
          <cell r="B1266">
            <v>458</v>
          </cell>
          <cell r="C1266">
            <v>457</v>
          </cell>
          <cell r="D1266">
            <v>1.4999999999999999E-2</v>
          </cell>
          <cell r="E1266">
            <v>8</v>
          </cell>
          <cell r="F1266">
            <v>1313.11</v>
          </cell>
          <cell r="G1266">
            <v>1311.99</v>
          </cell>
          <cell r="H1266">
            <v>1309.45</v>
          </cell>
          <cell r="I1266">
            <v>1308.26</v>
          </cell>
          <cell r="J1266">
            <v>49.9</v>
          </cell>
          <cell r="K1266">
            <v>0</v>
          </cell>
          <cell r="L1266" t="str">
            <v xml:space="preserve">Tramos Existentes </v>
          </cell>
          <cell r="M1266" t="str">
            <v>Existente</v>
          </cell>
        </row>
        <row r="1267">
          <cell r="B1267">
            <v>679</v>
          </cell>
          <cell r="C1267">
            <v>761</v>
          </cell>
          <cell r="D1267">
            <v>1.4999999999999999E-2</v>
          </cell>
          <cell r="E1267">
            <v>8</v>
          </cell>
          <cell r="F1267">
            <v>1289.3699999999999</v>
          </cell>
          <cell r="G1267">
            <v>1284.6500000000001</v>
          </cell>
          <cell r="H1267">
            <v>1283.96</v>
          </cell>
          <cell r="I1267">
            <v>1279.6500000000001</v>
          </cell>
          <cell r="J1267">
            <v>41.6</v>
          </cell>
          <cell r="K1267">
            <v>0</v>
          </cell>
          <cell r="L1267" t="str">
            <v xml:space="preserve">Tramos Existentes </v>
          </cell>
          <cell r="M1267" t="str">
            <v>Existente</v>
          </cell>
        </row>
        <row r="1268">
          <cell r="B1268">
            <v>457</v>
          </cell>
          <cell r="C1268">
            <v>452</v>
          </cell>
          <cell r="D1268">
            <v>1.4999999999999999E-2</v>
          </cell>
          <cell r="E1268">
            <v>8</v>
          </cell>
          <cell r="F1268">
            <v>1311.99</v>
          </cell>
          <cell r="G1268">
            <v>1310</v>
          </cell>
          <cell r="H1268">
            <v>1308.26</v>
          </cell>
          <cell r="I1268">
            <v>1303.8499999999999</v>
          </cell>
          <cell r="J1268">
            <v>60.6</v>
          </cell>
          <cell r="K1268">
            <v>0</v>
          </cell>
          <cell r="L1268" t="str">
            <v xml:space="preserve">Tramos Existentes </v>
          </cell>
          <cell r="M1268" t="str">
            <v>Existente</v>
          </cell>
        </row>
        <row r="1269">
          <cell r="B1269">
            <v>678</v>
          </cell>
          <cell r="C1269">
            <v>679</v>
          </cell>
          <cell r="D1269">
            <v>1.4999999999999999E-2</v>
          </cell>
          <cell r="E1269">
            <v>8</v>
          </cell>
          <cell r="F1269">
            <v>1292.3800000000001</v>
          </cell>
          <cell r="G1269">
            <v>1289.3699999999999</v>
          </cell>
          <cell r="H1269">
            <v>1288.3399999999999</v>
          </cell>
          <cell r="I1269">
            <v>1283.96</v>
          </cell>
          <cell r="J1269">
            <v>56.6</v>
          </cell>
          <cell r="K1269">
            <v>0</v>
          </cell>
          <cell r="L1269" t="str">
            <v xml:space="preserve">Tramos Existentes </v>
          </cell>
          <cell r="M1269" t="str">
            <v>Existente</v>
          </cell>
        </row>
        <row r="1270">
          <cell r="B1270">
            <v>628</v>
          </cell>
          <cell r="C1270">
            <v>627</v>
          </cell>
          <cell r="D1270">
            <v>1.4999999999999999E-2</v>
          </cell>
          <cell r="E1270">
            <v>4</v>
          </cell>
          <cell r="F1270">
            <v>1314.5</v>
          </cell>
          <cell r="G1270">
            <v>1315.54</v>
          </cell>
          <cell r="H1270">
            <v>1313.63</v>
          </cell>
          <cell r="I1270">
            <v>1313.59</v>
          </cell>
          <cell r="J1270">
            <v>8.6999999999999993</v>
          </cell>
          <cell r="K1270">
            <v>0</v>
          </cell>
          <cell r="L1270" t="str">
            <v xml:space="preserve">Tramos Existentes </v>
          </cell>
          <cell r="M1270" t="str">
            <v>Existente</v>
          </cell>
        </row>
        <row r="1271">
          <cell r="B1271">
            <v>680</v>
          </cell>
          <cell r="C1271">
            <v>678</v>
          </cell>
          <cell r="D1271">
            <v>1.4999999999999999E-2</v>
          </cell>
          <cell r="E1271">
            <v>8</v>
          </cell>
          <cell r="F1271">
            <v>1292.33</v>
          </cell>
          <cell r="G1271">
            <v>1292.3800000000001</v>
          </cell>
          <cell r="H1271">
            <v>1289.48</v>
          </cell>
          <cell r="I1271">
            <v>1288.3399999999999</v>
          </cell>
          <cell r="J1271">
            <v>16.399999999999999</v>
          </cell>
          <cell r="K1271">
            <v>0</v>
          </cell>
          <cell r="L1271" t="str">
            <v xml:space="preserve">Tramos Existentes </v>
          </cell>
          <cell r="M1271" t="str">
            <v>Existente</v>
          </cell>
        </row>
        <row r="1272">
          <cell r="B1272">
            <v>627</v>
          </cell>
          <cell r="C1272">
            <v>626</v>
          </cell>
          <cell r="D1272">
            <v>1.4999999999999999E-2</v>
          </cell>
          <cell r="E1272">
            <v>8</v>
          </cell>
          <cell r="F1272">
            <v>1315.54</v>
          </cell>
          <cell r="G1272">
            <v>1316.16</v>
          </cell>
          <cell r="H1272">
            <v>1313.59</v>
          </cell>
          <cell r="I1272">
            <v>1313.35</v>
          </cell>
          <cell r="J1272">
            <v>42.7</v>
          </cell>
          <cell r="K1272">
            <v>0</v>
          </cell>
          <cell r="L1272" t="str">
            <v xml:space="preserve">Tramos Existentes </v>
          </cell>
          <cell r="M1272" t="str">
            <v>Existente</v>
          </cell>
        </row>
        <row r="1273">
          <cell r="B1273">
            <v>677</v>
          </cell>
          <cell r="C1273">
            <v>680</v>
          </cell>
          <cell r="D1273">
            <v>1.4999999999999999E-2</v>
          </cell>
          <cell r="E1273">
            <v>8</v>
          </cell>
          <cell r="F1273">
            <v>1294.3399999999999</v>
          </cell>
          <cell r="G1273">
            <v>1292.33</v>
          </cell>
          <cell r="H1273">
            <v>1291.1300000000001</v>
          </cell>
          <cell r="I1273">
            <v>1289.48</v>
          </cell>
          <cell r="J1273">
            <v>73.099999999999994</v>
          </cell>
          <cell r="K1273">
            <v>0</v>
          </cell>
          <cell r="L1273" t="str">
            <v xml:space="preserve">Tramos Existentes </v>
          </cell>
          <cell r="M1273" t="str">
            <v>Existente</v>
          </cell>
        </row>
        <row r="1274">
          <cell r="B1274" t="str">
            <v>550i</v>
          </cell>
          <cell r="C1274">
            <v>611</v>
          </cell>
          <cell r="D1274">
            <v>1.4999999999999999E-2</v>
          </cell>
          <cell r="E1274">
            <v>8</v>
          </cell>
          <cell r="F1274">
            <v>1316.97</v>
          </cell>
          <cell r="G1274">
            <v>1315.87</v>
          </cell>
          <cell r="H1274">
            <v>1314.73</v>
          </cell>
          <cell r="I1274">
            <v>1313.79</v>
          </cell>
          <cell r="J1274">
            <v>16.3</v>
          </cell>
          <cell r="K1274">
            <v>0</v>
          </cell>
          <cell r="L1274" t="str">
            <v xml:space="preserve">Tramos Existentes </v>
          </cell>
          <cell r="M1274" t="str">
            <v>Existente</v>
          </cell>
        </row>
        <row r="1275">
          <cell r="B1275">
            <v>676</v>
          </cell>
          <cell r="C1275">
            <v>677</v>
          </cell>
          <cell r="D1275">
            <v>1.4999999999999999E-2</v>
          </cell>
          <cell r="E1275">
            <v>8</v>
          </cell>
          <cell r="F1275">
            <v>1296.54</v>
          </cell>
          <cell r="G1275">
            <v>1294.3399999999999</v>
          </cell>
          <cell r="H1275">
            <v>1291.8499999999999</v>
          </cell>
          <cell r="I1275">
            <v>1291.1300000000001</v>
          </cell>
          <cell r="J1275">
            <v>39.700000000000003</v>
          </cell>
          <cell r="K1275">
            <v>0</v>
          </cell>
          <cell r="L1275" t="str">
            <v xml:space="preserve">Tramos Existentes </v>
          </cell>
          <cell r="M1275" t="str">
            <v>Existente</v>
          </cell>
        </row>
        <row r="1276">
          <cell r="B1276">
            <v>761</v>
          </cell>
          <cell r="C1276">
            <v>762</v>
          </cell>
          <cell r="D1276">
            <v>1.4999999999999999E-2</v>
          </cell>
          <cell r="E1276">
            <v>8</v>
          </cell>
          <cell r="F1276">
            <v>1284.6500000000001</v>
          </cell>
          <cell r="G1276">
            <v>1278.1199999999999</v>
          </cell>
          <cell r="H1276">
            <v>1279.6500000000001</v>
          </cell>
          <cell r="I1276">
            <v>1276.0999999999999</v>
          </cell>
          <cell r="J1276">
            <v>36.5</v>
          </cell>
          <cell r="K1276">
            <v>0</v>
          </cell>
          <cell r="L1276" t="str">
            <v xml:space="preserve">Tramos Existentes </v>
          </cell>
          <cell r="M1276" t="str">
            <v>Existente</v>
          </cell>
        </row>
        <row r="1277">
          <cell r="B1277">
            <v>521</v>
          </cell>
          <cell r="C1277">
            <v>456</v>
          </cell>
          <cell r="D1277">
            <v>1.4999999999999999E-2</v>
          </cell>
          <cell r="E1277">
            <v>12</v>
          </cell>
          <cell r="F1277">
            <v>1312.76</v>
          </cell>
          <cell r="G1277">
            <v>1312.03</v>
          </cell>
          <cell r="H1277">
            <v>1310.53</v>
          </cell>
          <cell r="I1277">
            <v>1310.25</v>
          </cell>
          <cell r="J1277">
            <v>20.9</v>
          </cell>
          <cell r="K1277">
            <v>0</v>
          </cell>
          <cell r="L1277" t="str">
            <v xml:space="preserve">Tramos Existentes </v>
          </cell>
          <cell r="M1277" t="str">
            <v>Existente</v>
          </cell>
        </row>
        <row r="1278">
          <cell r="B1278">
            <v>461</v>
          </cell>
          <cell r="C1278">
            <v>399</v>
          </cell>
          <cell r="D1278">
            <v>1.4999999999999999E-2</v>
          </cell>
          <cell r="E1278">
            <v>8</v>
          </cell>
          <cell r="F1278">
            <v>1310.23</v>
          </cell>
          <cell r="G1278">
            <v>1310.02</v>
          </cell>
          <cell r="H1278">
            <v>1307.26</v>
          </cell>
          <cell r="I1278">
            <v>1304.99</v>
          </cell>
          <cell r="J1278">
            <v>24.8</v>
          </cell>
          <cell r="K1278">
            <v>0</v>
          </cell>
          <cell r="L1278" t="str">
            <v xml:space="preserve">Tramos Existentes </v>
          </cell>
          <cell r="M1278" t="str">
            <v>Existente</v>
          </cell>
        </row>
        <row r="1279">
          <cell r="B1279">
            <v>462</v>
          </cell>
          <cell r="C1279">
            <v>463</v>
          </cell>
          <cell r="D1279">
            <v>1.4999999999999999E-2</v>
          </cell>
          <cell r="E1279">
            <v>8</v>
          </cell>
          <cell r="F1279">
            <v>1309.42</v>
          </cell>
          <cell r="G1279">
            <v>1309.46</v>
          </cell>
          <cell r="H1279">
            <v>1307.82</v>
          </cell>
          <cell r="I1279">
            <v>1307.1099999999999</v>
          </cell>
          <cell r="J1279">
            <v>24</v>
          </cell>
          <cell r="K1279">
            <v>0</v>
          </cell>
          <cell r="L1279" t="str">
            <v xml:space="preserve">Tramos Existentes </v>
          </cell>
          <cell r="M1279" t="str">
            <v>Existente</v>
          </cell>
        </row>
        <row r="1280">
          <cell r="B1280">
            <v>675</v>
          </cell>
          <cell r="C1280">
            <v>676</v>
          </cell>
          <cell r="D1280">
            <v>1.4999999999999999E-2</v>
          </cell>
          <cell r="E1280">
            <v>8</v>
          </cell>
          <cell r="F1280">
            <v>1298.72</v>
          </cell>
          <cell r="G1280">
            <v>1296.54</v>
          </cell>
          <cell r="H1280">
            <v>1295.26</v>
          </cell>
          <cell r="I1280">
            <v>1291.8499999999999</v>
          </cell>
          <cell r="J1280">
            <v>80.599999999999994</v>
          </cell>
          <cell r="K1280">
            <v>0</v>
          </cell>
          <cell r="L1280" t="str">
            <v xml:space="preserve">Tramos Existentes </v>
          </cell>
          <cell r="M1280" t="str">
            <v>Existente</v>
          </cell>
        </row>
        <row r="1281">
          <cell r="B1281">
            <v>463</v>
          </cell>
          <cell r="C1281">
            <v>464</v>
          </cell>
          <cell r="D1281">
            <v>0.01</v>
          </cell>
          <cell r="E1281">
            <v>8</v>
          </cell>
          <cell r="F1281">
            <v>1309.46</v>
          </cell>
          <cell r="G1281">
            <v>1309.47</v>
          </cell>
          <cell r="H1281">
            <v>1307.1099999999999</v>
          </cell>
          <cell r="I1281">
            <v>1304.52</v>
          </cell>
          <cell r="J1281">
            <v>6.6</v>
          </cell>
          <cell r="K1281">
            <v>0</v>
          </cell>
          <cell r="L1281" t="str">
            <v xml:space="preserve">Tramos Existentes </v>
          </cell>
          <cell r="M1281" t="str">
            <v>Existente</v>
          </cell>
        </row>
        <row r="1282">
          <cell r="B1282">
            <v>466</v>
          </cell>
          <cell r="C1282">
            <v>399</v>
          </cell>
          <cell r="D1282">
            <v>1.4999999999999999E-2</v>
          </cell>
          <cell r="E1282">
            <v>8</v>
          </cell>
          <cell r="F1282">
            <v>1312.5</v>
          </cell>
          <cell r="G1282">
            <v>1310.02</v>
          </cell>
          <cell r="H1282">
            <v>1311</v>
          </cell>
          <cell r="I1282">
            <v>1304.99</v>
          </cell>
          <cell r="J1282">
            <v>53.2</v>
          </cell>
          <cell r="K1282">
            <v>0</v>
          </cell>
          <cell r="L1282" t="str">
            <v xml:space="preserve">Tramos Existentes </v>
          </cell>
          <cell r="M1282" t="str">
            <v>Existente</v>
          </cell>
        </row>
        <row r="1283">
          <cell r="B1283">
            <v>467</v>
          </cell>
          <cell r="C1283">
            <v>464</v>
          </cell>
          <cell r="D1283">
            <v>1.4999999999999999E-2</v>
          </cell>
          <cell r="E1283">
            <v>8</v>
          </cell>
          <cell r="F1283">
            <v>1309.99</v>
          </cell>
          <cell r="G1283">
            <v>1309.47</v>
          </cell>
          <cell r="H1283">
            <v>1309.18</v>
          </cell>
          <cell r="I1283">
            <v>1304.52</v>
          </cell>
          <cell r="J1283">
            <v>48.1</v>
          </cell>
          <cell r="K1283">
            <v>0</v>
          </cell>
          <cell r="L1283" t="str">
            <v xml:space="preserve">Tramos Existentes </v>
          </cell>
          <cell r="M1283" t="str">
            <v>Existente</v>
          </cell>
        </row>
        <row r="1284">
          <cell r="B1284">
            <v>762</v>
          </cell>
          <cell r="C1284">
            <v>763</v>
          </cell>
          <cell r="D1284">
            <v>1.4999999999999999E-2</v>
          </cell>
          <cell r="E1284">
            <v>8</v>
          </cell>
          <cell r="F1284">
            <v>1278.1199999999999</v>
          </cell>
          <cell r="G1284">
            <v>1277.1199999999999</v>
          </cell>
          <cell r="H1284">
            <v>1276.0999999999999</v>
          </cell>
          <cell r="I1284">
            <v>1276.03</v>
          </cell>
          <cell r="J1284">
            <v>41.7</v>
          </cell>
          <cell r="K1284">
            <v>0</v>
          </cell>
          <cell r="L1284" t="str">
            <v xml:space="preserve">Tramos Existentes </v>
          </cell>
          <cell r="M1284" t="str">
            <v>Existente</v>
          </cell>
        </row>
        <row r="1285">
          <cell r="B1285">
            <v>625</v>
          </cell>
          <cell r="C1285">
            <v>460</v>
          </cell>
          <cell r="D1285">
            <v>1.4999999999999999E-2</v>
          </cell>
          <cell r="E1285">
            <v>4</v>
          </cell>
          <cell r="F1285">
            <v>1314.53</v>
          </cell>
          <cell r="G1285">
            <v>1314.34</v>
          </cell>
          <cell r="H1285">
            <v>1313.49</v>
          </cell>
          <cell r="I1285">
            <v>1311.43</v>
          </cell>
          <cell r="J1285">
            <v>26.9</v>
          </cell>
          <cell r="K1285">
            <v>0</v>
          </cell>
          <cell r="L1285" t="str">
            <v xml:space="preserve">Tramos Existentes </v>
          </cell>
          <cell r="M1285" t="str">
            <v>Existente</v>
          </cell>
        </row>
        <row r="1286">
          <cell r="B1286">
            <v>454</v>
          </cell>
          <cell r="C1286">
            <v>453</v>
          </cell>
          <cell r="D1286">
            <v>1.4999999999999999E-2</v>
          </cell>
          <cell r="E1286">
            <v>8</v>
          </cell>
          <cell r="F1286">
            <v>1312.02</v>
          </cell>
          <cell r="G1286">
            <v>1310.07</v>
          </cell>
          <cell r="H1286">
            <v>1310.82</v>
          </cell>
          <cell r="I1286">
            <v>1307.96</v>
          </cell>
          <cell r="J1286">
            <v>70</v>
          </cell>
          <cell r="K1286">
            <v>0</v>
          </cell>
          <cell r="L1286" t="str">
            <v xml:space="preserve">Tramos Existentes </v>
          </cell>
          <cell r="M1286" t="str">
            <v>Existente</v>
          </cell>
        </row>
        <row r="1287">
          <cell r="B1287" t="str">
            <v>P17</v>
          </cell>
          <cell r="C1287">
            <v>443</v>
          </cell>
          <cell r="D1287">
            <v>1.4999999999999999E-2</v>
          </cell>
          <cell r="E1287">
            <v>12</v>
          </cell>
          <cell r="F1287">
            <v>1312.87</v>
          </cell>
          <cell r="G1287">
            <v>1311.39</v>
          </cell>
          <cell r="H1287">
            <v>1311.04</v>
          </cell>
          <cell r="I1287">
            <v>1309.5</v>
          </cell>
          <cell r="J1287">
            <v>54.2</v>
          </cell>
          <cell r="K1287">
            <v>0</v>
          </cell>
          <cell r="L1287" t="str">
            <v xml:space="preserve">Tramos Existentes </v>
          </cell>
          <cell r="M1287" t="str">
            <v>Existente</v>
          </cell>
        </row>
        <row r="1288">
          <cell r="B1288">
            <v>443</v>
          </cell>
          <cell r="C1288">
            <v>444</v>
          </cell>
          <cell r="D1288">
            <v>1.4999999999999999E-2</v>
          </cell>
          <cell r="E1288">
            <v>12</v>
          </cell>
          <cell r="F1288">
            <v>1311.39</v>
          </cell>
          <cell r="G1288">
            <v>1311.33</v>
          </cell>
          <cell r="H1288">
            <v>1309.5</v>
          </cell>
          <cell r="I1288">
            <v>1309.3800000000001</v>
          </cell>
          <cell r="J1288">
            <v>2.1</v>
          </cell>
          <cell r="K1288">
            <v>0</v>
          </cell>
          <cell r="L1288" t="str">
            <v xml:space="preserve">Tramos Existentes </v>
          </cell>
          <cell r="M1288" t="str">
            <v>Existente</v>
          </cell>
        </row>
        <row r="1289">
          <cell r="B1289" t="str">
            <v>444i</v>
          </cell>
          <cell r="C1289">
            <v>445</v>
          </cell>
          <cell r="D1289">
            <v>1.4999999999999999E-2</v>
          </cell>
          <cell r="E1289">
            <v>16</v>
          </cell>
          <cell r="F1289">
            <v>1311.33</v>
          </cell>
          <cell r="G1289">
            <v>1309.96</v>
          </cell>
          <cell r="H1289">
            <v>1309.53</v>
          </cell>
          <cell r="I1289">
            <v>1307.6199999999999</v>
          </cell>
          <cell r="J1289">
            <v>72.5</v>
          </cell>
          <cell r="K1289">
            <v>0</v>
          </cell>
          <cell r="L1289" t="str">
            <v xml:space="preserve">Tramos Existentes </v>
          </cell>
          <cell r="M1289" t="str">
            <v>Existente</v>
          </cell>
        </row>
        <row r="1290">
          <cell r="B1290">
            <v>323</v>
          </cell>
          <cell r="C1290">
            <v>322</v>
          </cell>
          <cell r="D1290">
            <v>1.4999999999999999E-2</v>
          </cell>
          <cell r="E1290">
            <v>10</v>
          </cell>
          <cell r="F1290">
            <v>1309.54</v>
          </cell>
          <cell r="G1290">
            <v>1309.32</v>
          </cell>
          <cell r="H1290">
            <v>1306.81</v>
          </cell>
          <cell r="I1290">
            <v>1304.92</v>
          </cell>
          <cell r="J1290">
            <v>8</v>
          </cell>
          <cell r="K1290">
            <v>0</v>
          </cell>
          <cell r="L1290" t="str">
            <v xml:space="preserve">Tramos Existentes </v>
          </cell>
          <cell r="M1290" t="str">
            <v>Existente</v>
          </cell>
        </row>
        <row r="1291">
          <cell r="B1291">
            <v>446</v>
          </cell>
          <cell r="C1291">
            <v>447</v>
          </cell>
          <cell r="D1291">
            <v>1.4999999999999999E-2</v>
          </cell>
          <cell r="E1291">
            <v>12</v>
          </cell>
          <cell r="F1291">
            <v>1308.8399999999999</v>
          </cell>
          <cell r="G1291">
            <v>1308.95</v>
          </cell>
          <cell r="H1291">
            <v>1307.07</v>
          </cell>
          <cell r="I1291">
            <v>1306.57</v>
          </cell>
          <cell r="J1291">
            <v>33.6</v>
          </cell>
          <cell r="K1291">
            <v>0</v>
          </cell>
          <cell r="L1291" t="str">
            <v xml:space="preserve">Tramos Existentes </v>
          </cell>
          <cell r="M1291" t="str">
            <v>Existente</v>
          </cell>
        </row>
        <row r="1292">
          <cell r="B1292">
            <v>393</v>
          </cell>
          <cell r="C1292">
            <v>392</v>
          </cell>
          <cell r="D1292">
            <v>1.4999999999999999E-2</v>
          </cell>
          <cell r="E1292">
            <v>8</v>
          </cell>
          <cell r="F1292">
            <v>1311.07</v>
          </cell>
          <cell r="G1292">
            <v>1310.78</v>
          </cell>
          <cell r="H1292">
            <v>1308.46</v>
          </cell>
          <cell r="I1292">
            <v>1306.01</v>
          </cell>
          <cell r="J1292">
            <v>6.9</v>
          </cell>
          <cell r="K1292">
            <v>0</v>
          </cell>
          <cell r="L1292" t="str">
            <v xml:space="preserve">Tramos Existentes </v>
          </cell>
          <cell r="M1292" t="str">
            <v>Existente</v>
          </cell>
        </row>
        <row r="1293">
          <cell r="B1293">
            <v>449</v>
          </cell>
          <cell r="C1293">
            <v>511</v>
          </cell>
          <cell r="D1293">
            <v>1.4999999999999999E-2</v>
          </cell>
          <cell r="E1293">
            <v>10</v>
          </cell>
          <cell r="F1293">
            <v>1308.6400000000001</v>
          </cell>
          <cell r="G1293">
            <v>1308.3900000000001</v>
          </cell>
          <cell r="H1293">
            <v>1306.3800000000001</v>
          </cell>
          <cell r="I1293">
            <v>1306.28</v>
          </cell>
          <cell r="J1293">
            <v>5.2</v>
          </cell>
          <cell r="K1293">
            <v>0</v>
          </cell>
          <cell r="L1293" t="str">
            <v xml:space="preserve">Tramos Existentes </v>
          </cell>
          <cell r="M1293" t="str">
            <v>Existente</v>
          </cell>
        </row>
        <row r="1294">
          <cell r="B1294" t="str">
            <v>450i</v>
          </cell>
          <cell r="C1294">
            <v>512</v>
          </cell>
          <cell r="D1294">
            <v>1.4999999999999999E-2</v>
          </cell>
          <cell r="E1294">
            <v>8</v>
          </cell>
          <cell r="F1294">
            <v>1308.79</v>
          </cell>
          <cell r="G1294">
            <v>1308.93</v>
          </cell>
          <cell r="H1294">
            <v>1307.51</v>
          </cell>
          <cell r="I1294">
            <v>1306.48</v>
          </cell>
          <cell r="J1294">
            <v>72.8</v>
          </cell>
          <cell r="K1294">
            <v>0</v>
          </cell>
          <cell r="L1294" t="str">
            <v xml:space="preserve">Tramos Existentes </v>
          </cell>
          <cell r="M1294" t="str">
            <v>Existente</v>
          </cell>
        </row>
        <row r="1295">
          <cell r="B1295">
            <v>622</v>
          </cell>
          <cell r="C1295">
            <v>458</v>
          </cell>
          <cell r="D1295">
            <v>1.4999999999999999E-2</v>
          </cell>
          <cell r="E1295">
            <v>8</v>
          </cell>
          <cell r="F1295">
            <v>1313.8</v>
          </cell>
          <cell r="G1295">
            <v>1313.11</v>
          </cell>
          <cell r="H1295">
            <v>1309.8900000000001</v>
          </cell>
          <cell r="I1295">
            <v>1309.45</v>
          </cell>
          <cell r="J1295">
            <v>20.7</v>
          </cell>
          <cell r="K1295">
            <v>0</v>
          </cell>
          <cell r="L1295" t="str">
            <v xml:space="preserve">Tramos Existentes </v>
          </cell>
          <cell r="M1295" t="str">
            <v>Existente</v>
          </cell>
        </row>
        <row r="1296">
          <cell r="B1296">
            <v>583</v>
          </cell>
          <cell r="C1296">
            <v>587</v>
          </cell>
          <cell r="D1296">
            <v>1.4999999999999999E-2</v>
          </cell>
          <cell r="E1296">
            <v>18</v>
          </cell>
          <cell r="F1296">
            <v>1299.99</v>
          </cell>
          <cell r="G1296">
            <v>1292.04</v>
          </cell>
          <cell r="H1296">
            <v>1297.83</v>
          </cell>
          <cell r="I1296">
            <v>1288.49</v>
          </cell>
          <cell r="J1296">
            <v>71.599999999999994</v>
          </cell>
          <cell r="K1296">
            <v>0</v>
          </cell>
          <cell r="L1296" t="str">
            <v xml:space="preserve">Tramos Existentes </v>
          </cell>
          <cell r="M1296" t="str">
            <v>Existente</v>
          </cell>
        </row>
        <row r="1297">
          <cell r="B1297">
            <v>558</v>
          </cell>
          <cell r="C1297">
            <v>622</v>
          </cell>
          <cell r="D1297">
            <v>1.4999999999999999E-2</v>
          </cell>
          <cell r="E1297">
            <v>10</v>
          </cell>
          <cell r="F1297">
            <v>1313.54</v>
          </cell>
          <cell r="G1297">
            <v>1313.8</v>
          </cell>
          <cell r="H1297">
            <v>1311.02</v>
          </cell>
          <cell r="I1297">
            <v>1309.8900000000001</v>
          </cell>
          <cell r="J1297">
            <v>51.1</v>
          </cell>
          <cell r="K1297">
            <v>0</v>
          </cell>
          <cell r="L1297" t="str">
            <v xml:space="preserve">Tramos Existentes </v>
          </cell>
          <cell r="M1297" t="str">
            <v>Existente</v>
          </cell>
        </row>
        <row r="1298">
          <cell r="B1298">
            <v>453</v>
          </cell>
          <cell r="C1298">
            <v>452</v>
          </cell>
          <cell r="D1298">
            <v>1.4999999999999999E-2</v>
          </cell>
          <cell r="E1298">
            <v>12</v>
          </cell>
          <cell r="F1298">
            <v>1310.07</v>
          </cell>
          <cell r="G1298">
            <v>1310</v>
          </cell>
          <cell r="H1298">
            <v>1307.96</v>
          </cell>
          <cell r="I1298">
            <v>1303.8499999999999</v>
          </cell>
          <cell r="J1298">
            <v>25.7</v>
          </cell>
          <cell r="K1298">
            <v>0</v>
          </cell>
          <cell r="L1298" t="str">
            <v xml:space="preserve">Tramos Existentes </v>
          </cell>
          <cell r="M1298" t="str">
            <v>Existente</v>
          </cell>
        </row>
        <row r="1299">
          <cell r="B1299">
            <v>560</v>
          </cell>
          <cell r="C1299">
            <v>559</v>
          </cell>
          <cell r="D1299">
            <v>1.4999999999999999E-2</v>
          </cell>
          <cell r="E1299">
            <v>8</v>
          </cell>
          <cell r="F1299">
            <v>1315.4</v>
          </cell>
          <cell r="G1299">
            <v>1315.1</v>
          </cell>
          <cell r="H1299">
            <v>1314.2</v>
          </cell>
          <cell r="I1299">
            <v>1313.71</v>
          </cell>
          <cell r="J1299">
            <v>39.9</v>
          </cell>
          <cell r="K1299">
            <v>0</v>
          </cell>
          <cell r="L1299" t="str">
            <v xml:space="preserve">Tramos Existentes </v>
          </cell>
          <cell r="M1299" t="str">
            <v>Existente</v>
          </cell>
        </row>
        <row r="1300">
          <cell r="B1300">
            <v>559</v>
          </cell>
          <cell r="C1300">
            <v>621</v>
          </cell>
          <cell r="D1300">
            <v>1.4999999999999999E-2</v>
          </cell>
          <cell r="E1300">
            <v>8</v>
          </cell>
          <cell r="F1300">
            <v>1315.1</v>
          </cell>
          <cell r="G1300">
            <v>1314.05</v>
          </cell>
          <cell r="H1300">
            <v>1313.71</v>
          </cell>
          <cell r="I1300">
            <v>1311.99</v>
          </cell>
          <cell r="J1300">
            <v>38.9</v>
          </cell>
          <cell r="K1300">
            <v>0</v>
          </cell>
          <cell r="L1300" t="str">
            <v xml:space="preserve">Tramos Existentes </v>
          </cell>
          <cell r="M1300" t="str">
            <v>Existente</v>
          </cell>
        </row>
        <row r="1301">
          <cell r="B1301">
            <v>621</v>
          </cell>
          <cell r="C1301">
            <v>623</v>
          </cell>
          <cell r="D1301">
            <v>1.4999999999999999E-2</v>
          </cell>
          <cell r="E1301">
            <v>8</v>
          </cell>
          <cell r="F1301">
            <v>1314.05</v>
          </cell>
          <cell r="G1301">
            <v>1313.42</v>
          </cell>
          <cell r="H1301">
            <v>1311.99</v>
          </cell>
          <cell r="I1301">
            <v>1311.87</v>
          </cell>
          <cell r="J1301">
            <v>16.100000000000001</v>
          </cell>
          <cell r="K1301">
            <v>0</v>
          </cell>
          <cell r="L1301" t="str">
            <v xml:space="preserve">Tramos Existentes </v>
          </cell>
          <cell r="M1301" t="str">
            <v>Existente</v>
          </cell>
        </row>
        <row r="1302">
          <cell r="B1302">
            <v>623</v>
          </cell>
          <cell r="C1302">
            <v>459</v>
          </cell>
          <cell r="D1302">
            <v>1.4999999999999999E-2</v>
          </cell>
          <cell r="E1302">
            <v>8</v>
          </cell>
          <cell r="F1302">
            <v>1313.42</v>
          </cell>
          <cell r="G1302">
            <v>1313.21</v>
          </cell>
          <cell r="H1302">
            <v>1311.87</v>
          </cell>
          <cell r="I1302">
            <v>1311.62</v>
          </cell>
          <cell r="J1302">
            <v>17.8</v>
          </cell>
          <cell r="K1302">
            <v>0</v>
          </cell>
          <cell r="L1302" t="str">
            <v xml:space="preserve">Tramos Existentes </v>
          </cell>
          <cell r="M1302" t="str">
            <v>Existente</v>
          </cell>
        </row>
        <row r="1303">
          <cell r="B1303">
            <v>459</v>
          </cell>
          <cell r="C1303">
            <v>456</v>
          </cell>
          <cell r="D1303">
            <v>1.4999999999999999E-2</v>
          </cell>
          <cell r="E1303">
            <v>8</v>
          </cell>
          <cell r="F1303">
            <v>1313.21</v>
          </cell>
          <cell r="G1303">
            <v>1312.03</v>
          </cell>
          <cell r="H1303">
            <v>1311.62</v>
          </cell>
          <cell r="I1303">
            <v>1310.25</v>
          </cell>
          <cell r="J1303">
            <v>54.5</v>
          </cell>
          <cell r="K1303">
            <v>0</v>
          </cell>
          <cell r="L1303" t="str">
            <v xml:space="preserve">Tramos Existentes </v>
          </cell>
          <cell r="M1303" t="str">
            <v>Existente</v>
          </cell>
        </row>
        <row r="1304">
          <cell r="B1304">
            <v>456</v>
          </cell>
          <cell r="C1304">
            <v>455</v>
          </cell>
          <cell r="D1304">
            <v>1.4999999999999999E-2</v>
          </cell>
          <cell r="E1304">
            <v>12</v>
          </cell>
          <cell r="F1304">
            <v>1312.03</v>
          </cell>
          <cell r="G1304">
            <v>1311.6</v>
          </cell>
          <cell r="H1304">
            <v>1310.25</v>
          </cell>
          <cell r="I1304">
            <v>1309.77</v>
          </cell>
          <cell r="J1304">
            <v>5.6</v>
          </cell>
          <cell r="K1304">
            <v>0</v>
          </cell>
          <cell r="L1304" t="str">
            <v xml:space="preserve">Tramos Existentes </v>
          </cell>
          <cell r="M1304" t="str">
            <v>Existente</v>
          </cell>
        </row>
        <row r="1305">
          <cell r="B1305">
            <v>557</v>
          </cell>
          <cell r="C1305">
            <v>558</v>
          </cell>
          <cell r="D1305">
            <v>1.4999999999999999E-2</v>
          </cell>
          <cell r="E1305">
            <v>10</v>
          </cell>
          <cell r="F1305">
            <v>1314.22</v>
          </cell>
          <cell r="G1305">
            <v>1313.54</v>
          </cell>
          <cell r="H1305">
            <v>1312.94</v>
          </cell>
          <cell r="I1305">
            <v>1311.02</v>
          </cell>
          <cell r="J1305">
            <v>30.9</v>
          </cell>
          <cell r="K1305">
            <v>0</v>
          </cell>
          <cell r="L1305" t="str">
            <v xml:space="preserve">Tramos Existentes </v>
          </cell>
          <cell r="M1305" t="str">
            <v>Existente</v>
          </cell>
        </row>
        <row r="1306">
          <cell r="B1306">
            <v>611</v>
          </cell>
          <cell r="C1306">
            <v>614</v>
          </cell>
          <cell r="D1306">
            <v>1.4999999999999999E-2</v>
          </cell>
          <cell r="E1306">
            <v>8</v>
          </cell>
          <cell r="F1306">
            <v>1315.87</v>
          </cell>
          <cell r="G1306">
            <v>1313.99</v>
          </cell>
          <cell r="H1306">
            <v>1313.79</v>
          </cell>
          <cell r="I1306">
            <v>1312.53</v>
          </cell>
          <cell r="J1306">
            <v>52.2</v>
          </cell>
          <cell r="K1306">
            <v>0</v>
          </cell>
          <cell r="L1306" t="str">
            <v xml:space="preserve">Tramos Existentes </v>
          </cell>
          <cell r="M1306" t="str">
            <v>Existente</v>
          </cell>
        </row>
        <row r="1307">
          <cell r="B1307">
            <v>512</v>
          </cell>
          <cell r="C1307">
            <v>583</v>
          </cell>
          <cell r="D1307">
            <v>0.01</v>
          </cell>
          <cell r="E1307">
            <v>18</v>
          </cell>
          <cell r="F1307">
            <v>1308.93</v>
          </cell>
          <cell r="G1307">
            <v>1299.99</v>
          </cell>
          <cell r="H1307">
            <v>1306.48</v>
          </cell>
          <cell r="I1307">
            <v>1297.83</v>
          </cell>
          <cell r="J1307">
            <v>72.599999999999994</v>
          </cell>
          <cell r="K1307">
            <v>0</v>
          </cell>
          <cell r="L1307" t="str">
            <v xml:space="preserve">Tramos Existentes </v>
          </cell>
          <cell r="M1307" t="str">
            <v>Existente</v>
          </cell>
        </row>
        <row r="1308">
          <cell r="B1308">
            <v>329</v>
          </cell>
          <cell r="C1308">
            <v>330</v>
          </cell>
          <cell r="D1308">
            <v>1.4999999999999999E-2</v>
          </cell>
          <cell r="E1308">
            <v>8</v>
          </cell>
          <cell r="F1308">
            <v>1309.53</v>
          </cell>
          <cell r="G1308">
            <v>1309.83</v>
          </cell>
          <cell r="H1308">
            <v>1306.6199999999999</v>
          </cell>
          <cell r="I1308">
            <v>1306.03</v>
          </cell>
          <cell r="J1308">
            <v>50</v>
          </cell>
          <cell r="K1308">
            <v>0</v>
          </cell>
          <cell r="L1308" t="str">
            <v xml:space="preserve">Tramos Existentes </v>
          </cell>
          <cell r="M1308" t="str">
            <v>Existente</v>
          </cell>
        </row>
        <row r="1309">
          <cell r="B1309">
            <v>486</v>
          </cell>
          <cell r="C1309" t="str">
            <v>P39</v>
          </cell>
          <cell r="D1309">
            <v>1.4999999999999999E-2</v>
          </cell>
          <cell r="E1309">
            <v>8</v>
          </cell>
          <cell r="F1309">
            <v>1310.79</v>
          </cell>
          <cell r="G1309">
            <v>1311.25</v>
          </cell>
          <cell r="H1309">
            <v>1308.21</v>
          </cell>
          <cell r="I1309">
            <v>1308.18</v>
          </cell>
          <cell r="J1309">
            <v>14.8</v>
          </cell>
          <cell r="K1309">
            <v>0</v>
          </cell>
          <cell r="L1309" t="str">
            <v xml:space="preserve">Tramos Existentes </v>
          </cell>
          <cell r="M1309" t="str">
            <v>Existente</v>
          </cell>
        </row>
        <row r="1310">
          <cell r="B1310" t="str">
            <v>P39</v>
          </cell>
          <cell r="C1310">
            <v>884</v>
          </cell>
          <cell r="D1310">
            <v>1.4999999999999999E-2</v>
          </cell>
          <cell r="E1310">
            <v>8</v>
          </cell>
          <cell r="F1310">
            <v>1311.25</v>
          </cell>
          <cell r="G1310">
            <v>1312.14</v>
          </cell>
          <cell r="H1310">
            <v>1308.18</v>
          </cell>
          <cell r="I1310">
            <v>1306.6400000000001</v>
          </cell>
          <cell r="J1310">
            <v>28.7</v>
          </cell>
          <cell r="K1310">
            <v>0</v>
          </cell>
          <cell r="L1310" t="str">
            <v xml:space="preserve">Tramos Existentes </v>
          </cell>
          <cell r="M1310" t="str">
            <v>Existente</v>
          </cell>
        </row>
        <row r="1311">
          <cell r="B1311" t="str">
            <v>490i</v>
          </cell>
          <cell r="C1311">
            <v>488</v>
          </cell>
          <cell r="D1311">
            <v>1.4999999999999999E-2</v>
          </cell>
          <cell r="E1311">
            <v>10</v>
          </cell>
          <cell r="F1311">
            <v>1311.84</v>
          </cell>
          <cell r="G1311">
            <v>1311.34</v>
          </cell>
          <cell r="H1311">
            <v>1310.89</v>
          </cell>
          <cell r="I1311">
            <v>1309.1199999999999</v>
          </cell>
          <cell r="J1311">
            <v>26.6</v>
          </cell>
          <cell r="K1311">
            <v>0</v>
          </cell>
          <cell r="L1311" t="str">
            <v xml:space="preserve">Tramos Existentes </v>
          </cell>
          <cell r="M1311" t="str">
            <v>Existente</v>
          </cell>
        </row>
        <row r="1312">
          <cell r="B1312">
            <v>488</v>
          </cell>
          <cell r="C1312">
            <v>485</v>
          </cell>
          <cell r="D1312">
            <v>1.4999999999999999E-2</v>
          </cell>
          <cell r="E1312">
            <v>10</v>
          </cell>
          <cell r="F1312">
            <v>1311.34</v>
          </cell>
          <cell r="G1312">
            <v>1311.17</v>
          </cell>
          <cell r="H1312">
            <v>1309.1199999999999</v>
          </cell>
          <cell r="I1312">
            <v>1308.26</v>
          </cell>
          <cell r="J1312">
            <v>30.6</v>
          </cell>
          <cell r="K1312">
            <v>0</v>
          </cell>
          <cell r="L1312" t="str">
            <v xml:space="preserve">Tramos Existentes </v>
          </cell>
          <cell r="M1312" t="str">
            <v>Existente</v>
          </cell>
        </row>
        <row r="1313">
          <cell r="B1313">
            <v>485</v>
          </cell>
          <cell r="C1313">
            <v>486</v>
          </cell>
          <cell r="D1313">
            <v>1.4999999999999999E-2</v>
          </cell>
          <cell r="E1313">
            <v>10</v>
          </cell>
          <cell r="F1313">
            <v>1311.17</v>
          </cell>
          <cell r="G1313">
            <v>1310.79</v>
          </cell>
          <cell r="H1313">
            <v>1308.26</v>
          </cell>
          <cell r="I1313">
            <v>1308.21</v>
          </cell>
          <cell r="J1313">
            <v>25.7</v>
          </cell>
          <cell r="K1313">
            <v>0</v>
          </cell>
          <cell r="L1313" t="str">
            <v xml:space="preserve">Tramos Existentes </v>
          </cell>
          <cell r="M1313" t="str">
            <v>Existente</v>
          </cell>
        </row>
        <row r="1314">
          <cell r="B1314">
            <v>496</v>
          </cell>
          <cell r="C1314">
            <v>491</v>
          </cell>
          <cell r="D1314">
            <v>1.4999999999999999E-2</v>
          </cell>
          <cell r="E1314">
            <v>12</v>
          </cell>
          <cell r="F1314">
            <v>1322.93</v>
          </cell>
          <cell r="G1314">
            <v>1322.72</v>
          </cell>
          <cell r="H1314">
            <v>1321.66</v>
          </cell>
          <cell r="I1314">
            <v>1321.18</v>
          </cell>
          <cell r="J1314">
            <v>49.5</v>
          </cell>
          <cell r="K1314">
            <v>0</v>
          </cell>
          <cell r="L1314" t="str">
            <v xml:space="preserve">Tramos Existentes </v>
          </cell>
          <cell r="M1314" t="str">
            <v>Existente</v>
          </cell>
        </row>
        <row r="1315">
          <cell r="B1315">
            <v>392</v>
          </cell>
          <cell r="C1315">
            <v>396</v>
          </cell>
          <cell r="D1315">
            <v>1.4999999999999999E-2</v>
          </cell>
          <cell r="E1315">
            <v>8</v>
          </cell>
          <cell r="F1315">
            <v>1310.78</v>
          </cell>
          <cell r="G1315">
            <v>1310.06</v>
          </cell>
          <cell r="H1315">
            <v>1306.01</v>
          </cell>
          <cell r="I1315">
            <v>1305.19</v>
          </cell>
          <cell r="J1315">
            <v>31.3</v>
          </cell>
          <cell r="K1315">
            <v>0</v>
          </cell>
          <cell r="L1315" t="str">
            <v xml:space="preserve">Tramos Existentes </v>
          </cell>
          <cell r="M1315" t="str">
            <v>Existente</v>
          </cell>
        </row>
        <row r="1316">
          <cell r="B1316">
            <v>491</v>
          </cell>
          <cell r="C1316">
            <v>492</v>
          </cell>
          <cell r="D1316">
            <v>1.4999999999999999E-2</v>
          </cell>
          <cell r="E1316">
            <v>12</v>
          </cell>
          <cell r="F1316">
            <v>1322.72</v>
          </cell>
          <cell r="G1316">
            <v>1322.47</v>
          </cell>
          <cell r="H1316">
            <v>1321.18</v>
          </cell>
          <cell r="I1316">
            <v>1320.74</v>
          </cell>
          <cell r="J1316">
            <v>31.7</v>
          </cell>
          <cell r="K1316">
            <v>0</v>
          </cell>
          <cell r="L1316" t="str">
            <v xml:space="preserve">Tramos Existentes </v>
          </cell>
          <cell r="M1316" t="str">
            <v>Existente</v>
          </cell>
        </row>
        <row r="1317">
          <cell r="B1317">
            <v>470</v>
          </cell>
          <cell r="C1317">
            <v>469</v>
          </cell>
          <cell r="D1317">
            <v>1.4999999999999999E-2</v>
          </cell>
          <cell r="E1317">
            <v>8</v>
          </cell>
          <cell r="F1317">
            <v>1308.6400000000001</v>
          </cell>
          <cell r="G1317">
            <v>1308.3900000000001</v>
          </cell>
          <cell r="H1317">
            <v>1304.72</v>
          </cell>
          <cell r="I1317">
            <v>1303.79</v>
          </cell>
          <cell r="J1317">
            <v>40.700000000000003</v>
          </cell>
          <cell r="K1317">
            <v>0</v>
          </cell>
          <cell r="L1317" t="str">
            <v xml:space="preserve">Tramos Existentes </v>
          </cell>
          <cell r="M1317" t="str">
            <v>Existente</v>
          </cell>
        </row>
        <row r="1318">
          <cell r="B1318">
            <v>493</v>
          </cell>
          <cell r="C1318">
            <v>499</v>
          </cell>
          <cell r="D1318">
            <v>1.4999999999999999E-2</v>
          </cell>
          <cell r="E1318">
            <v>12</v>
          </cell>
          <cell r="F1318">
            <v>1321.96</v>
          </cell>
          <cell r="G1318">
            <v>1322.3</v>
          </cell>
          <cell r="H1318">
            <v>1320.3</v>
          </cell>
          <cell r="I1318">
            <v>1320.02</v>
          </cell>
          <cell r="J1318">
            <v>38.1</v>
          </cell>
          <cell r="K1318">
            <v>0</v>
          </cell>
          <cell r="L1318" t="str">
            <v xml:space="preserve">Tramos Existentes </v>
          </cell>
          <cell r="M1318" t="str">
            <v>Existente</v>
          </cell>
        </row>
        <row r="1319">
          <cell r="B1319">
            <v>396</v>
          </cell>
          <cell r="C1319">
            <v>399</v>
          </cell>
          <cell r="D1319">
            <v>1.4999999999999999E-2</v>
          </cell>
          <cell r="E1319">
            <v>8</v>
          </cell>
          <cell r="F1319">
            <v>1310.06</v>
          </cell>
          <cell r="G1319">
            <v>1310.02</v>
          </cell>
          <cell r="H1319">
            <v>1305.19</v>
          </cell>
          <cell r="I1319">
            <v>1304.99</v>
          </cell>
          <cell r="J1319">
            <v>27</v>
          </cell>
          <cell r="K1319">
            <v>0</v>
          </cell>
          <cell r="L1319" t="str">
            <v xml:space="preserve">Tramos Existentes </v>
          </cell>
          <cell r="M1319" t="str">
            <v>Existente</v>
          </cell>
        </row>
        <row r="1320">
          <cell r="B1320">
            <v>500</v>
          </cell>
          <cell r="C1320">
            <v>561</v>
          </cell>
          <cell r="D1320">
            <v>1.4999999999999999E-2</v>
          </cell>
          <cell r="E1320">
            <v>10</v>
          </cell>
          <cell r="F1320">
            <v>1322.4</v>
          </cell>
          <cell r="G1320">
            <v>1322.2</v>
          </cell>
          <cell r="H1320">
            <v>1319.8</v>
          </cell>
          <cell r="I1320">
            <v>1319.5</v>
          </cell>
          <cell r="J1320">
            <v>30.7</v>
          </cell>
          <cell r="K1320">
            <v>0</v>
          </cell>
          <cell r="L1320" t="str">
            <v xml:space="preserve">Tramos Existentes </v>
          </cell>
          <cell r="M1320" t="str">
            <v>Existente</v>
          </cell>
        </row>
        <row r="1321">
          <cell r="B1321">
            <v>561</v>
          </cell>
          <cell r="C1321">
            <v>562</v>
          </cell>
          <cell r="D1321">
            <v>1.4999999999999999E-2</v>
          </cell>
          <cell r="E1321">
            <v>12</v>
          </cell>
          <cell r="F1321">
            <v>1322.2</v>
          </cell>
          <cell r="G1321">
            <v>1322.37</v>
          </cell>
          <cell r="H1321">
            <v>1319.5</v>
          </cell>
          <cell r="I1321">
            <v>1319.21</v>
          </cell>
          <cell r="J1321">
            <v>19.5</v>
          </cell>
          <cell r="K1321">
            <v>0</v>
          </cell>
          <cell r="L1321" t="str">
            <v xml:space="preserve">Tramos Existentes </v>
          </cell>
          <cell r="M1321" t="str">
            <v>Existente</v>
          </cell>
        </row>
        <row r="1322">
          <cell r="B1322">
            <v>562</v>
          </cell>
          <cell r="C1322">
            <v>563</v>
          </cell>
          <cell r="D1322">
            <v>1.4999999999999999E-2</v>
          </cell>
          <cell r="E1322">
            <v>12</v>
          </cell>
          <cell r="F1322">
            <v>1322.37</v>
          </cell>
          <cell r="G1322">
            <v>1322.09</v>
          </cell>
          <cell r="H1322">
            <v>1319.21</v>
          </cell>
          <cell r="I1322">
            <v>1318.81</v>
          </cell>
          <cell r="J1322">
            <v>36.6</v>
          </cell>
          <cell r="K1322">
            <v>0</v>
          </cell>
          <cell r="L1322" t="str">
            <v xml:space="preserve">Tramos Existentes </v>
          </cell>
          <cell r="M1322" t="str">
            <v>Existente</v>
          </cell>
        </row>
        <row r="1323">
          <cell r="B1323">
            <v>563</v>
          </cell>
          <cell r="C1323">
            <v>565</v>
          </cell>
          <cell r="D1323">
            <v>1.4999999999999999E-2</v>
          </cell>
          <cell r="E1323">
            <v>12</v>
          </cell>
          <cell r="F1323">
            <v>1322.09</v>
          </cell>
          <cell r="G1323">
            <v>1321.65</v>
          </cell>
          <cell r="H1323">
            <v>1318.81</v>
          </cell>
          <cell r="I1323">
            <v>1318.41</v>
          </cell>
          <cell r="J1323">
            <v>38.700000000000003</v>
          </cell>
          <cell r="K1323">
            <v>0</v>
          </cell>
          <cell r="L1323" t="str">
            <v xml:space="preserve">Tramos Existentes </v>
          </cell>
          <cell r="M1323" t="str">
            <v>Existente</v>
          </cell>
        </row>
        <row r="1324">
          <cell r="B1324">
            <v>258</v>
          </cell>
          <cell r="C1324">
            <v>260</v>
          </cell>
          <cell r="D1324">
            <v>1.4999999999999999E-2</v>
          </cell>
          <cell r="E1324">
            <v>10</v>
          </cell>
          <cell r="F1324">
            <v>1309.78</v>
          </cell>
          <cell r="G1324">
            <v>1309.6300000000001</v>
          </cell>
          <cell r="H1324">
            <v>1307.8599999999999</v>
          </cell>
          <cell r="I1324">
            <v>1307.53</v>
          </cell>
          <cell r="J1324">
            <v>25.2</v>
          </cell>
          <cell r="K1324">
            <v>0</v>
          </cell>
          <cell r="L1324" t="str">
            <v xml:space="preserve">Tramos Existentes </v>
          </cell>
          <cell r="M1324" t="str">
            <v>Existente</v>
          </cell>
        </row>
        <row r="1325">
          <cell r="B1325">
            <v>565</v>
          </cell>
          <cell r="C1325">
            <v>276</v>
          </cell>
          <cell r="D1325">
            <v>1.4999999999999999E-2</v>
          </cell>
          <cell r="E1325">
            <v>16</v>
          </cell>
          <cell r="F1325">
            <v>1321.65</v>
          </cell>
          <cell r="G1325">
            <v>1317.96</v>
          </cell>
          <cell r="H1325">
            <v>1318.41</v>
          </cell>
          <cell r="I1325">
            <v>1315.75</v>
          </cell>
          <cell r="J1325">
            <v>76</v>
          </cell>
          <cell r="K1325">
            <v>0</v>
          </cell>
          <cell r="L1325" t="str">
            <v xml:space="preserve">Tramos Existentes </v>
          </cell>
          <cell r="M1325" t="str">
            <v>Existente</v>
          </cell>
        </row>
        <row r="1326">
          <cell r="B1326">
            <v>494</v>
          </cell>
          <cell r="C1326">
            <v>493</v>
          </cell>
          <cell r="D1326">
            <v>1.4999999999999999E-2</v>
          </cell>
          <cell r="E1326">
            <v>10</v>
          </cell>
          <cell r="F1326">
            <v>1321.65</v>
          </cell>
          <cell r="G1326">
            <v>1321.96</v>
          </cell>
          <cell r="H1326">
            <v>1320.59</v>
          </cell>
          <cell r="I1326">
            <v>1320.3</v>
          </cell>
          <cell r="J1326">
            <v>22.5</v>
          </cell>
          <cell r="K1326">
            <v>0</v>
          </cell>
          <cell r="L1326" t="str">
            <v xml:space="preserve">Tramos Existentes </v>
          </cell>
          <cell r="M1326" t="str">
            <v>Existente</v>
          </cell>
        </row>
        <row r="1327">
          <cell r="B1327" t="str">
            <v>496i</v>
          </cell>
          <cell r="C1327">
            <v>497</v>
          </cell>
          <cell r="D1327">
            <v>1.4999999999999999E-2</v>
          </cell>
          <cell r="E1327">
            <v>10</v>
          </cell>
          <cell r="F1327">
            <v>1322.93</v>
          </cell>
          <cell r="G1327">
            <v>1322.68</v>
          </cell>
          <cell r="H1327">
            <v>1321.68</v>
          </cell>
          <cell r="I1327">
            <v>1321.01</v>
          </cell>
          <cell r="J1327">
            <v>41</v>
          </cell>
          <cell r="K1327">
            <v>0</v>
          </cell>
          <cell r="L1327" t="str">
            <v xml:space="preserve">Tramos Existentes </v>
          </cell>
          <cell r="M1327" t="str">
            <v>Existente</v>
          </cell>
        </row>
        <row r="1328">
          <cell r="B1328">
            <v>330</v>
          </cell>
          <cell r="C1328">
            <v>392</v>
          </cell>
          <cell r="D1328">
            <v>1.4999999999999999E-2</v>
          </cell>
          <cell r="E1328">
            <v>8</v>
          </cell>
          <cell r="F1328">
            <v>1309.83</v>
          </cell>
          <cell r="G1328">
            <v>1310.78</v>
          </cell>
          <cell r="H1328">
            <v>1306.03</v>
          </cell>
          <cell r="I1328">
            <v>1306.01</v>
          </cell>
          <cell r="J1328">
            <v>40.1</v>
          </cell>
          <cell r="K1328">
            <v>0</v>
          </cell>
          <cell r="L1328" t="str">
            <v xml:space="preserve">Tramos Existentes </v>
          </cell>
          <cell r="M1328" t="str">
            <v>Existente</v>
          </cell>
        </row>
        <row r="1329">
          <cell r="B1329">
            <v>537</v>
          </cell>
          <cell r="C1329">
            <v>602</v>
          </cell>
          <cell r="D1329">
            <v>1.4999999999999999E-2</v>
          </cell>
          <cell r="E1329">
            <v>8</v>
          </cell>
          <cell r="F1329">
            <v>1306.7</v>
          </cell>
          <cell r="G1329">
            <v>1305.43</v>
          </cell>
          <cell r="H1329">
            <v>1303.28</v>
          </cell>
          <cell r="I1329">
            <v>1302.82</v>
          </cell>
          <cell r="J1329">
            <v>27.3</v>
          </cell>
          <cell r="K1329">
            <v>0</v>
          </cell>
          <cell r="L1329" t="str">
            <v xml:space="preserve">Tramos Existentes </v>
          </cell>
          <cell r="M1329" t="str">
            <v>Existente</v>
          </cell>
        </row>
        <row r="1330">
          <cell r="B1330">
            <v>614</v>
          </cell>
          <cell r="C1330">
            <v>472</v>
          </cell>
          <cell r="D1330">
            <v>1.4999999999999999E-2</v>
          </cell>
          <cell r="E1330">
            <v>10</v>
          </cell>
          <cell r="F1330">
            <v>1313.99</v>
          </cell>
          <cell r="G1330">
            <v>1312.78</v>
          </cell>
          <cell r="H1330">
            <v>1312.53</v>
          </cell>
          <cell r="I1330">
            <v>1311.28</v>
          </cell>
          <cell r="J1330">
            <v>62.2</v>
          </cell>
          <cell r="K1330">
            <v>0</v>
          </cell>
          <cell r="L1330" t="str">
            <v xml:space="preserve">Tramos Existentes </v>
          </cell>
          <cell r="M1330" t="str">
            <v>Existente</v>
          </cell>
        </row>
        <row r="1331">
          <cell r="B1331">
            <v>472</v>
          </cell>
          <cell r="C1331">
            <v>407</v>
          </cell>
          <cell r="D1331">
            <v>1.4999999999999999E-2</v>
          </cell>
          <cell r="E1331">
            <v>12</v>
          </cell>
          <cell r="F1331">
            <v>1312.78</v>
          </cell>
          <cell r="G1331">
            <v>1311.32</v>
          </cell>
          <cell r="H1331">
            <v>1311.28</v>
          </cell>
          <cell r="I1331">
            <v>1307.54</v>
          </cell>
          <cell r="J1331">
            <v>61.7</v>
          </cell>
          <cell r="K1331">
            <v>0</v>
          </cell>
          <cell r="L1331" t="str">
            <v xml:space="preserve">Tramos Existentes </v>
          </cell>
          <cell r="M1331" t="str">
            <v>Existente</v>
          </cell>
        </row>
        <row r="1332">
          <cell r="B1332" t="str">
            <v>474i</v>
          </cell>
          <cell r="C1332">
            <v>547</v>
          </cell>
          <cell r="D1332">
            <v>1.4999999999999999E-2</v>
          </cell>
          <cell r="E1332">
            <v>8</v>
          </cell>
          <cell r="F1332">
            <v>1310.72</v>
          </cell>
          <cell r="G1332">
            <v>1310.3499999999999</v>
          </cell>
          <cell r="H1332">
            <v>1309.2</v>
          </cell>
          <cell r="I1332">
            <v>1307.98</v>
          </cell>
          <cell r="J1332">
            <v>42.2</v>
          </cell>
          <cell r="K1332">
            <v>0</v>
          </cell>
          <cell r="L1332" t="str">
            <v xml:space="preserve">Tramos Existentes </v>
          </cell>
          <cell r="M1332" t="str">
            <v>Existente</v>
          </cell>
        </row>
        <row r="1333">
          <cell r="B1333">
            <v>547</v>
          </cell>
          <cell r="C1333">
            <v>476</v>
          </cell>
          <cell r="D1333">
            <v>1.4999999999999999E-2</v>
          </cell>
          <cell r="E1333">
            <v>8</v>
          </cell>
          <cell r="F1333">
            <v>1310.3499999999999</v>
          </cell>
          <cell r="G1333">
            <v>1310.6099999999999</v>
          </cell>
          <cell r="H1333">
            <v>1307.98</v>
          </cell>
          <cell r="I1333">
            <v>1307.83</v>
          </cell>
          <cell r="J1333">
            <v>31.1</v>
          </cell>
          <cell r="K1333">
            <v>0</v>
          </cell>
          <cell r="L1333" t="str">
            <v xml:space="preserve">Tramos Existentes </v>
          </cell>
          <cell r="M1333" t="str">
            <v>Existente</v>
          </cell>
        </row>
        <row r="1334">
          <cell r="B1334">
            <v>475</v>
          </cell>
          <cell r="C1334">
            <v>1034</v>
          </cell>
          <cell r="D1334">
            <v>1.4999999999999999E-2</v>
          </cell>
          <cell r="E1334">
            <v>8</v>
          </cell>
          <cell r="F1334">
            <v>1309.82</v>
          </cell>
          <cell r="G1334">
            <v>1308.6199999999999</v>
          </cell>
          <cell r="H1334">
            <v>1308.48</v>
          </cell>
          <cell r="I1334">
            <v>1306.58</v>
          </cell>
          <cell r="J1334">
            <v>28.2</v>
          </cell>
          <cell r="K1334">
            <v>0</v>
          </cell>
          <cell r="L1334" t="str">
            <v xml:space="preserve">Tramos Existentes </v>
          </cell>
          <cell r="M1334" t="str">
            <v>Existente</v>
          </cell>
        </row>
        <row r="1335">
          <cell r="B1335" t="str">
            <v>641ii</v>
          </cell>
          <cell r="C1335">
            <v>480</v>
          </cell>
          <cell r="D1335">
            <v>0.01</v>
          </cell>
          <cell r="E1335">
            <v>10</v>
          </cell>
          <cell r="F1335">
            <v>1316.06</v>
          </cell>
          <cell r="G1335">
            <v>1316.51</v>
          </cell>
          <cell r="H1335">
            <v>1314.48</v>
          </cell>
          <cell r="I1335">
            <v>1313.99</v>
          </cell>
          <cell r="J1335">
            <v>38.1</v>
          </cell>
          <cell r="K1335">
            <v>0</v>
          </cell>
          <cell r="L1335" t="str">
            <v xml:space="preserve">Tramos Existentes </v>
          </cell>
          <cell r="M1335" t="str">
            <v>Existente</v>
          </cell>
        </row>
        <row r="1336">
          <cell r="B1336">
            <v>674</v>
          </cell>
          <cell r="C1336">
            <v>675</v>
          </cell>
          <cell r="D1336">
            <v>0.01</v>
          </cell>
          <cell r="E1336">
            <v>8</v>
          </cell>
          <cell r="F1336">
            <v>1300.03</v>
          </cell>
          <cell r="G1336">
            <v>1298.72</v>
          </cell>
          <cell r="H1336">
            <v>1296.6099999999999</v>
          </cell>
          <cell r="I1336">
            <v>1295.26</v>
          </cell>
          <cell r="J1336">
            <v>60</v>
          </cell>
          <cell r="K1336">
            <v>0</v>
          </cell>
          <cell r="L1336" t="str">
            <v xml:space="preserve">Tramos Existentes </v>
          </cell>
          <cell r="M1336" t="str">
            <v>Existente</v>
          </cell>
        </row>
        <row r="1337">
          <cell r="B1337">
            <v>673</v>
          </cell>
          <cell r="C1337">
            <v>674</v>
          </cell>
          <cell r="D1337">
            <v>0.01</v>
          </cell>
          <cell r="E1337">
            <v>8</v>
          </cell>
          <cell r="F1337">
            <v>1299.24</v>
          </cell>
          <cell r="G1337">
            <v>1300.03</v>
          </cell>
          <cell r="H1337">
            <v>1297.94</v>
          </cell>
          <cell r="I1337">
            <v>1296.6099999999999</v>
          </cell>
          <cell r="J1337">
            <v>85.7</v>
          </cell>
          <cell r="K1337">
            <v>0</v>
          </cell>
          <cell r="L1337" t="str">
            <v xml:space="preserve">Tramos Existentes </v>
          </cell>
          <cell r="M1337" t="str">
            <v>Existente</v>
          </cell>
        </row>
        <row r="1338">
          <cell r="B1338">
            <v>483</v>
          </cell>
          <cell r="C1338">
            <v>486</v>
          </cell>
          <cell r="D1338">
            <v>1.4999999999999999E-2</v>
          </cell>
          <cell r="E1338">
            <v>10</v>
          </cell>
          <cell r="F1338">
            <v>1310.1099999999999</v>
          </cell>
          <cell r="G1338">
            <v>1310.79</v>
          </cell>
          <cell r="H1338">
            <v>1308.79</v>
          </cell>
          <cell r="I1338">
            <v>1308.21</v>
          </cell>
          <cell r="J1338">
            <v>49.3</v>
          </cell>
          <cell r="K1338">
            <v>0</v>
          </cell>
          <cell r="L1338" t="str">
            <v xml:space="preserve">Tramos Existentes </v>
          </cell>
          <cell r="M1338" t="str">
            <v>Existente</v>
          </cell>
        </row>
        <row r="1339">
          <cell r="B1339">
            <v>480</v>
          </cell>
          <cell r="C1339">
            <v>479</v>
          </cell>
          <cell r="D1339">
            <v>0.01</v>
          </cell>
          <cell r="E1339">
            <v>8</v>
          </cell>
          <cell r="F1339">
            <v>1316.51</v>
          </cell>
          <cell r="G1339">
            <v>1313.91</v>
          </cell>
          <cell r="H1339">
            <v>1313.99</v>
          </cell>
          <cell r="I1339">
            <v>1312.23</v>
          </cell>
          <cell r="J1339">
            <v>39</v>
          </cell>
          <cell r="K1339">
            <v>0</v>
          </cell>
          <cell r="L1339" t="str">
            <v xml:space="preserve">Tramos Existentes </v>
          </cell>
          <cell r="M1339" t="str">
            <v>Existente</v>
          </cell>
        </row>
        <row r="1340">
          <cell r="B1340" t="str">
            <v>P22</v>
          </cell>
          <cell r="C1340">
            <v>483</v>
          </cell>
          <cell r="D1340">
            <v>1.4999999999999999E-2</v>
          </cell>
          <cell r="E1340">
            <v>10</v>
          </cell>
          <cell r="F1340">
            <v>1310.3699999999999</v>
          </cell>
          <cell r="G1340">
            <v>1310.1099999999999</v>
          </cell>
          <cell r="H1340">
            <v>1309.08</v>
          </cell>
          <cell r="I1340">
            <v>1308.79</v>
          </cell>
          <cell r="J1340">
            <v>21.6</v>
          </cell>
          <cell r="K1340">
            <v>0</v>
          </cell>
          <cell r="L1340" t="str">
            <v xml:space="preserve">Tramos Existentes </v>
          </cell>
          <cell r="M1340" t="str">
            <v>Existente</v>
          </cell>
        </row>
        <row r="1341">
          <cell r="B1341">
            <v>464</v>
          </cell>
          <cell r="C1341">
            <v>469</v>
          </cell>
          <cell r="D1341">
            <v>1.4999999999999999E-2</v>
          </cell>
          <cell r="E1341">
            <v>8</v>
          </cell>
          <cell r="F1341">
            <v>1309.47</v>
          </cell>
          <cell r="G1341">
            <v>1308.3900000000001</v>
          </cell>
          <cell r="H1341">
            <v>1304.52</v>
          </cell>
          <cell r="I1341">
            <v>1303.79</v>
          </cell>
          <cell r="J1341">
            <v>38.1</v>
          </cell>
          <cell r="K1341">
            <v>0</v>
          </cell>
          <cell r="L1341" t="str">
            <v xml:space="preserve">Tramos Existentes </v>
          </cell>
          <cell r="M1341" t="str">
            <v>Existente</v>
          </cell>
        </row>
        <row r="1342">
          <cell r="B1342">
            <v>478</v>
          </cell>
          <cell r="C1342">
            <v>476</v>
          </cell>
          <cell r="D1342">
            <v>1.4999999999999999E-2</v>
          </cell>
          <cell r="E1342">
            <v>10</v>
          </cell>
          <cell r="F1342">
            <v>1312.18</v>
          </cell>
          <cell r="G1342">
            <v>1310.6099999999999</v>
          </cell>
          <cell r="H1342">
            <v>1310.25</v>
          </cell>
          <cell r="I1342">
            <v>1307.83</v>
          </cell>
          <cell r="J1342">
            <v>31.5</v>
          </cell>
          <cell r="K1342">
            <v>0</v>
          </cell>
          <cell r="L1342" t="str">
            <v xml:space="preserve">Tramos Existentes </v>
          </cell>
          <cell r="M1342" t="str">
            <v>Existente</v>
          </cell>
        </row>
        <row r="1343">
          <cell r="B1343">
            <v>399</v>
          </cell>
          <cell r="C1343">
            <v>464</v>
          </cell>
          <cell r="D1343">
            <v>1.4999999999999999E-2</v>
          </cell>
          <cell r="E1343">
            <v>8</v>
          </cell>
          <cell r="F1343">
            <v>1310.02</v>
          </cell>
          <cell r="G1343">
            <v>1309.47</v>
          </cell>
          <cell r="H1343">
            <v>1304.99</v>
          </cell>
          <cell r="I1343">
            <v>1304.52</v>
          </cell>
          <cell r="J1343">
            <v>26.8</v>
          </cell>
          <cell r="K1343">
            <v>0</v>
          </cell>
          <cell r="L1343" t="str">
            <v xml:space="preserve">Tramos Existentes </v>
          </cell>
          <cell r="M1343" t="str">
            <v>Existente</v>
          </cell>
        </row>
        <row r="1344">
          <cell r="B1344" t="str">
            <v>P4</v>
          </cell>
          <cell r="C1344">
            <v>48</v>
          </cell>
          <cell r="D1344">
            <v>1.4999999999999999E-2</v>
          </cell>
          <cell r="E1344">
            <v>8</v>
          </cell>
          <cell r="F1344">
            <v>1307.6400000000001</v>
          </cell>
          <cell r="G1344">
            <v>1303.17</v>
          </cell>
          <cell r="H1344">
            <v>1305.23</v>
          </cell>
          <cell r="I1344">
            <v>1300.73</v>
          </cell>
          <cell r="J1344">
            <v>28</v>
          </cell>
          <cell r="K1344">
            <v>0</v>
          </cell>
          <cell r="L1344" t="str">
            <v xml:space="preserve">Tramos Existentes </v>
          </cell>
          <cell r="M1344" t="str">
            <v>Existente</v>
          </cell>
        </row>
        <row r="1345">
          <cell r="B1345">
            <v>48</v>
          </cell>
          <cell r="C1345">
            <v>47</v>
          </cell>
          <cell r="D1345">
            <v>1.4999999999999999E-2</v>
          </cell>
          <cell r="E1345">
            <v>8</v>
          </cell>
          <cell r="F1345">
            <v>1303.17</v>
          </cell>
          <cell r="G1345">
            <v>1302.3599999999999</v>
          </cell>
          <cell r="H1345">
            <v>1300.73</v>
          </cell>
          <cell r="I1345">
            <v>1299.8399999999999</v>
          </cell>
          <cell r="J1345">
            <v>11.9</v>
          </cell>
          <cell r="K1345">
            <v>0</v>
          </cell>
          <cell r="L1345" t="str">
            <v xml:space="preserve">Tramos Existentes </v>
          </cell>
          <cell r="M1345" t="str">
            <v>Existente</v>
          </cell>
        </row>
        <row r="1346">
          <cell r="B1346" t="str">
            <v>552i</v>
          </cell>
          <cell r="C1346">
            <v>489</v>
          </cell>
          <cell r="D1346">
            <v>1.4999999999999999E-2</v>
          </cell>
          <cell r="E1346">
            <v>8</v>
          </cell>
          <cell r="F1346">
            <v>1314.06</v>
          </cell>
          <cell r="G1346">
            <v>1311.87</v>
          </cell>
          <cell r="H1346">
            <v>1313.05</v>
          </cell>
          <cell r="I1346">
            <v>1308.79</v>
          </cell>
          <cell r="J1346">
            <v>30.1</v>
          </cell>
          <cell r="K1346">
            <v>0</v>
          </cell>
          <cell r="L1346" t="str">
            <v xml:space="preserve">Tramos Existentes </v>
          </cell>
          <cell r="M1346" t="str">
            <v>Existente</v>
          </cell>
        </row>
        <row r="1347">
          <cell r="B1347">
            <v>489</v>
          </cell>
          <cell r="C1347">
            <v>481</v>
          </cell>
          <cell r="D1347">
            <v>1.4999999999999999E-2</v>
          </cell>
          <cell r="E1347">
            <v>8</v>
          </cell>
          <cell r="F1347">
            <v>1311.87</v>
          </cell>
          <cell r="G1347">
            <v>1311.79</v>
          </cell>
          <cell r="H1347">
            <v>1308.79</v>
          </cell>
          <cell r="I1347">
            <v>1308.75</v>
          </cell>
          <cell r="J1347">
            <v>30.5</v>
          </cell>
          <cell r="K1347">
            <v>0</v>
          </cell>
          <cell r="L1347" t="str">
            <v xml:space="preserve">Tramos Existentes </v>
          </cell>
          <cell r="M1347" t="str">
            <v>Existente</v>
          </cell>
        </row>
        <row r="1348">
          <cell r="B1348">
            <v>481</v>
          </cell>
          <cell r="C1348">
            <v>414</v>
          </cell>
          <cell r="D1348">
            <v>1.4999999999999999E-2</v>
          </cell>
          <cell r="E1348">
            <v>8</v>
          </cell>
          <cell r="F1348">
            <v>1311.79</v>
          </cell>
          <cell r="G1348">
            <v>1313.58</v>
          </cell>
          <cell r="H1348">
            <v>1308.75</v>
          </cell>
          <cell r="I1348">
            <v>1308.72</v>
          </cell>
          <cell r="J1348">
            <v>29.7</v>
          </cell>
          <cell r="K1348">
            <v>0</v>
          </cell>
          <cell r="L1348" t="str">
            <v xml:space="preserve">Tramos Existentes </v>
          </cell>
          <cell r="M1348" t="str">
            <v>Existente</v>
          </cell>
        </row>
        <row r="1349">
          <cell r="B1349" t="str">
            <v>445i</v>
          </cell>
          <cell r="C1349">
            <v>446</v>
          </cell>
          <cell r="D1349">
            <v>1.4999999999999999E-2</v>
          </cell>
          <cell r="E1349">
            <v>12</v>
          </cell>
          <cell r="F1349">
            <v>1309.96</v>
          </cell>
          <cell r="G1349">
            <v>1308.8399999999999</v>
          </cell>
          <cell r="H1349">
            <v>1307.96</v>
          </cell>
          <cell r="I1349">
            <v>1307.07</v>
          </cell>
          <cell r="J1349">
            <v>38.799999999999997</v>
          </cell>
          <cell r="K1349">
            <v>0</v>
          </cell>
          <cell r="L1349" t="str">
            <v xml:space="preserve">Tramos Existentes </v>
          </cell>
          <cell r="M1349" t="str">
            <v>Existente</v>
          </cell>
        </row>
        <row r="1350">
          <cell r="B1350">
            <v>602</v>
          </cell>
          <cell r="C1350">
            <v>605</v>
          </cell>
          <cell r="D1350">
            <v>1.4999999999999999E-2</v>
          </cell>
          <cell r="E1350">
            <v>8</v>
          </cell>
          <cell r="F1350">
            <v>1305.43</v>
          </cell>
          <cell r="G1350">
            <v>1303.3800000000001</v>
          </cell>
          <cell r="H1350">
            <v>1302.82</v>
          </cell>
          <cell r="I1350">
            <v>1299.5899999999999</v>
          </cell>
          <cell r="J1350">
            <v>27</v>
          </cell>
          <cell r="K1350">
            <v>0</v>
          </cell>
          <cell r="L1350" t="str">
            <v xml:space="preserve">Tramos Existentes </v>
          </cell>
          <cell r="M1350" t="str">
            <v>Existente</v>
          </cell>
        </row>
        <row r="1351">
          <cell r="B1351" t="str">
            <v>444ii</v>
          </cell>
          <cell r="C1351">
            <v>442</v>
          </cell>
          <cell r="D1351">
            <v>1.4999999999999999E-2</v>
          </cell>
          <cell r="E1351">
            <v>16</v>
          </cell>
          <cell r="F1351">
            <v>1311.33</v>
          </cell>
          <cell r="G1351">
            <v>1304.69</v>
          </cell>
          <cell r="H1351">
            <v>1309.6300000000001</v>
          </cell>
          <cell r="I1351">
            <v>1301.3900000000001</v>
          </cell>
          <cell r="J1351">
            <v>71.7</v>
          </cell>
          <cell r="K1351">
            <v>0</v>
          </cell>
          <cell r="L1351" t="str">
            <v xml:space="preserve">Tramos Existentes </v>
          </cell>
          <cell r="M1351" t="str">
            <v>Existente</v>
          </cell>
        </row>
        <row r="1352">
          <cell r="B1352">
            <v>885</v>
          </cell>
          <cell r="C1352">
            <v>883</v>
          </cell>
          <cell r="D1352">
            <v>1.4999999999999999E-2</v>
          </cell>
          <cell r="E1352">
            <v>24</v>
          </cell>
          <cell r="F1352">
            <v>1311.32</v>
          </cell>
          <cell r="G1352">
            <v>1312.39</v>
          </cell>
          <cell r="H1352">
            <v>1308.3699999999999</v>
          </cell>
          <cell r="I1352">
            <v>1306.81</v>
          </cell>
          <cell r="J1352">
            <v>29.2</v>
          </cell>
          <cell r="K1352">
            <v>0</v>
          </cell>
          <cell r="L1352" t="str">
            <v xml:space="preserve">Tramos Existentes </v>
          </cell>
          <cell r="M1352" t="str">
            <v>Existente</v>
          </cell>
        </row>
        <row r="1353">
          <cell r="B1353" t="str">
            <v>481i</v>
          </cell>
          <cell r="C1353">
            <v>419</v>
          </cell>
          <cell r="D1353">
            <v>1.4999999999999999E-2</v>
          </cell>
          <cell r="E1353">
            <v>12</v>
          </cell>
          <cell r="F1353">
            <v>1311.79</v>
          </cell>
          <cell r="G1353">
            <v>1311.48</v>
          </cell>
          <cell r="H1353">
            <v>1309.72</v>
          </cell>
          <cell r="I1353">
            <v>1309.07</v>
          </cell>
          <cell r="J1353">
            <v>23.9</v>
          </cell>
          <cell r="K1353">
            <v>0</v>
          </cell>
          <cell r="L1353" t="str">
            <v xml:space="preserve">Tramos Existentes </v>
          </cell>
          <cell r="M1353" t="str">
            <v>Existente</v>
          </cell>
        </row>
        <row r="1354">
          <cell r="B1354">
            <v>419</v>
          </cell>
          <cell r="C1354" t="str">
            <v>P16</v>
          </cell>
          <cell r="D1354">
            <v>1.4999999999999999E-2</v>
          </cell>
          <cell r="E1354">
            <v>8</v>
          </cell>
          <cell r="F1354">
            <v>1311.48</v>
          </cell>
          <cell r="G1354">
            <v>1311.4</v>
          </cell>
          <cell r="H1354">
            <v>1309.07</v>
          </cell>
          <cell r="I1354">
            <v>1308.5899999999999</v>
          </cell>
          <cell r="J1354">
            <v>14.9</v>
          </cell>
          <cell r="K1354">
            <v>0</v>
          </cell>
          <cell r="L1354" t="str">
            <v xml:space="preserve">Tramos Existentes </v>
          </cell>
          <cell r="M1354" t="str">
            <v>Existente</v>
          </cell>
        </row>
        <row r="1355">
          <cell r="B1355">
            <v>253</v>
          </cell>
          <cell r="C1355">
            <v>327</v>
          </cell>
          <cell r="D1355">
            <v>1.4999999999999999E-2</v>
          </cell>
          <cell r="E1355">
            <v>8</v>
          </cell>
          <cell r="F1355">
            <v>1309.8</v>
          </cell>
          <cell r="G1355">
            <v>1309.6300000000001</v>
          </cell>
          <cell r="H1355">
            <v>1308.96</v>
          </cell>
          <cell r="I1355">
            <v>1308.0899999999999</v>
          </cell>
          <cell r="J1355">
            <v>69.8</v>
          </cell>
          <cell r="K1355">
            <v>0</v>
          </cell>
          <cell r="L1355" t="str">
            <v xml:space="preserve">Tramos Existentes </v>
          </cell>
          <cell r="M1355" t="str">
            <v>Existente</v>
          </cell>
        </row>
        <row r="1356">
          <cell r="B1356">
            <v>43</v>
          </cell>
          <cell r="C1356">
            <v>42</v>
          </cell>
          <cell r="D1356">
            <v>0.01</v>
          </cell>
          <cell r="E1356">
            <v>8</v>
          </cell>
          <cell r="F1356">
            <v>1312.26</v>
          </cell>
          <cell r="G1356">
            <v>1311.21</v>
          </cell>
          <cell r="H1356">
            <v>1310.85</v>
          </cell>
          <cell r="I1356">
            <v>1308.74</v>
          </cell>
          <cell r="J1356">
            <v>75.900000000000006</v>
          </cell>
          <cell r="K1356">
            <v>0</v>
          </cell>
          <cell r="L1356" t="str">
            <v xml:space="preserve">Tramos Existentes </v>
          </cell>
          <cell r="M1356" t="str">
            <v>Existente</v>
          </cell>
        </row>
        <row r="1357">
          <cell r="B1357">
            <v>414</v>
          </cell>
          <cell r="C1357">
            <v>883</v>
          </cell>
          <cell r="D1357">
            <v>1.4999999999999999E-2</v>
          </cell>
          <cell r="E1357">
            <v>8</v>
          </cell>
          <cell r="F1357">
            <v>1313.58</v>
          </cell>
          <cell r="G1357">
            <v>1312.39</v>
          </cell>
          <cell r="H1357">
            <v>1308.72</v>
          </cell>
          <cell r="I1357">
            <v>1306.81</v>
          </cell>
          <cell r="J1357">
            <v>59.5</v>
          </cell>
          <cell r="K1357">
            <v>0</v>
          </cell>
          <cell r="L1357" t="str">
            <v xml:space="preserve">Tramos Existentes </v>
          </cell>
          <cell r="M1357" t="str">
            <v>Existente</v>
          </cell>
        </row>
        <row r="1358">
          <cell r="B1358">
            <v>42</v>
          </cell>
          <cell r="C1358">
            <v>45</v>
          </cell>
          <cell r="D1358">
            <v>0.01</v>
          </cell>
          <cell r="E1358">
            <v>10</v>
          </cell>
          <cell r="F1358">
            <v>1311.21</v>
          </cell>
          <cell r="G1358">
            <v>1307.8800000000001</v>
          </cell>
          <cell r="H1358">
            <v>1308.74</v>
          </cell>
          <cell r="I1358">
            <v>1305.95</v>
          </cell>
          <cell r="J1358">
            <v>70.099999999999994</v>
          </cell>
          <cell r="K1358">
            <v>0</v>
          </cell>
          <cell r="L1358" t="str">
            <v xml:space="preserve">Tramos Existentes </v>
          </cell>
          <cell r="M1358" t="str">
            <v>Existente</v>
          </cell>
        </row>
        <row r="1359">
          <cell r="B1359">
            <v>420</v>
          </cell>
          <cell r="C1359" t="str">
            <v>P16</v>
          </cell>
          <cell r="D1359">
            <v>1.4999999999999999E-2</v>
          </cell>
          <cell r="E1359">
            <v>8</v>
          </cell>
          <cell r="F1359">
            <v>1311.45</v>
          </cell>
          <cell r="G1359">
            <v>1311.4</v>
          </cell>
          <cell r="H1359">
            <v>1308.6099999999999</v>
          </cell>
          <cell r="I1359">
            <v>1308.5899999999999</v>
          </cell>
          <cell r="J1359">
            <v>15.8</v>
          </cell>
          <cell r="K1359">
            <v>0</v>
          </cell>
          <cell r="L1359" t="str">
            <v xml:space="preserve">Tramos Existentes </v>
          </cell>
          <cell r="M1359" t="str">
            <v>Existente</v>
          </cell>
        </row>
        <row r="1360">
          <cell r="B1360" t="str">
            <v>413i</v>
          </cell>
          <cell r="C1360">
            <v>414</v>
          </cell>
          <cell r="D1360">
            <v>1.4999999999999999E-2</v>
          </cell>
          <cell r="E1360">
            <v>8</v>
          </cell>
          <cell r="F1360">
            <v>1313.06</v>
          </cell>
          <cell r="G1360">
            <v>1313.58</v>
          </cell>
          <cell r="H1360">
            <v>1312.03</v>
          </cell>
          <cell r="I1360">
            <v>1308.72</v>
          </cell>
          <cell r="J1360">
            <v>29.9</v>
          </cell>
          <cell r="K1360">
            <v>0</v>
          </cell>
          <cell r="L1360" t="str">
            <v xml:space="preserve">Tramos Existentes </v>
          </cell>
          <cell r="M1360" t="str">
            <v>Existente</v>
          </cell>
        </row>
        <row r="1361">
          <cell r="B1361">
            <v>327</v>
          </cell>
          <cell r="C1361">
            <v>325</v>
          </cell>
          <cell r="D1361">
            <v>1.4999999999999999E-2</v>
          </cell>
          <cell r="E1361">
            <v>8</v>
          </cell>
          <cell r="F1361">
            <v>1309.6300000000001</v>
          </cell>
          <cell r="G1361">
            <v>1309.45</v>
          </cell>
          <cell r="H1361">
            <v>1308.0899999999999</v>
          </cell>
          <cell r="I1361">
            <v>1307.75</v>
          </cell>
          <cell r="J1361">
            <v>23.3</v>
          </cell>
          <cell r="K1361">
            <v>0</v>
          </cell>
          <cell r="L1361" t="str">
            <v xml:space="preserve">Tramos Existentes </v>
          </cell>
          <cell r="M1361" t="str">
            <v>Existente</v>
          </cell>
        </row>
        <row r="1362">
          <cell r="B1362">
            <v>45</v>
          </cell>
          <cell r="C1362">
            <v>46</v>
          </cell>
          <cell r="D1362">
            <v>0.01</v>
          </cell>
          <cell r="E1362">
            <v>10</v>
          </cell>
          <cell r="F1362">
            <v>1307.8800000000001</v>
          </cell>
          <cell r="G1362">
            <v>1305.06</v>
          </cell>
          <cell r="H1362">
            <v>1305.95</v>
          </cell>
          <cell r="I1362">
            <v>1303.3599999999999</v>
          </cell>
          <cell r="J1362">
            <v>24.8</v>
          </cell>
          <cell r="K1362">
            <v>0</v>
          </cell>
          <cell r="L1362" t="str">
            <v xml:space="preserve">Tramos Existentes </v>
          </cell>
          <cell r="M1362" t="str">
            <v>Existente</v>
          </cell>
        </row>
        <row r="1363">
          <cell r="B1363">
            <v>46</v>
          </cell>
          <cell r="C1363">
            <v>47</v>
          </cell>
          <cell r="D1363">
            <v>1.4999999999999999E-2</v>
          </cell>
          <cell r="E1363">
            <v>10</v>
          </cell>
          <cell r="F1363">
            <v>1305.06</v>
          </cell>
          <cell r="G1363">
            <v>1302.3599999999999</v>
          </cell>
          <cell r="H1363">
            <v>1303.3599999999999</v>
          </cell>
          <cell r="I1363">
            <v>1299.8399999999999</v>
          </cell>
          <cell r="J1363">
            <v>18.100000000000001</v>
          </cell>
          <cell r="K1363">
            <v>0</v>
          </cell>
          <cell r="L1363" t="str">
            <v xml:space="preserve">Tramos Existentes </v>
          </cell>
          <cell r="M1363" t="str">
            <v>Existente</v>
          </cell>
        </row>
        <row r="1364">
          <cell r="B1364">
            <v>47</v>
          </cell>
          <cell r="C1364">
            <v>49</v>
          </cell>
          <cell r="D1364">
            <v>1.4999999999999999E-2</v>
          </cell>
          <cell r="E1364">
            <v>10</v>
          </cell>
          <cell r="F1364">
            <v>1302.3599999999999</v>
          </cell>
          <cell r="G1364">
            <v>1300.55</v>
          </cell>
          <cell r="H1364">
            <v>1299.8399999999999</v>
          </cell>
          <cell r="I1364">
            <v>1297.51</v>
          </cell>
          <cell r="J1364">
            <v>21</v>
          </cell>
          <cell r="K1364">
            <v>0</v>
          </cell>
          <cell r="L1364" t="str">
            <v xml:space="preserve">Tramos Existentes </v>
          </cell>
          <cell r="M1364" t="str">
            <v>Existente</v>
          </cell>
        </row>
        <row r="1365">
          <cell r="B1365">
            <v>49</v>
          </cell>
          <cell r="C1365">
            <v>50</v>
          </cell>
          <cell r="D1365">
            <v>1.4999999999999999E-2</v>
          </cell>
          <cell r="E1365">
            <v>10</v>
          </cell>
          <cell r="F1365">
            <v>1300.55</v>
          </cell>
          <cell r="G1365">
            <v>1300.97</v>
          </cell>
          <cell r="H1365">
            <v>1297.51</v>
          </cell>
          <cell r="I1365">
            <v>1295.3</v>
          </cell>
          <cell r="J1365">
            <v>11.8</v>
          </cell>
          <cell r="K1365">
            <v>0</v>
          </cell>
          <cell r="L1365" t="str">
            <v xml:space="preserve">Tramos Existentes </v>
          </cell>
          <cell r="M1365" t="str">
            <v>Existente</v>
          </cell>
        </row>
        <row r="1366">
          <cell r="B1366" t="str">
            <v>551i</v>
          </cell>
          <cell r="C1366">
            <v>490</v>
          </cell>
          <cell r="D1366">
            <v>1.4999999999999999E-2</v>
          </cell>
          <cell r="E1366">
            <v>8</v>
          </cell>
          <cell r="F1366">
            <v>1314.04</v>
          </cell>
          <cell r="G1366">
            <v>1311.84</v>
          </cell>
          <cell r="H1366">
            <v>1312.3</v>
          </cell>
          <cell r="I1366">
            <v>1310.86</v>
          </cell>
          <cell r="J1366">
            <v>30</v>
          </cell>
          <cell r="K1366">
            <v>0</v>
          </cell>
          <cell r="L1366" t="str">
            <v xml:space="preserve">Tramos Existentes </v>
          </cell>
          <cell r="M1366" t="str">
            <v>Existente</v>
          </cell>
        </row>
        <row r="1367">
          <cell r="B1367">
            <v>490</v>
          </cell>
          <cell r="C1367">
            <v>482</v>
          </cell>
          <cell r="D1367">
            <v>1.4999999999999999E-2</v>
          </cell>
          <cell r="E1367">
            <v>8</v>
          </cell>
          <cell r="F1367">
            <v>1311.84</v>
          </cell>
          <cell r="G1367">
            <v>1311.75</v>
          </cell>
          <cell r="H1367">
            <v>1310.86</v>
          </cell>
          <cell r="I1367">
            <v>1309.06</v>
          </cell>
          <cell r="J1367">
            <v>31.2</v>
          </cell>
          <cell r="K1367">
            <v>0</v>
          </cell>
          <cell r="L1367" t="str">
            <v xml:space="preserve">Tramos Existentes </v>
          </cell>
          <cell r="M1367" t="str">
            <v>Existente</v>
          </cell>
        </row>
        <row r="1368">
          <cell r="B1368">
            <v>965</v>
          </cell>
          <cell r="C1368">
            <v>413</v>
          </cell>
          <cell r="D1368">
            <v>1.4999999999999999E-2</v>
          </cell>
          <cell r="E1368">
            <v>8</v>
          </cell>
          <cell r="F1368">
            <v>1314.1</v>
          </cell>
          <cell r="G1368">
            <v>1313.06</v>
          </cell>
          <cell r="H1368">
            <v>1312.42</v>
          </cell>
          <cell r="I1368">
            <v>1312.01</v>
          </cell>
          <cell r="J1368">
            <v>28.7</v>
          </cell>
          <cell r="K1368">
            <v>0</v>
          </cell>
          <cell r="L1368" t="str">
            <v xml:space="preserve">Tramos Existentes </v>
          </cell>
          <cell r="M1368" t="str">
            <v>Existente</v>
          </cell>
        </row>
        <row r="1369">
          <cell r="B1369">
            <v>448</v>
          </cell>
          <cell r="C1369">
            <v>449</v>
          </cell>
          <cell r="D1369">
            <v>1.4999999999999999E-2</v>
          </cell>
          <cell r="E1369">
            <v>10</v>
          </cell>
          <cell r="F1369">
            <v>1308.23</v>
          </cell>
          <cell r="G1369">
            <v>1308.6400000000001</v>
          </cell>
          <cell r="H1369">
            <v>1307.1400000000001</v>
          </cell>
          <cell r="I1369">
            <v>1306.3800000000001</v>
          </cell>
          <cell r="J1369">
            <v>33.700000000000003</v>
          </cell>
          <cell r="K1369">
            <v>0</v>
          </cell>
          <cell r="L1369" t="str">
            <v xml:space="preserve">Tramos Existentes </v>
          </cell>
          <cell r="M1369" t="str">
            <v>Existente</v>
          </cell>
        </row>
        <row r="1370">
          <cell r="B1370">
            <v>953</v>
          </cell>
          <cell r="C1370">
            <v>954</v>
          </cell>
          <cell r="D1370">
            <v>1.4999999999999999E-2</v>
          </cell>
          <cell r="E1370">
            <v>8</v>
          </cell>
          <cell r="F1370">
            <v>1303.21</v>
          </cell>
          <cell r="G1370">
            <v>1301.5999999999999</v>
          </cell>
          <cell r="H1370">
            <v>1299.17</v>
          </cell>
          <cell r="I1370">
            <v>1298.22</v>
          </cell>
          <cell r="J1370">
            <v>35.299999999999997</v>
          </cell>
          <cell r="K1370">
            <v>0</v>
          </cell>
          <cell r="L1370" t="str">
            <v xml:space="preserve">Tramos Existentes </v>
          </cell>
          <cell r="M1370" t="str">
            <v>Existente</v>
          </cell>
        </row>
        <row r="1371">
          <cell r="B1371">
            <v>325</v>
          </cell>
          <cell r="C1371">
            <v>323</v>
          </cell>
          <cell r="D1371">
            <v>1.4999999999999999E-2</v>
          </cell>
          <cell r="E1371">
            <v>8</v>
          </cell>
          <cell r="F1371">
            <v>1309.45</v>
          </cell>
          <cell r="G1371">
            <v>1309.54</v>
          </cell>
          <cell r="H1371">
            <v>1307.75</v>
          </cell>
          <cell r="I1371">
            <v>1306.81</v>
          </cell>
          <cell r="J1371">
            <v>13.6</v>
          </cell>
          <cell r="K1371">
            <v>0</v>
          </cell>
          <cell r="L1371" t="str">
            <v xml:space="preserve">Tramos Existentes </v>
          </cell>
          <cell r="M1371" t="str">
            <v>Existente</v>
          </cell>
        </row>
        <row r="1372">
          <cell r="B1372">
            <v>413</v>
          </cell>
          <cell r="C1372">
            <v>970</v>
          </cell>
          <cell r="D1372">
            <v>1.4999999999999999E-2</v>
          </cell>
          <cell r="E1372">
            <v>8</v>
          </cell>
          <cell r="F1372">
            <v>1313.06</v>
          </cell>
          <cell r="G1372">
            <v>1310.28</v>
          </cell>
          <cell r="H1372">
            <v>1312.01</v>
          </cell>
          <cell r="I1372">
            <v>1304.97</v>
          </cell>
          <cell r="J1372">
            <v>76.8</v>
          </cell>
          <cell r="K1372">
            <v>0</v>
          </cell>
          <cell r="L1372" t="str">
            <v xml:space="preserve">Tramos Existentes </v>
          </cell>
          <cell r="M1372" t="str">
            <v>Existente</v>
          </cell>
        </row>
        <row r="1373">
          <cell r="B1373" t="str">
            <v>482i</v>
          </cell>
          <cell r="C1373">
            <v>415</v>
          </cell>
          <cell r="D1373">
            <v>1.4999999999999999E-2</v>
          </cell>
          <cell r="E1373">
            <v>8</v>
          </cell>
          <cell r="F1373">
            <v>1311.75</v>
          </cell>
          <cell r="G1373">
            <v>1313.59</v>
          </cell>
          <cell r="H1373">
            <v>1309.1199999999999</v>
          </cell>
          <cell r="I1373">
            <v>1309.08</v>
          </cell>
          <cell r="J1373">
            <v>29.2</v>
          </cell>
          <cell r="K1373">
            <v>0</v>
          </cell>
          <cell r="L1373" t="str">
            <v xml:space="preserve">Tramos Existentes </v>
          </cell>
          <cell r="M1373" t="str">
            <v>Existente</v>
          </cell>
        </row>
        <row r="1374">
          <cell r="B1374">
            <v>415</v>
          </cell>
          <cell r="C1374">
            <v>884</v>
          </cell>
          <cell r="D1374">
            <v>1.4999999999999999E-2</v>
          </cell>
          <cell r="E1374">
            <v>8</v>
          </cell>
          <cell r="F1374">
            <v>1313.59</v>
          </cell>
          <cell r="G1374">
            <v>1312.14</v>
          </cell>
          <cell r="H1374">
            <v>1309.08</v>
          </cell>
          <cell r="I1374">
            <v>1306.6400000000001</v>
          </cell>
          <cell r="J1374">
            <v>64</v>
          </cell>
          <cell r="K1374">
            <v>0</v>
          </cell>
          <cell r="L1374" t="str">
            <v xml:space="preserve">Tramos Existentes </v>
          </cell>
          <cell r="M1374" t="str">
            <v>Existente</v>
          </cell>
        </row>
        <row r="1375">
          <cell r="B1375">
            <v>884</v>
          </cell>
          <cell r="C1375">
            <v>967</v>
          </cell>
          <cell r="D1375">
            <v>1.4999999999999999E-2</v>
          </cell>
          <cell r="E1375">
            <v>8</v>
          </cell>
          <cell r="F1375">
            <v>1312.14</v>
          </cell>
          <cell r="G1375">
            <v>1310.01</v>
          </cell>
          <cell r="H1375">
            <v>1306.6400000000001</v>
          </cell>
          <cell r="I1375">
            <v>1304.3</v>
          </cell>
          <cell r="J1375">
            <v>36</v>
          </cell>
          <cell r="K1375">
            <v>0</v>
          </cell>
          <cell r="L1375" t="str">
            <v xml:space="preserve">Tramos Existentes </v>
          </cell>
          <cell r="M1375" t="str">
            <v>Existente</v>
          </cell>
        </row>
        <row r="1376">
          <cell r="B1376">
            <v>967</v>
          </cell>
          <cell r="C1376">
            <v>952</v>
          </cell>
          <cell r="D1376">
            <v>1.4999999999999999E-2</v>
          </cell>
          <cell r="E1376">
            <v>8</v>
          </cell>
          <cell r="F1376">
            <v>1310.01</v>
          </cell>
          <cell r="G1376">
            <v>1304.32</v>
          </cell>
          <cell r="H1376">
            <v>1304.3</v>
          </cell>
          <cell r="I1376">
            <v>1301.27</v>
          </cell>
          <cell r="J1376">
            <v>20.6</v>
          </cell>
          <cell r="K1376">
            <v>0</v>
          </cell>
          <cell r="L1376" t="str">
            <v xml:space="preserve">Tramos Existentes </v>
          </cell>
          <cell r="M1376" t="str">
            <v>Existente</v>
          </cell>
        </row>
        <row r="1377">
          <cell r="B1377">
            <v>952</v>
          </cell>
          <cell r="C1377">
            <v>953</v>
          </cell>
          <cell r="D1377">
            <v>1.4999999999999999E-2</v>
          </cell>
          <cell r="E1377">
            <v>8</v>
          </cell>
          <cell r="F1377">
            <v>1304.32</v>
          </cell>
          <cell r="G1377">
            <v>1303.21</v>
          </cell>
          <cell r="H1377">
            <v>1301.27</v>
          </cell>
          <cell r="I1377">
            <v>1299.17</v>
          </cell>
          <cell r="J1377">
            <v>19.8</v>
          </cell>
          <cell r="K1377">
            <v>0</v>
          </cell>
          <cell r="L1377" t="str">
            <v xml:space="preserve">Tramos Existentes </v>
          </cell>
          <cell r="M1377" t="str">
            <v>Existente</v>
          </cell>
        </row>
        <row r="1378">
          <cell r="B1378">
            <v>418</v>
          </cell>
          <cell r="C1378">
            <v>885</v>
          </cell>
          <cell r="D1378">
            <v>1.4999999999999999E-2</v>
          </cell>
          <cell r="E1378">
            <v>10</v>
          </cell>
          <cell r="F1378">
            <v>1311.3</v>
          </cell>
          <cell r="G1378">
            <v>1311.32</v>
          </cell>
          <cell r="H1378">
            <v>1308.6300000000001</v>
          </cell>
          <cell r="I1378">
            <v>1308.3699999999999</v>
          </cell>
          <cell r="J1378">
            <v>13</v>
          </cell>
          <cell r="K1378">
            <v>0</v>
          </cell>
          <cell r="L1378" t="str">
            <v xml:space="preserve">Tramos Existentes </v>
          </cell>
          <cell r="M1378" t="str">
            <v>Existente</v>
          </cell>
        </row>
        <row r="1379">
          <cell r="B1379">
            <v>254</v>
          </cell>
          <cell r="C1379">
            <v>328</v>
          </cell>
          <cell r="D1379">
            <v>1.4999999999999999E-2</v>
          </cell>
          <cell r="E1379">
            <v>8</v>
          </cell>
          <cell r="F1379">
            <v>1309.82</v>
          </cell>
          <cell r="G1379">
            <v>1309.6400000000001</v>
          </cell>
          <cell r="H1379">
            <v>1308.32</v>
          </cell>
          <cell r="I1379">
            <v>1307.21</v>
          </cell>
          <cell r="J1379">
            <v>69.8</v>
          </cell>
          <cell r="K1379">
            <v>0</v>
          </cell>
          <cell r="L1379" t="str">
            <v xml:space="preserve">Tramos Existentes </v>
          </cell>
          <cell r="M1379" t="str">
            <v>Existente</v>
          </cell>
        </row>
        <row r="1380">
          <cell r="B1380">
            <v>328</v>
          </cell>
          <cell r="C1380">
            <v>326</v>
          </cell>
          <cell r="D1380">
            <v>1.4999999999999999E-2</v>
          </cell>
          <cell r="E1380">
            <v>8</v>
          </cell>
          <cell r="F1380">
            <v>1309.6400000000001</v>
          </cell>
          <cell r="G1380">
            <v>1309.5</v>
          </cell>
          <cell r="H1380">
            <v>1307.21</v>
          </cell>
          <cell r="I1380">
            <v>1307.1500000000001</v>
          </cell>
          <cell r="J1380">
            <v>21.1</v>
          </cell>
          <cell r="K1380">
            <v>0</v>
          </cell>
          <cell r="L1380" t="str">
            <v xml:space="preserve">Tramos Existentes </v>
          </cell>
          <cell r="M1380" t="str">
            <v>Existente</v>
          </cell>
        </row>
        <row r="1381">
          <cell r="B1381">
            <v>954</v>
          </cell>
          <cell r="C1381">
            <v>955</v>
          </cell>
          <cell r="D1381">
            <v>1.4999999999999999E-2</v>
          </cell>
          <cell r="E1381">
            <v>8</v>
          </cell>
          <cell r="F1381">
            <v>1301.5999999999999</v>
          </cell>
          <cell r="G1381">
            <v>1299.67</v>
          </cell>
          <cell r="H1381">
            <v>1298.22</v>
          </cell>
          <cell r="I1381">
            <v>1295.4000000000001</v>
          </cell>
          <cell r="J1381">
            <v>30.5</v>
          </cell>
          <cell r="K1381">
            <v>0</v>
          </cell>
          <cell r="L1381" t="str">
            <v xml:space="preserve">Tramos Existentes </v>
          </cell>
          <cell r="M1381" t="str">
            <v>Existente</v>
          </cell>
        </row>
        <row r="1382">
          <cell r="B1382" t="str">
            <v>P15</v>
          </cell>
          <cell r="C1382">
            <v>417</v>
          </cell>
          <cell r="D1382">
            <v>0.01</v>
          </cell>
          <cell r="E1382">
            <v>12</v>
          </cell>
          <cell r="F1382">
            <v>1316.14</v>
          </cell>
          <cell r="G1382">
            <v>1316.42</v>
          </cell>
          <cell r="H1382">
            <v>1313.58</v>
          </cell>
          <cell r="I1382">
            <v>1313.51</v>
          </cell>
          <cell r="J1382">
            <v>27</v>
          </cell>
          <cell r="K1382">
            <v>0</v>
          </cell>
          <cell r="L1382" t="str">
            <v xml:space="preserve">Tramos Existentes </v>
          </cell>
          <cell r="M1382" t="str">
            <v>Existente</v>
          </cell>
        </row>
        <row r="1383">
          <cell r="B1383">
            <v>417</v>
          </cell>
          <cell r="C1383">
            <v>692</v>
          </cell>
          <cell r="D1383">
            <v>1.4999999999999999E-2</v>
          </cell>
          <cell r="E1383">
            <v>10</v>
          </cell>
          <cell r="F1383">
            <v>1316.42</v>
          </cell>
          <cell r="G1383">
            <v>1316.14</v>
          </cell>
          <cell r="H1383">
            <v>1313.51</v>
          </cell>
          <cell r="I1383">
            <v>1311.47</v>
          </cell>
          <cell r="J1383">
            <v>27.1</v>
          </cell>
          <cell r="K1383">
            <v>0</v>
          </cell>
          <cell r="L1383" t="str">
            <v xml:space="preserve">Renovacion </v>
          </cell>
          <cell r="M1383" t="str">
            <v>Existente</v>
          </cell>
        </row>
        <row r="1384">
          <cell r="B1384">
            <v>692</v>
          </cell>
          <cell r="C1384">
            <v>630</v>
          </cell>
          <cell r="D1384">
            <v>1.4999999999999999E-2</v>
          </cell>
          <cell r="E1384">
            <v>10</v>
          </cell>
          <cell r="F1384">
            <v>1316.14</v>
          </cell>
          <cell r="G1384">
            <v>1315.3</v>
          </cell>
          <cell r="H1384">
            <v>1311.47</v>
          </cell>
          <cell r="I1384">
            <v>1305.45</v>
          </cell>
          <cell r="J1384">
            <v>28.7</v>
          </cell>
          <cell r="K1384">
            <v>0</v>
          </cell>
          <cell r="L1384" t="str">
            <v xml:space="preserve">Tramos Existentes </v>
          </cell>
          <cell r="M1384" t="str">
            <v>Existente</v>
          </cell>
        </row>
        <row r="1385">
          <cell r="B1385" t="str">
            <v>489i</v>
          </cell>
          <cell r="C1385">
            <v>487</v>
          </cell>
          <cell r="D1385">
            <v>1.4999999999999999E-2</v>
          </cell>
          <cell r="E1385">
            <v>10</v>
          </cell>
          <cell r="F1385">
            <v>1311.87</v>
          </cell>
          <cell r="G1385">
            <v>1311.33</v>
          </cell>
          <cell r="H1385">
            <v>1308.8399999999999</v>
          </cell>
          <cell r="I1385">
            <v>1308.83</v>
          </cell>
          <cell r="J1385">
            <v>27.5</v>
          </cell>
          <cell r="K1385">
            <v>0</v>
          </cell>
          <cell r="L1385" t="str">
            <v xml:space="preserve">Tramos Existentes </v>
          </cell>
          <cell r="M1385" t="str">
            <v>Existente</v>
          </cell>
        </row>
        <row r="1386">
          <cell r="B1386">
            <v>487</v>
          </cell>
          <cell r="C1386">
            <v>484</v>
          </cell>
          <cell r="D1386">
            <v>1.4999999999999999E-2</v>
          </cell>
          <cell r="E1386">
            <v>10</v>
          </cell>
          <cell r="F1386">
            <v>1311.33</v>
          </cell>
          <cell r="G1386">
            <v>1311.16</v>
          </cell>
          <cell r="H1386">
            <v>1308.83</v>
          </cell>
          <cell r="I1386">
            <v>1308.8</v>
          </cell>
          <cell r="J1386">
            <v>25.6</v>
          </cell>
          <cell r="K1386">
            <v>0</v>
          </cell>
          <cell r="L1386" t="str">
            <v xml:space="preserve">Tramos Existentes </v>
          </cell>
          <cell r="M1386" t="str">
            <v>Existente</v>
          </cell>
        </row>
        <row r="1387">
          <cell r="B1387">
            <v>484</v>
          </cell>
          <cell r="C1387">
            <v>418</v>
          </cell>
          <cell r="D1387">
            <v>1.4999999999999999E-2</v>
          </cell>
          <cell r="E1387">
            <v>8</v>
          </cell>
          <cell r="F1387">
            <v>1311.16</v>
          </cell>
          <cell r="G1387">
            <v>1311.3</v>
          </cell>
          <cell r="H1387">
            <v>1308.8</v>
          </cell>
          <cell r="I1387">
            <v>1308.6300000000001</v>
          </cell>
          <cell r="J1387">
            <v>31</v>
          </cell>
          <cell r="K1387">
            <v>0</v>
          </cell>
          <cell r="L1387" t="str">
            <v xml:space="preserve">Tramos Existentes </v>
          </cell>
          <cell r="M1387" t="str">
            <v>Existente</v>
          </cell>
        </row>
        <row r="1388">
          <cell r="B1388" t="str">
            <v>423i</v>
          </cell>
          <cell r="C1388">
            <v>422</v>
          </cell>
          <cell r="D1388">
            <v>1.4999999999999999E-2</v>
          </cell>
          <cell r="E1388">
            <v>12</v>
          </cell>
          <cell r="F1388">
            <v>1303.3699999999999</v>
          </cell>
          <cell r="G1388">
            <v>1302.6199999999999</v>
          </cell>
          <cell r="H1388">
            <v>1302.17</v>
          </cell>
          <cell r="I1388">
            <v>1301.43</v>
          </cell>
          <cell r="J1388">
            <v>67.400000000000006</v>
          </cell>
          <cell r="K1388">
            <v>0</v>
          </cell>
          <cell r="L1388" t="str">
            <v xml:space="preserve">Tramos Existentes </v>
          </cell>
          <cell r="M1388" t="str">
            <v>Existente</v>
          </cell>
        </row>
        <row r="1389">
          <cell r="B1389">
            <v>951</v>
          </cell>
          <cell r="C1389" t="str">
            <v>D21</v>
          </cell>
          <cell r="D1389">
            <v>1.4999999999999999E-2</v>
          </cell>
          <cell r="E1389">
            <v>20</v>
          </cell>
          <cell r="F1389">
            <v>1304.49</v>
          </cell>
          <cell r="G1389">
            <v>1290.17</v>
          </cell>
          <cell r="H1389">
            <v>1300.51</v>
          </cell>
          <cell r="I1389">
            <v>1290.17</v>
          </cell>
          <cell r="J1389">
            <v>30</v>
          </cell>
          <cell r="K1389">
            <v>0</v>
          </cell>
          <cell r="L1389" t="str">
            <v xml:space="preserve">Tramos Existentes </v>
          </cell>
          <cell r="M1389" t="str">
            <v>Existente</v>
          </cell>
        </row>
        <row r="1390">
          <cell r="B1390">
            <v>439</v>
          </cell>
          <cell r="C1390">
            <v>438</v>
          </cell>
          <cell r="D1390">
            <v>1.4999999999999999E-2</v>
          </cell>
          <cell r="E1390">
            <v>10</v>
          </cell>
          <cell r="F1390">
            <v>1292.94</v>
          </cell>
          <cell r="G1390">
            <v>1293.46</v>
          </cell>
          <cell r="H1390">
            <v>1289.48</v>
          </cell>
          <cell r="I1390">
            <v>1288.52</v>
          </cell>
          <cell r="J1390">
            <v>37.799999999999997</v>
          </cell>
          <cell r="K1390">
            <v>0</v>
          </cell>
          <cell r="L1390" t="str">
            <v xml:space="preserve">Tramos Existentes </v>
          </cell>
          <cell r="M1390" t="str">
            <v>Existente</v>
          </cell>
        </row>
        <row r="1391">
          <cell r="B1391">
            <v>432</v>
          </cell>
          <cell r="C1391">
            <v>615</v>
          </cell>
          <cell r="D1391">
            <v>1.4999999999999999E-2</v>
          </cell>
          <cell r="E1391">
            <v>8</v>
          </cell>
          <cell r="F1391">
            <v>1313.43</v>
          </cell>
          <cell r="G1391">
            <v>1313.78</v>
          </cell>
          <cell r="H1391">
            <v>1311.35</v>
          </cell>
          <cell r="I1391">
            <v>1311.26</v>
          </cell>
          <cell r="J1391">
            <v>54.2</v>
          </cell>
          <cell r="K1391">
            <v>0</v>
          </cell>
          <cell r="L1391" t="str">
            <v xml:space="preserve">Tramos Existentes </v>
          </cell>
          <cell r="M1391" t="str">
            <v>Existente</v>
          </cell>
        </row>
        <row r="1392">
          <cell r="B1392">
            <v>482</v>
          </cell>
          <cell r="C1392">
            <v>420</v>
          </cell>
          <cell r="D1392">
            <v>1.4999999999999999E-2</v>
          </cell>
          <cell r="E1392">
            <v>8</v>
          </cell>
          <cell r="F1392">
            <v>1311.75</v>
          </cell>
          <cell r="G1392">
            <v>1311.45</v>
          </cell>
          <cell r="H1392">
            <v>1309.06</v>
          </cell>
          <cell r="I1392">
            <v>1308.6099999999999</v>
          </cell>
          <cell r="J1392">
            <v>24.6</v>
          </cell>
          <cell r="K1392">
            <v>0</v>
          </cell>
          <cell r="L1392" t="str">
            <v xml:space="preserve">Tramos Existentes </v>
          </cell>
          <cell r="M1392" t="str">
            <v>Existente</v>
          </cell>
        </row>
        <row r="1393">
          <cell r="B1393">
            <v>435</v>
          </cell>
          <cell r="C1393">
            <v>1115</v>
          </cell>
          <cell r="D1393">
            <v>1.4999999999999999E-2</v>
          </cell>
          <cell r="E1393">
            <v>10</v>
          </cell>
          <cell r="F1393">
            <v>1292.5</v>
          </cell>
          <cell r="G1393">
            <v>1292.8599999999999</v>
          </cell>
          <cell r="H1393">
            <v>1290.69</v>
          </cell>
          <cell r="I1393">
            <v>1288.49</v>
          </cell>
          <cell r="J1393">
            <v>92.7</v>
          </cell>
          <cell r="K1393">
            <v>0</v>
          </cell>
          <cell r="L1393" t="str">
            <v xml:space="preserve">Tramos Existentes </v>
          </cell>
          <cell r="M1393" t="str">
            <v>Existente</v>
          </cell>
        </row>
        <row r="1394">
          <cell r="B1394" t="str">
            <v>437i</v>
          </cell>
          <cell r="C1394">
            <v>572</v>
          </cell>
          <cell r="D1394">
            <v>1.4999999999999999E-2</v>
          </cell>
          <cell r="E1394">
            <v>10</v>
          </cell>
          <cell r="F1394">
            <v>1294.1600000000001</v>
          </cell>
          <cell r="G1394">
            <v>1293.6400000000001</v>
          </cell>
          <cell r="H1394">
            <v>1292.82</v>
          </cell>
          <cell r="I1394">
            <v>1290.83</v>
          </cell>
          <cell r="J1394">
            <v>57.2</v>
          </cell>
          <cell r="K1394">
            <v>0</v>
          </cell>
          <cell r="L1394" t="str">
            <v xml:space="preserve">Tramos Existentes </v>
          </cell>
          <cell r="M1394" t="str">
            <v>Existente</v>
          </cell>
        </row>
        <row r="1395">
          <cell r="B1395">
            <v>572</v>
          </cell>
          <cell r="C1395">
            <v>888</v>
          </cell>
          <cell r="D1395">
            <v>1.4999999999999999E-2</v>
          </cell>
          <cell r="E1395">
            <v>10</v>
          </cell>
          <cell r="F1395">
            <v>1293.6400000000001</v>
          </cell>
          <cell r="G1395">
            <v>1292.26</v>
          </cell>
          <cell r="H1395">
            <v>1290.83</v>
          </cell>
          <cell r="I1395">
            <v>1290.01</v>
          </cell>
          <cell r="J1395">
            <v>37.1</v>
          </cell>
          <cell r="K1395">
            <v>0</v>
          </cell>
          <cell r="L1395" t="str">
            <v xml:space="preserve">Tramos Existentes </v>
          </cell>
          <cell r="M1395" t="str">
            <v>Existente</v>
          </cell>
        </row>
        <row r="1396">
          <cell r="B1396">
            <v>437</v>
          </cell>
          <cell r="C1396">
            <v>438</v>
          </cell>
          <cell r="D1396">
            <v>1.4999999999999999E-2</v>
          </cell>
          <cell r="E1396">
            <v>12</v>
          </cell>
          <cell r="F1396">
            <v>1294.1600000000001</v>
          </cell>
          <cell r="G1396">
            <v>1293.46</v>
          </cell>
          <cell r="H1396">
            <v>1292.79</v>
          </cell>
          <cell r="I1396">
            <v>1288.52</v>
          </cell>
          <cell r="J1396">
            <v>55.1</v>
          </cell>
          <cell r="K1396">
            <v>0</v>
          </cell>
          <cell r="L1396" t="str">
            <v xml:space="preserve">Tramos Existentes </v>
          </cell>
          <cell r="M1396" t="str">
            <v>Existente</v>
          </cell>
        </row>
        <row r="1397">
          <cell r="B1397">
            <v>763</v>
          </cell>
          <cell r="C1397">
            <v>764</v>
          </cell>
          <cell r="D1397">
            <v>1.4999999999999999E-2</v>
          </cell>
          <cell r="E1397">
            <v>8</v>
          </cell>
          <cell r="F1397">
            <v>1277.1199999999999</v>
          </cell>
          <cell r="G1397">
            <v>1277.32</v>
          </cell>
          <cell r="H1397">
            <v>1276.03</v>
          </cell>
          <cell r="I1397">
            <v>1275.92</v>
          </cell>
          <cell r="J1397">
            <v>3.1</v>
          </cell>
          <cell r="K1397">
            <v>0</v>
          </cell>
          <cell r="L1397" t="str">
            <v xml:space="preserve">Tramos Existentes </v>
          </cell>
          <cell r="M1397" t="str">
            <v>Existente</v>
          </cell>
        </row>
        <row r="1398">
          <cell r="B1398">
            <v>440</v>
          </cell>
          <cell r="C1398">
            <v>439</v>
          </cell>
          <cell r="D1398">
            <v>1.4999999999999999E-2</v>
          </cell>
          <cell r="E1398">
            <v>14</v>
          </cell>
          <cell r="F1398">
            <v>1292.97</v>
          </cell>
          <cell r="G1398">
            <v>1292.94</v>
          </cell>
          <cell r="H1398">
            <v>1290.57</v>
          </cell>
          <cell r="I1398">
            <v>1289.48</v>
          </cell>
          <cell r="J1398">
            <v>13.2</v>
          </cell>
          <cell r="K1398">
            <v>0</v>
          </cell>
          <cell r="L1398" t="str">
            <v xml:space="preserve">Tramos Existentes </v>
          </cell>
          <cell r="M1398" t="str">
            <v>Existente</v>
          </cell>
        </row>
        <row r="1399">
          <cell r="B1399" t="str">
            <v>43ii</v>
          </cell>
          <cell r="C1399">
            <v>11</v>
          </cell>
          <cell r="D1399">
            <v>1.4999999999999999E-2</v>
          </cell>
          <cell r="E1399">
            <v>8</v>
          </cell>
          <cell r="F1399">
            <v>1312.26</v>
          </cell>
          <cell r="G1399">
            <v>1310.03</v>
          </cell>
          <cell r="H1399">
            <v>1311.03</v>
          </cell>
          <cell r="I1399">
            <v>1306.5999999999999</v>
          </cell>
          <cell r="J1399">
            <v>70.900000000000006</v>
          </cell>
          <cell r="K1399">
            <v>0</v>
          </cell>
          <cell r="L1399" t="str">
            <v xml:space="preserve">Tramos Existentes </v>
          </cell>
          <cell r="M1399" t="str">
            <v>Existente</v>
          </cell>
        </row>
        <row r="1400">
          <cell r="B1400">
            <v>403</v>
          </cell>
          <cell r="C1400">
            <v>402</v>
          </cell>
          <cell r="D1400">
            <v>1.4999999999999999E-2</v>
          </cell>
          <cell r="E1400">
            <v>10</v>
          </cell>
          <cell r="F1400">
            <v>1313.45</v>
          </cell>
          <cell r="G1400">
            <v>1312.63</v>
          </cell>
          <cell r="H1400">
            <v>1312.26</v>
          </cell>
          <cell r="I1400">
            <v>1309.1199999999999</v>
          </cell>
          <cell r="J1400">
            <v>62.3</v>
          </cell>
          <cell r="K1400">
            <v>0</v>
          </cell>
          <cell r="L1400" t="str">
            <v xml:space="preserve">Tramos Existentes </v>
          </cell>
          <cell r="M1400" t="str">
            <v>Existente</v>
          </cell>
        </row>
        <row r="1401">
          <cell r="B1401">
            <v>408</v>
          </cell>
          <cell r="C1401">
            <v>409</v>
          </cell>
          <cell r="D1401">
            <v>1.4999999999999999E-2</v>
          </cell>
          <cell r="E1401">
            <v>16</v>
          </cell>
          <cell r="F1401">
            <v>1310.0999999999999</v>
          </cell>
          <cell r="G1401">
            <v>1298.78</v>
          </cell>
          <cell r="H1401">
            <v>1305.5899999999999</v>
          </cell>
          <cell r="I1401">
            <v>1296.58</v>
          </cell>
          <cell r="J1401">
            <v>34</v>
          </cell>
          <cell r="K1401">
            <v>0</v>
          </cell>
          <cell r="L1401" t="str">
            <v xml:space="preserve">Tramos Existentes </v>
          </cell>
          <cell r="M1401" t="str">
            <v>Existente</v>
          </cell>
        </row>
        <row r="1402">
          <cell r="B1402" t="str">
            <v>44i</v>
          </cell>
          <cell r="C1402">
            <v>45</v>
          </cell>
          <cell r="D1402">
            <v>0.01</v>
          </cell>
          <cell r="E1402">
            <v>8</v>
          </cell>
          <cell r="F1402">
            <v>1309.32</v>
          </cell>
          <cell r="G1402">
            <v>1307.8800000000001</v>
          </cell>
          <cell r="H1402">
            <v>1307.72</v>
          </cell>
          <cell r="I1402">
            <v>1305.95</v>
          </cell>
          <cell r="J1402">
            <v>75.3</v>
          </cell>
          <cell r="K1402">
            <v>0</v>
          </cell>
          <cell r="L1402" t="str">
            <v xml:space="preserve">Tramos Existentes </v>
          </cell>
          <cell r="M1402" t="str">
            <v>Existente</v>
          </cell>
        </row>
        <row r="1403">
          <cell r="B1403" t="str">
            <v>440i</v>
          </cell>
          <cell r="C1403">
            <v>771</v>
          </cell>
          <cell r="D1403">
            <v>1.4999999999999999E-2</v>
          </cell>
          <cell r="E1403">
            <v>12</v>
          </cell>
          <cell r="F1403">
            <v>1292.97</v>
          </cell>
          <cell r="G1403">
            <v>1293.43</v>
          </cell>
          <cell r="H1403">
            <v>1290.6199999999999</v>
          </cell>
          <cell r="I1403">
            <v>1290</v>
          </cell>
          <cell r="J1403">
            <v>44.8</v>
          </cell>
          <cell r="K1403">
            <v>0</v>
          </cell>
          <cell r="L1403" t="str">
            <v xml:space="preserve">Tramos Existentes </v>
          </cell>
          <cell r="M1403" t="str">
            <v>Existente</v>
          </cell>
        </row>
        <row r="1404">
          <cell r="B1404">
            <v>771</v>
          </cell>
          <cell r="C1404">
            <v>1105</v>
          </cell>
          <cell r="D1404">
            <v>0.01</v>
          </cell>
          <cell r="E1404">
            <v>12</v>
          </cell>
          <cell r="F1404">
            <v>1293.43</v>
          </cell>
          <cell r="G1404">
            <v>1293.4000000000001</v>
          </cell>
          <cell r="H1404">
            <v>1290</v>
          </cell>
          <cell r="I1404">
            <v>1288.51</v>
          </cell>
          <cell r="J1404">
            <v>38.9</v>
          </cell>
          <cell r="K1404">
            <v>0</v>
          </cell>
          <cell r="L1404" t="str">
            <v xml:space="preserve">Tramos Existentes </v>
          </cell>
          <cell r="M1404" t="str">
            <v>Existente</v>
          </cell>
        </row>
        <row r="1405">
          <cell r="B1405">
            <v>259</v>
          </cell>
          <cell r="C1405">
            <v>323</v>
          </cell>
          <cell r="D1405">
            <v>1.4999999999999999E-2</v>
          </cell>
          <cell r="E1405">
            <v>8</v>
          </cell>
          <cell r="F1405">
            <v>1309.96</v>
          </cell>
          <cell r="G1405">
            <v>1309.54</v>
          </cell>
          <cell r="H1405">
            <v>1308.53</v>
          </cell>
          <cell r="I1405">
            <v>1306.81</v>
          </cell>
          <cell r="J1405">
            <v>57.5</v>
          </cell>
          <cell r="K1405">
            <v>0</v>
          </cell>
          <cell r="L1405" t="str">
            <v xml:space="preserve">Tramos Existentes </v>
          </cell>
          <cell r="M1405" t="str">
            <v>Existente</v>
          </cell>
        </row>
        <row r="1406">
          <cell r="B1406">
            <v>438</v>
          </cell>
          <cell r="C1406">
            <v>1105</v>
          </cell>
          <cell r="D1406">
            <v>1.4999999999999999E-2</v>
          </cell>
          <cell r="E1406">
            <v>12</v>
          </cell>
          <cell r="F1406">
            <v>1293.46</v>
          </cell>
          <cell r="G1406">
            <v>1293.4000000000001</v>
          </cell>
          <cell r="H1406">
            <v>1288.52</v>
          </cell>
          <cell r="I1406">
            <v>1288.51</v>
          </cell>
          <cell r="J1406">
            <v>40.9</v>
          </cell>
          <cell r="K1406">
            <v>0</v>
          </cell>
          <cell r="L1406" t="str">
            <v xml:space="preserve">Tramos Existentes </v>
          </cell>
          <cell r="M1406" t="str">
            <v>Existente</v>
          </cell>
        </row>
        <row r="1407">
          <cell r="B1407">
            <v>631</v>
          </cell>
          <cell r="C1407">
            <v>430</v>
          </cell>
          <cell r="D1407">
            <v>1.4999999999999999E-2</v>
          </cell>
          <cell r="E1407">
            <v>12</v>
          </cell>
          <cell r="F1407">
            <v>1301.19</v>
          </cell>
          <cell r="G1407">
            <v>1299.7</v>
          </cell>
          <cell r="H1407">
            <v>1300.01</v>
          </cell>
          <cell r="I1407">
            <v>1298.3</v>
          </cell>
          <cell r="J1407">
            <v>43.2</v>
          </cell>
          <cell r="K1407">
            <v>0</v>
          </cell>
          <cell r="L1407" t="str">
            <v xml:space="preserve">Tramos Existentes </v>
          </cell>
          <cell r="M1407" t="str">
            <v>Existente</v>
          </cell>
        </row>
        <row r="1408">
          <cell r="B1408">
            <v>422</v>
          </cell>
          <cell r="C1408">
            <v>986</v>
          </cell>
          <cell r="D1408">
            <v>1.4999999999999999E-2</v>
          </cell>
          <cell r="E1408">
            <v>12</v>
          </cell>
          <cell r="F1408">
            <v>1302.6199999999999</v>
          </cell>
          <cell r="G1408">
            <v>1301.3900000000001</v>
          </cell>
          <cell r="H1408">
            <v>1301.43</v>
          </cell>
          <cell r="I1408">
            <v>1299.3399999999999</v>
          </cell>
          <cell r="J1408">
            <v>45.9</v>
          </cell>
          <cell r="K1408">
            <v>0</v>
          </cell>
          <cell r="L1408" t="str">
            <v xml:space="preserve">Tramos Existentes </v>
          </cell>
          <cell r="M1408" t="str">
            <v>Existente</v>
          </cell>
        </row>
        <row r="1409">
          <cell r="B1409">
            <v>425</v>
          </cell>
          <cell r="C1409">
            <v>424</v>
          </cell>
          <cell r="D1409">
            <v>1.4999999999999999E-2</v>
          </cell>
          <cell r="E1409">
            <v>12</v>
          </cell>
          <cell r="F1409">
            <v>1301.4000000000001</v>
          </cell>
          <cell r="G1409">
            <v>1301.46</v>
          </cell>
          <cell r="H1409">
            <v>1299.99</v>
          </cell>
          <cell r="I1409">
            <v>1299.8</v>
          </cell>
          <cell r="J1409">
            <v>40.200000000000003</v>
          </cell>
          <cell r="K1409">
            <v>0</v>
          </cell>
          <cell r="L1409" t="str">
            <v xml:space="preserve">Tramos Existentes </v>
          </cell>
          <cell r="M1409" t="str">
            <v>Existente</v>
          </cell>
        </row>
        <row r="1410">
          <cell r="B1410">
            <v>424</v>
          </cell>
          <cell r="C1410">
            <v>354</v>
          </cell>
          <cell r="D1410">
            <v>1.4999999999999999E-2</v>
          </cell>
          <cell r="E1410">
            <v>12</v>
          </cell>
          <cell r="F1410">
            <v>1301.46</v>
          </cell>
          <cell r="G1410">
            <v>1301.76</v>
          </cell>
          <cell r="H1410">
            <v>1299.8</v>
          </cell>
          <cell r="I1410">
            <v>1299.32</v>
          </cell>
          <cell r="J1410">
            <v>17.899999999999999</v>
          </cell>
          <cell r="K1410">
            <v>0</v>
          </cell>
          <cell r="L1410" t="str">
            <v xml:space="preserve">Tramos Existentes </v>
          </cell>
          <cell r="M1410" t="str">
            <v>Existente</v>
          </cell>
        </row>
        <row r="1411">
          <cell r="B1411">
            <v>406</v>
          </cell>
          <cell r="C1411">
            <v>405</v>
          </cell>
          <cell r="D1411">
            <v>1.4999999999999999E-2</v>
          </cell>
          <cell r="E1411">
            <v>10</v>
          </cell>
          <cell r="F1411">
            <v>1310.97</v>
          </cell>
          <cell r="G1411">
            <v>1312.28</v>
          </cell>
          <cell r="H1411">
            <v>1309.54</v>
          </cell>
          <cell r="I1411">
            <v>1308.44</v>
          </cell>
          <cell r="J1411">
            <v>51.8</v>
          </cell>
          <cell r="K1411">
            <v>0</v>
          </cell>
          <cell r="L1411" t="str">
            <v xml:space="preserve">Tramos Existentes </v>
          </cell>
          <cell r="M1411" t="str">
            <v>Existente</v>
          </cell>
        </row>
        <row r="1412">
          <cell r="B1412">
            <v>404</v>
          </cell>
          <cell r="C1412">
            <v>405</v>
          </cell>
          <cell r="D1412">
            <v>1.4999999999999999E-2</v>
          </cell>
          <cell r="E1412">
            <v>10</v>
          </cell>
          <cell r="F1412">
            <v>1313.3</v>
          </cell>
          <cell r="G1412">
            <v>1312.28</v>
          </cell>
          <cell r="H1412">
            <v>1310.97</v>
          </cell>
          <cell r="I1412">
            <v>1308.44</v>
          </cell>
          <cell r="J1412">
            <v>62</v>
          </cell>
          <cell r="K1412">
            <v>0</v>
          </cell>
          <cell r="L1412" t="str">
            <v xml:space="preserve">Tramos Existentes </v>
          </cell>
          <cell r="M1412" t="str">
            <v>Existente</v>
          </cell>
        </row>
        <row r="1413">
          <cell r="B1413">
            <v>615</v>
          </cell>
          <cell r="C1413">
            <v>616</v>
          </cell>
          <cell r="D1413">
            <v>1.4999999999999999E-2</v>
          </cell>
          <cell r="E1413">
            <v>10</v>
          </cell>
          <cell r="F1413">
            <v>1313.78</v>
          </cell>
          <cell r="G1413">
            <v>1312.89</v>
          </cell>
          <cell r="H1413">
            <v>1311.26</v>
          </cell>
          <cell r="I1413">
            <v>1310.3399999999999</v>
          </cell>
          <cell r="J1413">
            <v>35.9</v>
          </cell>
          <cell r="K1413">
            <v>0</v>
          </cell>
          <cell r="L1413" t="str">
            <v xml:space="preserve">Tramos Existentes </v>
          </cell>
          <cell r="M1413" t="str">
            <v>Existente</v>
          </cell>
        </row>
        <row r="1414">
          <cell r="B1414">
            <v>426</v>
          </cell>
          <cell r="C1414">
            <v>632</v>
          </cell>
          <cell r="D1414">
            <v>1.4999999999999999E-2</v>
          </cell>
          <cell r="E1414">
            <v>16</v>
          </cell>
          <cell r="F1414">
            <v>1301.56</v>
          </cell>
          <cell r="G1414">
            <v>1299.43</v>
          </cell>
          <cell r="H1414">
            <v>1296.69</v>
          </cell>
          <cell r="I1414">
            <v>1295.9100000000001</v>
          </cell>
          <cell r="J1414">
            <v>58.1</v>
          </cell>
          <cell r="K1414">
            <v>0</v>
          </cell>
          <cell r="L1414" t="str">
            <v xml:space="preserve">Tramos Existentes </v>
          </cell>
          <cell r="M1414" t="str">
            <v>Existente</v>
          </cell>
        </row>
        <row r="1415">
          <cell r="B1415">
            <v>326</v>
          </cell>
          <cell r="C1415">
            <v>329</v>
          </cell>
          <cell r="D1415">
            <v>1.4999999999999999E-2</v>
          </cell>
          <cell r="E1415">
            <v>8</v>
          </cell>
          <cell r="F1415">
            <v>1309.5</v>
          </cell>
          <cell r="G1415">
            <v>1309.53</v>
          </cell>
          <cell r="H1415">
            <v>1307.1500000000001</v>
          </cell>
          <cell r="I1415">
            <v>1306.6199999999999</v>
          </cell>
          <cell r="J1415">
            <v>8.1</v>
          </cell>
          <cell r="K1415">
            <v>0</v>
          </cell>
          <cell r="L1415" t="str">
            <v xml:space="preserve">Tramos Existentes </v>
          </cell>
          <cell r="M1415" t="str">
            <v>Existente</v>
          </cell>
        </row>
        <row r="1416">
          <cell r="B1416">
            <v>430</v>
          </cell>
          <cell r="C1416">
            <v>429</v>
          </cell>
          <cell r="D1416">
            <v>1.4999999999999999E-2</v>
          </cell>
          <cell r="E1416">
            <v>16</v>
          </cell>
          <cell r="F1416">
            <v>1299.7</v>
          </cell>
          <cell r="G1416">
            <v>1299.6099999999999</v>
          </cell>
          <cell r="H1416">
            <v>1298.3</v>
          </cell>
          <cell r="I1416">
            <v>1297.76</v>
          </cell>
          <cell r="J1416">
            <v>15.8</v>
          </cell>
          <cell r="K1416">
            <v>0</v>
          </cell>
          <cell r="L1416" t="str">
            <v xml:space="preserve">Tramos Existentes </v>
          </cell>
          <cell r="M1416" t="str">
            <v>Existente</v>
          </cell>
        </row>
        <row r="1417">
          <cell r="B1417">
            <v>613</v>
          </cell>
          <cell r="C1417">
            <v>404</v>
          </cell>
          <cell r="D1417">
            <v>1.4999999999999999E-2</v>
          </cell>
          <cell r="E1417">
            <v>10</v>
          </cell>
          <cell r="F1417">
            <v>1314.06</v>
          </cell>
          <cell r="G1417">
            <v>1313.3</v>
          </cell>
          <cell r="H1417">
            <v>1312.27</v>
          </cell>
          <cell r="I1417">
            <v>1310.97</v>
          </cell>
          <cell r="J1417">
            <v>61.5</v>
          </cell>
          <cell r="K1417">
            <v>0</v>
          </cell>
          <cell r="L1417" t="str">
            <v xml:space="preserve">Tramos Existentes </v>
          </cell>
          <cell r="M1417" t="str">
            <v>Existente</v>
          </cell>
        </row>
        <row r="1418">
          <cell r="B1418">
            <v>429</v>
          </cell>
          <cell r="C1418">
            <v>428</v>
          </cell>
          <cell r="D1418">
            <v>0.01</v>
          </cell>
          <cell r="E1418">
            <v>24</v>
          </cell>
          <cell r="F1418">
            <v>1299.6099999999999</v>
          </cell>
          <cell r="G1418">
            <v>1300</v>
          </cell>
          <cell r="H1418">
            <v>1297.76</v>
          </cell>
          <cell r="I1418">
            <v>1297</v>
          </cell>
          <cell r="J1418">
            <v>37.4</v>
          </cell>
          <cell r="K1418">
            <v>0</v>
          </cell>
          <cell r="L1418" t="str">
            <v xml:space="preserve">Tramos Existentes </v>
          </cell>
          <cell r="M1418" t="str">
            <v>Existente</v>
          </cell>
        </row>
        <row r="1419">
          <cell r="B1419">
            <v>428</v>
          </cell>
          <cell r="C1419">
            <v>427</v>
          </cell>
          <cell r="D1419">
            <v>1.4999999999999999E-2</v>
          </cell>
          <cell r="E1419">
            <v>24</v>
          </cell>
          <cell r="F1419">
            <v>1300</v>
          </cell>
          <cell r="G1419">
            <v>1300.03</v>
          </cell>
          <cell r="H1419">
            <v>1297</v>
          </cell>
          <cell r="I1419">
            <v>1296.71</v>
          </cell>
          <cell r="J1419">
            <v>32.799999999999997</v>
          </cell>
          <cell r="K1419">
            <v>0</v>
          </cell>
          <cell r="L1419" t="str">
            <v xml:space="preserve">Tramos Existentes </v>
          </cell>
          <cell r="M1419" t="str">
            <v>Existente</v>
          </cell>
        </row>
        <row r="1420">
          <cell r="B1420">
            <v>764</v>
          </cell>
          <cell r="C1420" t="str">
            <v>D13</v>
          </cell>
          <cell r="D1420">
            <v>1.4999999999999999E-2</v>
          </cell>
          <cell r="E1420">
            <v>8</v>
          </cell>
          <cell r="F1420">
            <v>1277.32</v>
          </cell>
          <cell r="G1420">
            <v>1265.49</v>
          </cell>
          <cell r="H1420">
            <v>1275.92</v>
          </cell>
          <cell r="I1420">
            <v>1265.49</v>
          </cell>
          <cell r="J1420">
            <v>29.9</v>
          </cell>
          <cell r="K1420">
            <v>0</v>
          </cell>
          <cell r="L1420" t="str">
            <v xml:space="preserve">Tramos Existentes </v>
          </cell>
          <cell r="M1420" t="str">
            <v>Existente</v>
          </cell>
        </row>
        <row r="1421">
          <cell r="B1421">
            <v>612</v>
          </cell>
          <cell r="C1421">
            <v>613</v>
          </cell>
          <cell r="D1421">
            <v>1.4999999999999999E-2</v>
          </cell>
          <cell r="E1421">
            <v>12</v>
          </cell>
          <cell r="F1421">
            <v>1314.89</v>
          </cell>
          <cell r="G1421">
            <v>1314.06</v>
          </cell>
          <cell r="H1421">
            <v>1313.32</v>
          </cell>
          <cell r="I1421">
            <v>1312.27</v>
          </cell>
          <cell r="J1421">
            <v>52.6</v>
          </cell>
          <cell r="K1421">
            <v>0</v>
          </cell>
          <cell r="L1421" t="str">
            <v xml:space="preserve">Tramos Existentes </v>
          </cell>
          <cell r="M1421" t="str">
            <v>Existente</v>
          </cell>
        </row>
        <row r="1422">
          <cell r="B1422" t="str">
            <v>425i</v>
          </cell>
          <cell r="C1422">
            <v>426</v>
          </cell>
          <cell r="D1422">
            <v>0.01</v>
          </cell>
          <cell r="E1422">
            <v>16</v>
          </cell>
          <cell r="F1422">
            <v>1301.4000000000001</v>
          </cell>
          <cell r="G1422">
            <v>1301.56</v>
          </cell>
          <cell r="H1422">
            <v>1300.06</v>
          </cell>
          <cell r="I1422">
            <v>1296.69</v>
          </cell>
          <cell r="J1422">
            <v>44.1</v>
          </cell>
          <cell r="K1422">
            <v>0</v>
          </cell>
          <cell r="L1422" t="str">
            <v xml:space="preserve">Tramos Existentes </v>
          </cell>
          <cell r="M1422" t="str">
            <v>Existente</v>
          </cell>
        </row>
        <row r="1423">
          <cell r="B1423" t="str">
            <v>MH-237</v>
          </cell>
          <cell r="C1423">
            <v>780</v>
          </cell>
          <cell r="D1423">
            <v>1.4999999999999999E-2</v>
          </cell>
          <cell r="E1423">
            <v>16</v>
          </cell>
          <cell r="F1423">
            <v>1253.73</v>
          </cell>
          <cell r="G1423">
            <v>1251.6600000000001</v>
          </cell>
          <cell r="H1423">
            <v>1250.7</v>
          </cell>
          <cell r="I1423">
            <v>1249.33</v>
          </cell>
          <cell r="J1423">
            <v>4.7</v>
          </cell>
          <cell r="K1423">
            <v>0</v>
          </cell>
          <cell r="L1423" t="str">
            <v>Inhabilitar</v>
          </cell>
          <cell r="M1423" t="str">
            <v>Existente</v>
          </cell>
        </row>
        <row r="1424">
          <cell r="B1424">
            <v>779</v>
          </cell>
          <cell r="C1424" t="str">
            <v>MH-237</v>
          </cell>
          <cell r="D1424">
            <v>1.4999999999999999E-2</v>
          </cell>
          <cell r="E1424">
            <v>16</v>
          </cell>
          <cell r="F1424">
            <v>1256.03</v>
          </cell>
          <cell r="G1424">
            <v>1253.73</v>
          </cell>
          <cell r="H1424">
            <v>1252.22</v>
          </cell>
          <cell r="I1424">
            <v>1250.7</v>
          </cell>
          <cell r="J1424">
            <v>5.2</v>
          </cell>
          <cell r="K1424">
            <v>0</v>
          </cell>
          <cell r="L1424" t="str">
            <v xml:space="preserve">Tramos Existentes </v>
          </cell>
          <cell r="M1424" t="str">
            <v>Existente</v>
          </cell>
        </row>
        <row r="1425">
          <cell r="B1425" t="str">
            <v>MH-235</v>
          </cell>
          <cell r="C1425">
            <v>1068</v>
          </cell>
          <cell r="D1425">
            <v>1.4999999999999999E-2</v>
          </cell>
          <cell r="E1425">
            <v>12</v>
          </cell>
          <cell r="F1425">
            <v>1255.22</v>
          </cell>
          <cell r="G1425">
            <v>1251.29</v>
          </cell>
          <cell r="H1425">
            <v>1252.25</v>
          </cell>
          <cell r="I1425">
            <v>1249.5999999999999</v>
          </cell>
          <cell r="J1425">
            <v>8.8000000000000007</v>
          </cell>
          <cell r="K1425">
            <v>0</v>
          </cell>
          <cell r="L1425" t="str">
            <v>Inhabilitar</v>
          </cell>
          <cell r="M1425" t="str">
            <v>Existente</v>
          </cell>
        </row>
        <row r="1426">
          <cell r="B1426">
            <v>1069</v>
          </cell>
          <cell r="C1426" t="str">
            <v>MH-235</v>
          </cell>
          <cell r="D1426">
            <v>1.4999999999999999E-2</v>
          </cell>
          <cell r="E1426">
            <v>12</v>
          </cell>
          <cell r="F1426">
            <v>1260.82</v>
          </cell>
          <cell r="G1426">
            <v>1255.22</v>
          </cell>
          <cell r="H1426">
            <v>1256.01</v>
          </cell>
          <cell r="I1426">
            <v>1252.25</v>
          </cell>
          <cell r="J1426">
            <v>12.5</v>
          </cell>
          <cell r="K1426">
            <v>0</v>
          </cell>
          <cell r="L1426" t="str">
            <v xml:space="preserve">Tramos Existentes </v>
          </cell>
          <cell r="M1426" t="str">
            <v>Existente</v>
          </cell>
        </row>
        <row r="1427">
          <cell r="B1427">
            <v>709</v>
          </cell>
          <cell r="C1427">
            <v>1074</v>
          </cell>
          <cell r="D1427">
            <v>1.4999999999999999E-2</v>
          </cell>
          <cell r="E1427">
            <v>16</v>
          </cell>
          <cell r="F1427">
            <v>1272.48</v>
          </cell>
          <cell r="G1427">
            <v>1269.52</v>
          </cell>
          <cell r="H1427">
            <v>1269.76</v>
          </cell>
          <cell r="I1427">
            <v>1267.01</v>
          </cell>
          <cell r="J1427">
            <v>38.200000000000003</v>
          </cell>
          <cell r="K1427">
            <v>0</v>
          </cell>
          <cell r="L1427" t="str">
            <v xml:space="preserve">Tramos Existentes </v>
          </cell>
          <cell r="M1427" t="str">
            <v>Existente</v>
          </cell>
        </row>
        <row r="1428">
          <cell r="B1428" t="str">
            <v>BV19</v>
          </cell>
          <cell r="C1428" t="str">
            <v>D6</v>
          </cell>
          <cell r="D1428">
            <v>1.4999999999999999E-2</v>
          </cell>
          <cell r="E1428">
            <v>28</v>
          </cell>
          <cell r="F1428">
            <v>1268.53</v>
          </cell>
          <cell r="G1428">
            <v>1279.07</v>
          </cell>
          <cell r="H1428">
            <v>1266.3599999999999</v>
          </cell>
          <cell r="I1428">
            <v>1263.06</v>
          </cell>
          <cell r="J1428">
            <v>5.8</v>
          </cell>
          <cell r="K1428">
            <v>0</v>
          </cell>
          <cell r="L1428" t="str">
            <v>Inhabilitar</v>
          </cell>
          <cell r="M1428" t="str">
            <v>Existente</v>
          </cell>
        </row>
        <row r="1429">
          <cell r="B1429">
            <v>653</v>
          </cell>
          <cell r="C1429" t="str">
            <v>BV19</v>
          </cell>
          <cell r="D1429">
            <v>1.4999999999999999E-2</v>
          </cell>
          <cell r="E1429">
            <v>28</v>
          </cell>
          <cell r="F1429">
            <v>1275.99</v>
          </cell>
          <cell r="G1429">
            <v>1268.53</v>
          </cell>
          <cell r="H1429">
            <v>1274.18</v>
          </cell>
          <cell r="I1429">
            <v>1266.3599999999999</v>
          </cell>
          <cell r="J1429">
            <v>72.8</v>
          </cell>
          <cell r="K1429">
            <v>0</v>
          </cell>
          <cell r="L1429" t="str">
            <v xml:space="preserve">Tramos Existentes </v>
          </cell>
          <cell r="M1429" t="str">
            <v>Existente</v>
          </cell>
        </row>
        <row r="1430">
          <cell r="B1430">
            <v>943</v>
          </cell>
          <cell r="C1430">
            <v>944</v>
          </cell>
          <cell r="D1430">
            <v>0.01</v>
          </cell>
          <cell r="E1430">
            <v>24</v>
          </cell>
          <cell r="F1430">
            <v>1279.1500000000001</v>
          </cell>
          <cell r="G1430">
            <v>1277.8</v>
          </cell>
          <cell r="H1430">
            <v>1274.93</v>
          </cell>
          <cell r="I1430">
            <v>1274.76</v>
          </cell>
          <cell r="J1430">
            <v>44.1</v>
          </cell>
          <cell r="K1430">
            <v>0</v>
          </cell>
          <cell r="L1430" t="str">
            <v>Inhabilitar</v>
          </cell>
          <cell r="M1430" t="str">
            <v>Existente</v>
          </cell>
        </row>
        <row r="1431">
          <cell r="B1431">
            <v>286</v>
          </cell>
          <cell r="C1431">
            <v>287</v>
          </cell>
          <cell r="D1431">
            <v>0.01</v>
          </cell>
          <cell r="E1431">
            <v>24</v>
          </cell>
          <cell r="F1431">
            <v>1277.01</v>
          </cell>
          <cell r="G1431">
            <v>1276.33</v>
          </cell>
          <cell r="H1431">
            <v>1275.25</v>
          </cell>
          <cell r="I1431">
            <v>1274.9100000000001</v>
          </cell>
          <cell r="J1431">
            <v>13.1</v>
          </cell>
          <cell r="K1431">
            <v>0</v>
          </cell>
          <cell r="L1431" t="str">
            <v xml:space="preserve">Tramos Existentes </v>
          </cell>
          <cell r="M1431" t="str">
            <v>Existente</v>
          </cell>
        </row>
        <row r="1432">
          <cell r="B1432">
            <v>282</v>
          </cell>
          <cell r="C1432">
            <v>286</v>
          </cell>
          <cell r="D1432">
            <v>0.01</v>
          </cell>
          <cell r="E1432">
            <v>24</v>
          </cell>
          <cell r="F1432">
            <v>1278.6199999999999</v>
          </cell>
          <cell r="G1432">
            <v>1277.01</v>
          </cell>
          <cell r="H1432">
            <v>1275.73</v>
          </cell>
          <cell r="I1432">
            <v>1275.25</v>
          </cell>
          <cell r="J1432">
            <v>22.1</v>
          </cell>
          <cell r="K1432">
            <v>0</v>
          </cell>
          <cell r="L1432" t="str">
            <v xml:space="preserve">Tramos Existentes </v>
          </cell>
          <cell r="M1432" t="str">
            <v>Existente</v>
          </cell>
        </row>
        <row r="1433">
          <cell r="B1433">
            <v>281</v>
          </cell>
          <cell r="C1433">
            <v>282</v>
          </cell>
          <cell r="D1433">
            <v>0.01</v>
          </cell>
          <cell r="E1433">
            <v>24</v>
          </cell>
          <cell r="F1433">
            <v>1279.49</v>
          </cell>
          <cell r="G1433">
            <v>1278.6199999999999</v>
          </cell>
          <cell r="H1433">
            <v>1277.8499999999999</v>
          </cell>
          <cell r="I1433">
            <v>1275.73</v>
          </cell>
          <cell r="J1433">
            <v>66</v>
          </cell>
          <cell r="K1433">
            <v>0</v>
          </cell>
          <cell r="L1433" t="str">
            <v xml:space="preserve">Tramos Existentes </v>
          </cell>
          <cell r="M1433" t="str">
            <v>Existente</v>
          </cell>
        </row>
        <row r="1434">
          <cell r="B1434">
            <v>681</v>
          </cell>
          <cell r="C1434" t="str">
            <v>MH-240</v>
          </cell>
          <cell r="D1434">
            <v>1.4999999999999999E-2</v>
          </cell>
          <cell r="E1434">
            <v>10</v>
          </cell>
          <cell r="F1434">
            <v>1289.1400000000001</v>
          </cell>
          <cell r="G1434">
            <v>1285.8800000000001</v>
          </cell>
          <cell r="H1434">
            <v>1286.28</v>
          </cell>
          <cell r="I1434">
            <v>1284.8</v>
          </cell>
          <cell r="J1434">
            <v>52.5</v>
          </cell>
          <cell r="K1434">
            <v>0</v>
          </cell>
          <cell r="L1434" t="str">
            <v xml:space="preserve">Tramos Existentes </v>
          </cell>
          <cell r="M1434" t="str">
            <v>Existente</v>
          </cell>
        </row>
        <row r="1435">
          <cell r="B1435" t="str">
            <v>MH-240</v>
          </cell>
          <cell r="C1435" t="str">
            <v>D23</v>
          </cell>
          <cell r="D1435">
            <v>1.4999999999999999E-2</v>
          </cell>
          <cell r="E1435">
            <v>10</v>
          </cell>
          <cell r="F1435">
            <v>1285.8800000000001</v>
          </cell>
          <cell r="G1435">
            <v>1285.47</v>
          </cell>
          <cell r="H1435">
            <v>1284.8</v>
          </cell>
          <cell r="I1435">
            <v>1284.6199999999999</v>
          </cell>
          <cell r="J1435">
            <v>6.5</v>
          </cell>
          <cell r="K1435">
            <v>0</v>
          </cell>
          <cell r="L1435" t="str">
            <v>Inhabilitar</v>
          </cell>
          <cell r="M1435" t="str">
            <v>Existente</v>
          </cell>
        </row>
        <row r="1436">
          <cell r="B1436">
            <v>181</v>
          </cell>
          <cell r="C1436">
            <v>182</v>
          </cell>
          <cell r="D1436">
            <v>1.4999999999999999E-2</v>
          </cell>
          <cell r="E1436">
            <v>16</v>
          </cell>
          <cell r="F1436">
            <v>1290.73</v>
          </cell>
          <cell r="G1436">
            <v>1287.1099999999999</v>
          </cell>
          <cell r="H1436">
            <v>1287.19</v>
          </cell>
          <cell r="I1436">
            <v>1285.51</v>
          </cell>
          <cell r="J1436">
            <v>21.3</v>
          </cell>
          <cell r="K1436">
            <v>0</v>
          </cell>
          <cell r="L1436" t="str">
            <v xml:space="preserve">Tramos Existentes </v>
          </cell>
          <cell r="M1436" t="str">
            <v>Existente</v>
          </cell>
        </row>
        <row r="1437">
          <cell r="B1437">
            <v>798</v>
          </cell>
          <cell r="C1437">
            <v>799</v>
          </cell>
          <cell r="D1437">
            <v>1.4999999999999999E-2</v>
          </cell>
          <cell r="E1437">
            <v>16</v>
          </cell>
          <cell r="F1437">
            <v>1293.68</v>
          </cell>
          <cell r="G1437">
            <v>1292.02</v>
          </cell>
          <cell r="H1437">
            <v>1289.5</v>
          </cell>
          <cell r="I1437">
            <v>1287.43</v>
          </cell>
          <cell r="J1437">
            <v>22.7</v>
          </cell>
          <cell r="K1437">
            <v>0</v>
          </cell>
          <cell r="L1437" t="str">
            <v xml:space="preserve">Tramos Existentes </v>
          </cell>
          <cell r="M1437" t="str">
            <v>Existente</v>
          </cell>
        </row>
        <row r="1438">
          <cell r="B1438" t="str">
            <v>AD21</v>
          </cell>
          <cell r="C1438" t="str">
            <v>D37</v>
          </cell>
          <cell r="D1438">
            <v>1.4999999999999999E-2</v>
          </cell>
          <cell r="E1438">
            <v>8</v>
          </cell>
          <cell r="F1438">
            <v>1292.01</v>
          </cell>
          <cell r="G1438">
            <v>1279.02</v>
          </cell>
          <cell r="H1438">
            <v>1289.19</v>
          </cell>
          <cell r="I1438">
            <v>1279.02</v>
          </cell>
          <cell r="J1438">
            <v>8.6</v>
          </cell>
          <cell r="K1438">
            <v>0</v>
          </cell>
          <cell r="L1438" t="str">
            <v xml:space="preserve">Tramos Existentes </v>
          </cell>
          <cell r="M1438" t="str">
            <v>Existente</v>
          </cell>
        </row>
        <row r="1439">
          <cell r="B1439">
            <v>1096</v>
          </cell>
          <cell r="C1439" t="str">
            <v>AD21</v>
          </cell>
          <cell r="D1439">
            <v>1.4999999999999999E-2</v>
          </cell>
          <cell r="E1439">
            <v>8</v>
          </cell>
          <cell r="F1439">
            <v>1293.8</v>
          </cell>
          <cell r="G1439">
            <v>1292.01</v>
          </cell>
          <cell r="H1439">
            <v>1289.99</v>
          </cell>
          <cell r="I1439">
            <v>1289.19</v>
          </cell>
          <cell r="J1439">
            <v>9.3000000000000007</v>
          </cell>
          <cell r="K1439">
            <v>0</v>
          </cell>
          <cell r="L1439" t="str">
            <v xml:space="preserve">Tramos Existentes </v>
          </cell>
          <cell r="M1439" t="str">
            <v>Existente</v>
          </cell>
        </row>
        <row r="1440">
          <cell r="B1440">
            <v>1027</v>
          </cell>
          <cell r="C1440">
            <v>1048</v>
          </cell>
          <cell r="D1440">
            <v>0.01</v>
          </cell>
          <cell r="E1440">
            <v>8</v>
          </cell>
          <cell r="F1440">
            <v>1294.32</v>
          </cell>
          <cell r="G1440">
            <v>1291.82</v>
          </cell>
          <cell r="H1440">
            <v>1290.33</v>
          </cell>
          <cell r="I1440">
            <v>1289.5899999999999</v>
          </cell>
          <cell r="J1440">
            <v>24.3</v>
          </cell>
          <cell r="K1440">
            <v>0</v>
          </cell>
          <cell r="L1440" t="str">
            <v xml:space="preserve">Tramos Existentes </v>
          </cell>
          <cell r="M1440" t="str">
            <v>Existente</v>
          </cell>
        </row>
        <row r="1441">
          <cell r="B1441">
            <v>1105</v>
          </cell>
          <cell r="C1441">
            <v>1115</v>
          </cell>
          <cell r="D1441">
            <v>1.4999999999999999E-2</v>
          </cell>
          <cell r="E1441">
            <v>16</v>
          </cell>
          <cell r="F1441">
            <v>1293.4000000000001</v>
          </cell>
          <cell r="G1441">
            <v>1292.8599999999999</v>
          </cell>
          <cell r="H1441">
            <v>1288.51</v>
          </cell>
          <cell r="I1441">
            <v>1288.49</v>
          </cell>
          <cell r="J1441">
            <v>43.3</v>
          </cell>
          <cell r="K1441">
            <v>0</v>
          </cell>
          <cell r="L1441" t="str">
            <v xml:space="preserve">Tramos Existentes </v>
          </cell>
          <cell r="M1441" t="str">
            <v>Existente</v>
          </cell>
        </row>
        <row r="1442">
          <cell r="B1442">
            <v>888</v>
          </cell>
          <cell r="C1442">
            <v>1104</v>
          </cell>
          <cell r="D1442">
            <v>1.4999999999999999E-2</v>
          </cell>
          <cell r="E1442">
            <v>8</v>
          </cell>
          <cell r="F1442">
            <v>1292.26</v>
          </cell>
          <cell r="G1442">
            <v>1294.54</v>
          </cell>
          <cell r="H1442">
            <v>1290.01</v>
          </cell>
          <cell r="I1442">
            <v>1290.72</v>
          </cell>
          <cell r="J1442">
            <v>60</v>
          </cell>
          <cell r="K1442">
            <v>0</v>
          </cell>
          <cell r="L1442" t="str">
            <v xml:space="preserve">Tramos Existentes </v>
          </cell>
          <cell r="M1442" t="str">
            <v>Existente</v>
          </cell>
        </row>
        <row r="1443">
          <cell r="B1443">
            <v>507</v>
          </cell>
          <cell r="C1443">
            <v>509</v>
          </cell>
          <cell r="D1443">
            <v>1.4999999999999999E-2</v>
          </cell>
          <cell r="E1443">
            <v>10</v>
          </cell>
          <cell r="F1443">
            <v>1294</v>
          </cell>
          <cell r="G1443">
            <v>1294</v>
          </cell>
          <cell r="H1443">
            <v>1291.43</v>
          </cell>
          <cell r="I1443">
            <v>1291.4000000000001</v>
          </cell>
          <cell r="J1443">
            <v>5.3</v>
          </cell>
          <cell r="K1443">
            <v>0</v>
          </cell>
          <cell r="L1443" t="str">
            <v xml:space="preserve">Tramos Existentes </v>
          </cell>
          <cell r="M1443" t="str">
            <v>Existente</v>
          </cell>
        </row>
        <row r="1444">
          <cell r="B1444">
            <v>223</v>
          </cell>
          <cell r="C1444">
            <v>222</v>
          </cell>
          <cell r="D1444">
            <v>1.4999999999999999E-2</v>
          </cell>
          <cell r="E1444">
            <v>16</v>
          </cell>
          <cell r="F1444">
            <v>1294.71</v>
          </cell>
          <cell r="G1444">
            <v>1293.4100000000001</v>
          </cell>
          <cell r="H1444">
            <v>1292.4000000000001</v>
          </cell>
          <cell r="I1444">
            <v>1291.26</v>
          </cell>
          <cell r="J1444">
            <v>24.9</v>
          </cell>
          <cell r="K1444">
            <v>0</v>
          </cell>
          <cell r="L1444" t="str">
            <v xml:space="preserve">Tramos Existentes </v>
          </cell>
          <cell r="M1444" t="str">
            <v>Existente</v>
          </cell>
        </row>
        <row r="1445">
          <cell r="B1445" t="str">
            <v>A1</v>
          </cell>
          <cell r="C1445" t="str">
            <v>D35</v>
          </cell>
          <cell r="D1445">
            <v>1.4999999999999999E-2</v>
          </cell>
          <cell r="E1445">
            <v>36</v>
          </cell>
          <cell r="F1445">
            <v>1292.45</v>
          </cell>
          <cell r="G1445">
            <v>1288.94</v>
          </cell>
          <cell r="H1445">
            <v>1289.57</v>
          </cell>
          <cell r="I1445">
            <v>1288.94</v>
          </cell>
          <cell r="J1445">
            <v>2.5</v>
          </cell>
          <cell r="K1445">
            <v>0</v>
          </cell>
          <cell r="L1445" t="str">
            <v>Inhabilitar</v>
          </cell>
          <cell r="M1445" t="str">
            <v>Existente</v>
          </cell>
        </row>
        <row r="1446">
          <cell r="B1446">
            <v>996</v>
          </cell>
          <cell r="C1446" t="str">
            <v>A1</v>
          </cell>
          <cell r="D1446">
            <v>1.4999999999999999E-2</v>
          </cell>
          <cell r="E1446">
            <v>36</v>
          </cell>
          <cell r="F1446">
            <v>1294.81</v>
          </cell>
          <cell r="G1446">
            <v>1292.45</v>
          </cell>
          <cell r="H1446">
            <v>1292.69</v>
          </cell>
          <cell r="I1446">
            <v>1289.57</v>
          </cell>
          <cell r="J1446">
            <v>33.6</v>
          </cell>
          <cell r="K1446">
            <v>0</v>
          </cell>
          <cell r="L1446" t="str">
            <v xml:space="preserve">Tramos Existentes </v>
          </cell>
          <cell r="M1446" t="str">
            <v>Existente</v>
          </cell>
        </row>
        <row r="1447">
          <cell r="B1447">
            <v>835</v>
          </cell>
          <cell r="C1447">
            <v>960</v>
          </cell>
          <cell r="D1447">
            <v>1.4999999999999999E-2</v>
          </cell>
          <cell r="E1447">
            <v>12</v>
          </cell>
          <cell r="F1447">
            <v>1294.8599999999999</v>
          </cell>
          <cell r="G1447">
            <v>1292.69</v>
          </cell>
          <cell r="H1447">
            <v>1292.68</v>
          </cell>
          <cell r="I1447">
            <v>1291.3399999999999</v>
          </cell>
          <cell r="J1447">
            <v>58.2</v>
          </cell>
          <cell r="K1447">
            <v>0</v>
          </cell>
          <cell r="L1447" t="str">
            <v xml:space="preserve">Tramos Existentes </v>
          </cell>
          <cell r="M1447" t="str">
            <v>Existente</v>
          </cell>
        </row>
        <row r="1448">
          <cell r="B1448">
            <v>711</v>
          </cell>
          <cell r="C1448">
            <v>996</v>
          </cell>
          <cell r="D1448">
            <v>0.01</v>
          </cell>
          <cell r="E1448">
            <v>22</v>
          </cell>
          <cell r="F1448">
            <v>1295.5899999999999</v>
          </cell>
          <cell r="G1448">
            <v>1294.81</v>
          </cell>
          <cell r="H1448">
            <v>1292.71</v>
          </cell>
          <cell r="I1448">
            <v>1292.69</v>
          </cell>
          <cell r="J1448">
            <v>5.8</v>
          </cell>
          <cell r="K1448">
            <v>0</v>
          </cell>
          <cell r="L1448" t="str">
            <v xml:space="preserve">Tramos Existentes </v>
          </cell>
          <cell r="M1448" t="str">
            <v>Existente</v>
          </cell>
        </row>
        <row r="1449">
          <cell r="B1449" t="str">
            <v>1025i</v>
          </cell>
          <cell r="C1449" t="str">
            <v>MH-244</v>
          </cell>
          <cell r="D1449">
            <v>0.01</v>
          </cell>
          <cell r="E1449">
            <v>14</v>
          </cell>
          <cell r="F1449">
            <v>1295.4000000000001</v>
          </cell>
          <cell r="G1449">
            <v>1294.3699999999999</v>
          </cell>
          <cell r="H1449">
            <v>1293.45</v>
          </cell>
          <cell r="I1449">
            <v>1293.43</v>
          </cell>
          <cell r="J1449">
            <v>9.4</v>
          </cell>
          <cell r="K1449">
            <v>0</v>
          </cell>
          <cell r="L1449" t="str">
            <v xml:space="preserve">Tramos Existentes </v>
          </cell>
          <cell r="M1449" t="str">
            <v>Existente</v>
          </cell>
        </row>
        <row r="1450">
          <cell r="B1450" t="str">
            <v>MH-244</v>
          </cell>
          <cell r="C1450" t="str">
            <v>D28</v>
          </cell>
          <cell r="D1450">
            <v>0.01</v>
          </cell>
          <cell r="E1450">
            <v>14</v>
          </cell>
          <cell r="F1450">
            <v>1294.3699999999999</v>
          </cell>
          <cell r="G1450">
            <v>1293.4100000000001</v>
          </cell>
          <cell r="H1450">
            <v>1293.43</v>
          </cell>
          <cell r="I1450">
            <v>1293.4100000000001</v>
          </cell>
          <cell r="J1450">
            <v>8.8000000000000007</v>
          </cell>
          <cell r="K1450">
            <v>0</v>
          </cell>
          <cell r="L1450" t="str">
            <v>Inhabilitar</v>
          </cell>
          <cell r="M1450" t="str">
            <v>Existente</v>
          </cell>
        </row>
        <row r="1451">
          <cell r="B1451" t="str">
            <v>MH-248</v>
          </cell>
          <cell r="C1451" t="str">
            <v>D17</v>
          </cell>
          <cell r="D1451">
            <v>1.4999999999999999E-2</v>
          </cell>
          <cell r="E1451">
            <v>24</v>
          </cell>
          <cell r="F1451">
            <v>1296.4100000000001</v>
          </cell>
          <cell r="G1451">
            <v>1293.68</v>
          </cell>
          <cell r="H1451">
            <v>1286.5</v>
          </cell>
          <cell r="I1451">
            <v>1293.68</v>
          </cell>
          <cell r="J1451">
            <v>7.5</v>
          </cell>
          <cell r="K1451">
            <v>0</v>
          </cell>
          <cell r="L1451" t="str">
            <v>Inhabilitar</v>
          </cell>
          <cell r="M1451" t="str">
            <v>Existente</v>
          </cell>
        </row>
        <row r="1452">
          <cell r="B1452">
            <v>380</v>
          </cell>
          <cell r="C1452" t="str">
            <v>MH-248</v>
          </cell>
          <cell r="D1452">
            <v>1.4999999999999999E-2</v>
          </cell>
          <cell r="E1452">
            <v>24</v>
          </cell>
          <cell r="F1452">
            <v>1303.8599999999999</v>
          </cell>
          <cell r="G1452">
            <v>1296.4100000000001</v>
          </cell>
          <cell r="H1452">
            <v>1294.03</v>
          </cell>
          <cell r="I1452">
            <v>1286.5</v>
          </cell>
          <cell r="J1452">
            <v>20.3</v>
          </cell>
          <cell r="K1452">
            <v>0</v>
          </cell>
          <cell r="L1452" t="str">
            <v xml:space="preserve">Tramos Existentes </v>
          </cell>
          <cell r="M1452" t="str">
            <v>Existente</v>
          </cell>
        </row>
        <row r="1453">
          <cell r="B1453">
            <v>782</v>
          </cell>
          <cell r="C1453">
            <v>783</v>
          </cell>
          <cell r="D1453">
            <v>1.4999999999999999E-2</v>
          </cell>
          <cell r="E1453">
            <v>10</v>
          </cell>
          <cell r="F1453">
            <v>1296.3499999999999</v>
          </cell>
          <cell r="G1453">
            <v>1295.6600000000001</v>
          </cell>
          <cell r="H1453">
            <v>1294.2</v>
          </cell>
          <cell r="I1453">
            <v>1293.79</v>
          </cell>
          <cell r="J1453">
            <v>23.7</v>
          </cell>
          <cell r="K1453">
            <v>0</v>
          </cell>
          <cell r="L1453" t="str">
            <v xml:space="preserve">Tramos Existentes </v>
          </cell>
          <cell r="M1453" t="str">
            <v>Existente</v>
          </cell>
        </row>
        <row r="1454">
          <cell r="B1454" t="str">
            <v>MH-245</v>
          </cell>
          <cell r="C1454" t="str">
            <v>D29</v>
          </cell>
          <cell r="D1454">
            <v>0.01</v>
          </cell>
          <cell r="E1454">
            <v>12</v>
          </cell>
          <cell r="F1454">
            <v>1293.48</v>
          </cell>
          <cell r="G1454">
            <v>1291.98</v>
          </cell>
          <cell r="H1454">
            <v>1290.5</v>
          </cell>
          <cell r="I1454">
            <v>1291.98</v>
          </cell>
          <cell r="J1454">
            <v>2.8</v>
          </cell>
          <cell r="K1454">
            <v>0</v>
          </cell>
          <cell r="L1454" t="str">
            <v>Inhabilitar</v>
          </cell>
          <cell r="M1454" t="str">
            <v>Existente</v>
          </cell>
        </row>
        <row r="1455">
          <cell r="B1455">
            <v>1046</v>
          </cell>
          <cell r="C1455" t="str">
            <v>MH-245</v>
          </cell>
          <cell r="D1455">
            <v>0.01</v>
          </cell>
          <cell r="E1455">
            <v>12</v>
          </cell>
          <cell r="F1455">
            <v>1297.18</v>
          </cell>
          <cell r="G1455">
            <v>1293.48</v>
          </cell>
          <cell r="H1455">
            <v>1294.8800000000001</v>
          </cell>
          <cell r="I1455">
            <v>1290.5</v>
          </cell>
          <cell r="J1455">
            <v>6.8</v>
          </cell>
          <cell r="K1455">
            <v>0</v>
          </cell>
          <cell r="L1455" t="str">
            <v xml:space="preserve">Tramos Existentes </v>
          </cell>
          <cell r="M1455" t="str">
            <v>Existente</v>
          </cell>
        </row>
        <row r="1456">
          <cell r="B1456">
            <v>955</v>
          </cell>
          <cell r="C1456">
            <v>685</v>
          </cell>
          <cell r="D1456">
            <v>1.4999999999999999E-2</v>
          </cell>
          <cell r="E1456">
            <v>10</v>
          </cell>
          <cell r="F1456">
            <v>1299.67</v>
          </cell>
          <cell r="G1456">
            <v>1299.8599999999999</v>
          </cell>
          <cell r="H1456">
            <v>1295.4000000000001</v>
          </cell>
          <cell r="I1456">
            <v>1294.07</v>
          </cell>
          <cell r="J1456">
            <v>14.5</v>
          </cell>
          <cell r="K1456">
            <v>0</v>
          </cell>
          <cell r="L1456" t="str">
            <v xml:space="preserve">Tramos Existentes </v>
          </cell>
          <cell r="M1456" t="str">
            <v>Existente</v>
          </cell>
        </row>
        <row r="1457">
          <cell r="B1457">
            <v>352</v>
          </cell>
          <cell r="C1457">
            <v>351</v>
          </cell>
          <cell r="D1457">
            <v>0.01</v>
          </cell>
          <cell r="E1457">
            <v>16</v>
          </cell>
          <cell r="F1457">
            <v>1299.3699999999999</v>
          </cell>
          <cell r="G1457">
            <v>1300.97</v>
          </cell>
          <cell r="H1457">
            <v>1295.6099999999999</v>
          </cell>
          <cell r="I1457">
            <v>1295.3800000000001</v>
          </cell>
          <cell r="J1457">
            <v>39.5</v>
          </cell>
          <cell r="K1457">
            <v>0</v>
          </cell>
          <cell r="L1457" t="str">
            <v xml:space="preserve">Tramos Existentes </v>
          </cell>
          <cell r="M1457" t="str">
            <v>Existente</v>
          </cell>
        </row>
        <row r="1458">
          <cell r="B1458">
            <v>26</v>
          </cell>
          <cell r="C1458">
            <v>29</v>
          </cell>
          <cell r="D1458">
            <v>1.4999999999999999E-2</v>
          </cell>
          <cell r="E1458">
            <v>16</v>
          </cell>
          <cell r="F1458">
            <v>1298.8699999999999</v>
          </cell>
          <cell r="G1458">
            <v>1298.27</v>
          </cell>
          <cell r="H1458">
            <v>1296.1199999999999</v>
          </cell>
          <cell r="I1458">
            <v>1295.5999999999999</v>
          </cell>
          <cell r="J1458">
            <v>27.1</v>
          </cell>
          <cell r="K1458">
            <v>0</v>
          </cell>
          <cell r="L1458" t="str">
            <v xml:space="preserve">Tramos Existentes </v>
          </cell>
          <cell r="M1458" t="str">
            <v>Existente</v>
          </cell>
        </row>
        <row r="1459">
          <cell r="B1459">
            <v>409</v>
          </cell>
          <cell r="C1459" t="str">
            <v>MH-243</v>
          </cell>
          <cell r="D1459">
            <v>1.4999999999999999E-2</v>
          </cell>
          <cell r="E1459">
            <v>14</v>
          </cell>
          <cell r="F1459">
            <v>1298.78</v>
          </cell>
          <cell r="G1459">
            <v>1293.02</v>
          </cell>
          <cell r="H1459">
            <v>1296.58</v>
          </cell>
          <cell r="I1459">
            <v>1288</v>
          </cell>
          <cell r="J1459">
            <v>14.7</v>
          </cell>
          <cell r="K1459">
            <v>0</v>
          </cell>
          <cell r="L1459" t="str">
            <v xml:space="preserve">Tramos Existentes </v>
          </cell>
          <cell r="M1459" t="str">
            <v>Existente</v>
          </cell>
        </row>
        <row r="1460">
          <cell r="B1460" t="str">
            <v>MH-243</v>
          </cell>
          <cell r="C1460" t="str">
            <v>D1</v>
          </cell>
          <cell r="D1460">
            <v>1.4999999999999999E-2</v>
          </cell>
          <cell r="E1460">
            <v>14</v>
          </cell>
          <cell r="F1460">
            <v>1293.02</v>
          </cell>
          <cell r="G1460">
            <v>1290.68</v>
          </cell>
          <cell r="H1460">
            <v>1288</v>
          </cell>
          <cell r="I1460">
            <v>1290.68</v>
          </cell>
          <cell r="J1460">
            <v>6</v>
          </cell>
          <cell r="K1460">
            <v>0</v>
          </cell>
          <cell r="L1460" t="str">
            <v>Inhabilitar</v>
          </cell>
          <cell r="M1460" t="str">
            <v>Existente</v>
          </cell>
        </row>
        <row r="1461">
          <cell r="B1461">
            <v>22</v>
          </cell>
          <cell r="C1461">
            <v>23</v>
          </cell>
          <cell r="D1461">
            <v>1.4999999999999999E-2</v>
          </cell>
          <cell r="E1461">
            <v>12</v>
          </cell>
          <cell r="F1461">
            <v>1298.3499999999999</v>
          </cell>
          <cell r="G1461">
            <v>1298.79</v>
          </cell>
          <cell r="H1461">
            <v>1296.6099999999999</v>
          </cell>
          <cell r="I1461">
            <v>1296.43</v>
          </cell>
          <cell r="J1461">
            <v>20.100000000000001</v>
          </cell>
          <cell r="K1461">
            <v>0</v>
          </cell>
          <cell r="L1461" t="str">
            <v xml:space="preserve">Tramos Existentes </v>
          </cell>
          <cell r="M1461" t="str">
            <v>Existente</v>
          </cell>
        </row>
        <row r="1462">
          <cell r="B1462">
            <v>427</v>
          </cell>
          <cell r="C1462">
            <v>426</v>
          </cell>
          <cell r="D1462">
            <v>1.4999999999999999E-2</v>
          </cell>
          <cell r="E1462">
            <v>16</v>
          </cell>
          <cell r="F1462">
            <v>1300.03</v>
          </cell>
          <cell r="G1462">
            <v>1301.56</v>
          </cell>
          <cell r="H1462">
            <v>1296.71</v>
          </cell>
          <cell r="I1462">
            <v>1296.69</v>
          </cell>
          <cell r="J1462">
            <v>36.200000000000003</v>
          </cell>
          <cell r="K1462">
            <v>0</v>
          </cell>
          <cell r="L1462" t="str">
            <v xml:space="preserve">Tramos Existentes </v>
          </cell>
          <cell r="M1462" t="str">
            <v>Existente</v>
          </cell>
        </row>
        <row r="1463">
          <cell r="B1463">
            <v>106</v>
          </cell>
          <cell r="C1463">
            <v>105</v>
          </cell>
          <cell r="D1463">
            <v>1.4999999999999999E-2</v>
          </cell>
          <cell r="E1463">
            <v>16</v>
          </cell>
          <cell r="F1463">
            <v>1301.96</v>
          </cell>
          <cell r="G1463">
            <v>1300.3599999999999</v>
          </cell>
          <cell r="H1463">
            <v>1297.04</v>
          </cell>
          <cell r="I1463">
            <v>1293.6600000000001</v>
          </cell>
          <cell r="J1463">
            <v>9.4</v>
          </cell>
          <cell r="K1463">
            <v>0</v>
          </cell>
          <cell r="L1463" t="str">
            <v xml:space="preserve">Tramos Existentes </v>
          </cell>
          <cell r="M1463" t="str">
            <v>Existente</v>
          </cell>
        </row>
        <row r="1464">
          <cell r="B1464">
            <v>1061</v>
          </cell>
          <cell r="C1464" t="str">
            <v>AD13</v>
          </cell>
          <cell r="D1464">
            <v>1.4999999999999999E-2</v>
          </cell>
          <cell r="E1464">
            <v>12</v>
          </cell>
          <cell r="F1464">
            <v>1303.5</v>
          </cell>
          <cell r="G1464">
            <v>1297.57</v>
          </cell>
          <cell r="H1464">
            <v>1298.0999999999999</v>
          </cell>
          <cell r="I1464">
            <v>1293.3399999999999</v>
          </cell>
          <cell r="J1464">
            <v>10.9</v>
          </cell>
          <cell r="K1464">
            <v>0</v>
          </cell>
          <cell r="L1464" t="str">
            <v xml:space="preserve">Tramos Existentes </v>
          </cell>
          <cell r="M1464" t="str">
            <v>Existente</v>
          </cell>
        </row>
        <row r="1465">
          <cell r="B1465" t="str">
            <v>AD13</v>
          </cell>
          <cell r="C1465">
            <v>990</v>
          </cell>
          <cell r="D1465">
            <v>1.4999999999999999E-2</v>
          </cell>
          <cell r="E1465">
            <v>12</v>
          </cell>
          <cell r="F1465">
            <v>1297.57</v>
          </cell>
          <cell r="G1465">
            <v>1296.3</v>
          </cell>
          <cell r="H1465">
            <v>1293.3399999999999</v>
          </cell>
          <cell r="I1465">
            <v>1290.82</v>
          </cell>
          <cell r="J1465">
            <v>13.5</v>
          </cell>
          <cell r="K1465">
            <v>0</v>
          </cell>
          <cell r="L1465" t="str">
            <v xml:space="preserve">Tramos Existentes </v>
          </cell>
          <cell r="M1465" t="str">
            <v>Existente</v>
          </cell>
        </row>
        <row r="1466">
          <cell r="B1466">
            <v>609</v>
          </cell>
          <cell r="C1466">
            <v>672</v>
          </cell>
          <cell r="D1466">
            <v>1.4999999999999999E-2</v>
          </cell>
          <cell r="E1466">
            <v>16</v>
          </cell>
          <cell r="F1466">
            <v>1302.48</v>
          </cell>
          <cell r="G1466">
            <v>1301.0999999999999</v>
          </cell>
          <cell r="H1466">
            <v>1297.8399999999999</v>
          </cell>
          <cell r="I1466">
            <v>1296.67</v>
          </cell>
          <cell r="J1466">
            <v>18.399999999999999</v>
          </cell>
          <cell r="K1466">
            <v>0</v>
          </cell>
          <cell r="L1466" t="str">
            <v xml:space="preserve">Tramos Existentes </v>
          </cell>
          <cell r="M1466" t="str">
            <v>Existente</v>
          </cell>
        </row>
        <row r="1467">
          <cell r="B1467">
            <v>1078</v>
          </cell>
          <cell r="C1467" t="str">
            <v>MH-238</v>
          </cell>
          <cell r="D1467">
            <v>1.4999999999999999E-2</v>
          </cell>
          <cell r="E1467">
            <v>8</v>
          </cell>
          <cell r="F1467">
            <v>1302.6199999999999</v>
          </cell>
          <cell r="G1467">
            <v>1294.49</v>
          </cell>
          <cell r="H1467">
            <v>1298.94</v>
          </cell>
          <cell r="I1467">
            <v>1288.5</v>
          </cell>
          <cell r="J1467">
            <v>11.8</v>
          </cell>
          <cell r="K1467">
            <v>0</v>
          </cell>
          <cell r="L1467" t="str">
            <v xml:space="preserve">Tramos Existentes </v>
          </cell>
          <cell r="M1467" t="str">
            <v>Existente</v>
          </cell>
        </row>
        <row r="1468">
          <cell r="B1468" t="str">
            <v>MH-238</v>
          </cell>
          <cell r="C1468" t="str">
            <v>D34</v>
          </cell>
          <cell r="D1468">
            <v>1.4999999999999999E-2</v>
          </cell>
          <cell r="E1468">
            <v>8</v>
          </cell>
          <cell r="F1468">
            <v>1294.49</v>
          </cell>
          <cell r="G1468">
            <v>1291.3900000000001</v>
          </cell>
          <cell r="H1468">
            <v>1288.5</v>
          </cell>
          <cell r="I1468">
            <v>1291.3900000000001</v>
          </cell>
          <cell r="J1468">
            <v>4.5</v>
          </cell>
          <cell r="K1468">
            <v>0</v>
          </cell>
          <cell r="L1468" t="str">
            <v>Inhabilitar</v>
          </cell>
          <cell r="M1468" t="str">
            <v>Existente</v>
          </cell>
        </row>
        <row r="1469">
          <cell r="B1469">
            <v>75</v>
          </cell>
          <cell r="C1469">
            <v>76</v>
          </cell>
          <cell r="D1469">
            <v>1.4999999999999999E-2</v>
          </cell>
          <cell r="E1469">
            <v>8</v>
          </cell>
          <cell r="F1469">
            <v>1300.83</v>
          </cell>
          <cell r="G1469">
            <v>1298.8599999999999</v>
          </cell>
          <cell r="H1469">
            <v>1299.19</v>
          </cell>
          <cell r="I1469">
            <v>1297.3900000000001</v>
          </cell>
          <cell r="J1469">
            <v>65</v>
          </cell>
          <cell r="K1469">
            <v>0</v>
          </cell>
          <cell r="L1469" t="str">
            <v xml:space="preserve">Tramos Existentes </v>
          </cell>
          <cell r="M1469" t="str">
            <v>Existente</v>
          </cell>
        </row>
        <row r="1470">
          <cell r="B1470">
            <v>200</v>
          </cell>
          <cell r="C1470">
            <v>140</v>
          </cell>
          <cell r="D1470">
            <v>1.4999999999999999E-2</v>
          </cell>
          <cell r="E1470">
            <v>8</v>
          </cell>
          <cell r="F1470">
            <v>1300.94</v>
          </cell>
          <cell r="G1470">
            <v>1260.2</v>
          </cell>
          <cell r="H1470">
            <v>1299.25</v>
          </cell>
          <cell r="I1470">
            <v>1297.1400000000001</v>
          </cell>
          <cell r="J1470">
            <v>75.5</v>
          </cell>
          <cell r="K1470">
            <v>0</v>
          </cell>
          <cell r="L1470" t="str">
            <v xml:space="preserve">Tramos Existentes </v>
          </cell>
          <cell r="M1470" t="str">
            <v>Existente</v>
          </cell>
        </row>
        <row r="1471">
          <cell r="B1471">
            <v>696</v>
          </cell>
          <cell r="C1471">
            <v>702</v>
          </cell>
          <cell r="D1471">
            <v>1.4999999999999999E-2</v>
          </cell>
          <cell r="E1471">
            <v>24</v>
          </cell>
          <cell r="F1471">
            <v>1302.32</v>
          </cell>
          <cell r="G1471">
            <v>1301.99</v>
          </cell>
          <cell r="H1471">
            <v>1299.3599999999999</v>
          </cell>
          <cell r="I1471">
            <v>1293.02</v>
          </cell>
          <cell r="J1471">
            <v>14.7</v>
          </cell>
          <cell r="K1471">
            <v>0</v>
          </cell>
          <cell r="L1471" t="str">
            <v xml:space="preserve">Tramos Existentes </v>
          </cell>
          <cell r="M1471" t="str">
            <v>Existente</v>
          </cell>
        </row>
        <row r="1472">
          <cell r="B1472">
            <v>608</v>
          </cell>
          <cell r="C1472">
            <v>673</v>
          </cell>
          <cell r="D1472">
            <v>1.4999999999999999E-2</v>
          </cell>
          <cell r="E1472">
            <v>8</v>
          </cell>
          <cell r="F1472">
            <v>1302.46</v>
          </cell>
          <cell r="G1472">
            <v>1299.24</v>
          </cell>
          <cell r="H1472">
            <v>1299.76</v>
          </cell>
          <cell r="I1472">
            <v>1297.94</v>
          </cell>
          <cell r="J1472">
            <v>55.1</v>
          </cell>
          <cell r="K1472">
            <v>0</v>
          </cell>
          <cell r="L1472" t="str">
            <v xml:space="preserve">Tramos Existentes </v>
          </cell>
          <cell r="M1472" t="str">
            <v>Existente</v>
          </cell>
        </row>
        <row r="1473">
          <cell r="B1473">
            <v>605</v>
          </cell>
          <cell r="C1473">
            <v>608</v>
          </cell>
          <cell r="D1473">
            <v>1.4999999999999999E-2</v>
          </cell>
          <cell r="E1473">
            <v>8</v>
          </cell>
          <cell r="F1473">
            <v>1303.3800000000001</v>
          </cell>
          <cell r="G1473">
            <v>1302.46</v>
          </cell>
          <cell r="H1473">
            <v>1299.5899999999999</v>
          </cell>
          <cell r="I1473">
            <v>1299.76</v>
          </cell>
          <cell r="J1473">
            <v>27.1</v>
          </cell>
          <cell r="K1473">
            <v>0</v>
          </cell>
          <cell r="L1473" t="str">
            <v xml:space="preserve">Tramos Existentes </v>
          </cell>
          <cell r="M1473" t="str">
            <v>Existente</v>
          </cell>
        </row>
        <row r="1474">
          <cell r="B1474">
            <v>442</v>
          </cell>
          <cell r="C1474">
            <v>380</v>
          </cell>
          <cell r="D1474">
            <v>1.4999999999999999E-2</v>
          </cell>
          <cell r="E1474">
            <v>12</v>
          </cell>
          <cell r="F1474">
            <v>1304.69</v>
          </cell>
          <cell r="G1474">
            <v>1303.8599999999999</v>
          </cell>
          <cell r="H1474">
            <v>1301.3900000000001</v>
          </cell>
          <cell r="I1474">
            <v>1294.03</v>
          </cell>
          <cell r="J1474">
            <v>37</v>
          </cell>
          <cell r="K1474">
            <v>0</v>
          </cell>
          <cell r="L1474" t="str">
            <v xml:space="preserve">Tramos Existentes </v>
          </cell>
          <cell r="M1474" t="str">
            <v>Existente</v>
          </cell>
        </row>
        <row r="1475">
          <cell r="B1475">
            <v>1014</v>
          </cell>
          <cell r="C1475">
            <v>1078</v>
          </cell>
          <cell r="D1475">
            <v>1.4999999999999999E-2</v>
          </cell>
          <cell r="E1475">
            <v>12</v>
          </cell>
          <cell r="F1475">
            <v>1302.4000000000001</v>
          </cell>
          <cell r="G1475">
            <v>1302.6199999999999</v>
          </cell>
          <cell r="H1475">
            <v>1301.4100000000001</v>
          </cell>
          <cell r="I1475">
            <v>1298.94</v>
          </cell>
          <cell r="J1475">
            <v>39.700000000000003</v>
          </cell>
          <cell r="K1475">
            <v>0</v>
          </cell>
          <cell r="L1475" t="str">
            <v xml:space="preserve">Tramos Existentes </v>
          </cell>
          <cell r="M1475" t="str">
            <v>Existente</v>
          </cell>
        </row>
        <row r="1476">
          <cell r="B1476">
            <v>601</v>
          </cell>
          <cell r="C1476">
            <v>606</v>
          </cell>
          <cell r="D1476">
            <v>1.4999999999999999E-2</v>
          </cell>
          <cell r="E1476">
            <v>16</v>
          </cell>
          <cell r="F1476">
            <v>1305.3499999999999</v>
          </cell>
          <cell r="G1476">
            <v>1303.4000000000001</v>
          </cell>
          <cell r="H1476">
            <v>1302.27</v>
          </cell>
          <cell r="I1476">
            <v>1299.51</v>
          </cell>
          <cell r="J1476">
            <v>26.6</v>
          </cell>
          <cell r="K1476">
            <v>0</v>
          </cell>
          <cell r="L1476" t="str">
            <v xml:space="preserve">Tramos Existentes </v>
          </cell>
          <cell r="M1476" t="str">
            <v>Existente</v>
          </cell>
        </row>
        <row r="1477">
          <cell r="B1477">
            <v>534</v>
          </cell>
          <cell r="C1477">
            <v>537</v>
          </cell>
          <cell r="D1477">
            <v>1.4999999999999999E-2</v>
          </cell>
          <cell r="E1477">
            <v>8</v>
          </cell>
          <cell r="F1477">
            <v>1307.6500000000001</v>
          </cell>
          <cell r="G1477">
            <v>1306.7</v>
          </cell>
          <cell r="H1477">
            <v>1303.79</v>
          </cell>
          <cell r="I1477">
            <v>1303.28</v>
          </cell>
          <cell r="J1477">
            <v>27</v>
          </cell>
          <cell r="K1477">
            <v>0</v>
          </cell>
          <cell r="L1477" t="str">
            <v xml:space="preserve">Tramos Existentes </v>
          </cell>
          <cell r="M1477" t="str">
            <v>Existente</v>
          </cell>
        </row>
        <row r="1478">
          <cell r="B1478">
            <v>469</v>
          </cell>
          <cell r="C1478">
            <v>534</v>
          </cell>
          <cell r="D1478">
            <v>1.4999999999999999E-2</v>
          </cell>
          <cell r="E1478">
            <v>8</v>
          </cell>
          <cell r="F1478">
            <v>1308.3900000000001</v>
          </cell>
          <cell r="G1478">
            <v>1307.6500000000001</v>
          </cell>
          <cell r="H1478">
            <v>1303.79</v>
          </cell>
          <cell r="I1478">
            <v>1303.79</v>
          </cell>
          <cell r="J1478">
            <v>27</v>
          </cell>
          <cell r="K1478">
            <v>0</v>
          </cell>
          <cell r="L1478" t="str">
            <v xml:space="preserve">Tramos Existentes </v>
          </cell>
          <cell r="M1478" t="str">
            <v>Existente</v>
          </cell>
        </row>
        <row r="1479">
          <cell r="B1479">
            <v>970</v>
          </cell>
          <cell r="C1479">
            <v>951</v>
          </cell>
          <cell r="D1479">
            <v>1.4999999999999999E-2</v>
          </cell>
          <cell r="E1479">
            <v>16</v>
          </cell>
          <cell r="F1479">
            <v>1310.28</v>
          </cell>
          <cell r="G1479">
            <v>1304.49</v>
          </cell>
          <cell r="H1479">
            <v>1304.97</v>
          </cell>
          <cell r="I1479">
            <v>1300.51</v>
          </cell>
          <cell r="J1479">
            <v>22.4</v>
          </cell>
          <cell r="K1479">
            <v>0</v>
          </cell>
          <cell r="L1479" t="str">
            <v xml:space="preserve">Tramos Existentes </v>
          </cell>
          <cell r="M1479" t="str">
            <v>Existente</v>
          </cell>
        </row>
        <row r="1480">
          <cell r="B1480">
            <v>978</v>
          </cell>
          <cell r="C1480">
            <v>729</v>
          </cell>
          <cell r="D1480">
            <v>0.01</v>
          </cell>
          <cell r="E1480">
            <v>12</v>
          </cell>
          <cell r="F1480">
            <v>1308.3399999999999</v>
          </cell>
          <cell r="G1480">
            <v>1307.21</v>
          </cell>
          <cell r="H1480">
            <v>1305.1500000000001</v>
          </cell>
          <cell r="I1480">
            <v>1303.1500000000001</v>
          </cell>
          <cell r="J1480">
            <v>34.299999999999997</v>
          </cell>
          <cell r="K1480">
            <v>0</v>
          </cell>
          <cell r="L1480" t="str">
            <v xml:space="preserve">Tramos Existentes </v>
          </cell>
          <cell r="M1480" t="str">
            <v>Existente</v>
          </cell>
        </row>
        <row r="1481">
          <cell r="B1481">
            <v>261</v>
          </cell>
          <cell r="C1481">
            <v>262</v>
          </cell>
          <cell r="D1481">
            <v>1.4999999999999999E-2</v>
          </cell>
          <cell r="E1481">
            <v>8</v>
          </cell>
          <cell r="F1481">
            <v>1306.48</v>
          </cell>
          <cell r="G1481">
            <v>1306.55</v>
          </cell>
          <cell r="H1481">
            <v>1305.55</v>
          </cell>
          <cell r="I1481">
            <v>1305.19</v>
          </cell>
          <cell r="J1481">
            <v>27</v>
          </cell>
          <cell r="K1481">
            <v>0</v>
          </cell>
          <cell r="L1481" t="str">
            <v xml:space="preserve">Tramos Existentes </v>
          </cell>
          <cell r="M1481" t="str">
            <v>Existente</v>
          </cell>
        </row>
        <row r="1482">
          <cell r="B1482">
            <v>240</v>
          </cell>
          <cell r="C1482">
            <v>239</v>
          </cell>
          <cell r="D1482">
            <v>1.4999999999999999E-2</v>
          </cell>
          <cell r="E1482">
            <v>12</v>
          </cell>
          <cell r="F1482">
            <v>1306.75</v>
          </cell>
          <cell r="G1482">
            <v>1307.4100000000001</v>
          </cell>
          <cell r="H1482">
            <v>1305.55</v>
          </cell>
          <cell r="I1482">
            <v>1304.8499999999999</v>
          </cell>
          <cell r="J1482">
            <v>44.7</v>
          </cell>
          <cell r="K1482">
            <v>0</v>
          </cell>
          <cell r="L1482" t="str">
            <v xml:space="preserve">Tramos Existentes </v>
          </cell>
          <cell r="M1482" t="str">
            <v>Existente</v>
          </cell>
        </row>
        <row r="1483">
          <cell r="B1483">
            <v>468</v>
          </cell>
          <cell r="C1483">
            <v>535</v>
          </cell>
          <cell r="D1483">
            <v>1.4999999999999999E-2</v>
          </cell>
          <cell r="E1483">
            <v>10</v>
          </cell>
          <cell r="F1483">
            <v>1308.45</v>
          </cell>
          <cell r="G1483">
            <v>1307.53</v>
          </cell>
          <cell r="H1483">
            <v>1305.74</v>
          </cell>
          <cell r="I1483">
            <v>1305.18</v>
          </cell>
          <cell r="J1483">
            <v>34</v>
          </cell>
          <cell r="K1483">
            <v>0</v>
          </cell>
          <cell r="L1483" t="str">
            <v xml:space="preserve">Tramos Existentes </v>
          </cell>
          <cell r="M1483" t="str">
            <v>Existente</v>
          </cell>
        </row>
        <row r="1484">
          <cell r="B1484" t="str">
            <v>MH-239</v>
          </cell>
          <cell r="C1484" t="str">
            <v>D5</v>
          </cell>
          <cell r="D1484">
            <v>1.4999999999999999E-2</v>
          </cell>
          <cell r="E1484">
            <v>10</v>
          </cell>
          <cell r="F1484">
            <v>1293</v>
          </cell>
          <cell r="G1484">
            <v>1304.78</v>
          </cell>
          <cell r="H1484">
            <v>1288.5</v>
          </cell>
          <cell r="I1484">
            <v>1304.78</v>
          </cell>
          <cell r="J1484">
            <v>6.8</v>
          </cell>
          <cell r="K1484">
            <v>0</v>
          </cell>
          <cell r="L1484" t="str">
            <v>Inhabilitar</v>
          </cell>
          <cell r="M1484" t="str">
            <v>Existente</v>
          </cell>
        </row>
        <row r="1485">
          <cell r="B1485" t="str">
            <v>P31</v>
          </cell>
          <cell r="C1485" t="str">
            <v>MH-239</v>
          </cell>
          <cell r="D1485">
            <v>1.4999999999999999E-2</v>
          </cell>
          <cell r="E1485">
            <v>10</v>
          </cell>
          <cell r="F1485">
            <v>1308.3</v>
          </cell>
          <cell r="G1485">
            <v>1293</v>
          </cell>
          <cell r="H1485">
            <v>1306.21</v>
          </cell>
          <cell r="I1485">
            <v>1288.5</v>
          </cell>
          <cell r="J1485">
            <v>30.9</v>
          </cell>
          <cell r="K1485">
            <v>0</v>
          </cell>
          <cell r="L1485" t="str">
            <v xml:space="preserve">Tramos Existentes </v>
          </cell>
          <cell r="M1485" t="str">
            <v>Existente</v>
          </cell>
        </row>
        <row r="1486">
          <cell r="B1486">
            <v>465</v>
          </cell>
          <cell r="C1486">
            <v>468</v>
          </cell>
          <cell r="D1486">
            <v>1.4999999999999999E-2</v>
          </cell>
          <cell r="E1486">
            <v>8</v>
          </cell>
          <cell r="F1486">
            <v>1309.4100000000001</v>
          </cell>
          <cell r="G1486">
            <v>1308.45</v>
          </cell>
          <cell r="H1486">
            <v>1306.1099999999999</v>
          </cell>
          <cell r="I1486">
            <v>1305.74</v>
          </cell>
          <cell r="J1486">
            <v>31.5</v>
          </cell>
          <cell r="K1486">
            <v>0</v>
          </cell>
          <cell r="L1486" t="str">
            <v xml:space="preserve">Tramos Existentes </v>
          </cell>
          <cell r="M1486" t="str">
            <v>Existente</v>
          </cell>
        </row>
        <row r="1487">
          <cell r="B1487">
            <v>882</v>
          </cell>
          <cell r="C1487">
            <v>967</v>
          </cell>
          <cell r="D1487">
            <v>1.4999999999999999E-2</v>
          </cell>
          <cell r="E1487">
            <v>8</v>
          </cell>
          <cell r="F1487">
            <v>1308.8599999999999</v>
          </cell>
          <cell r="G1487">
            <v>1310.01</v>
          </cell>
          <cell r="H1487">
            <v>1306.31</v>
          </cell>
          <cell r="I1487">
            <v>1304.3</v>
          </cell>
          <cell r="J1487">
            <v>20.5</v>
          </cell>
          <cell r="K1487">
            <v>0</v>
          </cell>
          <cell r="L1487" t="str">
            <v xml:space="preserve">Tramos Existentes </v>
          </cell>
          <cell r="M1487" t="str">
            <v>Existente</v>
          </cell>
        </row>
        <row r="1488">
          <cell r="B1488">
            <v>98</v>
          </cell>
          <cell r="C1488" t="str">
            <v>P7</v>
          </cell>
          <cell r="D1488">
            <v>1.4999999999999999E-2</v>
          </cell>
          <cell r="E1488">
            <v>26</v>
          </cell>
          <cell r="F1488">
            <v>1310.84</v>
          </cell>
          <cell r="G1488">
            <v>1307.1199999999999</v>
          </cell>
          <cell r="H1488">
            <v>1306.3900000000001</v>
          </cell>
          <cell r="I1488">
            <v>1304.78</v>
          </cell>
          <cell r="J1488">
            <v>51.5</v>
          </cell>
          <cell r="K1488">
            <v>0</v>
          </cell>
          <cell r="L1488" t="str">
            <v xml:space="preserve">Tramos Existentes </v>
          </cell>
          <cell r="M1488" t="str">
            <v>Existente</v>
          </cell>
        </row>
        <row r="1489">
          <cell r="B1489">
            <v>400</v>
          </cell>
          <cell r="C1489">
            <v>465</v>
          </cell>
          <cell r="D1489">
            <v>1.4999999999999999E-2</v>
          </cell>
          <cell r="E1489">
            <v>10</v>
          </cell>
          <cell r="F1489">
            <v>1310.04</v>
          </cell>
          <cell r="G1489">
            <v>1309.4100000000001</v>
          </cell>
          <cell r="H1489">
            <v>1306.6300000000001</v>
          </cell>
          <cell r="I1489">
            <v>1306.1099999999999</v>
          </cell>
          <cell r="J1489">
            <v>26.8</v>
          </cell>
          <cell r="K1489">
            <v>0</v>
          </cell>
          <cell r="L1489" t="str">
            <v xml:space="preserve">Tramos Existentes </v>
          </cell>
          <cell r="M1489" t="str">
            <v>Existente</v>
          </cell>
        </row>
        <row r="1490">
          <cell r="B1490">
            <v>973</v>
          </cell>
          <cell r="C1490">
            <v>974</v>
          </cell>
          <cell r="D1490">
            <v>1.4999999999999999E-2</v>
          </cell>
          <cell r="E1490">
            <v>12</v>
          </cell>
          <cell r="F1490">
            <v>1312.17</v>
          </cell>
          <cell r="G1490">
            <v>1311.27</v>
          </cell>
          <cell r="H1490">
            <v>1306.6199999999999</v>
          </cell>
          <cell r="I1490">
            <v>1306.26</v>
          </cell>
          <cell r="J1490">
            <v>27.7</v>
          </cell>
          <cell r="K1490">
            <v>0</v>
          </cell>
          <cell r="L1490" t="str">
            <v xml:space="preserve">Tramos Existentes </v>
          </cell>
          <cell r="M1490" t="str">
            <v>Existente</v>
          </cell>
        </row>
        <row r="1491">
          <cell r="B1491">
            <v>883</v>
          </cell>
          <cell r="C1491">
            <v>970</v>
          </cell>
          <cell r="D1491">
            <v>1.4999999999999999E-2</v>
          </cell>
          <cell r="E1491">
            <v>24</v>
          </cell>
          <cell r="F1491">
            <v>1312.39</v>
          </cell>
          <cell r="G1491">
            <v>1310.28</v>
          </cell>
          <cell r="H1491">
            <v>1306.81</v>
          </cell>
          <cell r="I1491">
            <v>1304.97</v>
          </cell>
          <cell r="J1491">
            <v>38.200000000000003</v>
          </cell>
          <cell r="K1491">
            <v>0</v>
          </cell>
          <cell r="L1491" t="str">
            <v xml:space="preserve">Tramos Existentes </v>
          </cell>
          <cell r="M1491" t="str">
            <v>Existente</v>
          </cell>
        </row>
        <row r="1492">
          <cell r="B1492">
            <v>321</v>
          </cell>
          <cell r="C1492">
            <v>329</v>
          </cell>
          <cell r="D1492">
            <v>1.4999999999999999E-2</v>
          </cell>
          <cell r="E1492">
            <v>8</v>
          </cell>
          <cell r="F1492">
            <v>1309.4000000000001</v>
          </cell>
          <cell r="G1492">
            <v>1309.53</v>
          </cell>
          <cell r="H1492">
            <v>1307.1199999999999</v>
          </cell>
          <cell r="I1492">
            <v>1306.6199999999999</v>
          </cell>
          <cell r="J1492">
            <v>26.9</v>
          </cell>
          <cell r="K1492">
            <v>0</v>
          </cell>
          <cell r="L1492" t="str">
            <v xml:space="preserve">Tramos Existentes </v>
          </cell>
          <cell r="M1492" t="str">
            <v>Existente</v>
          </cell>
        </row>
        <row r="1493">
          <cell r="B1493">
            <v>971</v>
          </cell>
          <cell r="C1493">
            <v>972</v>
          </cell>
          <cell r="D1493">
            <v>1.4999999999999999E-2</v>
          </cell>
          <cell r="E1493">
            <v>12</v>
          </cell>
          <cell r="F1493">
            <v>1312.86</v>
          </cell>
          <cell r="G1493">
            <v>1312.87</v>
          </cell>
          <cell r="H1493">
            <v>1307.0999999999999</v>
          </cell>
          <cell r="I1493">
            <v>1306.9100000000001</v>
          </cell>
          <cell r="J1493">
            <v>27.2</v>
          </cell>
          <cell r="K1493">
            <v>0</v>
          </cell>
          <cell r="L1493" t="str">
            <v xml:space="preserve">Tramos Existentes </v>
          </cell>
          <cell r="M1493" t="str">
            <v>Existente</v>
          </cell>
        </row>
        <row r="1494">
          <cell r="B1494">
            <v>407</v>
          </cell>
          <cell r="C1494">
            <v>408</v>
          </cell>
          <cell r="D1494">
            <v>1.4999999999999999E-2</v>
          </cell>
          <cell r="E1494">
            <v>16</v>
          </cell>
          <cell r="F1494">
            <v>1311.32</v>
          </cell>
          <cell r="G1494">
            <v>1310.0999999999999</v>
          </cell>
          <cell r="H1494">
            <v>1307.54</v>
          </cell>
          <cell r="I1494">
            <v>1305.5899999999999</v>
          </cell>
          <cell r="J1494">
            <v>62</v>
          </cell>
          <cell r="K1494">
            <v>0</v>
          </cell>
          <cell r="L1494" t="str">
            <v xml:space="preserve">Tramos Existentes </v>
          </cell>
          <cell r="M1494" t="str">
            <v>Existente</v>
          </cell>
        </row>
        <row r="1495">
          <cell r="B1495">
            <v>260</v>
          </cell>
          <cell r="C1495">
            <v>321</v>
          </cell>
          <cell r="D1495">
            <v>0.01</v>
          </cell>
          <cell r="E1495">
            <v>8</v>
          </cell>
          <cell r="F1495">
            <v>1309.6300000000001</v>
          </cell>
          <cell r="G1495">
            <v>1309.4000000000001</v>
          </cell>
          <cell r="H1495">
            <v>1307.53</v>
          </cell>
          <cell r="I1495">
            <v>1307.1199999999999</v>
          </cell>
          <cell r="J1495">
            <v>27</v>
          </cell>
          <cell r="K1495">
            <v>0</v>
          </cell>
          <cell r="L1495" t="str">
            <v xml:space="preserve">Tramos Existentes </v>
          </cell>
          <cell r="M1495" t="str">
            <v>Existente</v>
          </cell>
        </row>
        <row r="1496">
          <cell r="B1496">
            <v>251</v>
          </cell>
          <cell r="C1496">
            <v>256</v>
          </cell>
          <cell r="D1496">
            <v>1.4999999999999999E-2</v>
          </cell>
          <cell r="E1496">
            <v>8</v>
          </cell>
          <cell r="F1496">
            <v>1309.71</v>
          </cell>
          <cell r="G1496">
            <v>1309.75</v>
          </cell>
          <cell r="H1496">
            <v>1308.05</v>
          </cell>
          <cell r="I1496">
            <v>1307.8800000000001</v>
          </cell>
          <cell r="J1496">
            <v>26.2</v>
          </cell>
          <cell r="K1496">
            <v>0</v>
          </cell>
          <cell r="L1496" t="str">
            <v xml:space="preserve">Tramos Existentes </v>
          </cell>
          <cell r="M1496" t="str">
            <v>Existente</v>
          </cell>
        </row>
        <row r="1497">
          <cell r="B1497">
            <v>381</v>
          </cell>
          <cell r="C1497">
            <v>382</v>
          </cell>
          <cell r="D1497">
            <v>1.4999999999999999E-2</v>
          </cell>
          <cell r="E1497">
            <v>8</v>
          </cell>
          <cell r="F1497">
            <v>1311.18</v>
          </cell>
          <cell r="G1497">
            <v>1309.3399999999999</v>
          </cell>
          <cell r="H1497">
            <v>1308.17</v>
          </cell>
          <cell r="I1497">
            <v>1308.1400000000001</v>
          </cell>
          <cell r="J1497">
            <v>6.8</v>
          </cell>
          <cell r="K1497">
            <v>0</v>
          </cell>
          <cell r="L1497" t="str">
            <v xml:space="preserve">Tramos Existentes </v>
          </cell>
          <cell r="M1497" t="str">
            <v>Existente</v>
          </cell>
        </row>
        <row r="1498">
          <cell r="B1498">
            <v>471</v>
          </cell>
          <cell r="C1498">
            <v>410</v>
          </cell>
          <cell r="D1498">
            <v>1.4999999999999999E-2</v>
          </cell>
          <cell r="E1498">
            <v>10</v>
          </cell>
          <cell r="F1498">
            <v>1310.79</v>
          </cell>
          <cell r="G1498">
            <v>1309.9100000000001</v>
          </cell>
          <cell r="H1498">
            <v>1308.8900000000001</v>
          </cell>
          <cell r="I1498">
            <v>1307.45</v>
          </cell>
          <cell r="J1498">
            <v>62</v>
          </cell>
          <cell r="K1498">
            <v>0</v>
          </cell>
          <cell r="L1498" t="str">
            <v xml:space="preserve">Tramos Existentes </v>
          </cell>
          <cell r="M1498" t="str">
            <v>Existente</v>
          </cell>
        </row>
        <row r="1499">
          <cell r="B1499" t="str">
            <v>P16</v>
          </cell>
          <cell r="C1499">
            <v>418</v>
          </cell>
          <cell r="D1499">
            <v>1.4999999999999999E-2</v>
          </cell>
          <cell r="E1499">
            <v>10</v>
          </cell>
          <cell r="F1499">
            <v>1311.4</v>
          </cell>
          <cell r="G1499">
            <v>1311.3</v>
          </cell>
          <cell r="H1499">
            <v>1308.5899999999999</v>
          </cell>
          <cell r="I1499">
            <v>1308.6300000000001</v>
          </cell>
          <cell r="J1499">
            <v>9.5</v>
          </cell>
          <cell r="K1499">
            <v>0</v>
          </cell>
          <cell r="L1499" t="str">
            <v xml:space="preserve">Tramos Existentes </v>
          </cell>
          <cell r="M1499" t="str">
            <v>Existente</v>
          </cell>
        </row>
        <row r="1500">
          <cell r="B1500">
            <v>912</v>
          </cell>
          <cell r="C1500">
            <v>992</v>
          </cell>
          <cell r="D1500">
            <v>1.4999999999999999E-2</v>
          </cell>
          <cell r="E1500">
            <v>10</v>
          </cell>
          <cell r="F1500">
            <v>1312.99</v>
          </cell>
          <cell r="G1500">
            <v>1313.22</v>
          </cell>
          <cell r="H1500">
            <v>1308.32</v>
          </cell>
          <cell r="I1500">
            <v>1309.17</v>
          </cell>
          <cell r="J1500">
            <v>74.400000000000006</v>
          </cell>
          <cell r="K1500">
            <v>0</v>
          </cell>
          <cell r="L1500" t="str">
            <v xml:space="preserve">Tramos Existentes </v>
          </cell>
          <cell r="M1500" t="str">
            <v>Existente</v>
          </cell>
        </row>
        <row r="1501">
          <cell r="B1501">
            <v>1049</v>
          </cell>
          <cell r="C1501">
            <v>900</v>
          </cell>
          <cell r="D1501">
            <v>1.4999999999999999E-2</v>
          </cell>
          <cell r="E1501">
            <v>8</v>
          </cell>
          <cell r="F1501">
            <v>1312.44</v>
          </cell>
          <cell r="G1501">
            <v>1312.36</v>
          </cell>
          <cell r="H1501">
            <v>1309.6099999999999</v>
          </cell>
          <cell r="I1501">
            <v>1307.56</v>
          </cell>
          <cell r="J1501">
            <v>12</v>
          </cell>
          <cell r="K1501">
            <v>0</v>
          </cell>
          <cell r="L1501" t="str">
            <v xml:space="preserve">Tramos Existentes </v>
          </cell>
          <cell r="M1501" t="str">
            <v>Existente</v>
          </cell>
        </row>
        <row r="1502">
          <cell r="B1502">
            <v>455</v>
          </cell>
          <cell r="C1502">
            <v>451</v>
          </cell>
          <cell r="D1502">
            <v>1.4999999999999999E-2</v>
          </cell>
          <cell r="E1502">
            <v>12</v>
          </cell>
          <cell r="F1502">
            <v>1311.6</v>
          </cell>
          <cell r="G1502">
            <v>1307.22</v>
          </cell>
          <cell r="H1502">
            <v>1309.77</v>
          </cell>
          <cell r="I1502">
            <v>1303.81</v>
          </cell>
          <cell r="J1502">
            <v>31.4</v>
          </cell>
          <cell r="K1502">
            <v>0</v>
          </cell>
          <cell r="L1502" t="str">
            <v xml:space="preserve">Tramos Existentes </v>
          </cell>
          <cell r="M1502" t="str">
            <v>Existente</v>
          </cell>
        </row>
        <row r="1503">
          <cell r="B1503">
            <v>556</v>
          </cell>
          <cell r="C1503">
            <v>485</v>
          </cell>
          <cell r="D1503">
            <v>1.4999999999999999E-2</v>
          </cell>
          <cell r="E1503">
            <v>10</v>
          </cell>
          <cell r="F1503">
            <v>1312.58</v>
          </cell>
          <cell r="G1503">
            <v>1311.17</v>
          </cell>
          <cell r="H1503">
            <v>1310</v>
          </cell>
          <cell r="I1503">
            <v>1308.26</v>
          </cell>
          <cell r="J1503">
            <v>30.6</v>
          </cell>
          <cell r="K1503">
            <v>0</v>
          </cell>
          <cell r="L1503" t="str">
            <v xml:space="preserve">Tramos Existentes </v>
          </cell>
          <cell r="M1503" t="str">
            <v>Existente</v>
          </cell>
        </row>
        <row r="1504">
          <cell r="B1504">
            <v>411</v>
          </cell>
          <cell r="C1504">
            <v>412</v>
          </cell>
          <cell r="D1504">
            <v>0.01</v>
          </cell>
          <cell r="E1504">
            <v>12</v>
          </cell>
          <cell r="F1504">
            <v>1313.45</v>
          </cell>
          <cell r="G1504">
            <v>1310.0999999999999</v>
          </cell>
          <cell r="H1504">
            <v>1310.1099999999999</v>
          </cell>
          <cell r="I1504">
            <v>1308.19</v>
          </cell>
          <cell r="J1504">
            <v>45.4</v>
          </cell>
          <cell r="K1504">
            <v>0</v>
          </cell>
          <cell r="L1504" t="str">
            <v xml:space="preserve">Tramos Existentes </v>
          </cell>
          <cell r="M1504" t="str">
            <v>Existente</v>
          </cell>
        </row>
        <row r="1505">
          <cell r="B1505">
            <v>375</v>
          </cell>
          <cell r="C1505">
            <v>444</v>
          </cell>
          <cell r="D1505">
            <v>1.4999999999999999E-2</v>
          </cell>
          <cell r="E1505">
            <v>12</v>
          </cell>
          <cell r="F1505">
            <v>1313.05</v>
          </cell>
          <cell r="G1505">
            <v>1311.33</v>
          </cell>
          <cell r="H1505">
            <v>1310.6400000000001</v>
          </cell>
          <cell r="I1505">
            <v>1309.3800000000001</v>
          </cell>
          <cell r="J1505">
            <v>70.5</v>
          </cell>
          <cell r="K1505">
            <v>0</v>
          </cell>
          <cell r="L1505" t="str">
            <v xml:space="preserve">Tramos Existentes </v>
          </cell>
          <cell r="M1505" t="str">
            <v>Existente</v>
          </cell>
        </row>
        <row r="1506">
          <cell r="B1506">
            <v>555</v>
          </cell>
          <cell r="C1506">
            <v>484</v>
          </cell>
          <cell r="D1506">
            <v>1.4999999999999999E-2</v>
          </cell>
          <cell r="E1506">
            <v>10</v>
          </cell>
          <cell r="F1506">
            <v>1313</v>
          </cell>
          <cell r="G1506">
            <v>1311.16</v>
          </cell>
          <cell r="H1506">
            <v>1310.89</v>
          </cell>
          <cell r="I1506">
            <v>1308.8</v>
          </cell>
          <cell r="J1506">
            <v>31.1</v>
          </cell>
          <cell r="K1506">
            <v>0</v>
          </cell>
          <cell r="L1506" t="str">
            <v xml:space="preserve">Tramos Existentes </v>
          </cell>
          <cell r="M1506" t="str">
            <v>Existente</v>
          </cell>
        </row>
        <row r="1507">
          <cell r="B1507">
            <v>740</v>
          </cell>
          <cell r="C1507">
            <v>733</v>
          </cell>
          <cell r="D1507">
            <v>1.4999999999999999E-2</v>
          </cell>
          <cell r="E1507">
            <v>12</v>
          </cell>
          <cell r="F1507">
            <v>1314.08</v>
          </cell>
          <cell r="G1507">
            <v>1313.02</v>
          </cell>
          <cell r="H1507">
            <v>1311.97</v>
          </cell>
          <cell r="I1507">
            <v>1308.97</v>
          </cell>
          <cell r="J1507">
            <v>59.5</v>
          </cell>
          <cell r="K1507">
            <v>0</v>
          </cell>
          <cell r="L1507" t="str">
            <v xml:space="preserve">Renovacion </v>
          </cell>
          <cell r="M1507" t="str">
            <v>Existente</v>
          </cell>
        </row>
        <row r="1508">
          <cell r="B1508">
            <v>479</v>
          </cell>
          <cell r="C1508">
            <v>478</v>
          </cell>
          <cell r="D1508">
            <v>0.01</v>
          </cell>
          <cell r="E1508">
            <v>12</v>
          </cell>
          <cell r="F1508">
            <v>1313.91</v>
          </cell>
          <cell r="G1508">
            <v>1312.18</v>
          </cell>
          <cell r="H1508">
            <v>1312.23</v>
          </cell>
          <cell r="I1508">
            <v>1310.25</v>
          </cell>
          <cell r="J1508">
            <v>32.1</v>
          </cell>
          <cell r="K1508">
            <v>0</v>
          </cell>
          <cell r="L1508" t="str">
            <v xml:space="preserve">Tramos Existentes </v>
          </cell>
          <cell r="M1508" t="str">
            <v>Existente</v>
          </cell>
        </row>
        <row r="1509">
          <cell r="B1509">
            <v>629</v>
          </cell>
          <cell r="C1509">
            <v>1020</v>
          </cell>
          <cell r="D1509">
            <v>1.4999999999999999E-2</v>
          </cell>
          <cell r="E1509">
            <v>8</v>
          </cell>
          <cell r="F1509">
            <v>1314.41</v>
          </cell>
          <cell r="G1509">
            <v>1313.52</v>
          </cell>
          <cell r="H1509">
            <v>1312.28</v>
          </cell>
          <cell r="I1509">
            <v>1311.38</v>
          </cell>
          <cell r="J1509">
            <v>23.6</v>
          </cell>
          <cell r="K1509">
            <v>0</v>
          </cell>
          <cell r="L1509" t="str">
            <v xml:space="preserve">Tramos Existentes </v>
          </cell>
          <cell r="M1509" t="str">
            <v>Existente</v>
          </cell>
        </row>
        <row r="1510">
          <cell r="B1510">
            <v>737</v>
          </cell>
          <cell r="C1510">
            <v>734</v>
          </cell>
          <cell r="D1510">
            <v>1.4999999999999999E-2</v>
          </cell>
          <cell r="E1510">
            <v>12</v>
          </cell>
          <cell r="F1510">
            <v>1314.05</v>
          </cell>
          <cell r="G1510">
            <v>1313.92</v>
          </cell>
          <cell r="H1510">
            <v>1312.64</v>
          </cell>
          <cell r="I1510">
            <v>1312.32</v>
          </cell>
          <cell r="J1510">
            <v>10</v>
          </cell>
          <cell r="K1510">
            <v>0</v>
          </cell>
          <cell r="L1510" t="str">
            <v xml:space="preserve">Renovacion </v>
          </cell>
          <cell r="M1510" t="str">
            <v>Existente</v>
          </cell>
        </row>
        <row r="1511">
          <cell r="B1511">
            <v>626</v>
          </cell>
          <cell r="C1511">
            <v>625</v>
          </cell>
          <cell r="D1511">
            <v>1.4999999999999999E-2</v>
          </cell>
          <cell r="E1511">
            <v>8</v>
          </cell>
          <cell r="F1511">
            <v>1316.16</v>
          </cell>
          <cell r="G1511">
            <v>1314.53</v>
          </cell>
          <cell r="H1511">
            <v>1313.35</v>
          </cell>
          <cell r="I1511">
            <v>1313.49</v>
          </cell>
          <cell r="J1511">
            <v>38.4</v>
          </cell>
          <cell r="K1511">
            <v>0</v>
          </cell>
          <cell r="L1511" t="str">
            <v xml:space="preserve">Tramos Existentes </v>
          </cell>
          <cell r="M1511" t="str">
            <v>Existente</v>
          </cell>
        </row>
        <row r="1512">
          <cell r="B1512">
            <v>271</v>
          </cell>
          <cell r="C1512">
            <v>341</v>
          </cell>
          <cell r="D1512">
            <v>0.01</v>
          </cell>
          <cell r="E1512">
            <v>8</v>
          </cell>
          <cell r="F1512">
            <v>1316.81</v>
          </cell>
          <cell r="G1512">
            <v>1316.17</v>
          </cell>
          <cell r="H1512">
            <v>1315</v>
          </cell>
          <cell r="I1512">
            <v>1314.16</v>
          </cell>
          <cell r="J1512">
            <v>32</v>
          </cell>
          <cell r="K1512">
            <v>0</v>
          </cell>
          <cell r="L1512" t="str">
            <v xml:space="preserve">Tramos Existentes </v>
          </cell>
          <cell r="M1512" t="str">
            <v>Existente</v>
          </cell>
        </row>
        <row r="1513">
          <cell r="B1513">
            <v>276</v>
          </cell>
          <cell r="C1513">
            <v>347</v>
          </cell>
          <cell r="D1513">
            <v>1.4999999999999999E-2</v>
          </cell>
          <cell r="E1513">
            <v>12</v>
          </cell>
          <cell r="F1513">
            <v>1317.96</v>
          </cell>
          <cell r="G1513">
            <v>1316.45</v>
          </cell>
          <cell r="H1513">
            <v>1315.75</v>
          </cell>
          <cell r="I1513">
            <v>1314.03</v>
          </cell>
          <cell r="J1513">
            <v>76.8</v>
          </cell>
          <cell r="K1513">
            <v>0</v>
          </cell>
          <cell r="L1513" t="str">
            <v xml:space="preserve">Tramos Existentes </v>
          </cell>
          <cell r="M1513" t="str">
            <v>Existente</v>
          </cell>
        </row>
        <row r="1514">
          <cell r="B1514">
            <v>566</v>
          </cell>
          <cell r="C1514">
            <v>347</v>
          </cell>
          <cell r="D1514">
            <v>1.4999999999999999E-2</v>
          </cell>
          <cell r="E1514">
            <v>10</v>
          </cell>
          <cell r="F1514">
            <v>1319.16</v>
          </cell>
          <cell r="G1514">
            <v>1316.45</v>
          </cell>
          <cell r="H1514">
            <v>1316.83</v>
          </cell>
          <cell r="I1514">
            <v>1314.03</v>
          </cell>
          <cell r="J1514">
            <v>74</v>
          </cell>
          <cell r="K1514">
            <v>0</v>
          </cell>
          <cell r="L1514" t="str">
            <v xml:space="preserve">Tramos Existentes </v>
          </cell>
          <cell r="M1514" t="str">
            <v>Existente</v>
          </cell>
        </row>
        <row r="1515">
          <cell r="B1515">
            <v>907</v>
          </cell>
          <cell r="C1515">
            <v>916</v>
          </cell>
          <cell r="D1515">
            <v>1.4999999999999999E-2</v>
          </cell>
          <cell r="E1515">
            <v>8</v>
          </cell>
          <cell r="F1515">
            <v>1320.6</v>
          </cell>
          <cell r="G1515">
            <v>1320.08</v>
          </cell>
          <cell r="H1515">
            <v>1318.75</v>
          </cell>
          <cell r="I1515">
            <v>1318.23</v>
          </cell>
          <cell r="J1515">
            <v>54.4</v>
          </cell>
          <cell r="K1515">
            <v>0</v>
          </cell>
          <cell r="L1515" t="str">
            <v xml:space="preserve">Tramos Existentes </v>
          </cell>
          <cell r="M1515" t="str">
            <v>Existente</v>
          </cell>
        </row>
        <row r="1516">
          <cell r="B1516">
            <v>499</v>
          </cell>
          <cell r="C1516">
            <v>500</v>
          </cell>
          <cell r="D1516">
            <v>1.4999999999999999E-2</v>
          </cell>
          <cell r="E1516">
            <v>10</v>
          </cell>
          <cell r="F1516">
            <v>1322.3</v>
          </cell>
          <cell r="G1516">
            <v>1322.4</v>
          </cell>
          <cell r="H1516">
            <v>1320.02</v>
          </cell>
          <cell r="I1516">
            <v>1319.8</v>
          </cell>
          <cell r="J1516">
            <v>10.199999999999999</v>
          </cell>
          <cell r="K1516">
            <v>0</v>
          </cell>
          <cell r="L1516" t="str">
            <v xml:space="preserve">Tramos Existentes </v>
          </cell>
          <cell r="M1516" t="str">
            <v>Existente</v>
          </cell>
        </row>
        <row r="1517">
          <cell r="B1517">
            <v>492</v>
          </cell>
          <cell r="C1517">
            <v>493</v>
          </cell>
          <cell r="D1517">
            <v>1.4999999999999999E-2</v>
          </cell>
          <cell r="E1517">
            <v>10</v>
          </cell>
          <cell r="F1517">
            <v>1322.47</v>
          </cell>
          <cell r="G1517">
            <v>1321.96</v>
          </cell>
          <cell r="H1517">
            <v>1320.74</v>
          </cell>
          <cell r="I1517">
            <v>1320.3</v>
          </cell>
          <cell r="J1517">
            <v>43</v>
          </cell>
          <cell r="K1517">
            <v>0</v>
          </cell>
          <cell r="L1517" t="str">
            <v xml:space="preserve">Tramos Existentes </v>
          </cell>
          <cell r="M1517" t="str">
            <v>Existente</v>
          </cell>
        </row>
      </sheetData>
      <sheetData sheetId="3"/>
      <sheetData sheetId="4">
        <row r="1">
          <cell r="A1" t="str">
            <v>POZO</v>
          </cell>
        </row>
      </sheetData>
      <sheetData sheetId="5">
        <row r="1">
          <cell r="A1" t="str">
            <v>DESCARGA</v>
          </cell>
          <cell r="B1" t="str">
            <v>COORDENADA ESTE (m)</v>
          </cell>
          <cell r="C1" t="str">
            <v>COORDENADA NORTE  (m)</v>
          </cell>
          <cell r="D1" t="str">
            <v>COTA TERRENO (m.s.n.m.)</v>
          </cell>
          <cell r="E1" t="str">
            <v>COTA BATEA (m.s.n.m.)</v>
          </cell>
          <cell r="F1" t="str">
            <v>ESTADO</v>
          </cell>
        </row>
        <row r="2">
          <cell r="A2" t="str">
            <v>PTAR</v>
          </cell>
          <cell r="B2">
            <v>1143802.18</v>
          </cell>
          <cell r="C2">
            <v>1001704.73</v>
          </cell>
          <cell r="D2">
            <v>1249.57</v>
          </cell>
          <cell r="E2">
            <v>1246.82</v>
          </cell>
          <cell r="F2" t="str">
            <v>Nuevo</v>
          </cell>
        </row>
        <row r="3">
          <cell r="A3" t="str">
            <v>D2</v>
          </cell>
          <cell r="B3">
            <v>1144979.75</v>
          </cell>
          <cell r="C3">
            <v>1003581.35</v>
          </cell>
          <cell r="D3">
            <v>1266.3900000000001</v>
          </cell>
          <cell r="E3">
            <v>1266.3900000000001</v>
          </cell>
          <cell r="F3" t="str">
            <v>Excedentes</v>
          </cell>
        </row>
        <row r="4">
          <cell r="A4" t="str">
            <v>D3</v>
          </cell>
          <cell r="B4">
            <v>1145103.67</v>
          </cell>
          <cell r="C4">
            <v>1002980.85</v>
          </cell>
          <cell r="D4">
            <v>1273.03</v>
          </cell>
          <cell r="E4">
            <v>1273.03</v>
          </cell>
          <cell r="F4" t="str">
            <v>Existente</v>
          </cell>
        </row>
        <row r="5">
          <cell r="A5" t="str">
            <v>D4</v>
          </cell>
          <cell r="B5">
            <v>1146586.3700000001</v>
          </cell>
          <cell r="C5">
            <v>1003484.95</v>
          </cell>
          <cell r="D5">
            <v>1295.3900000000001</v>
          </cell>
          <cell r="E5">
            <v>1295.3900000000001</v>
          </cell>
          <cell r="F5" t="str">
            <v>Excedentes</v>
          </cell>
        </row>
        <row r="6">
          <cell r="A6" t="str">
            <v>D5</v>
          </cell>
          <cell r="B6">
            <v>1146182.8400000001</v>
          </cell>
          <cell r="C6">
            <v>1003570.65</v>
          </cell>
          <cell r="D6">
            <v>1304.78</v>
          </cell>
          <cell r="E6">
            <v>1304.78</v>
          </cell>
          <cell r="F6" t="str">
            <v>Excedentes</v>
          </cell>
        </row>
        <row r="7">
          <cell r="A7" t="str">
            <v>D6</v>
          </cell>
          <cell r="B7">
            <v>1145915.6499999999</v>
          </cell>
          <cell r="C7">
            <v>1002735.15</v>
          </cell>
          <cell r="D7">
            <v>1263.06</v>
          </cell>
          <cell r="E7">
            <v>1263.06</v>
          </cell>
          <cell r="F7" t="str">
            <v>Excedentes</v>
          </cell>
        </row>
        <row r="8">
          <cell r="A8" t="str">
            <v>D7</v>
          </cell>
          <cell r="B8">
            <v>1146248.6399999999</v>
          </cell>
          <cell r="C8">
            <v>1004033.83</v>
          </cell>
          <cell r="D8">
            <v>1287.4100000000001</v>
          </cell>
          <cell r="E8">
            <v>1287.4100000000001</v>
          </cell>
          <cell r="F8" t="str">
            <v>Existente</v>
          </cell>
        </row>
        <row r="9">
          <cell r="A9" t="str">
            <v>D8</v>
          </cell>
          <cell r="B9">
            <v>1146084.18</v>
          </cell>
          <cell r="C9">
            <v>1004202.02</v>
          </cell>
          <cell r="D9">
            <v>1295.31</v>
          </cell>
          <cell r="E9">
            <v>1295.31</v>
          </cell>
          <cell r="F9" t="str">
            <v>Existente</v>
          </cell>
        </row>
        <row r="10">
          <cell r="A10" t="str">
            <v>D9</v>
          </cell>
          <cell r="B10">
            <v>1146184.1299999999</v>
          </cell>
          <cell r="C10">
            <v>1003641.57</v>
          </cell>
          <cell r="D10">
            <v>1286.21</v>
          </cell>
          <cell r="E10">
            <v>1286.21</v>
          </cell>
          <cell r="F10" t="str">
            <v>Excedentes</v>
          </cell>
        </row>
        <row r="11">
          <cell r="A11" t="str">
            <v>D10</v>
          </cell>
          <cell r="B11">
            <v>1144697.04</v>
          </cell>
          <cell r="C11">
            <v>1003097.43</v>
          </cell>
          <cell r="D11">
            <v>1264.93</v>
          </cell>
          <cell r="E11">
            <v>1264.93</v>
          </cell>
          <cell r="F11" t="str">
            <v>Excedentes</v>
          </cell>
        </row>
        <row r="12">
          <cell r="A12" t="str">
            <v>D11</v>
          </cell>
          <cell r="B12">
            <v>1146572.56</v>
          </cell>
          <cell r="C12">
            <v>1002578.99</v>
          </cell>
          <cell r="D12">
            <v>1286.76</v>
          </cell>
          <cell r="E12">
            <v>1286.76</v>
          </cell>
          <cell r="F12" t="str">
            <v>Existente</v>
          </cell>
        </row>
        <row r="13">
          <cell r="A13" t="str">
            <v>D12</v>
          </cell>
          <cell r="B13">
            <v>1146245.6000000001</v>
          </cell>
          <cell r="C13">
            <v>1002852.53</v>
          </cell>
          <cell r="D13">
            <v>1281.69</v>
          </cell>
          <cell r="E13">
            <v>1281.69</v>
          </cell>
          <cell r="F13" t="str">
            <v>Excedentes</v>
          </cell>
        </row>
        <row r="14">
          <cell r="A14" t="str">
            <v>D13</v>
          </cell>
          <cell r="B14">
            <v>1145703.76</v>
          </cell>
          <cell r="C14">
            <v>1004416.64</v>
          </cell>
          <cell r="D14">
            <v>1265.49</v>
          </cell>
          <cell r="E14">
            <v>1265.49</v>
          </cell>
          <cell r="F14" t="str">
            <v>Existente</v>
          </cell>
        </row>
        <row r="15">
          <cell r="A15" t="str">
            <v>D14</v>
          </cell>
          <cell r="B15">
            <v>1145171.22</v>
          </cell>
          <cell r="C15">
            <v>1003337</v>
          </cell>
          <cell r="D15">
            <v>1274.25</v>
          </cell>
          <cell r="E15">
            <v>1274.25</v>
          </cell>
          <cell r="F15" t="str">
            <v>Excedentes</v>
          </cell>
        </row>
        <row r="16">
          <cell r="A16" t="str">
            <v>D15</v>
          </cell>
          <cell r="B16">
            <v>1146568.93</v>
          </cell>
          <cell r="C16">
            <v>1004044.68</v>
          </cell>
          <cell r="D16">
            <v>1284.51</v>
          </cell>
          <cell r="E16">
            <v>1284.51</v>
          </cell>
          <cell r="F16" t="str">
            <v>Existente</v>
          </cell>
        </row>
        <row r="17">
          <cell r="A17" t="str">
            <v>D16</v>
          </cell>
          <cell r="B17">
            <v>1146536.97</v>
          </cell>
          <cell r="C17">
            <v>1004086.14</v>
          </cell>
          <cell r="D17">
            <v>1282.06</v>
          </cell>
          <cell r="E17">
            <v>1282.06</v>
          </cell>
          <cell r="F17" t="str">
            <v>Existente</v>
          </cell>
        </row>
        <row r="18">
          <cell r="A18" t="str">
            <v>D17</v>
          </cell>
          <cell r="B18">
            <v>1145698.03</v>
          </cell>
          <cell r="C18">
            <v>1002915.61</v>
          </cell>
          <cell r="D18">
            <v>1293.68</v>
          </cell>
          <cell r="E18">
            <v>1293.68</v>
          </cell>
          <cell r="F18" t="str">
            <v>Exedente</v>
          </cell>
        </row>
        <row r="19">
          <cell r="A19" t="str">
            <v>D18</v>
          </cell>
          <cell r="B19">
            <v>1145723.0900000001</v>
          </cell>
          <cell r="C19">
            <v>1002727.01</v>
          </cell>
          <cell r="D19">
            <v>1284.1199999999999</v>
          </cell>
          <cell r="E19">
            <v>1284.1199999999999</v>
          </cell>
          <cell r="F19" t="str">
            <v>Exedente</v>
          </cell>
        </row>
        <row r="20">
          <cell r="A20" t="str">
            <v>D19</v>
          </cell>
          <cell r="B20">
            <v>1146326.33</v>
          </cell>
          <cell r="C20">
            <v>1003622.75</v>
          </cell>
          <cell r="D20">
            <v>1295.55</v>
          </cell>
          <cell r="E20">
            <v>1295.55</v>
          </cell>
          <cell r="F20" t="str">
            <v>Existente</v>
          </cell>
        </row>
        <row r="21">
          <cell r="A21" t="str">
            <v>D20</v>
          </cell>
          <cell r="B21">
            <v>1145086.99</v>
          </cell>
          <cell r="C21">
            <v>1002284.37</v>
          </cell>
          <cell r="D21">
            <v>1245.1199999999999</v>
          </cell>
          <cell r="E21">
            <v>1245.1199999999999</v>
          </cell>
          <cell r="F21" t="str">
            <v>Exedente</v>
          </cell>
        </row>
        <row r="22">
          <cell r="A22" t="str">
            <v>D21</v>
          </cell>
          <cell r="B22">
            <v>1146302.33</v>
          </cell>
          <cell r="C22">
            <v>1003615.46</v>
          </cell>
          <cell r="D22">
            <v>1290.17</v>
          </cell>
          <cell r="E22">
            <v>1290.17</v>
          </cell>
          <cell r="F22" t="str">
            <v>Existente</v>
          </cell>
        </row>
        <row r="23">
          <cell r="A23" t="str">
            <v>D23</v>
          </cell>
          <cell r="B23">
            <v>1146172.54</v>
          </cell>
          <cell r="C23">
            <v>1003696.39</v>
          </cell>
          <cell r="D23">
            <v>1285.47</v>
          </cell>
          <cell r="E23">
            <v>1284.6199999999999</v>
          </cell>
          <cell r="F23" t="str">
            <v>Exedente</v>
          </cell>
        </row>
        <row r="24">
          <cell r="A24" t="str">
            <v>D24</v>
          </cell>
          <cell r="B24">
            <v>1145867.53</v>
          </cell>
          <cell r="C24">
            <v>1003502.13</v>
          </cell>
          <cell r="D24">
            <v>1298.28</v>
          </cell>
          <cell r="E24">
            <v>1298.28</v>
          </cell>
          <cell r="F24" t="str">
            <v>Exedente</v>
          </cell>
        </row>
        <row r="25">
          <cell r="A25" t="str">
            <v>D25</v>
          </cell>
          <cell r="B25">
            <v>1145053.2</v>
          </cell>
          <cell r="C25">
            <v>1002998.79</v>
          </cell>
          <cell r="D25">
            <v>1273.01</v>
          </cell>
          <cell r="E25">
            <v>1273.01</v>
          </cell>
          <cell r="F25" t="str">
            <v>Existente</v>
          </cell>
        </row>
        <row r="26">
          <cell r="A26" t="str">
            <v>D26</v>
          </cell>
          <cell r="B26">
            <v>1145040.3500000001</v>
          </cell>
          <cell r="C26">
            <v>1003522.16</v>
          </cell>
          <cell r="D26">
            <v>1268.8399999999999</v>
          </cell>
          <cell r="E26">
            <v>1268.8399999999999</v>
          </cell>
          <cell r="F26" t="str">
            <v>Exedente</v>
          </cell>
        </row>
        <row r="27">
          <cell r="A27" t="str">
            <v>D27</v>
          </cell>
          <cell r="B27">
            <v>1145467.17</v>
          </cell>
          <cell r="C27">
            <v>1003633.63</v>
          </cell>
          <cell r="D27">
            <v>1279.68</v>
          </cell>
          <cell r="E27">
            <v>1279.68</v>
          </cell>
          <cell r="F27" t="str">
            <v>Existente</v>
          </cell>
        </row>
        <row r="28">
          <cell r="A28" t="str">
            <v>D28</v>
          </cell>
          <cell r="B28">
            <v>1146489.29</v>
          </cell>
          <cell r="C28">
            <v>1003465.88</v>
          </cell>
          <cell r="D28">
            <v>1293.4100000000001</v>
          </cell>
          <cell r="E28">
            <v>1293.4100000000001</v>
          </cell>
          <cell r="F28" t="str">
            <v>Exedente</v>
          </cell>
        </row>
        <row r="29">
          <cell r="A29" t="str">
            <v>D29</v>
          </cell>
          <cell r="B29">
            <v>1146381.75</v>
          </cell>
          <cell r="C29">
            <v>1003441.66</v>
          </cell>
          <cell r="D29">
            <v>1291.98</v>
          </cell>
          <cell r="E29">
            <v>1291.98</v>
          </cell>
          <cell r="F29" t="str">
            <v>Exedente</v>
          </cell>
        </row>
        <row r="30">
          <cell r="A30" t="str">
            <v>D30</v>
          </cell>
          <cell r="B30">
            <v>1146349.1599999999</v>
          </cell>
          <cell r="C30">
            <v>1003418.06</v>
          </cell>
          <cell r="D30">
            <v>1288.8</v>
          </cell>
          <cell r="E30">
            <v>1288.8</v>
          </cell>
          <cell r="F30" t="str">
            <v>Exedente</v>
          </cell>
        </row>
        <row r="31">
          <cell r="A31" t="str">
            <v>D31</v>
          </cell>
          <cell r="B31">
            <v>1145413.4099999999</v>
          </cell>
          <cell r="C31">
            <v>1003657.03</v>
          </cell>
          <cell r="D31">
            <v>1279.24</v>
          </cell>
          <cell r="E31">
            <v>1279.24</v>
          </cell>
          <cell r="F31" t="str">
            <v>Existente</v>
          </cell>
        </row>
        <row r="32">
          <cell r="A32" t="str">
            <v>D32</v>
          </cell>
          <cell r="B32">
            <v>1146006.56</v>
          </cell>
          <cell r="C32">
            <v>1002688.39</v>
          </cell>
          <cell r="D32">
            <v>1249.49</v>
          </cell>
          <cell r="E32">
            <v>1249.49</v>
          </cell>
          <cell r="F32" t="str">
            <v>Exedente</v>
          </cell>
        </row>
        <row r="33">
          <cell r="A33" t="str">
            <v>D33</v>
          </cell>
          <cell r="B33">
            <v>1146206.73</v>
          </cell>
          <cell r="C33">
            <v>1002652.83</v>
          </cell>
          <cell r="D33">
            <v>1253.6099999999999</v>
          </cell>
          <cell r="E33">
            <v>1253.6099999999999</v>
          </cell>
          <cell r="F33" t="str">
            <v>Exedente</v>
          </cell>
        </row>
        <row r="34">
          <cell r="A34" t="str">
            <v>D34</v>
          </cell>
          <cell r="B34">
            <v>1145991.07</v>
          </cell>
          <cell r="C34">
            <v>1002861.88</v>
          </cell>
          <cell r="D34">
            <v>1291.3900000000001</v>
          </cell>
          <cell r="E34">
            <v>1291.3900000000001</v>
          </cell>
          <cell r="F34" t="str">
            <v>Exedente</v>
          </cell>
        </row>
        <row r="35">
          <cell r="A35" t="str">
            <v>D35</v>
          </cell>
          <cell r="B35">
            <v>1146354.24</v>
          </cell>
          <cell r="C35">
            <v>1003363.11</v>
          </cell>
          <cell r="D35">
            <v>1288.94</v>
          </cell>
          <cell r="E35">
            <v>1288.94</v>
          </cell>
          <cell r="F35" t="str">
            <v>Exedente</v>
          </cell>
        </row>
        <row r="36">
          <cell r="A36" t="str">
            <v>D36</v>
          </cell>
          <cell r="B36">
            <v>1145025.57</v>
          </cell>
          <cell r="C36">
            <v>1003542.14</v>
          </cell>
          <cell r="D36">
            <v>1272.29</v>
          </cell>
          <cell r="E36">
            <v>1271.56</v>
          </cell>
          <cell r="F36" t="str">
            <v>Exedente</v>
          </cell>
        </row>
        <row r="37">
          <cell r="A37" t="str">
            <v>D37</v>
          </cell>
          <cell r="B37">
            <v>1145368.93</v>
          </cell>
          <cell r="C37">
            <v>1003691.21</v>
          </cell>
          <cell r="D37">
            <v>1279.02</v>
          </cell>
          <cell r="E37">
            <v>1279.02</v>
          </cell>
          <cell r="F37" t="str">
            <v>Existente</v>
          </cell>
        </row>
        <row r="38">
          <cell r="A38" t="str">
            <v>D38</v>
          </cell>
          <cell r="B38">
            <v>1147040.6599999999</v>
          </cell>
          <cell r="C38">
            <v>1002565.76</v>
          </cell>
          <cell r="D38">
            <v>1281.25</v>
          </cell>
          <cell r="E38">
            <v>1281.25</v>
          </cell>
          <cell r="F38" t="str">
            <v>Existente</v>
          </cell>
        </row>
        <row r="39">
          <cell r="A39" t="str">
            <v>D39</v>
          </cell>
          <cell r="B39">
            <v>1145012.25</v>
          </cell>
          <cell r="C39">
            <v>1003440.4</v>
          </cell>
          <cell r="D39">
            <v>1269.78</v>
          </cell>
          <cell r="E39">
            <v>1269.78</v>
          </cell>
          <cell r="F39" t="str">
            <v>Exedente</v>
          </cell>
        </row>
        <row r="40">
          <cell r="A40" t="str">
            <v>D1</v>
          </cell>
          <cell r="B40">
            <v>1146125.8700000001</v>
          </cell>
          <cell r="C40">
            <v>1003710.09</v>
          </cell>
          <cell r="D40">
            <v>1290.68</v>
          </cell>
          <cell r="E40">
            <v>1290.68</v>
          </cell>
          <cell r="F40" t="str">
            <v>Exedente</v>
          </cell>
        </row>
      </sheetData>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
      <sheetName val="PRESUPUESTO"/>
      <sheetName val="SMMV"/>
      <sheetName val="FACTOR PRESTACIONAL"/>
      <sheetName val="CUADRILLAS"/>
      <sheetName val="BASICOS"/>
      <sheetName val="APU-Modelo"/>
      <sheetName val="INSUMOS"/>
      <sheetName val="M. VIAS"/>
      <sheetName val="M. AL_SANITARIO"/>
      <sheetName val="M. AL_PLUVIAL"/>
      <sheetName val="M. ACUEDUCTO"/>
      <sheetName val="AIU"/>
      <sheetName val="PAGA"/>
      <sheetName val="PMT"/>
      <sheetName val="F. MULT"/>
      <sheetName val="INTERVENTORÍA"/>
      <sheetName val="1.1.1"/>
      <sheetName val="1.1.2"/>
      <sheetName val="1.2.1"/>
      <sheetName val="1.2.2"/>
      <sheetName val="1.2.3"/>
      <sheetName val="1.2.4"/>
      <sheetName val="1.3.1"/>
      <sheetName val="1.3.2"/>
      <sheetName val="1.3.3"/>
      <sheetName val="1.4.1"/>
      <sheetName val="1.4.2"/>
      <sheetName val="1.4.3"/>
      <sheetName val="1.4.4"/>
      <sheetName val="1.4.5 ADOQUIN"/>
      <sheetName val="1.5.1"/>
      <sheetName val="1.5.2"/>
      <sheetName val="1.5.3"/>
      <sheetName val="1.5.4"/>
      <sheetName val="1.6.1 EMPRADIZ"/>
      <sheetName val="1.5.5"/>
      <sheetName val="1.6.1"/>
      <sheetName val="1.6.2"/>
      <sheetName val="1.6.3"/>
      <sheetName val="1.6.4"/>
      <sheetName val="2.1.1 A"/>
      <sheetName val="2.1.2 A"/>
      <sheetName val="2.2.1 A"/>
      <sheetName val="2.2.2 A"/>
      <sheetName val="2.2.3 A"/>
      <sheetName val="2.3.1 A"/>
      <sheetName val="2.3.2 A"/>
      <sheetName val="2.3.3 A"/>
      <sheetName val="2.3.4 A"/>
      <sheetName val="2.3.5 A"/>
      <sheetName val="2.3.6 A"/>
      <sheetName val="2.4.1 A"/>
      <sheetName val="2.4.2 A"/>
      <sheetName val="2.4.3 A"/>
      <sheetName val="2.5.1 A"/>
      <sheetName val="2.5.2 A"/>
      <sheetName val="2.5.3 Sill"/>
      <sheetName val="2.5.4 A"/>
      <sheetName val="2.6.1 A"/>
      <sheetName val="2.6.2 A"/>
      <sheetName val="3.1.1 P"/>
      <sheetName val="3.2.1 P"/>
      <sheetName val="3.2.2 P"/>
      <sheetName val="3.2.3 P"/>
      <sheetName val="3.3.1 P"/>
      <sheetName val="3.3.2 P"/>
      <sheetName val="2.3.3 A (2)"/>
      <sheetName val="2.3.4 A (2)"/>
      <sheetName val="3.4.1 P"/>
      <sheetName val="3.4.2 P"/>
      <sheetName val="3.4.3 P"/>
      <sheetName val="3.5.1 P"/>
      <sheetName val="3.5.2 P"/>
      <sheetName val="3.6.1 P"/>
      <sheetName val="3.7.1 P"/>
      <sheetName val="4.1.1"/>
      <sheetName val="4.2.1"/>
      <sheetName val="4.2.2"/>
      <sheetName val="4.2.3"/>
      <sheetName val="4.3.1"/>
      <sheetName val="4.3.2"/>
      <sheetName val="4.3.3"/>
      <sheetName val="4.3.4"/>
      <sheetName val="4.3.5"/>
      <sheetName val="4.4.1"/>
      <sheetName val="4.4.2"/>
      <sheetName val="4.4.3"/>
      <sheetName val="4.4.4"/>
      <sheetName val="4.4.5"/>
      <sheetName val="4.5.1"/>
      <sheetName val="4.5.2"/>
      <sheetName val="4.5.3"/>
      <sheetName val="4.6.1"/>
      <sheetName val="4.6.2"/>
    </sheetNames>
    <sheetDataSet>
      <sheetData sheetId="0"/>
      <sheetData sheetId="1"/>
      <sheetData sheetId="2"/>
      <sheetData sheetId="3"/>
      <sheetData sheetId="4">
        <row r="3">
          <cell r="A3">
            <v>1</v>
          </cell>
          <cell r="B3">
            <v>2</v>
          </cell>
          <cell r="C3">
            <v>3</v>
          </cell>
          <cell r="D3">
            <v>4</v>
          </cell>
          <cell r="E3">
            <v>5</v>
          </cell>
          <cell r="F3">
            <v>6</v>
          </cell>
          <cell r="G3">
            <v>7</v>
          </cell>
          <cell r="H3">
            <v>8</v>
          </cell>
          <cell r="I3">
            <v>9</v>
          </cell>
          <cell r="J3">
            <v>10</v>
          </cell>
          <cell r="K3">
            <v>11</v>
          </cell>
          <cell r="L3">
            <v>12</v>
          </cell>
          <cell r="M3">
            <v>13</v>
          </cell>
          <cell r="N3">
            <v>14</v>
          </cell>
          <cell r="O3">
            <v>15</v>
          </cell>
        </row>
        <row r="4">
          <cell r="A4" t="str">
            <v>CÓDIGO</v>
          </cell>
          <cell r="B4" t="str">
            <v>TIPO DE CUADRILLA</v>
          </cell>
          <cell r="C4" t="str">
            <v>OCUPACION</v>
          </cell>
          <cell r="D4" t="str">
            <v>CANT/. SALARIOS</v>
          </cell>
          <cell r="E4" t="str">
            <v>JORNAL</v>
          </cell>
          <cell r="F4" t="str">
            <v>CANTIDAD</v>
          </cell>
          <cell r="G4" t="str">
            <v>V/PARCIAL</v>
          </cell>
          <cell r="H4" t="str">
            <v>VR/. PARCIAL CUADRILLA</v>
          </cell>
          <cell r="I4" t="str">
            <v>FACTOR PRESTACIONAL (%)</v>
          </cell>
          <cell r="J4" t="str">
            <v xml:space="preserve">PRESTACIONES </v>
          </cell>
          <cell r="K4" t="str">
            <v>VR/.TOTAL PRESTACIONES</v>
          </cell>
          <cell r="L4" t="str">
            <v>VR/. JORNAL CUADRILLA</v>
          </cell>
          <cell r="M4" t="str">
            <v>UNIDAD</v>
          </cell>
          <cell r="N4" t="str">
            <v>VR/. HORA TRABAJADOR</v>
          </cell>
          <cell r="O4" t="str">
            <v>VR/. HORA CUADRILLA</v>
          </cell>
        </row>
        <row r="5">
          <cell r="A5" t="str">
            <v>A</v>
          </cell>
          <cell r="B5" t="str">
            <v>Ayudante</v>
          </cell>
          <cell r="C5" t="str">
            <v>AYUDANTE</v>
          </cell>
          <cell r="D5" t="str">
            <v>1.2 S.M.L.V.</v>
          </cell>
          <cell r="E5">
            <v>39889.506666666668</v>
          </cell>
          <cell r="F5">
            <v>1</v>
          </cell>
          <cell r="G5">
            <v>39889.506666666668</v>
          </cell>
          <cell r="H5">
            <v>39890</v>
          </cell>
          <cell r="I5">
            <v>0.83919999999999995</v>
          </cell>
          <cell r="J5">
            <v>33475.273994666662</v>
          </cell>
          <cell r="K5">
            <v>33475</v>
          </cell>
          <cell r="L5">
            <v>73365</v>
          </cell>
          <cell r="M5" t="str">
            <v>HC</v>
          </cell>
          <cell r="N5">
            <v>9171</v>
          </cell>
          <cell r="O5">
            <v>9171</v>
          </cell>
        </row>
        <row r="6">
          <cell r="A6" t="str">
            <v>2A</v>
          </cell>
          <cell r="B6" t="str">
            <v>2 Ayudantes</v>
          </cell>
          <cell r="C6" t="str">
            <v>AYUDANTE</v>
          </cell>
          <cell r="D6" t="str">
            <v>1.2 S.M.L.V.</v>
          </cell>
          <cell r="E6">
            <v>39889.506666666668</v>
          </cell>
          <cell r="F6">
            <v>2</v>
          </cell>
          <cell r="G6">
            <v>79779.013333333336</v>
          </cell>
          <cell r="H6">
            <v>79779</v>
          </cell>
          <cell r="I6">
            <v>0.83919999999999995</v>
          </cell>
          <cell r="J6">
            <v>66950.547989333325</v>
          </cell>
          <cell r="K6">
            <v>66951</v>
          </cell>
          <cell r="L6">
            <v>146730</v>
          </cell>
          <cell r="M6" t="str">
            <v>HC</v>
          </cell>
          <cell r="N6">
            <v>9171</v>
          </cell>
          <cell r="O6">
            <v>18341</v>
          </cell>
        </row>
        <row r="7">
          <cell r="A7" t="str">
            <v>AA</v>
          </cell>
          <cell r="B7" t="str">
            <v>Cuadrilla AA: Albañilería. (1 Of. + 1 Ayud.).</v>
          </cell>
          <cell r="C7" t="str">
            <v>OFICIAL</v>
          </cell>
          <cell r="D7" t="str">
            <v>1.5 S.M.L.V.</v>
          </cell>
          <cell r="E7">
            <v>48974.76666666667</v>
          </cell>
          <cell r="F7">
            <v>1</v>
          </cell>
          <cell r="G7">
            <v>48974.76666666667</v>
          </cell>
          <cell r="H7">
            <v>88864</v>
          </cell>
          <cell r="I7">
            <v>0.83109999999999995</v>
          </cell>
          <cell r="J7">
            <v>40702.928576666665</v>
          </cell>
          <cell r="K7">
            <v>74178</v>
          </cell>
          <cell r="L7">
            <v>163042</v>
          </cell>
          <cell r="M7" t="str">
            <v>HC</v>
          </cell>
          <cell r="N7">
            <v>11210</v>
          </cell>
          <cell r="O7">
            <v>20380</v>
          </cell>
        </row>
        <row r="8">
          <cell r="C8" t="str">
            <v>AYUDANTE</v>
          </cell>
          <cell r="D8" t="str">
            <v>1.2 S.M.L.V.</v>
          </cell>
          <cell r="E8">
            <v>39889.506666666668</v>
          </cell>
          <cell r="F8">
            <v>1</v>
          </cell>
          <cell r="G8">
            <v>39889.506666666668</v>
          </cell>
          <cell r="I8">
            <v>0.83919999999999995</v>
          </cell>
          <cell r="J8">
            <v>33475.273994666662</v>
          </cell>
          <cell r="N8">
            <v>9171</v>
          </cell>
        </row>
        <row r="9">
          <cell r="A9" t="str">
            <v>BB</v>
          </cell>
          <cell r="B9" t="str">
            <v>Cuadrilla BB: Instalaciones básicas. (1 Of. + 1 Ayud.).</v>
          </cell>
          <cell r="C9" t="str">
            <v>OFICIAL</v>
          </cell>
          <cell r="D9" t="str">
            <v>2.0 S.M.L.V.</v>
          </cell>
          <cell r="E9">
            <v>64116.866666666669</v>
          </cell>
          <cell r="F9">
            <v>1</v>
          </cell>
          <cell r="G9">
            <v>64116.866666666669</v>
          </cell>
          <cell r="H9">
            <v>104006</v>
          </cell>
          <cell r="I9">
            <v>0.82269999999999999</v>
          </cell>
          <cell r="J9">
            <v>52748.946206666667</v>
          </cell>
          <cell r="K9">
            <v>86224</v>
          </cell>
          <cell r="L9">
            <v>190230</v>
          </cell>
          <cell r="M9" t="str">
            <v>HC</v>
          </cell>
          <cell r="N9">
            <v>14608</v>
          </cell>
          <cell r="O9">
            <v>23779</v>
          </cell>
        </row>
        <row r="10">
          <cell r="C10" t="str">
            <v>AYUDANTE</v>
          </cell>
          <cell r="D10" t="str">
            <v>1.2 S.M.L.V.</v>
          </cell>
          <cell r="E10">
            <v>39889.506666666668</v>
          </cell>
          <cell r="F10">
            <v>1</v>
          </cell>
          <cell r="G10">
            <v>39889.506666666668</v>
          </cell>
          <cell r="I10">
            <v>0.83919999999999995</v>
          </cell>
          <cell r="J10">
            <v>33475.273994666662</v>
          </cell>
          <cell r="N10">
            <v>9171</v>
          </cell>
        </row>
        <row r="11">
          <cell r="A11" t="str">
            <v>CC</v>
          </cell>
          <cell r="B11" t="str">
            <v>Cuadrilla CC: Pinturas.(1 Of.Pint.+ 1 Estuc. + 1 Ayud.).</v>
          </cell>
          <cell r="C11" t="str">
            <v>OFICIAL DE PINTURA</v>
          </cell>
          <cell r="D11" t="str">
            <v>2.5 S.M.L.V.</v>
          </cell>
          <cell r="E11">
            <v>75710.5</v>
          </cell>
          <cell r="F11">
            <v>1</v>
          </cell>
          <cell r="G11">
            <v>75710.5</v>
          </cell>
          <cell r="H11">
            <v>179717</v>
          </cell>
          <cell r="I11">
            <v>0.81069999999999998</v>
          </cell>
          <cell r="J11">
            <v>61378.502349999995</v>
          </cell>
          <cell r="K11">
            <v>147603</v>
          </cell>
          <cell r="L11">
            <v>327320</v>
          </cell>
          <cell r="M11" t="str">
            <v>HC</v>
          </cell>
          <cell r="N11">
            <v>17136</v>
          </cell>
          <cell r="O11">
            <v>40915</v>
          </cell>
        </row>
        <row r="12">
          <cell r="C12" t="str">
            <v>ESTUCADOR</v>
          </cell>
          <cell r="D12" t="str">
            <v>1.5 S.M.L.V.</v>
          </cell>
          <cell r="E12">
            <v>64116.866666666669</v>
          </cell>
          <cell r="F12">
            <v>1</v>
          </cell>
          <cell r="G12">
            <v>64116.866666666669</v>
          </cell>
          <cell r="I12">
            <v>0.82269999999999999</v>
          </cell>
          <cell r="J12">
            <v>52748.946206666667</v>
          </cell>
          <cell r="N12">
            <v>14608</v>
          </cell>
        </row>
        <row r="13">
          <cell r="B13" t="str">
            <v>CUADRILLA T5</v>
          </cell>
          <cell r="C13" t="str">
            <v>AYUDANTE</v>
          </cell>
          <cell r="D13" t="str">
            <v>1.2 S.M.L.V.</v>
          </cell>
          <cell r="E13">
            <v>39889.506666666668</v>
          </cell>
          <cell r="F13">
            <v>1</v>
          </cell>
          <cell r="G13">
            <v>39889.506666666668</v>
          </cell>
          <cell r="I13">
            <v>0.83919999999999995</v>
          </cell>
          <cell r="J13">
            <v>33475.273994666662</v>
          </cell>
          <cell r="N13">
            <v>9171</v>
          </cell>
        </row>
        <row r="14">
          <cell r="A14" t="str">
            <v>DD</v>
          </cell>
          <cell r="B14" t="str">
            <v>Cuadrilla DD: Carpintería en madera. (1 Carp. + 1 Ayud.).</v>
          </cell>
          <cell r="C14" t="str">
            <v>CARPINTERO</v>
          </cell>
          <cell r="D14" t="str">
            <v>2.5 S.M.L.V.</v>
          </cell>
          <cell r="E14">
            <v>75710.5</v>
          </cell>
          <cell r="F14">
            <v>1</v>
          </cell>
          <cell r="G14">
            <v>75710.5</v>
          </cell>
          <cell r="H14">
            <v>124685</v>
          </cell>
          <cell r="I14">
            <v>0.81069999999999998</v>
          </cell>
          <cell r="J14">
            <v>61378.502349999995</v>
          </cell>
          <cell r="K14">
            <v>102081</v>
          </cell>
          <cell r="L14">
            <v>226766</v>
          </cell>
          <cell r="M14" t="str">
            <v>HC</v>
          </cell>
          <cell r="N14">
            <v>17136</v>
          </cell>
          <cell r="O14">
            <v>28346</v>
          </cell>
        </row>
        <row r="15">
          <cell r="B15" t="str">
            <v>CUADRILLA T6</v>
          </cell>
          <cell r="C15" t="str">
            <v>AYUDANTE</v>
          </cell>
          <cell r="D15" t="str">
            <v>1.5 S.M.L.V.</v>
          </cell>
          <cell r="E15">
            <v>48974.76666666667</v>
          </cell>
          <cell r="F15">
            <v>1</v>
          </cell>
          <cell r="G15">
            <v>48974.76666666667</v>
          </cell>
          <cell r="I15">
            <v>0.83109999999999995</v>
          </cell>
          <cell r="J15">
            <v>40702.928576666665</v>
          </cell>
          <cell r="N15">
            <v>11210</v>
          </cell>
        </row>
        <row r="16">
          <cell r="A16" t="str">
            <v>EE</v>
          </cell>
          <cell r="B16" t="str">
            <v>Cuadrilla EE: Cableado estructurado.(1 Of. Instal.).</v>
          </cell>
          <cell r="C16" t="str">
            <v>OFICIAL INSTALACIÓN</v>
          </cell>
          <cell r="D16" t="str">
            <v>2.5 S.M.L.V.</v>
          </cell>
          <cell r="E16">
            <v>75710.5</v>
          </cell>
          <cell r="F16">
            <v>2</v>
          </cell>
          <cell r="G16">
            <v>151421</v>
          </cell>
          <cell r="H16">
            <v>151421</v>
          </cell>
          <cell r="I16">
            <v>0.81069999999999998</v>
          </cell>
          <cell r="J16">
            <v>122757.00469999999</v>
          </cell>
          <cell r="K16">
            <v>122757</v>
          </cell>
          <cell r="L16">
            <v>274178</v>
          </cell>
          <cell r="M16" t="str">
            <v>HC</v>
          </cell>
          <cell r="N16">
            <v>17136</v>
          </cell>
          <cell r="O16">
            <v>34272</v>
          </cell>
        </row>
        <row r="17">
          <cell r="A17" t="str">
            <v>FF</v>
          </cell>
          <cell r="B17" t="str">
            <v>Cuadrilla FF: Eléctricas. (0.3 Encar. + 1 Of. + 1 Ayud.).</v>
          </cell>
          <cell r="C17" t="str">
            <v>ENCARGADO DE OBRA</v>
          </cell>
          <cell r="D17" t="str">
            <v>3.0 S.M.L.V.</v>
          </cell>
          <cell r="E17">
            <v>90852.6</v>
          </cell>
          <cell r="F17">
            <v>0.3</v>
          </cell>
          <cell r="G17">
            <v>27255.780000000002</v>
          </cell>
          <cell r="H17">
            <v>140347</v>
          </cell>
          <cell r="I17">
            <v>0.80820000000000003</v>
          </cell>
          <cell r="J17">
            <v>22028.121396000002</v>
          </cell>
          <cell r="K17">
            <v>115480</v>
          </cell>
          <cell r="L17">
            <v>255827</v>
          </cell>
          <cell r="M17" t="str">
            <v>HC</v>
          </cell>
          <cell r="N17">
            <v>20535</v>
          </cell>
          <cell r="O17">
            <v>31978</v>
          </cell>
        </row>
        <row r="18">
          <cell r="C18" t="str">
            <v>OFICIAL</v>
          </cell>
          <cell r="D18" t="str">
            <v>2.0 S.M.L.V.</v>
          </cell>
          <cell r="E18">
            <v>64116.866666666669</v>
          </cell>
          <cell r="F18">
            <v>1</v>
          </cell>
          <cell r="G18">
            <v>64116.866666666669</v>
          </cell>
          <cell r="I18">
            <v>0.82269999999999999</v>
          </cell>
          <cell r="J18">
            <v>52748.946206666667</v>
          </cell>
          <cell r="N18">
            <v>14608</v>
          </cell>
        </row>
        <row r="19">
          <cell r="C19" t="str">
            <v>AYUDANTE</v>
          </cell>
          <cell r="D19" t="str">
            <v>1.5 S.M.L.V.</v>
          </cell>
          <cell r="E19">
            <v>48974.76666666667</v>
          </cell>
          <cell r="F19">
            <v>1</v>
          </cell>
          <cell r="G19">
            <v>48974.76666666667</v>
          </cell>
          <cell r="I19">
            <v>0.83109999999999995</v>
          </cell>
          <cell r="J19">
            <v>40702.928576666665</v>
          </cell>
          <cell r="N19">
            <v>11210</v>
          </cell>
        </row>
        <row r="20">
          <cell r="A20" t="str">
            <v>FF1</v>
          </cell>
          <cell r="B20" t="str">
            <v>Cuadrilla FF1: Eléctricas especializadas. (0.6 Encar. + 2 Of. + 1 Ayud).</v>
          </cell>
          <cell r="C20" t="str">
            <v>ENCARGADO DE OBRA</v>
          </cell>
          <cell r="D20" t="str">
            <v>3.0 S.M.L.V.</v>
          </cell>
          <cell r="E20">
            <v>90852.6</v>
          </cell>
          <cell r="F20">
            <v>0.6</v>
          </cell>
          <cell r="G20">
            <v>54511.560000000005</v>
          </cell>
          <cell r="H20">
            <v>254907</v>
          </cell>
          <cell r="I20">
            <v>0.80820000000000003</v>
          </cell>
          <cell r="J20">
            <v>44056.242792000005</v>
          </cell>
          <cell r="K20">
            <v>207516</v>
          </cell>
          <cell r="L20">
            <v>462423</v>
          </cell>
          <cell r="M20" t="str">
            <v>HC</v>
          </cell>
          <cell r="N20">
            <v>20535</v>
          </cell>
          <cell r="O20">
            <v>57803</v>
          </cell>
        </row>
        <row r="21">
          <cell r="C21" t="str">
            <v>OFICIAL</v>
          </cell>
          <cell r="D21" t="str">
            <v>2.5 S.M.L.V.</v>
          </cell>
          <cell r="E21">
            <v>75710.5</v>
          </cell>
          <cell r="F21">
            <v>2</v>
          </cell>
          <cell r="G21">
            <v>151421</v>
          </cell>
          <cell r="I21">
            <v>0.81069999999999998</v>
          </cell>
          <cell r="J21">
            <v>122757.00469999999</v>
          </cell>
          <cell r="N21">
            <v>17136</v>
          </cell>
        </row>
        <row r="22">
          <cell r="C22" t="str">
            <v>AYUDANTE</v>
          </cell>
          <cell r="D22" t="str">
            <v>1.5 S.M.L.V.</v>
          </cell>
          <cell r="E22">
            <v>48974.76666666667</v>
          </cell>
          <cell r="F22">
            <v>1</v>
          </cell>
          <cell r="G22">
            <v>48974.76666666667</v>
          </cell>
          <cell r="I22">
            <v>0.83109999999999995</v>
          </cell>
          <cell r="J22">
            <v>40702.928576666665</v>
          </cell>
          <cell r="N22">
            <v>11210</v>
          </cell>
        </row>
        <row r="23">
          <cell r="A23" t="str">
            <v>GG</v>
          </cell>
          <cell r="B23" t="str">
            <v>Cuadrilla GG: Drywall. (1 Of.Acab. + 1 Of.2 + 1 Ayud.).</v>
          </cell>
          <cell r="C23" t="str">
            <v>OFICIAL DE ACABADOS 1</v>
          </cell>
          <cell r="D23" t="str">
            <v>2.0 S.M.L.V.</v>
          </cell>
          <cell r="E23">
            <v>64116.866666666669</v>
          </cell>
          <cell r="F23">
            <v>1</v>
          </cell>
          <cell r="G23">
            <v>64116.866666666669</v>
          </cell>
          <cell r="H23">
            <v>152981</v>
          </cell>
          <cell r="I23">
            <v>0.82269999999999999</v>
          </cell>
          <cell r="J23">
            <v>52748.946206666667</v>
          </cell>
          <cell r="K23">
            <v>126927</v>
          </cell>
          <cell r="L23">
            <v>279908</v>
          </cell>
          <cell r="M23" t="str">
            <v>HC</v>
          </cell>
          <cell r="N23">
            <v>14608</v>
          </cell>
          <cell r="O23">
            <v>34989</v>
          </cell>
        </row>
        <row r="24">
          <cell r="C24" t="str">
            <v>OFICIAL 2</v>
          </cell>
          <cell r="D24" t="str">
            <v>1.5 S.M.L.V.</v>
          </cell>
          <cell r="E24">
            <v>48974.76666666667</v>
          </cell>
          <cell r="F24">
            <v>1</v>
          </cell>
          <cell r="G24">
            <v>48974.76666666667</v>
          </cell>
          <cell r="I24">
            <v>0.83109999999999995</v>
          </cell>
          <cell r="J24">
            <v>40702.928576666665</v>
          </cell>
          <cell r="N24">
            <v>11210</v>
          </cell>
        </row>
        <row r="25">
          <cell r="C25" t="str">
            <v>AYUDANTE</v>
          </cell>
          <cell r="D25" t="str">
            <v>1.2 S.M.L.V.</v>
          </cell>
          <cell r="E25">
            <v>39889.506666666668</v>
          </cell>
          <cell r="F25">
            <v>1</v>
          </cell>
          <cell r="G25">
            <v>39889.506666666668</v>
          </cell>
          <cell r="I25">
            <v>0.83919999999999995</v>
          </cell>
          <cell r="J25">
            <v>33475.273994666662</v>
          </cell>
          <cell r="N25">
            <v>9171</v>
          </cell>
        </row>
        <row r="26">
          <cell r="A26" t="str">
            <v>HH</v>
          </cell>
          <cell r="B26" t="str">
            <v>Cuadrilla HH: Metálicas. (1 Sold. + 1 Of. + 1 Ayud.).</v>
          </cell>
          <cell r="C26" t="str">
            <v>SOLDADOR</v>
          </cell>
          <cell r="D26" t="str">
            <v>2.5 S.M.L.V.</v>
          </cell>
          <cell r="E26">
            <v>75710.5</v>
          </cell>
          <cell r="F26">
            <v>1</v>
          </cell>
          <cell r="G26">
            <v>75710.5</v>
          </cell>
          <cell r="H26">
            <v>164575</v>
          </cell>
          <cell r="I26">
            <v>0.81069999999999998</v>
          </cell>
          <cell r="J26">
            <v>61378.502349999995</v>
          </cell>
          <cell r="K26">
            <v>135557</v>
          </cell>
          <cell r="L26">
            <v>300132</v>
          </cell>
          <cell r="M26" t="str">
            <v>HC</v>
          </cell>
          <cell r="N26">
            <v>17136</v>
          </cell>
          <cell r="O26">
            <v>37517</v>
          </cell>
        </row>
        <row r="27">
          <cell r="C27" t="str">
            <v>OFICIAL</v>
          </cell>
          <cell r="D27" t="str">
            <v>1.5 S.M.L.V.</v>
          </cell>
          <cell r="E27">
            <v>48974.76666666667</v>
          </cell>
          <cell r="F27">
            <v>1</v>
          </cell>
          <cell r="G27">
            <v>48974.76666666667</v>
          </cell>
          <cell r="I27">
            <v>0.83109999999999995</v>
          </cell>
          <cell r="J27">
            <v>40702.928576666665</v>
          </cell>
          <cell r="N27">
            <v>11210</v>
          </cell>
        </row>
        <row r="28">
          <cell r="C28" t="str">
            <v>AYUDANTE</v>
          </cell>
          <cell r="D28" t="str">
            <v>1.2 S.M.L.V.</v>
          </cell>
          <cell r="E28">
            <v>39889.506666666668</v>
          </cell>
          <cell r="F28">
            <v>1</v>
          </cell>
          <cell r="G28">
            <v>39889.506666666668</v>
          </cell>
          <cell r="I28">
            <v>0.83919999999999995</v>
          </cell>
          <cell r="J28">
            <v>33475.273994666662</v>
          </cell>
          <cell r="N28">
            <v>9171</v>
          </cell>
        </row>
        <row r="29">
          <cell r="A29" t="str">
            <v>II</v>
          </cell>
          <cell r="B29" t="str">
            <v>Cuadrilla II: Topografía. (1 Top. + 1 Aux.Top.+ 1 Cade.).</v>
          </cell>
          <cell r="C29" t="str">
            <v>TOPÓGRAFO</v>
          </cell>
          <cell r="D29" t="str">
            <v>4.0 S.M.L.V.</v>
          </cell>
          <cell r="E29">
            <v>121136.8</v>
          </cell>
          <cell r="F29">
            <v>1</v>
          </cell>
          <cell r="G29">
            <v>121136.8</v>
          </cell>
          <cell r="H29">
            <v>287700</v>
          </cell>
          <cell r="I29">
            <v>0.80500000000000005</v>
          </cell>
          <cell r="J29">
            <v>97515.124000000011</v>
          </cell>
          <cell r="K29">
            <v>232321</v>
          </cell>
          <cell r="L29">
            <v>520021</v>
          </cell>
          <cell r="M29" t="str">
            <v>HC</v>
          </cell>
          <cell r="N29">
            <v>27331</v>
          </cell>
          <cell r="O29">
            <v>65003</v>
          </cell>
        </row>
        <row r="30">
          <cell r="C30" t="str">
            <v>AUX. DE TOPOGRAFÍA</v>
          </cell>
          <cell r="D30" t="str">
            <v>3.0 S.M.L.V.</v>
          </cell>
          <cell r="E30">
            <v>90852.6</v>
          </cell>
          <cell r="F30">
            <v>1</v>
          </cell>
          <cell r="G30">
            <v>90852.6</v>
          </cell>
          <cell r="I30">
            <v>0.80820000000000003</v>
          </cell>
          <cell r="J30">
            <v>73427.071320000003</v>
          </cell>
          <cell r="N30">
            <v>20535</v>
          </cell>
        </row>
        <row r="31">
          <cell r="C31" t="str">
            <v>CADENERO</v>
          </cell>
          <cell r="D31" t="str">
            <v>2.5 S.M.L.V.</v>
          </cell>
          <cell r="E31">
            <v>75710.5</v>
          </cell>
          <cell r="F31">
            <v>1</v>
          </cell>
          <cell r="G31">
            <v>75710.5</v>
          </cell>
          <cell r="I31">
            <v>0.81069999999999998</v>
          </cell>
          <cell r="J31">
            <v>61378.502349999995</v>
          </cell>
          <cell r="N31">
            <v>17136</v>
          </cell>
        </row>
        <row r="32">
          <cell r="A32" t="str">
            <v>JJ</v>
          </cell>
          <cell r="B32" t="str">
            <v>Cuadrilla JJ: Red contra incendios. (1 Jef. + 1 Of.1 + 1 Of.2 + 1 Ayud. ).</v>
          </cell>
          <cell r="C32" t="str">
            <v>JEFE DE OBRA</v>
          </cell>
          <cell r="D32" t="str">
            <v>3.0  S.M.L.V.</v>
          </cell>
          <cell r="E32">
            <v>90852.6</v>
          </cell>
          <cell r="F32">
            <v>1</v>
          </cell>
          <cell r="G32">
            <v>90852.6</v>
          </cell>
          <cell r="H32">
            <v>279655</v>
          </cell>
          <cell r="I32">
            <v>0.80820000000000003</v>
          </cell>
          <cell r="J32">
            <v>73427.071320000003</v>
          </cell>
          <cell r="K32">
            <v>228257</v>
          </cell>
          <cell r="L32">
            <v>507912</v>
          </cell>
          <cell r="M32" t="str">
            <v>HC</v>
          </cell>
          <cell r="N32">
            <v>20535</v>
          </cell>
          <cell r="O32">
            <v>63489</v>
          </cell>
        </row>
        <row r="33">
          <cell r="C33" t="str">
            <v>OFICIAL 1</v>
          </cell>
          <cell r="D33" t="str">
            <v>2.5  S.M.L.V.</v>
          </cell>
          <cell r="E33">
            <v>75710.5</v>
          </cell>
          <cell r="F33">
            <v>1</v>
          </cell>
          <cell r="G33">
            <v>75710.5</v>
          </cell>
          <cell r="I33">
            <v>0.81069999999999998</v>
          </cell>
          <cell r="J33">
            <v>61378.502349999995</v>
          </cell>
          <cell r="N33">
            <v>17136</v>
          </cell>
        </row>
        <row r="34">
          <cell r="C34" t="str">
            <v>OFICIAL 2</v>
          </cell>
          <cell r="D34" t="str">
            <v>2.0  S.M.L.V.</v>
          </cell>
          <cell r="E34">
            <v>64116.866666666669</v>
          </cell>
          <cell r="F34">
            <v>1</v>
          </cell>
          <cell r="G34">
            <v>64116.866666666669</v>
          </cell>
          <cell r="I34">
            <v>0.82269999999999999</v>
          </cell>
          <cell r="J34">
            <v>52748.946206666667</v>
          </cell>
          <cell r="N34">
            <v>14608</v>
          </cell>
        </row>
        <row r="35">
          <cell r="C35" t="str">
            <v>AYUDANTE</v>
          </cell>
          <cell r="D35" t="str">
            <v>1.5  S.M.L.V.</v>
          </cell>
          <cell r="E35">
            <v>48974.76666666667</v>
          </cell>
          <cell r="F35">
            <v>1</v>
          </cell>
          <cell r="G35">
            <v>48974.76666666667</v>
          </cell>
          <cell r="I35">
            <v>0.83109999999999995</v>
          </cell>
          <cell r="J35">
            <v>40702.928576666665</v>
          </cell>
          <cell r="N35">
            <v>11210</v>
          </cell>
        </row>
        <row r="36">
          <cell r="A36" t="str">
            <v>KK</v>
          </cell>
          <cell r="B36" t="str">
            <v>Cuadrilla KK: Aseo. (2 Ayudantes).</v>
          </cell>
          <cell r="C36" t="str">
            <v>AYUDANTE</v>
          </cell>
          <cell r="D36" t="str">
            <v>1.2  S.M.L.V.</v>
          </cell>
          <cell r="E36">
            <v>39889.506666666668</v>
          </cell>
          <cell r="F36">
            <v>2</v>
          </cell>
          <cell r="G36">
            <v>79779.013333333336</v>
          </cell>
          <cell r="H36">
            <v>79779</v>
          </cell>
          <cell r="I36">
            <v>0.83919999999999995</v>
          </cell>
          <cell r="J36">
            <v>66950.547989333325</v>
          </cell>
          <cell r="K36">
            <v>66951</v>
          </cell>
          <cell r="L36">
            <v>146730</v>
          </cell>
          <cell r="M36" t="str">
            <v>HC</v>
          </cell>
          <cell r="N36">
            <v>9171</v>
          </cell>
          <cell r="O36">
            <v>18341</v>
          </cell>
        </row>
        <row r="37">
          <cell r="A37" t="str">
            <v>LL</v>
          </cell>
          <cell r="B37" t="str">
            <v>Cuadrilla LL: Mezclas. (1 Of. + 3 Ayud.).</v>
          </cell>
          <cell r="C37" t="str">
            <v>OFICIAL</v>
          </cell>
          <cell r="D37" t="str">
            <v>2.0 S.M.L.V.</v>
          </cell>
          <cell r="E37">
            <v>64116.866666666669</v>
          </cell>
          <cell r="F37">
            <v>1</v>
          </cell>
          <cell r="G37">
            <v>64116.866666666669</v>
          </cell>
          <cell r="H37">
            <v>183785</v>
          </cell>
          <cell r="I37">
            <v>0.82269999999999999</v>
          </cell>
          <cell r="J37">
            <v>52748.946206666667</v>
          </cell>
          <cell r="K37">
            <v>153175</v>
          </cell>
          <cell r="L37">
            <v>336960</v>
          </cell>
          <cell r="M37" t="str">
            <v>HC</v>
          </cell>
          <cell r="N37">
            <v>14608</v>
          </cell>
          <cell r="O37">
            <v>42120</v>
          </cell>
        </row>
        <row r="38">
          <cell r="C38" t="str">
            <v>AYUDANTE</v>
          </cell>
          <cell r="D38" t="str">
            <v>1.2 S.M.L.V.</v>
          </cell>
          <cell r="E38">
            <v>39889.506666666668</v>
          </cell>
          <cell r="F38">
            <v>3</v>
          </cell>
          <cell r="G38">
            <v>119668.52</v>
          </cell>
          <cell r="I38">
            <v>0.83919999999999995</v>
          </cell>
          <cell r="J38">
            <v>100425.82198399999</v>
          </cell>
          <cell r="N38">
            <v>9171</v>
          </cell>
        </row>
        <row r="39">
          <cell r="A39" t="str">
            <v>MM</v>
          </cell>
          <cell r="B39" t="str">
            <v>Cuadrilla MM: Pavimentos. (1 Of.Pav.+ 1 Rastr. + 4 Ayud.).</v>
          </cell>
          <cell r="C39" t="str">
            <v>OFICIAL PAVIMENTO</v>
          </cell>
          <cell r="D39" t="str">
            <v>3.0 S.M.L.V.</v>
          </cell>
          <cell r="E39">
            <v>90852.6</v>
          </cell>
          <cell r="F39">
            <v>1</v>
          </cell>
          <cell r="G39">
            <v>90852.6</v>
          </cell>
          <cell r="H39">
            <v>350869</v>
          </cell>
          <cell r="I39">
            <v>0.80820000000000003</v>
          </cell>
          <cell r="J39">
            <v>73427.071320000003</v>
          </cell>
          <cell r="K39">
            <v>288988</v>
          </cell>
          <cell r="L39">
            <v>639857</v>
          </cell>
          <cell r="M39" t="str">
            <v>HC</v>
          </cell>
          <cell r="N39">
            <v>20535</v>
          </cell>
          <cell r="O39">
            <v>79982</v>
          </cell>
        </row>
        <row r="40">
          <cell r="C40" t="str">
            <v>RASTRILLERO</v>
          </cell>
          <cell r="D40" t="str">
            <v>2.0 S.M.L.V.</v>
          </cell>
          <cell r="E40">
            <v>64116.866666666669</v>
          </cell>
          <cell r="F40">
            <v>1</v>
          </cell>
          <cell r="G40">
            <v>64116.866666666669</v>
          </cell>
          <cell r="I40">
            <v>0.82269999999999999</v>
          </cell>
          <cell r="J40">
            <v>52748.946206666667</v>
          </cell>
          <cell r="N40">
            <v>14608</v>
          </cell>
        </row>
        <row r="41">
          <cell r="C41" t="str">
            <v>AYUDANTE</v>
          </cell>
          <cell r="D41" t="str">
            <v>1.5 S.M.L.V.</v>
          </cell>
          <cell r="E41">
            <v>48974.76666666667</v>
          </cell>
          <cell r="F41">
            <v>4</v>
          </cell>
          <cell r="G41">
            <v>195899.06666666668</v>
          </cell>
          <cell r="I41">
            <v>0.83109999999999995</v>
          </cell>
          <cell r="J41">
            <v>162811.71430666666</v>
          </cell>
          <cell r="N41">
            <v>11210</v>
          </cell>
        </row>
        <row r="42">
          <cell r="A42" t="str">
            <v>NN</v>
          </cell>
          <cell r="B42" t="str">
            <v>Cuadrilla NN: Instalaciones hidrosanitarias. (1 Of.Insta.+ 2 Ayud.).</v>
          </cell>
          <cell r="C42" t="str">
            <v>OFICIAL INSTALADOR</v>
          </cell>
          <cell r="D42" t="str">
            <v>2.5 S.M.L.V.</v>
          </cell>
          <cell r="E42">
            <v>75710.5</v>
          </cell>
          <cell r="F42">
            <v>1</v>
          </cell>
          <cell r="G42">
            <v>75710.5</v>
          </cell>
          <cell r="H42">
            <v>173660</v>
          </cell>
          <cell r="I42">
            <v>0.81069999999999998</v>
          </cell>
          <cell r="J42">
            <v>61378.502349999995</v>
          </cell>
          <cell r="K42">
            <v>142784</v>
          </cell>
          <cell r="L42">
            <v>316444</v>
          </cell>
          <cell r="M42" t="str">
            <v>HC</v>
          </cell>
          <cell r="N42">
            <v>17136</v>
          </cell>
          <cell r="O42">
            <v>39556</v>
          </cell>
        </row>
        <row r="43">
          <cell r="C43" t="str">
            <v>AYUDANTE</v>
          </cell>
          <cell r="D43" t="str">
            <v>1.5 S.M.L.V.</v>
          </cell>
          <cell r="E43">
            <v>48974.76666666667</v>
          </cell>
          <cell r="F43">
            <v>2</v>
          </cell>
          <cell r="G43">
            <v>97949.53333333334</v>
          </cell>
          <cell r="I43">
            <v>0.83109999999999995</v>
          </cell>
          <cell r="J43">
            <v>81405.857153333331</v>
          </cell>
          <cell r="N43">
            <v>11210</v>
          </cell>
        </row>
        <row r="44">
          <cell r="A44" t="str">
            <v>OO</v>
          </cell>
          <cell r="B44" t="str">
            <v xml:space="preserve">Operador de maquinaria pesada. </v>
          </cell>
          <cell r="C44" t="str">
            <v>OPERADOR</v>
          </cell>
          <cell r="D44" t="str">
            <v>3.0 S.M.L.V.</v>
          </cell>
          <cell r="E44">
            <v>90852.6</v>
          </cell>
          <cell r="F44">
            <v>1</v>
          </cell>
          <cell r="G44">
            <v>90852.6</v>
          </cell>
          <cell r="H44">
            <v>90853</v>
          </cell>
          <cell r="I44">
            <v>0.80820000000000003</v>
          </cell>
          <cell r="J44">
            <v>73427.071320000003</v>
          </cell>
          <cell r="K44">
            <v>73427</v>
          </cell>
          <cell r="L44">
            <v>164280</v>
          </cell>
          <cell r="M44" t="str">
            <v>HC</v>
          </cell>
          <cell r="N44">
            <v>20535</v>
          </cell>
          <cell r="O44">
            <v>20535</v>
          </cell>
        </row>
        <row r="45">
          <cell r="A45" t="str">
            <v>PP</v>
          </cell>
          <cell r="B45" t="str">
            <v>Cuadrilla PP: Instalaciones prefabricados de concreto. (1 Of.Insta.+ 2 Ayud.).</v>
          </cell>
          <cell r="C45" t="str">
            <v>OFICIAL INSTALADOR</v>
          </cell>
          <cell r="D45" t="str">
            <v>2.5 S.M.L.V.</v>
          </cell>
          <cell r="E45">
            <v>75710.5</v>
          </cell>
          <cell r="F45">
            <v>1</v>
          </cell>
          <cell r="G45">
            <v>75710.5</v>
          </cell>
          <cell r="H45">
            <v>173660</v>
          </cell>
          <cell r="I45">
            <v>0.81069999999999998</v>
          </cell>
          <cell r="J45">
            <v>61378.502349999995</v>
          </cell>
          <cell r="K45">
            <v>142784</v>
          </cell>
          <cell r="L45">
            <v>316444</v>
          </cell>
          <cell r="M45" t="str">
            <v>HC</v>
          </cell>
          <cell r="N45">
            <v>17136</v>
          </cell>
          <cell r="O45">
            <v>39556</v>
          </cell>
        </row>
        <row r="46">
          <cell r="C46" t="str">
            <v>AYUDANTE</v>
          </cell>
          <cell r="D46" t="str">
            <v>1.5 S.M.L.V.</v>
          </cell>
          <cell r="E46">
            <v>48974.76666666667</v>
          </cell>
          <cell r="F46">
            <v>2</v>
          </cell>
          <cell r="G46">
            <v>97949.53333333334</v>
          </cell>
          <cell r="I46">
            <v>0.83109999999999995</v>
          </cell>
          <cell r="J46">
            <v>81405.857153333331</v>
          </cell>
          <cell r="N46">
            <v>11210</v>
          </cell>
        </row>
      </sheetData>
      <sheetData sheetId="5"/>
      <sheetData sheetId="6"/>
      <sheetData sheetId="7">
        <row r="2">
          <cell r="A2" t="str">
            <v>EQUIPOS Y HERRAMIENTAS</v>
          </cell>
        </row>
        <row r="4">
          <cell r="A4" t="str">
            <v>CÓDIGO</v>
          </cell>
          <cell r="B4" t="str">
            <v>DESCRIPCIÓN</v>
          </cell>
          <cell r="C4" t="str">
            <v>UNIDAD</v>
          </cell>
          <cell r="D4" t="str">
            <v>VALOR $</v>
          </cell>
          <cell r="E4" t="str">
            <v>FECHA</v>
          </cell>
        </row>
        <row r="5">
          <cell r="A5" t="str">
            <v>CAN</v>
          </cell>
          <cell r="B5" t="str">
            <v>Apisonador tipo canguro</v>
          </cell>
          <cell r="C5" t="str">
            <v>Dia</v>
          </cell>
          <cell r="D5">
            <v>95693</v>
          </cell>
        </row>
        <row r="6">
          <cell r="A6" t="str">
            <v>RANA</v>
          </cell>
          <cell r="B6" t="str">
            <v>Apisonador tipo rana</v>
          </cell>
          <cell r="C6" t="str">
            <v>Dia</v>
          </cell>
          <cell r="D6">
            <v>63796</v>
          </cell>
        </row>
        <row r="7">
          <cell r="A7" t="str">
            <v>CGR</v>
          </cell>
          <cell r="B7" t="str">
            <v>Camión grua</v>
          </cell>
          <cell r="C7" t="str">
            <v>Dia</v>
          </cell>
          <cell r="D7">
            <v>318978</v>
          </cell>
        </row>
        <row r="8">
          <cell r="A8" t="str">
            <v>CAM</v>
          </cell>
          <cell r="B8" t="str">
            <v>Camioneta transporte menor</v>
          </cell>
          <cell r="C8" t="str">
            <v>Viaje</v>
          </cell>
          <cell r="D8">
            <v>31898</v>
          </cell>
        </row>
        <row r="9">
          <cell r="A9" t="str">
            <v>COR</v>
          </cell>
          <cell r="B9" t="str">
            <v>Cortadora de disco diamante</v>
          </cell>
          <cell r="C9" t="str">
            <v>Día</v>
          </cell>
          <cell r="D9">
            <v>65000</v>
          </cell>
        </row>
        <row r="10">
          <cell r="A10" t="str">
            <v>COM</v>
          </cell>
          <cell r="B10" t="str">
            <v>Equipo compresor 120 HP y martillo neumático</v>
          </cell>
          <cell r="C10" t="str">
            <v>Hora</v>
          </cell>
          <cell r="D10">
            <v>95000</v>
          </cell>
        </row>
        <row r="11">
          <cell r="A11" t="str">
            <v>TOP</v>
          </cell>
          <cell r="B11" t="str">
            <v>Equipo de topografía.</v>
          </cell>
          <cell r="C11" t="str">
            <v>Día</v>
          </cell>
          <cell r="D11">
            <v>160000</v>
          </cell>
        </row>
        <row r="12">
          <cell r="A12" t="str">
            <v>DIF</v>
          </cell>
          <cell r="B12" t="str">
            <v>Equipo diferencial para 500kg</v>
          </cell>
          <cell r="C12" t="str">
            <v>Día</v>
          </cell>
          <cell r="D12">
            <v>94189</v>
          </cell>
        </row>
        <row r="13">
          <cell r="A13" t="str">
            <v>FORPZ</v>
          </cell>
          <cell r="B13" t="str">
            <v>Formaleta metálica para pozo</v>
          </cell>
          <cell r="C13" t="str">
            <v>Día</v>
          </cell>
          <cell r="D13">
            <v>80000</v>
          </cell>
        </row>
        <row r="14">
          <cell r="A14" t="str">
            <v>FORPV</v>
          </cell>
          <cell r="B14" t="str">
            <v>Formaleta maestra para pavimentos</v>
          </cell>
          <cell r="C14" t="str">
            <v>Día</v>
          </cell>
          <cell r="D14">
            <v>25000</v>
          </cell>
        </row>
        <row r="15">
          <cell r="A15" t="str">
            <v>HM5</v>
          </cell>
          <cell r="B15" t="str">
            <v>Herramienta Menor (5% de la mano de obra).</v>
          </cell>
          <cell r="C15" t="str">
            <v>%</v>
          </cell>
          <cell r="D15">
            <v>0.05</v>
          </cell>
        </row>
        <row r="16">
          <cell r="A16" t="str">
            <v>HM3</v>
          </cell>
          <cell r="B16" t="str">
            <v>Herramienta Menor (3% de la mano de obra).</v>
          </cell>
          <cell r="C16" t="str">
            <v>%</v>
          </cell>
          <cell r="D16">
            <v>0.03</v>
          </cell>
        </row>
        <row r="17">
          <cell r="A17" t="str">
            <v>HM10</v>
          </cell>
          <cell r="B17" t="str">
            <v>Herramienta Menor (10% de la mano de obra).</v>
          </cell>
          <cell r="C17" t="str">
            <v>%</v>
          </cell>
          <cell r="D17">
            <v>0.1</v>
          </cell>
        </row>
        <row r="18">
          <cell r="A18" t="str">
            <v>MEZ</v>
          </cell>
          <cell r="B18" t="str">
            <v>Mezcladora mecánica (1.0 bultos)</v>
          </cell>
          <cell r="C18" t="str">
            <v>Dia</v>
          </cell>
          <cell r="D18">
            <v>80000</v>
          </cell>
        </row>
        <row r="19">
          <cell r="A19" t="str">
            <v>MOT</v>
          </cell>
          <cell r="B19" t="str">
            <v>Motobomba 3" Autocebante Diesel</v>
          </cell>
          <cell r="C19" t="str">
            <v>Dia</v>
          </cell>
          <cell r="D19">
            <v>41000</v>
          </cell>
        </row>
        <row r="20">
          <cell r="A20" t="str">
            <v>MOS</v>
          </cell>
          <cell r="B20" t="str">
            <v>Motosierra</v>
          </cell>
          <cell r="C20" t="str">
            <v>Dia</v>
          </cell>
          <cell r="D20">
            <v>53000</v>
          </cell>
        </row>
        <row r="21">
          <cell r="A21" t="str">
            <v>RETROLL</v>
          </cell>
          <cell r="B21" t="str">
            <v>Retroexcavadora de llanta</v>
          </cell>
          <cell r="C21" t="str">
            <v>Hora</v>
          </cell>
          <cell r="D21">
            <v>130000</v>
          </cell>
        </row>
        <row r="22">
          <cell r="A22" t="str">
            <v>RETROOR</v>
          </cell>
          <cell r="B22" t="str">
            <v>Retroexcavadora de oruga</v>
          </cell>
          <cell r="C22" t="str">
            <v>Hora</v>
          </cell>
          <cell r="D22">
            <v>180000</v>
          </cell>
        </row>
        <row r="23">
          <cell r="A23" t="str">
            <v>VIB</v>
          </cell>
          <cell r="B23" t="str">
            <v>Vibrocompactador 10Ton</v>
          </cell>
          <cell r="C23" t="str">
            <v>Hora</v>
          </cell>
          <cell r="D23">
            <v>110000</v>
          </cell>
        </row>
        <row r="24">
          <cell r="A24" t="str">
            <v>VOL</v>
          </cell>
          <cell r="B24" t="str">
            <v>Volqueta de 5M3</v>
          </cell>
          <cell r="C24" t="str">
            <v>Hora</v>
          </cell>
          <cell r="D24">
            <v>63000</v>
          </cell>
        </row>
        <row r="25">
          <cell r="A25" t="str">
            <v>MOTO</v>
          </cell>
          <cell r="B25" t="str">
            <v>Motoniveladora</v>
          </cell>
          <cell r="C25" t="str">
            <v>Hora</v>
          </cell>
          <cell r="D25">
            <v>140000</v>
          </cell>
        </row>
        <row r="26">
          <cell r="A26" t="str">
            <v>EPH</v>
          </cell>
          <cell r="B26" t="str">
            <v>Equipo Compresor para Prueba Hidrostática</v>
          </cell>
          <cell r="C26" t="str">
            <v>Día</v>
          </cell>
          <cell r="D26">
            <v>695549</v>
          </cell>
        </row>
        <row r="27">
          <cell r="A27" t="str">
            <v>CTI</v>
          </cell>
          <cell r="B27" t="str">
            <v>Carro tanque irrigador de emulsion asfaltica</v>
          </cell>
          <cell r="C27" t="str">
            <v>Hora</v>
          </cell>
          <cell r="D27">
            <v>60000</v>
          </cell>
        </row>
        <row r="28">
          <cell r="A28" t="str">
            <v>TAL</v>
          </cell>
          <cell r="B28" t="str">
            <v>Taladro 1/2" Percutor Alámbrico (madera y metal)</v>
          </cell>
          <cell r="C28" t="str">
            <v>Día</v>
          </cell>
          <cell r="D28">
            <v>28800</v>
          </cell>
        </row>
        <row r="29">
          <cell r="A29" t="str">
            <v>VIBRO</v>
          </cell>
          <cell r="B29" t="str">
            <v>Vibrador de mezcla</v>
          </cell>
          <cell r="C29" t="str">
            <v>Día</v>
          </cell>
          <cell r="D29">
            <v>55000</v>
          </cell>
        </row>
        <row r="30">
          <cell r="A30" t="str">
            <v>COMPP</v>
          </cell>
          <cell r="B30" t="str">
            <v>Equipo compresor (barrido y soplado)</v>
          </cell>
          <cell r="C30" t="str">
            <v>Día</v>
          </cell>
          <cell r="D30">
            <v>80000</v>
          </cell>
        </row>
        <row r="31">
          <cell r="A31" t="str">
            <v>SOL</v>
          </cell>
          <cell r="B31" t="str">
            <v>Equipo de soldadura</v>
          </cell>
          <cell r="C31" t="str">
            <v>Día</v>
          </cell>
          <cell r="D31">
            <v>125000</v>
          </cell>
        </row>
        <row r="32">
          <cell r="A32" t="str">
            <v>DIS</v>
          </cell>
          <cell r="B32" t="str">
            <v>Disco de 14" corte diamantado tipo ZDH500 ó similar</v>
          </cell>
          <cell r="C32" t="str">
            <v>Und</v>
          </cell>
          <cell r="D32">
            <v>636100</v>
          </cell>
        </row>
        <row r="33">
          <cell r="A33" t="str">
            <v>CTA</v>
          </cell>
          <cell r="B33" t="str">
            <v>Carrotanque de agua</v>
          </cell>
          <cell r="C33" t="str">
            <v>Viaje</v>
          </cell>
          <cell r="D33">
            <v>362265</v>
          </cell>
        </row>
        <row r="41">
          <cell r="A41" t="str">
            <v>MATERIAL DE PLAYA - PRESTAMO</v>
          </cell>
        </row>
        <row r="42">
          <cell r="A42" t="str">
            <v>AGUA</v>
          </cell>
          <cell r="B42" t="str">
            <v>Agua</v>
          </cell>
          <cell r="C42" t="str">
            <v>Lt</v>
          </cell>
          <cell r="E42">
            <v>17</v>
          </cell>
        </row>
        <row r="43">
          <cell r="A43" t="str">
            <v>AF</v>
          </cell>
          <cell r="B43" t="str">
            <v>Arena fina de río.</v>
          </cell>
          <cell r="C43" t="str">
            <v>m3</v>
          </cell>
          <cell r="D43">
            <v>40000</v>
          </cell>
          <cell r="E43">
            <v>47600</v>
          </cell>
          <cell r="F43">
            <v>25</v>
          </cell>
          <cell r="G43">
            <v>1449</v>
          </cell>
        </row>
        <row r="44">
          <cell r="A44" t="str">
            <v>AGR</v>
          </cell>
          <cell r="B44" t="str">
            <v>Arena triturada de planta, pasante 3/8"</v>
          </cell>
          <cell r="C44" t="str">
            <v>m3</v>
          </cell>
          <cell r="D44">
            <v>45000</v>
          </cell>
          <cell r="E44">
            <v>53550</v>
          </cell>
          <cell r="F44">
            <v>25</v>
          </cell>
          <cell r="G44">
            <v>1449</v>
          </cell>
        </row>
        <row r="45">
          <cell r="A45" t="str">
            <v>AM</v>
          </cell>
          <cell r="B45" t="str">
            <v>Mixto (50% arena + 50% gravilla).</v>
          </cell>
          <cell r="C45" t="str">
            <v>m3</v>
          </cell>
          <cell r="D45">
            <v>35000</v>
          </cell>
          <cell r="E45">
            <v>41650</v>
          </cell>
          <cell r="F45">
            <v>25</v>
          </cell>
          <cell r="G45">
            <v>1449</v>
          </cell>
        </row>
        <row r="46">
          <cell r="A46" t="str">
            <v>GRA1/2</v>
          </cell>
          <cell r="B46" t="str">
            <v>Gravilla triturada de Ø1/2".</v>
          </cell>
          <cell r="C46" t="str">
            <v>m3</v>
          </cell>
          <cell r="D46">
            <v>75000</v>
          </cell>
          <cell r="E46">
            <v>89250</v>
          </cell>
          <cell r="F46">
            <v>25</v>
          </cell>
          <cell r="G46">
            <v>1449</v>
          </cell>
        </row>
        <row r="47">
          <cell r="A47" t="str">
            <v>GRA3/4</v>
          </cell>
          <cell r="B47" t="str">
            <v>Gravilla triturada de Ø3/4".</v>
          </cell>
          <cell r="C47" t="str">
            <v>m3</v>
          </cell>
          <cell r="D47">
            <v>75000</v>
          </cell>
          <cell r="E47">
            <v>89250</v>
          </cell>
          <cell r="F47">
            <v>25</v>
          </cell>
          <cell r="G47">
            <v>1449</v>
          </cell>
        </row>
        <row r="48">
          <cell r="A48" t="str">
            <v>REC</v>
          </cell>
          <cell r="B48" t="str">
            <v>Recebo granular seleccionado IP&lt;10%.</v>
          </cell>
          <cell r="C48" t="str">
            <v>m3</v>
          </cell>
          <cell r="D48">
            <v>28000</v>
          </cell>
          <cell r="E48">
            <v>33320</v>
          </cell>
          <cell r="F48">
            <v>25</v>
          </cell>
          <cell r="G48">
            <v>1449</v>
          </cell>
        </row>
        <row r="49">
          <cell r="A49" t="str">
            <v>SBG</v>
          </cell>
          <cell r="B49" t="str">
            <v xml:space="preserve">Sub-base granular - IP&lt;6% </v>
          </cell>
          <cell r="C49" t="str">
            <v>m3</v>
          </cell>
          <cell r="D49">
            <v>50000</v>
          </cell>
          <cell r="E49">
            <v>59500</v>
          </cell>
          <cell r="F49">
            <v>25</v>
          </cell>
          <cell r="G49">
            <v>1449</v>
          </cell>
        </row>
        <row r="50">
          <cell r="A50" t="str">
            <v>BG</v>
          </cell>
          <cell r="B50" t="str">
            <v>Base granular IP&lt;3%.</v>
          </cell>
          <cell r="C50" t="str">
            <v>m3</v>
          </cell>
          <cell r="D50">
            <v>55000</v>
          </cell>
          <cell r="E50">
            <v>65450</v>
          </cell>
          <cell r="F50">
            <v>25</v>
          </cell>
          <cell r="G50">
            <v>1449</v>
          </cell>
        </row>
        <row r="51">
          <cell r="A51" t="str">
            <v>PIEDR</v>
          </cell>
          <cell r="B51" t="str">
            <v>Piedra de Río Media Zonga</v>
          </cell>
          <cell r="C51" t="str">
            <v>m3</v>
          </cell>
          <cell r="D51">
            <v>60000</v>
          </cell>
          <cell r="E51">
            <v>71400</v>
          </cell>
          <cell r="F51">
            <v>25</v>
          </cell>
          <cell r="G51">
            <v>1449</v>
          </cell>
        </row>
        <row r="54">
          <cell r="A54" t="str">
            <v>VARIOS</v>
          </cell>
        </row>
        <row r="55">
          <cell r="A55" t="str">
            <v>ESC</v>
          </cell>
          <cell r="B55" t="str">
            <v>Escombros</v>
          </cell>
          <cell r="C55" t="str">
            <v>m3</v>
          </cell>
          <cell r="F55">
            <v>2</v>
          </cell>
          <cell r="G55">
            <v>1449</v>
          </cell>
        </row>
        <row r="56">
          <cell r="A56" t="str">
            <v>ACPM</v>
          </cell>
          <cell r="B56" t="str">
            <v>Combustible tipo ACPM</v>
          </cell>
          <cell r="C56" t="str">
            <v>gal</v>
          </cell>
          <cell r="E56">
            <v>9580</v>
          </cell>
        </row>
        <row r="57">
          <cell r="A57" t="str">
            <v>FE</v>
          </cell>
          <cell r="B57" t="str">
            <v>Acero  de refuerzo, suministro, corte, figurado y amarre, de 60000 psi.</v>
          </cell>
          <cell r="C57" t="str">
            <v>kg</v>
          </cell>
          <cell r="E57">
            <v>7369</v>
          </cell>
        </row>
        <row r="58">
          <cell r="A58" t="str">
            <v>TA</v>
          </cell>
          <cell r="B58" t="str">
            <v>Tabla chapa 23x1.7 cm L=2.70 m</v>
          </cell>
          <cell r="C58" t="str">
            <v>m</v>
          </cell>
          <cell r="E58">
            <v>3800</v>
          </cell>
        </row>
        <row r="61">
          <cell r="A61" t="str">
            <v>PRODUCCIÓN - CONCRETOS Y MORTEROS</v>
          </cell>
        </row>
        <row r="62">
          <cell r="A62" t="str">
            <v>C1500</v>
          </cell>
          <cell r="B62" t="str">
            <v>Concreto de 105 Kg/cm2 (1500 PSI)</v>
          </cell>
          <cell r="C62" t="str">
            <v>m3</v>
          </cell>
          <cell r="E62">
            <v>420483</v>
          </cell>
        </row>
        <row r="63">
          <cell r="A63" t="str">
            <v>C2000</v>
          </cell>
          <cell r="B63" t="str">
            <v>Concreto de 140 Kg/cm2 (2000 PSI)</v>
          </cell>
          <cell r="C63" t="str">
            <v>m3</v>
          </cell>
          <cell r="E63">
            <v>442248</v>
          </cell>
        </row>
        <row r="64">
          <cell r="A64" t="str">
            <v>C2500</v>
          </cell>
          <cell r="B64" t="str">
            <v>Concreto de 175 Kg/cm2 (2500 PSI)</v>
          </cell>
          <cell r="C64" t="str">
            <v>m3</v>
          </cell>
          <cell r="E64">
            <v>466584</v>
          </cell>
        </row>
        <row r="65">
          <cell r="A65" t="str">
            <v>C3000</v>
          </cell>
          <cell r="B65" t="str">
            <v>Concreto de 210 Kg/cm2 (3000 PSI)</v>
          </cell>
          <cell r="C65" t="str">
            <v>m3</v>
          </cell>
          <cell r="E65">
            <v>490133</v>
          </cell>
        </row>
        <row r="66">
          <cell r="A66" t="str">
            <v>C3500</v>
          </cell>
          <cell r="B66" t="str">
            <v>Concreto de 250 Kg/cm2 (3500 PSI)</v>
          </cell>
          <cell r="C66" t="str">
            <v>m3</v>
          </cell>
          <cell r="E66">
            <v>520849</v>
          </cell>
        </row>
        <row r="67">
          <cell r="A67" t="str">
            <v>C4000</v>
          </cell>
          <cell r="B67" t="str">
            <v>Concreto de 280 Kg/cm2 (4000 PSI)</v>
          </cell>
          <cell r="C67" t="str">
            <v>m3</v>
          </cell>
          <cell r="E67">
            <v>538849</v>
          </cell>
        </row>
        <row r="68">
          <cell r="A68" t="str">
            <v>MR38</v>
          </cell>
          <cell r="B68" t="str">
            <v>Concreto hidráulico premezclado MR 38</v>
          </cell>
          <cell r="C68" t="str">
            <v>m3</v>
          </cell>
          <cell r="E68">
            <v>534000</v>
          </cell>
          <cell r="F68">
            <v>25</v>
          </cell>
          <cell r="G68">
            <v>1449</v>
          </cell>
        </row>
        <row r="69">
          <cell r="A69" t="str">
            <v>MR41</v>
          </cell>
          <cell r="B69" t="str">
            <v>Concreto hidráulico premezclado MR 41</v>
          </cell>
          <cell r="C69" t="str">
            <v>m3</v>
          </cell>
          <cell r="E69">
            <v>554300</v>
          </cell>
          <cell r="F69">
            <v>25</v>
          </cell>
          <cell r="G69">
            <v>1449</v>
          </cell>
        </row>
        <row r="70">
          <cell r="A70" t="str">
            <v>M12</v>
          </cell>
          <cell r="B70" t="str">
            <v>Mortero 1:2</v>
          </cell>
          <cell r="C70" t="str">
            <v>m3</v>
          </cell>
          <cell r="E70">
            <v>511591</v>
          </cell>
        </row>
        <row r="71">
          <cell r="A71" t="str">
            <v>M13</v>
          </cell>
          <cell r="B71" t="str">
            <v>Mortero 1:3</v>
          </cell>
          <cell r="C71" t="str">
            <v>m3</v>
          </cell>
          <cell r="E71">
            <v>427880</v>
          </cell>
        </row>
        <row r="72">
          <cell r="A72" t="str">
            <v>M13I</v>
          </cell>
          <cell r="B72" t="str">
            <v>Mortero 1:3 - Impermeabilizado</v>
          </cell>
          <cell r="C72" t="str">
            <v>m3</v>
          </cell>
          <cell r="E72">
            <v>558265</v>
          </cell>
        </row>
        <row r="73">
          <cell r="A73" t="str">
            <v>M14</v>
          </cell>
          <cell r="B73" t="str">
            <v>Mortero 1:4</v>
          </cell>
          <cell r="C73" t="str">
            <v>m3</v>
          </cell>
          <cell r="E73">
            <v>379408</v>
          </cell>
        </row>
        <row r="74">
          <cell r="A74" t="str">
            <v>M14I</v>
          </cell>
          <cell r="B74" t="str">
            <v>Mortero 1:4 - Impermeabilizado</v>
          </cell>
          <cell r="C74" t="str">
            <v>m3</v>
          </cell>
          <cell r="E74">
            <v>509793</v>
          </cell>
        </row>
        <row r="75">
          <cell r="A75" t="str">
            <v>M15</v>
          </cell>
          <cell r="B75" t="str">
            <v>Mortero 1:5</v>
          </cell>
          <cell r="C75" t="str">
            <v>m3</v>
          </cell>
          <cell r="E75">
            <v>344915</v>
          </cell>
        </row>
        <row r="76">
          <cell r="A76" t="str">
            <v>M16</v>
          </cell>
          <cell r="B76" t="str">
            <v>Mortero 1:6</v>
          </cell>
          <cell r="C76" t="str">
            <v>m3</v>
          </cell>
          <cell r="E76">
            <v>319907</v>
          </cell>
        </row>
        <row r="79">
          <cell r="A79" t="str">
            <v xml:space="preserve">ADITIVOS PARA EL CONCRETO </v>
          </cell>
        </row>
        <row r="80">
          <cell r="A80" t="str">
            <v>ACEL</v>
          </cell>
          <cell r="B80" t="str">
            <v>Acelerante de fraguado</v>
          </cell>
          <cell r="C80" t="str">
            <v>kg</v>
          </cell>
          <cell r="D80">
            <v>8500</v>
          </cell>
          <cell r="E80">
            <v>10115</v>
          </cell>
        </row>
        <row r="81">
          <cell r="A81" t="str">
            <v>IMP</v>
          </cell>
          <cell r="B81" t="str">
            <v>Impermeabilizante para morteros.</v>
          </cell>
          <cell r="C81" t="str">
            <v>kg</v>
          </cell>
          <cell r="E81">
            <v>11940</v>
          </cell>
        </row>
        <row r="82">
          <cell r="A82" t="str">
            <v>ADH</v>
          </cell>
          <cell r="B82" t="str">
            <v>Adhesivo  Ramset Red</v>
          </cell>
          <cell r="C82" t="str">
            <v>fl oz</v>
          </cell>
          <cell r="E82">
            <v>3950</v>
          </cell>
        </row>
        <row r="83">
          <cell r="A83" t="str">
            <v>IMPER</v>
          </cell>
          <cell r="B83" t="str">
            <v>Impermeabilizante para concretos, plastocrete o silimar.</v>
          </cell>
          <cell r="C83" t="str">
            <v>kg</v>
          </cell>
          <cell r="E83">
            <v>49805</v>
          </cell>
        </row>
        <row r="84">
          <cell r="A84" t="str">
            <v>ANTI</v>
          </cell>
          <cell r="B84" t="str">
            <v>Antisol</v>
          </cell>
          <cell r="C84" t="str">
            <v>kg</v>
          </cell>
          <cell r="E84">
            <v>8851</v>
          </cell>
        </row>
        <row r="85">
          <cell r="A85" t="str">
            <v>SIKAR</v>
          </cell>
          <cell r="B85" t="str">
            <v>Fondo de junta de polietileno de celda cerrada</v>
          </cell>
          <cell r="C85" t="str">
            <v>m</v>
          </cell>
          <cell r="E85">
            <v>1177</v>
          </cell>
        </row>
        <row r="86">
          <cell r="A86" t="str">
            <v>SELLA</v>
          </cell>
          <cell r="B86" t="str">
            <v>Sellador de poliuretano autonivelante</v>
          </cell>
          <cell r="C86" t="str">
            <v>gal</v>
          </cell>
          <cell r="E86">
            <v>287587</v>
          </cell>
        </row>
        <row r="92">
          <cell r="A92" t="str">
            <v>PISOS Y ADOQUINES</v>
          </cell>
        </row>
        <row r="93">
          <cell r="A93" t="str">
            <v>ADO</v>
          </cell>
          <cell r="B93" t="str">
            <v>Adoquin en concreto, tipo vehicular ,  de 0,20 x 0,10 mts., e= 0,06 m.</v>
          </cell>
          <cell r="C93" t="str">
            <v>m2</v>
          </cell>
          <cell r="E93">
            <v>71500</v>
          </cell>
        </row>
        <row r="97">
          <cell r="A97" t="str">
            <v>EMPRADIZACIÓN</v>
          </cell>
        </row>
        <row r="98">
          <cell r="A98" t="str">
            <v>GRAMA</v>
          </cell>
          <cell r="B98" t="str">
            <v>Grama dulce</v>
          </cell>
          <cell r="C98" t="str">
            <v>m2</v>
          </cell>
          <cell r="E98">
            <v>6500</v>
          </cell>
        </row>
        <row r="99">
          <cell r="A99" t="str">
            <v>TN</v>
          </cell>
          <cell r="B99" t="str">
            <v>Tierra negra</v>
          </cell>
          <cell r="C99" t="str">
            <v>m3</v>
          </cell>
          <cell r="E99">
            <v>39400</v>
          </cell>
        </row>
        <row r="100">
          <cell r="A100" t="str">
            <v>FER</v>
          </cell>
          <cell r="B100" t="str">
            <v>Fertilizante</v>
          </cell>
          <cell r="C100" t="str">
            <v>kg</v>
          </cell>
          <cell r="E100">
            <v>23900</v>
          </cell>
        </row>
        <row r="111">
          <cell r="A111" t="str">
            <v>FERRETERÍA</v>
          </cell>
        </row>
        <row r="112">
          <cell r="A112" t="str">
            <v>H60</v>
          </cell>
          <cell r="B112" t="str">
            <v>Acero de refuerzo de 60.000 psi</v>
          </cell>
          <cell r="C112" t="str">
            <v>Kg.</v>
          </cell>
          <cell r="E112">
            <v>5061</v>
          </cell>
          <cell r="F112">
            <v>25</v>
          </cell>
          <cell r="G112">
            <v>1449</v>
          </cell>
        </row>
        <row r="113">
          <cell r="A113" t="str">
            <v>HN</v>
          </cell>
          <cell r="B113" t="str">
            <v>Alambre cal. 18</v>
          </cell>
          <cell r="C113" t="str">
            <v>Kg.</v>
          </cell>
          <cell r="E113">
            <v>6200</v>
          </cell>
        </row>
        <row r="114">
          <cell r="A114" t="str">
            <v>HN12</v>
          </cell>
          <cell r="B114" t="str">
            <v>Alambre cal 12</v>
          </cell>
          <cell r="C114" t="str">
            <v>Kg.</v>
          </cell>
          <cell r="D114">
            <v>4500</v>
          </cell>
          <cell r="E114">
            <v>5355</v>
          </cell>
        </row>
        <row r="115">
          <cell r="A115" t="str">
            <v>A15</v>
          </cell>
          <cell r="B115" t="str">
            <v>Angulo de 1 1/2"x1 1/2"x1/4"</v>
          </cell>
          <cell r="C115" t="str">
            <v>ml</v>
          </cell>
          <cell r="D115">
            <v>12000</v>
          </cell>
          <cell r="E115">
            <v>14280</v>
          </cell>
        </row>
        <row r="116">
          <cell r="B116" t="str">
            <v>Angulo de 1 1/2"x1 1/2"x1/4"</v>
          </cell>
          <cell r="E116">
            <v>0</v>
          </cell>
        </row>
        <row r="117">
          <cell r="A117" t="str">
            <v>A4</v>
          </cell>
          <cell r="B117" t="str">
            <v xml:space="preserve">Ángulo de 4 1/4" </v>
          </cell>
          <cell r="C117" t="str">
            <v>ml</v>
          </cell>
          <cell r="D117">
            <v>21640</v>
          </cell>
          <cell r="E117">
            <v>25752</v>
          </cell>
        </row>
        <row r="118">
          <cell r="A118" t="str">
            <v>A3</v>
          </cell>
          <cell r="B118" t="str">
            <v xml:space="preserve">Ángulo de 3 1/4" </v>
          </cell>
          <cell r="C118" t="str">
            <v>ml</v>
          </cell>
          <cell r="D118">
            <v>19362.641979999997</v>
          </cell>
          <cell r="E118">
            <v>23042</v>
          </cell>
        </row>
        <row r="119">
          <cell r="A119" t="str">
            <v>CEM</v>
          </cell>
          <cell r="B119" t="str">
            <v>Cemento gris tipo Portland.</v>
          </cell>
          <cell r="C119" t="str">
            <v>Kg.</v>
          </cell>
          <cell r="D119">
            <v>504.2</v>
          </cell>
          <cell r="E119">
            <v>600</v>
          </cell>
        </row>
        <row r="120">
          <cell r="A120" t="str">
            <v>CS</v>
          </cell>
          <cell r="B120" t="str">
            <v>Cinta señalización (Rollo por 500ml)</v>
          </cell>
          <cell r="C120" t="str">
            <v>UND</v>
          </cell>
          <cell r="D120">
            <v>31380</v>
          </cell>
          <cell r="E120">
            <v>37342</v>
          </cell>
        </row>
        <row r="121">
          <cell r="A121" t="str">
            <v>CT</v>
          </cell>
          <cell r="B121" t="str">
            <v>Cinta teflón</v>
          </cell>
          <cell r="C121" t="str">
            <v>UND</v>
          </cell>
          <cell r="D121">
            <v>1255.2</v>
          </cell>
          <cell r="E121">
            <v>1494</v>
          </cell>
        </row>
        <row r="122">
          <cell r="A122" t="str">
            <v>Cerco</v>
          </cell>
          <cell r="B122" t="str">
            <v>Madera medio cerco</v>
          </cell>
          <cell r="C122" t="str">
            <v>m</v>
          </cell>
          <cell r="E122">
            <v>2883</v>
          </cell>
        </row>
        <row r="123">
          <cell r="A123" t="str">
            <v>SoLi</v>
          </cell>
          <cell r="B123" t="str">
            <v>Soldadura PVC y Limpiador PVC</v>
          </cell>
          <cell r="C123" t="str">
            <v>Glo</v>
          </cell>
          <cell r="D123">
            <v>1710.1033080000002</v>
          </cell>
          <cell r="E123">
            <v>2035</v>
          </cell>
        </row>
        <row r="124">
          <cell r="A124" t="str">
            <v>VARIOS</v>
          </cell>
          <cell r="B124" t="str">
            <v>Elementos menores varios</v>
          </cell>
          <cell r="C124" t="str">
            <v>Glo</v>
          </cell>
          <cell r="D124">
            <v>20000</v>
          </cell>
          <cell r="E124">
            <v>23800</v>
          </cell>
        </row>
        <row r="125">
          <cell r="A125" t="str">
            <v>EASF</v>
          </cell>
          <cell r="B125" t="str">
            <v>Emulsión asfáltica/ Liga</v>
          </cell>
          <cell r="C125" t="str">
            <v>Gal</v>
          </cell>
          <cell r="D125">
            <v>11970.723156</v>
          </cell>
          <cell r="E125">
            <v>14245</v>
          </cell>
        </row>
        <row r="126">
          <cell r="A126" t="str">
            <v>MM</v>
          </cell>
          <cell r="B126" t="str">
            <v>Marca Metálica para Huella</v>
          </cell>
          <cell r="C126" t="str">
            <v>UND</v>
          </cell>
          <cell r="D126">
            <v>28501.721799999999</v>
          </cell>
          <cell r="E126">
            <v>33917</v>
          </cell>
        </row>
        <row r="127">
          <cell r="A127" t="str">
            <v>FM</v>
          </cell>
          <cell r="B127" t="str">
            <v>Madera para formaleta</v>
          </cell>
          <cell r="C127" t="str">
            <v>M2</v>
          </cell>
          <cell r="D127">
            <v>25000</v>
          </cell>
          <cell r="E127">
            <v>29750</v>
          </cell>
        </row>
        <row r="128">
          <cell r="A128" t="str">
            <v>MALG</v>
          </cell>
          <cell r="B128" t="str">
            <v>Malla para gavión cal 12 tipo invias, 10 x 10</v>
          </cell>
          <cell r="C128" t="str">
            <v>Unid</v>
          </cell>
          <cell r="D128">
            <v>56000</v>
          </cell>
          <cell r="E128">
            <v>66640</v>
          </cell>
        </row>
        <row r="129">
          <cell r="A129" t="str">
            <v>MASF</v>
          </cell>
          <cell r="B129" t="str">
            <v xml:space="preserve">Mezcla asfáltica tipo MDC-2 </v>
          </cell>
          <cell r="C129" t="str">
            <v>M3</v>
          </cell>
          <cell r="D129">
            <v>396743.96745600004</v>
          </cell>
          <cell r="E129">
            <v>472125</v>
          </cell>
        </row>
        <row r="130">
          <cell r="A130" t="str">
            <v>PASO</v>
          </cell>
          <cell r="B130" t="str">
            <v>Paso para escalera en hierro de 5/8" (Incluye anticorrosivo)</v>
          </cell>
          <cell r="C130" t="str">
            <v>UND</v>
          </cell>
          <cell r="D130">
            <v>14250.8609</v>
          </cell>
          <cell r="E130">
            <v>16959</v>
          </cell>
        </row>
        <row r="131">
          <cell r="A131" t="str">
            <v>PLAT15</v>
          </cell>
          <cell r="B131" t="str">
            <v>Platina de 1 1/2"x1/8</v>
          </cell>
          <cell r="C131" t="str">
            <v>ml</v>
          </cell>
          <cell r="D131">
            <v>6954.420119200001</v>
          </cell>
          <cell r="E131">
            <v>8276</v>
          </cell>
        </row>
        <row r="132">
          <cell r="A132" t="str">
            <v>TZ</v>
          </cell>
          <cell r="B132" t="str">
            <v>Teja de zinc Cal.30</v>
          </cell>
          <cell r="C132" t="str">
            <v>m2</v>
          </cell>
          <cell r="E132">
            <v>20733</v>
          </cell>
        </row>
        <row r="133">
          <cell r="A133" t="str">
            <v>PUNT</v>
          </cell>
          <cell r="B133" t="str">
            <v>Puntilla variada</v>
          </cell>
          <cell r="C133" t="str">
            <v>Lb</v>
          </cell>
          <cell r="D133">
            <v>2000</v>
          </cell>
          <cell r="E133">
            <v>2380</v>
          </cell>
        </row>
        <row r="134">
          <cell r="A134" t="str">
            <v>REJ1</v>
          </cell>
          <cell r="B134" t="str">
            <v>Rejilla de 1,0mx0,40, con marco en ángulo de 1-1/2"x3/16" y perciana en lámina de 2"x1/8 con separación de 1", reforzada longitudinalmente con 1 varilla 7/8", incluye (visagras tipo capsula, anticorrosivo y pintura de esmalte).</v>
          </cell>
          <cell r="C134" t="str">
            <v>UND</v>
          </cell>
          <cell r="E134">
            <v>0</v>
          </cell>
        </row>
        <row r="135">
          <cell r="A135" t="str">
            <v>REJ2</v>
          </cell>
          <cell r="B135" t="str">
            <v>Rejilla de 2,0mx0,40, con marco en ángulo de 1-1/2"x3/16" y perciana en lámina de 2"x1/8 con separación de 1", reforzada longitudinalmente con 1 varilla 7/8", incluye (visagras tipo capsula, anticorrosivo y pintura de esmalte).</v>
          </cell>
          <cell r="C135" t="str">
            <v>UND</v>
          </cell>
          <cell r="E135">
            <v>0</v>
          </cell>
        </row>
        <row r="136">
          <cell r="A136" t="str">
            <v>REJ3</v>
          </cell>
          <cell r="B136" t="str">
            <v>Rejilla de 3,0mx0,40, con marco en ángulo de 1-1/2"x3/16" y perciana en lámina de 2"x1/8 con separación de 1", reforzada longitudinalmente con 1 varilla 7/8", incluye (visagras tipo capsula, anticorrosivo y pintura de esmalte).</v>
          </cell>
          <cell r="C136" t="str">
            <v>UND</v>
          </cell>
          <cell r="E136">
            <v>0</v>
          </cell>
        </row>
        <row r="137">
          <cell r="A137" t="str">
            <v>REJ4</v>
          </cell>
          <cell r="B137" t="str">
            <v>Rejilla de 4,0mx0,40, con marco en ángulo de 1-1/2"x3/16" y perciana en lámina de 2"x1/8 con separación de 1", reforzada longitudinalmente con 1 varilla 7/8", incluye (visagras tipo capsula, anticorrosivo y pintura de esmalte).</v>
          </cell>
          <cell r="C137" t="str">
            <v>UND</v>
          </cell>
          <cell r="E137">
            <v>0</v>
          </cell>
        </row>
        <row r="138">
          <cell r="A138" t="str">
            <v>RSLA</v>
          </cell>
          <cell r="B138" t="str">
            <v>Autorización entrada relleno sanitario</v>
          </cell>
          <cell r="C138" t="str">
            <v>M3</v>
          </cell>
          <cell r="D138">
            <v>4560.2754880000002</v>
          </cell>
          <cell r="E138">
            <v>5427</v>
          </cell>
        </row>
        <row r="139">
          <cell r="A139" t="str">
            <v>TP</v>
          </cell>
          <cell r="B139" t="str">
            <v>Aro tapa HD de seguridad tipo D400 o similar.</v>
          </cell>
          <cell r="C139" t="str">
            <v>UND</v>
          </cell>
          <cell r="D139">
            <v>720000</v>
          </cell>
          <cell r="E139">
            <v>856800</v>
          </cell>
        </row>
        <row r="140">
          <cell r="A140" t="str">
            <v>CM</v>
          </cell>
          <cell r="B140" t="str">
            <v>Chapaleta metalica 16"</v>
          </cell>
          <cell r="C140" t="str">
            <v>UND</v>
          </cell>
          <cell r="D140">
            <v>4195453.4489600006</v>
          </cell>
          <cell r="E140">
            <v>4992590</v>
          </cell>
        </row>
        <row r="141">
          <cell r="A141" t="str">
            <v>ACCESORIOS METÁLICOS EN HD PARA ACUEDUCTO</v>
          </cell>
        </row>
        <row r="142">
          <cell r="A142" t="str">
            <v>THD3X3</v>
          </cell>
          <cell r="B142" t="str">
            <v>Tee H.D. ext. Liso para PVC 3x3"</v>
          </cell>
          <cell r="C142" t="str">
            <v>Und</v>
          </cell>
          <cell r="D142">
            <v>152000</v>
          </cell>
          <cell r="E142">
            <v>180880</v>
          </cell>
        </row>
        <row r="143">
          <cell r="A143" t="str">
            <v>THD6X3</v>
          </cell>
          <cell r="B143" t="str">
            <v>Tee H.D. ext. Liso para PVC 6x3"</v>
          </cell>
          <cell r="C143" t="str">
            <v>Und</v>
          </cell>
          <cell r="D143">
            <v>260000</v>
          </cell>
          <cell r="E143">
            <v>309400</v>
          </cell>
        </row>
        <row r="144">
          <cell r="A144" t="str">
            <v>THD6X4</v>
          </cell>
          <cell r="B144" t="str">
            <v>Tee H.D. ext. Liso para PVC 6x4"</v>
          </cell>
          <cell r="C144" t="str">
            <v>Und</v>
          </cell>
          <cell r="D144">
            <v>305000</v>
          </cell>
          <cell r="E144">
            <v>362950</v>
          </cell>
        </row>
        <row r="145">
          <cell r="A145" t="str">
            <v>THD6X6</v>
          </cell>
          <cell r="B145" t="str">
            <v>Tee H.D. ext. Liso para PVC 6x6"</v>
          </cell>
          <cell r="C145" t="str">
            <v>Und</v>
          </cell>
          <cell r="D145">
            <v>360000</v>
          </cell>
          <cell r="E145">
            <v>428400</v>
          </cell>
        </row>
        <row r="146">
          <cell r="A146" t="str">
            <v>RHD6X3</v>
          </cell>
          <cell r="B146" t="str">
            <v>Redución de 6X3"en hierro ductil (ASTM-A-536),extremo liso.</v>
          </cell>
          <cell r="C146" t="str">
            <v>Und</v>
          </cell>
          <cell r="D146">
            <v>135000</v>
          </cell>
          <cell r="E146">
            <v>160650</v>
          </cell>
        </row>
        <row r="147">
          <cell r="A147" t="str">
            <v>RHD6X4</v>
          </cell>
          <cell r="B147" t="str">
            <v>Redución de 6X4"en hierro ductil (ASTM-A-536),extremo liso.</v>
          </cell>
          <cell r="C147" t="str">
            <v>Und</v>
          </cell>
          <cell r="D147">
            <v>170000</v>
          </cell>
          <cell r="E147">
            <v>202300</v>
          </cell>
        </row>
        <row r="151">
          <cell r="A151" t="str">
            <v>URBANISMO</v>
          </cell>
        </row>
        <row r="152">
          <cell r="A152" t="str">
            <v>SAR</v>
          </cell>
          <cell r="B152" t="str">
            <v xml:space="preserve"> Sardinel Redondo prefabricado en concreto de 1,00 x 0,17 x 0,45 mts.</v>
          </cell>
          <cell r="C152" t="str">
            <v>und</v>
          </cell>
          <cell r="E152">
            <v>29500</v>
          </cell>
          <cell r="F152">
            <v>25</v>
          </cell>
          <cell r="G152">
            <v>1449</v>
          </cell>
        </row>
        <row r="158">
          <cell r="A158" t="str">
            <v>DEMARCACIÓN VIAL</v>
          </cell>
        </row>
        <row r="159">
          <cell r="A159" t="str">
            <v>ER</v>
          </cell>
          <cell r="B159" t="str">
            <v>Esferas reflectivas</v>
          </cell>
          <cell r="C159" t="str">
            <v>kg</v>
          </cell>
          <cell r="E159">
            <v>3850</v>
          </cell>
        </row>
        <row r="160">
          <cell r="A160" t="str">
            <v>PINDE</v>
          </cell>
          <cell r="B160" t="str">
            <v>Pintura demarcación tipo tráfico</v>
          </cell>
          <cell r="C160" t="str">
            <v>gl</v>
          </cell>
          <cell r="E160">
            <v>90500</v>
          </cell>
        </row>
        <row r="161">
          <cell r="A161" t="str">
            <v>CD</v>
          </cell>
          <cell r="B161" t="str">
            <v>Cinta de demarcación Cal. 3 (Rollo 500mx0.10m)</v>
          </cell>
          <cell r="C161" t="str">
            <v>und</v>
          </cell>
          <cell r="E161">
            <v>52600</v>
          </cell>
        </row>
        <row r="162">
          <cell r="A162" t="str">
            <v>SVV</v>
          </cell>
          <cell r="B162" t="str">
            <v>Señal vial vertical regalmentaria</v>
          </cell>
          <cell r="C162" t="str">
            <v>und</v>
          </cell>
          <cell r="E162">
            <v>365900</v>
          </cell>
        </row>
        <row r="174">
          <cell r="A174" t="str">
            <v>ACCESORIOS METÁLICOS EN HF PARA ACUEDUCTO</v>
          </cell>
        </row>
        <row r="175">
          <cell r="A175" t="str">
            <v>PM8</v>
          </cell>
          <cell r="B175" t="str">
            <v>Pasamuro de Ø 8" en hierro ductil STM A-536, L: 60 cm. EB x EL</v>
          </cell>
          <cell r="C175" t="str">
            <v>Und.</v>
          </cell>
          <cell r="D175">
            <v>620000</v>
          </cell>
          <cell r="E175">
            <v>737800</v>
          </cell>
        </row>
        <row r="176">
          <cell r="A176" t="str">
            <v>PM6</v>
          </cell>
          <cell r="B176" t="str">
            <v>Pasamuro de Ø 6" en hierro ductil STM A-536, L: 60 cm. EB x EL</v>
          </cell>
          <cell r="C176" t="str">
            <v>Und.</v>
          </cell>
          <cell r="D176">
            <v>570000</v>
          </cell>
          <cell r="E176">
            <v>678300</v>
          </cell>
        </row>
        <row r="177">
          <cell r="A177" t="str">
            <v>VCLD</v>
          </cell>
          <cell r="B177" t="str">
            <v>Compuerta lateral antideslizante de 0.50 x 0.50 m, incluye: columna de maniobra , vastago , juego de tornillería.</v>
          </cell>
          <cell r="C177" t="str">
            <v>Und.</v>
          </cell>
          <cell r="D177">
            <v>5850000</v>
          </cell>
          <cell r="E177">
            <v>6961500</v>
          </cell>
        </row>
        <row r="178">
          <cell r="A178" t="str">
            <v>VCLD1</v>
          </cell>
          <cell r="B178" t="str">
            <v>Rueda de manejo de (6"-8")</v>
          </cell>
          <cell r="C178" t="str">
            <v>Und.</v>
          </cell>
          <cell r="D178">
            <v>135000</v>
          </cell>
          <cell r="E178">
            <v>160650</v>
          </cell>
        </row>
        <row r="179">
          <cell r="A179" t="str">
            <v>VCLD2</v>
          </cell>
          <cell r="B179" t="str">
            <v xml:space="preserve">Soporte guía vástago </v>
          </cell>
          <cell r="C179" t="str">
            <v>Und.</v>
          </cell>
          <cell r="D179">
            <v>433534.85</v>
          </cell>
          <cell r="E179">
            <v>515906</v>
          </cell>
        </row>
        <row r="180">
          <cell r="A180" t="str">
            <v>VCLD3</v>
          </cell>
          <cell r="B180" t="str">
            <v>Columna de maniobra</v>
          </cell>
          <cell r="C180" t="str">
            <v>Und.</v>
          </cell>
          <cell r="D180">
            <v>813435.25</v>
          </cell>
          <cell r="E180">
            <v>967988</v>
          </cell>
        </row>
        <row r="181">
          <cell r="A181" t="str">
            <v>CHD1022</v>
          </cell>
          <cell r="B181" t="str">
            <v>Codo 22-1/2°x10" en hierro nodular ASTM 536 clase 6422-1/2 Extremo junta hidráulica</v>
          </cell>
          <cell r="C181" t="str">
            <v>Und.</v>
          </cell>
          <cell r="D181">
            <v>788264.66399999999</v>
          </cell>
          <cell r="E181">
            <v>938035</v>
          </cell>
        </row>
        <row r="182">
          <cell r="A182" t="str">
            <v>CHD1222</v>
          </cell>
          <cell r="B182" t="str">
            <v>Codo 22-1/2°x12" en hierro nodular ASTM 536 clase 6422-1/2 Extremo junta hidráulica</v>
          </cell>
          <cell r="C182" t="str">
            <v>Und.</v>
          </cell>
          <cell r="D182">
            <v>1387606.3920000002</v>
          </cell>
          <cell r="E182">
            <v>1651252</v>
          </cell>
        </row>
        <row r="183">
          <cell r="A183" t="str">
            <v>CHD322</v>
          </cell>
          <cell r="B183" t="str">
            <v>Codo 3" x 22-1/2° en hierro nodular ASTM 536 clase 6422-1/2 Extremo junta hidráulica</v>
          </cell>
          <cell r="C183" t="str">
            <v>Und.</v>
          </cell>
          <cell r="D183">
            <v>117262.512</v>
          </cell>
          <cell r="E183">
            <v>139542</v>
          </cell>
        </row>
        <row r="184">
          <cell r="A184" t="str">
            <v>CHD422</v>
          </cell>
          <cell r="B184" t="str">
            <v>Codo 4" x 22-1/2° en hierro nodular ASTM 536 clase 6422-1/2 Extremo junta hidráulica</v>
          </cell>
          <cell r="C184" t="str">
            <v>Und.</v>
          </cell>
          <cell r="D184">
            <v>153744.18239999999</v>
          </cell>
          <cell r="E184">
            <v>182956</v>
          </cell>
        </row>
        <row r="185">
          <cell r="A185" t="str">
            <v>CHD622</v>
          </cell>
          <cell r="B185" t="str">
            <v>Codo 22-1/2°x6" en hierro nodular ASTM 536 clase 6422-1/2 Extremo junta hidráulica</v>
          </cell>
          <cell r="C185" t="str">
            <v>Und.</v>
          </cell>
          <cell r="D185">
            <v>295762.11359999998</v>
          </cell>
          <cell r="E185">
            <v>351957</v>
          </cell>
        </row>
        <row r="186">
          <cell r="A186" t="str">
            <v>CHD822</v>
          </cell>
          <cell r="B186" t="str">
            <v>Codo 22-1/2°x8" en hierro nodular ASTM 536 clase 6422-1/2 Extremo junta hidráulica</v>
          </cell>
          <cell r="C186" t="str">
            <v>Und.</v>
          </cell>
          <cell r="D186">
            <v>429962.54399999999</v>
          </cell>
          <cell r="E186">
            <v>511655</v>
          </cell>
        </row>
        <row r="187">
          <cell r="A187" t="str">
            <v>CHD1045</v>
          </cell>
          <cell r="B187" t="str">
            <v>Codo 45°x10" en hierro nodular ASTM 536 clase 6445 Extremo junta hidráulica</v>
          </cell>
          <cell r="C187" t="str">
            <v>Und.</v>
          </cell>
          <cell r="D187">
            <v>945917.59679999994</v>
          </cell>
          <cell r="E187">
            <v>1125642</v>
          </cell>
        </row>
        <row r="188">
          <cell r="A188" t="str">
            <v>CHD1245</v>
          </cell>
          <cell r="B188" t="str">
            <v>Codo 45°x12" en hierro nodular ASTM 536 clase 6445 Extremo junta hidráulica</v>
          </cell>
          <cell r="C188" t="str">
            <v>Und.</v>
          </cell>
          <cell r="D188">
            <v>1227347.6256000001</v>
          </cell>
          <cell r="E188">
            <v>1460544</v>
          </cell>
        </row>
        <row r="189">
          <cell r="A189" t="str">
            <v>CHD345</v>
          </cell>
          <cell r="B189" t="str">
            <v>Codo 3" x 45° en hierro nodular ASTM 536 clase 6445 Extremo junta hidráulica</v>
          </cell>
          <cell r="C189" t="str">
            <v>Und.</v>
          </cell>
          <cell r="D189">
            <v>126382.9296</v>
          </cell>
          <cell r="E189">
            <v>150396</v>
          </cell>
        </row>
        <row r="190">
          <cell r="A190" t="str">
            <v>CHD445</v>
          </cell>
          <cell r="B190" t="str">
            <v>Codo 4" x 45° en hierro nodular ASTM 536 clase 6445 Extremo junta hidráulica</v>
          </cell>
          <cell r="C190" t="str">
            <v>Und.</v>
          </cell>
          <cell r="D190">
            <v>126382.9296</v>
          </cell>
          <cell r="E190">
            <v>150396</v>
          </cell>
        </row>
        <row r="191">
          <cell r="A191" t="str">
            <v>CHD645</v>
          </cell>
          <cell r="B191" t="str">
            <v>Codo 45°x6" en hierro nodular ASTM 536 clase 6445 Extremo junta hidráulica</v>
          </cell>
          <cell r="C191" t="str">
            <v>Und.</v>
          </cell>
          <cell r="D191">
            <v>286641.696</v>
          </cell>
          <cell r="E191">
            <v>341104</v>
          </cell>
        </row>
        <row r="192">
          <cell r="A192" t="str">
            <v>CHD845</v>
          </cell>
          <cell r="B192" t="str">
            <v>Codo 45°x8" en hierro nodular ASTM 536 clase 6445 Extremo junta hidráulica</v>
          </cell>
          <cell r="C192" t="str">
            <v>Und.</v>
          </cell>
          <cell r="D192">
            <v>644943.81599999999</v>
          </cell>
          <cell r="E192">
            <v>767483</v>
          </cell>
        </row>
        <row r="193">
          <cell r="A193" t="str">
            <v>CHD1090</v>
          </cell>
          <cell r="B193" t="str">
            <v>Codo 90°x10" en hierro nodular ASTM 536 clase 6445 Extremo junta hidráulica</v>
          </cell>
          <cell r="C193" t="str">
            <v>Und.</v>
          </cell>
          <cell r="D193">
            <v>1117902.6143999998</v>
          </cell>
          <cell r="E193">
            <v>1330304</v>
          </cell>
        </row>
        <row r="194">
          <cell r="A194" t="str">
            <v>CHD1290</v>
          </cell>
          <cell r="B194" t="str">
            <v>Codo 90°x12" en hierro nodular ASTM 536 clase 6445 Extremo junta hidráulica</v>
          </cell>
          <cell r="C194" t="str">
            <v>Und.</v>
          </cell>
          <cell r="D194">
            <v>1335489.72</v>
          </cell>
          <cell r="E194">
            <v>1589233</v>
          </cell>
        </row>
        <row r="195">
          <cell r="A195" t="str">
            <v>CHD390</v>
          </cell>
          <cell r="B195" t="str">
            <v>Codo 3" x 90° en hierro nodular ASTM 536 clase 6445 E.L</v>
          </cell>
          <cell r="C195" t="str">
            <v>Und.</v>
          </cell>
          <cell r="D195">
            <v>118565.42879999999</v>
          </cell>
          <cell r="E195">
            <v>141093</v>
          </cell>
        </row>
        <row r="196">
          <cell r="A196" t="str">
            <v>CHD490</v>
          </cell>
          <cell r="B196" t="str">
            <v>Codo 4" x 90° en hierro nodular ASTM 536 clase 6445 E.L</v>
          </cell>
          <cell r="C196" t="str">
            <v>Und.</v>
          </cell>
          <cell r="D196">
            <v>122474.1792</v>
          </cell>
          <cell r="E196">
            <v>145744</v>
          </cell>
        </row>
        <row r="197">
          <cell r="A197" t="str">
            <v>CHD690</v>
          </cell>
          <cell r="B197" t="str">
            <v>Codo 90°x6" en hierro nodular ASTM 536 clase 6445 Extremo junta hidráulica</v>
          </cell>
          <cell r="C197" t="str">
            <v>Und.</v>
          </cell>
          <cell r="D197">
            <v>317911.69920000003</v>
          </cell>
          <cell r="E197">
            <v>378315</v>
          </cell>
        </row>
        <row r="198">
          <cell r="A198" t="str">
            <v>CHD890</v>
          </cell>
          <cell r="B198" t="str">
            <v>Codo 90°x8" en hierro nodular ASTM 536 clase 6445 Extremo junta hidráulica</v>
          </cell>
          <cell r="C198" t="str">
            <v>Und.</v>
          </cell>
          <cell r="D198">
            <v>601947.56160000002</v>
          </cell>
          <cell r="E198">
            <v>716318</v>
          </cell>
        </row>
        <row r="199">
          <cell r="A199" t="str">
            <v>CRHD10</v>
          </cell>
          <cell r="B199" t="str">
            <v>Cruz 10" en hierro nodular ASTM 536 clase 6445 Extremo junta hidráulica</v>
          </cell>
          <cell r="C199" t="str">
            <v>Und.</v>
          </cell>
          <cell r="D199">
            <v>1768058.0976000002</v>
          </cell>
          <cell r="E199">
            <v>2103989</v>
          </cell>
        </row>
        <row r="200">
          <cell r="A200" t="str">
            <v>CRHD12</v>
          </cell>
          <cell r="B200" t="str">
            <v>Cruz 12" en hierro nodular ASTM 536 clase 6445 Extremo junta hidráulica</v>
          </cell>
          <cell r="C200" t="str">
            <v>Und.</v>
          </cell>
          <cell r="D200">
            <v>2465118.5855999999</v>
          </cell>
          <cell r="E200">
            <v>2933491</v>
          </cell>
        </row>
        <row r="201">
          <cell r="A201" t="str">
            <v>CRHD3</v>
          </cell>
          <cell r="B201" t="str">
            <v>Cruz 3" en hierro nodular ASTM 536 clase 6445 Extremo junta hidráulica</v>
          </cell>
          <cell r="C201" t="str">
            <v>Und.</v>
          </cell>
          <cell r="D201">
            <v>158955.84960000002</v>
          </cell>
          <cell r="E201">
            <v>189157</v>
          </cell>
        </row>
        <row r="202">
          <cell r="A202" t="str">
            <v>CRHD4</v>
          </cell>
          <cell r="B202" t="str">
            <v>Cruz 4" en hierro nodular ASTM 536 clase 6445 Extremo junta hidráulica</v>
          </cell>
          <cell r="C202" t="str">
            <v>Und.</v>
          </cell>
          <cell r="D202">
            <v>242342.52480000001</v>
          </cell>
          <cell r="E202">
            <v>288388</v>
          </cell>
        </row>
        <row r="203">
          <cell r="A203" t="str">
            <v>CRHD6</v>
          </cell>
          <cell r="B203" t="str">
            <v>Cruz 6" en hierro nodular ASTM 536 clase 6445 Extremo junta hidráulica</v>
          </cell>
          <cell r="C203" t="str">
            <v>Und.</v>
          </cell>
          <cell r="D203">
            <v>519863.80319999997</v>
          </cell>
          <cell r="E203">
            <v>618638</v>
          </cell>
        </row>
        <row r="204">
          <cell r="A204" t="str">
            <v>CRHD63</v>
          </cell>
          <cell r="B204" t="str">
            <v>Cruz reducida de 6x3" en hierro nodular ASTM 536 clase 6445 Extremo junta hidráulica</v>
          </cell>
          <cell r="C204" t="str">
            <v>Und.</v>
          </cell>
          <cell r="D204">
            <v>320517.53279999999</v>
          </cell>
          <cell r="E204">
            <v>381416</v>
          </cell>
        </row>
        <row r="205">
          <cell r="A205" t="str">
            <v>CRHD8</v>
          </cell>
          <cell r="B205" t="str">
            <v>Cruz 8" en hierro nodular ASTM 536 clase 6445 Extremo junta hidráulica</v>
          </cell>
          <cell r="C205" t="str">
            <v>Und.</v>
          </cell>
          <cell r="D205">
            <v>962855.51520000002</v>
          </cell>
          <cell r="E205">
            <v>1145798</v>
          </cell>
        </row>
        <row r="206">
          <cell r="A206" t="str">
            <v>CRHD83</v>
          </cell>
          <cell r="B206" t="str">
            <v>Cruz 8X3" en hierro nodular ASTM 536 clase 6445 Extremo junta hidráulica</v>
          </cell>
          <cell r="C206" t="str">
            <v>Und.</v>
          </cell>
          <cell r="D206">
            <v>642200</v>
          </cell>
          <cell r="E206">
            <v>764218</v>
          </cell>
        </row>
        <row r="207">
          <cell r="A207" t="str">
            <v>HD3</v>
          </cell>
          <cell r="B207" t="str">
            <v>Hidrante tipo Milan de 3", de 200 psi de presión de trabajo, en hierro gris (Norma AWWA C-503 NTC 382), extremo junta hidráulica.</v>
          </cell>
          <cell r="C207" t="str">
            <v>Und.</v>
          </cell>
          <cell r="D207">
            <v>2250000</v>
          </cell>
          <cell r="E207">
            <v>2677500</v>
          </cell>
        </row>
        <row r="208">
          <cell r="A208" t="str">
            <v>HD4</v>
          </cell>
          <cell r="B208" t="str">
            <v>Hidrante tipo Milan de 4", de 200 psi de presión de trabajo, en hierro gris (Norma AWWA C-503 NTC 382), extremo junta hidráulica.</v>
          </cell>
          <cell r="C208" t="str">
            <v>Und.</v>
          </cell>
          <cell r="D208">
            <v>2492479.8384000002</v>
          </cell>
          <cell r="E208">
            <v>2966051</v>
          </cell>
        </row>
        <row r="209">
          <cell r="A209" t="str">
            <v>HD6</v>
          </cell>
          <cell r="B209" t="str">
            <v>Hidrante tipo poste de 6", de 200 psi de presión de trabajo, en hierro gris (Norma AWWA C-503 NTC 382), extremo brida</v>
          </cell>
          <cell r="C209" t="str">
            <v>Und.</v>
          </cell>
          <cell r="D209">
            <v>2561534.4288000003</v>
          </cell>
          <cell r="E209">
            <v>3048226</v>
          </cell>
        </row>
        <row r="210">
          <cell r="A210" t="str">
            <v>RD43</v>
          </cell>
          <cell r="B210" t="str">
            <v>Reducción de 4"x3", extremo junta hidráulica.</v>
          </cell>
          <cell r="C210" t="str">
            <v>Und.</v>
          </cell>
          <cell r="D210">
            <v>100100</v>
          </cell>
          <cell r="E210">
            <v>119119</v>
          </cell>
        </row>
        <row r="211">
          <cell r="A211" t="str">
            <v>RD63</v>
          </cell>
          <cell r="B211" t="str">
            <v>Reducción de 6"x3", extremo junta hidráulica.</v>
          </cell>
          <cell r="C211" t="str">
            <v>Und.</v>
          </cell>
          <cell r="D211">
            <v>162500</v>
          </cell>
          <cell r="E211">
            <v>193375</v>
          </cell>
        </row>
        <row r="212">
          <cell r="A212" t="str">
            <v>RD64</v>
          </cell>
          <cell r="B212" t="str">
            <v>Reducción de 6"x4", extremo junta hidráulica.</v>
          </cell>
          <cell r="C212" t="str">
            <v>Und.</v>
          </cell>
          <cell r="D212">
            <v>197600</v>
          </cell>
          <cell r="E212">
            <v>235144</v>
          </cell>
        </row>
        <row r="213">
          <cell r="A213" t="str">
            <v>RD83</v>
          </cell>
          <cell r="B213" t="str">
            <v>Reducción de 8"x3", extremo junta hidráulica.</v>
          </cell>
          <cell r="C213" t="str">
            <v>Und.</v>
          </cell>
          <cell r="D213">
            <v>250900</v>
          </cell>
          <cell r="E213">
            <v>298571</v>
          </cell>
        </row>
        <row r="214">
          <cell r="A214" t="str">
            <v>RD84</v>
          </cell>
          <cell r="B214" t="str">
            <v>Reducción de 8"x4", extremo junta hidráulica.</v>
          </cell>
          <cell r="C214" t="str">
            <v>Und.</v>
          </cell>
          <cell r="D214">
            <v>295100</v>
          </cell>
          <cell r="E214">
            <v>351169</v>
          </cell>
        </row>
        <row r="215">
          <cell r="A215" t="str">
            <v>RD86</v>
          </cell>
          <cell r="B215" t="str">
            <v>Reducción de 8"x6", extremo junta hidráulica.</v>
          </cell>
          <cell r="C215" t="str">
            <v>Und.</v>
          </cell>
          <cell r="D215">
            <v>327600</v>
          </cell>
          <cell r="E215">
            <v>389844</v>
          </cell>
        </row>
        <row r="216">
          <cell r="A216" t="str">
            <v>RD106</v>
          </cell>
          <cell r="B216" t="str">
            <v>Reducción de 10"x6", extremo junta hidráulica.</v>
          </cell>
          <cell r="C216" t="str">
            <v>Und.</v>
          </cell>
          <cell r="D216">
            <v>523900</v>
          </cell>
          <cell r="E216">
            <v>623441</v>
          </cell>
        </row>
        <row r="217">
          <cell r="A217" t="str">
            <v>RD108</v>
          </cell>
          <cell r="B217" t="str">
            <v>Reducción de 10"x8", extremo junta hidráulica.</v>
          </cell>
          <cell r="C217" t="str">
            <v>Und.</v>
          </cell>
          <cell r="D217">
            <v>621400</v>
          </cell>
          <cell r="E217">
            <v>739466</v>
          </cell>
        </row>
        <row r="218">
          <cell r="A218" t="str">
            <v>RC12</v>
          </cell>
          <cell r="B218" t="str">
            <v>Registro de corte de 1/2" en cobre</v>
          </cell>
          <cell r="C218" t="str">
            <v>Und.</v>
          </cell>
          <cell r="D218">
            <v>14332.084800000001</v>
          </cell>
          <cell r="E218">
            <v>17055</v>
          </cell>
        </row>
        <row r="219">
          <cell r="A219" t="str">
            <v>RC18</v>
          </cell>
          <cell r="B219" t="str">
            <v>Registro de corte de 3/4" en cobre</v>
          </cell>
          <cell r="C219" t="str">
            <v>Und.</v>
          </cell>
          <cell r="D219">
            <v>26275.488800000003</v>
          </cell>
          <cell r="E219">
            <v>31268</v>
          </cell>
        </row>
        <row r="220">
          <cell r="A220" t="str">
            <v>RI12</v>
          </cell>
          <cell r="B220" t="str">
            <v>Registro de incorporación de 1/2" en cobre</v>
          </cell>
          <cell r="C220" t="str">
            <v>Und.</v>
          </cell>
          <cell r="D220">
            <v>14332.084800000001</v>
          </cell>
          <cell r="E220">
            <v>17055</v>
          </cell>
        </row>
        <row r="221">
          <cell r="A221" t="str">
            <v>RI18</v>
          </cell>
          <cell r="B221" t="str">
            <v>Registro de incorporación de 3/4" en cobre</v>
          </cell>
          <cell r="C221" t="str">
            <v>Und.</v>
          </cell>
          <cell r="D221">
            <v>26275.488800000003</v>
          </cell>
          <cell r="E221">
            <v>31268</v>
          </cell>
        </row>
        <row r="222">
          <cell r="A222" t="str">
            <v>TV</v>
          </cell>
          <cell r="B222" t="str">
            <v>Tapa válvula de 20cm x 20cm para tráfico pesado (En lámina de 3/8" y ángulo de 2x2x1/4, 2 Bisagras de Cápsula, anticorrosivo y pintura negra, resistente a la interperie)</v>
          </cell>
          <cell r="C222" t="str">
            <v>Und.</v>
          </cell>
          <cell r="D222">
            <v>97935.912800000006</v>
          </cell>
          <cell r="E222">
            <v>116544</v>
          </cell>
        </row>
        <row r="223">
          <cell r="A223" t="str">
            <v>TE10</v>
          </cell>
          <cell r="B223" t="str">
            <v>Tee en hierro ductil STM A-536, extremo junta hidráulica,  de 10"x10"x10"</v>
          </cell>
          <cell r="C223" t="str">
            <v>Und.</v>
          </cell>
          <cell r="D223">
            <v>1410516.0124000001</v>
          </cell>
          <cell r="E223">
            <v>1678514</v>
          </cell>
        </row>
        <row r="224">
          <cell r="A224" t="str">
            <v>TE103</v>
          </cell>
          <cell r="B224" t="str">
            <v>Tee en hierro ductil STM A-536, extremo junta hidráulica,  de 10"x3"x10"</v>
          </cell>
          <cell r="C224" t="str">
            <v>Und.</v>
          </cell>
          <cell r="D224">
            <v>875451.51320000004</v>
          </cell>
          <cell r="E224">
            <v>1041787</v>
          </cell>
        </row>
        <row r="225">
          <cell r="A225" t="str">
            <v>TE104</v>
          </cell>
          <cell r="B225" t="str">
            <v>Tee en hierro ductil STM A-536, extremo junta hidráulica,  de 10"x4"x10"</v>
          </cell>
          <cell r="C225" t="str">
            <v>Und.</v>
          </cell>
          <cell r="D225">
            <v>906504.36360000016</v>
          </cell>
          <cell r="E225">
            <v>1078740</v>
          </cell>
        </row>
        <row r="226">
          <cell r="A226" t="str">
            <v>TE106</v>
          </cell>
          <cell r="B226" t="str">
            <v>Tee en hierro ductil STM A-536, extremo junta hidráulica,  de 10"x6"x10"</v>
          </cell>
          <cell r="C226" t="str">
            <v>Und.</v>
          </cell>
          <cell r="D226">
            <v>954277.97960000008</v>
          </cell>
          <cell r="E226">
            <v>1135591</v>
          </cell>
        </row>
        <row r="227">
          <cell r="A227" t="str">
            <v>TE108</v>
          </cell>
          <cell r="B227" t="str">
            <v>Tee en hierro ductil STM A-536, extremo junta hidráulica,  de 10"x8"x10"</v>
          </cell>
          <cell r="C227" t="str">
            <v>Und.</v>
          </cell>
          <cell r="D227">
            <v>1113125.2528000001</v>
          </cell>
          <cell r="E227">
            <v>1324619</v>
          </cell>
        </row>
        <row r="228">
          <cell r="A228" t="str">
            <v>TE1210</v>
          </cell>
          <cell r="B228" t="str">
            <v>Tee en hierro ductil STM A-536, extremo junta hidráulica,  de 12"x10"x12"</v>
          </cell>
          <cell r="C228" t="str">
            <v>Und.</v>
          </cell>
          <cell r="D228">
            <v>2066208.8920000002</v>
          </cell>
          <cell r="E228">
            <v>2458789</v>
          </cell>
        </row>
        <row r="229">
          <cell r="A229" t="str">
            <v>TE12</v>
          </cell>
          <cell r="B229" t="str">
            <v>Tee en hierro ductil STM A-536, extremo junta hidráulica,  de 12"x12"x12"</v>
          </cell>
          <cell r="C229" t="str">
            <v>Und.</v>
          </cell>
          <cell r="D229">
            <v>2385097.7788000004</v>
          </cell>
          <cell r="E229">
            <v>2838266</v>
          </cell>
        </row>
        <row r="230">
          <cell r="A230" t="str">
            <v>TE123</v>
          </cell>
          <cell r="B230" t="str">
            <v>Tee en hierro ductil STM A-536, extremo junta hidráulica,  de 12"x3"x12"</v>
          </cell>
          <cell r="C230" t="str">
            <v>Und.</v>
          </cell>
          <cell r="D230">
            <v>1271972.5260000003</v>
          </cell>
          <cell r="E230">
            <v>1513647</v>
          </cell>
        </row>
        <row r="231">
          <cell r="A231" t="str">
            <v>TE124</v>
          </cell>
          <cell r="B231" t="str">
            <v>Tee en hierro ductil STM A-536, extremo junta hidráulica,  de 12"x4"x12"</v>
          </cell>
          <cell r="C231" t="str">
            <v>Und.</v>
          </cell>
          <cell r="D231">
            <v>1303025.3764000002</v>
          </cell>
          <cell r="E231">
            <v>1550600</v>
          </cell>
        </row>
        <row r="232">
          <cell r="A232" t="str">
            <v>TE126</v>
          </cell>
          <cell r="B232" t="str">
            <v>Tee en hierro ductil STM A-536, extremo junta hidráulica,  de 12"x6"x12"</v>
          </cell>
          <cell r="C232" t="str">
            <v>Und.</v>
          </cell>
          <cell r="D232">
            <v>1589667.0724000002</v>
          </cell>
          <cell r="E232">
            <v>1891704</v>
          </cell>
        </row>
        <row r="233">
          <cell r="A233" t="str">
            <v>TE128</v>
          </cell>
          <cell r="B233" t="str">
            <v>Tee en hierro ductil STM A-536, extremo junta hidráulica,  de 12"x8"x12"</v>
          </cell>
          <cell r="C233" t="str">
            <v>Und.</v>
          </cell>
          <cell r="D233">
            <v>1748514.3456000001</v>
          </cell>
          <cell r="E233">
            <v>2080732</v>
          </cell>
        </row>
        <row r="234">
          <cell r="A234" t="str">
            <v>TE2</v>
          </cell>
          <cell r="B234" t="str">
            <v>Tee en hierro ductil STM A-536, extremo junta hidráulica,  de 2"</v>
          </cell>
          <cell r="C234" t="str">
            <v>Und.</v>
          </cell>
          <cell r="D234">
            <v>72800</v>
          </cell>
          <cell r="E234">
            <v>86632</v>
          </cell>
        </row>
        <row r="235">
          <cell r="A235" t="str">
            <v>TE3</v>
          </cell>
          <cell r="B235" t="str">
            <v>Tee en hierro ductil STM A-536, extremo junta hidráulica,  de 3"</v>
          </cell>
          <cell r="C235" t="str">
            <v>Und.</v>
          </cell>
          <cell r="D235">
            <v>136500</v>
          </cell>
          <cell r="E235">
            <v>162435</v>
          </cell>
        </row>
        <row r="236">
          <cell r="A236" t="str">
            <v>TE32</v>
          </cell>
          <cell r="B236" t="str">
            <v>Tee en hierro ductil STM A-536, extremo junta hidráulica,  de 3X2"</v>
          </cell>
          <cell r="C236" t="str">
            <v>Und.</v>
          </cell>
          <cell r="D236">
            <v>92300</v>
          </cell>
          <cell r="E236">
            <v>109837</v>
          </cell>
        </row>
        <row r="237">
          <cell r="A237" t="str">
            <v>TE43</v>
          </cell>
          <cell r="B237" t="str">
            <v>Tee en hierro ductil STM A-536, extremo junta hidráulica,  de 4"x3"x4"</v>
          </cell>
          <cell r="C237" t="str">
            <v>Und.</v>
          </cell>
          <cell r="D237">
            <v>144300</v>
          </cell>
          <cell r="E237">
            <v>171717</v>
          </cell>
        </row>
        <row r="238">
          <cell r="A238" t="str">
            <v>TE4</v>
          </cell>
          <cell r="B238" t="str">
            <v>Tee en hierro ductil STM A-536, extremo junta hidráulica,  de 4"x4"x4"</v>
          </cell>
          <cell r="C238" t="str">
            <v>Und.</v>
          </cell>
          <cell r="D238">
            <v>179400</v>
          </cell>
          <cell r="E238">
            <v>213486</v>
          </cell>
        </row>
        <row r="239">
          <cell r="A239" t="str">
            <v>TE62</v>
          </cell>
          <cell r="B239" t="str">
            <v>Tee en hierro ductil STM A-536, extremo junta hidráulica,  de 6"x2"x6"</v>
          </cell>
          <cell r="C239" t="str">
            <v>Und.</v>
          </cell>
          <cell r="D239">
            <v>289000</v>
          </cell>
          <cell r="E239">
            <v>343910</v>
          </cell>
        </row>
        <row r="240">
          <cell r="A240" t="str">
            <v>TE63</v>
          </cell>
          <cell r="B240" t="str">
            <v>Tee en hierro ductil STM A-536, extremo junta hidráulica,  de 6"x3"x6"</v>
          </cell>
          <cell r="C240" t="str">
            <v>Und.</v>
          </cell>
          <cell r="D240">
            <v>306800</v>
          </cell>
          <cell r="E240">
            <v>365092</v>
          </cell>
        </row>
        <row r="241">
          <cell r="A241" t="str">
            <v>TE64</v>
          </cell>
          <cell r="B241" t="str">
            <v>Tee en hierro ductil STM A-536, extremo junta hidráulica,  de 6"x4"x6"</v>
          </cell>
          <cell r="C241" t="str">
            <v>Und.</v>
          </cell>
          <cell r="D241">
            <v>400000</v>
          </cell>
          <cell r="E241">
            <v>476000</v>
          </cell>
        </row>
        <row r="242">
          <cell r="A242" t="str">
            <v>TE6</v>
          </cell>
          <cell r="B242" t="str">
            <v>Tee en hierro ductil STM A-536, extremo junta hidráulica,  de 6"x6"x6"</v>
          </cell>
          <cell r="C242" t="str">
            <v>Und.</v>
          </cell>
          <cell r="D242">
            <v>449800</v>
          </cell>
          <cell r="E242">
            <v>535262</v>
          </cell>
        </row>
        <row r="243">
          <cell r="A243" t="str">
            <v>TE82</v>
          </cell>
          <cell r="B243" t="str">
            <v>Tee en hierro ductil STM A-536, extremo junta hidráulica,  de 8"x2"x8"</v>
          </cell>
          <cell r="C243" t="str">
            <v>Und.</v>
          </cell>
          <cell r="D243">
            <v>549900</v>
          </cell>
          <cell r="E243">
            <v>654381</v>
          </cell>
        </row>
        <row r="244">
          <cell r="A244" t="str">
            <v>TE83</v>
          </cell>
          <cell r="B244" t="str">
            <v>Tee en hierro ductil STM A-536, extremo junta hidráulica,  de 8"x3"x8"</v>
          </cell>
          <cell r="C244" t="str">
            <v>Und.</v>
          </cell>
          <cell r="D244">
            <v>630500</v>
          </cell>
          <cell r="E244">
            <v>750295</v>
          </cell>
        </row>
        <row r="245">
          <cell r="A245" t="str">
            <v>TE84</v>
          </cell>
          <cell r="B245" t="str">
            <v>Tee en hierro ductil STM A-536, extremo junta hidráulica,  de 8"x4"x8"</v>
          </cell>
          <cell r="C245" t="str">
            <v>Und.</v>
          </cell>
          <cell r="D245">
            <v>718900</v>
          </cell>
          <cell r="E245">
            <v>855491</v>
          </cell>
        </row>
        <row r="246">
          <cell r="A246" t="str">
            <v>TE86</v>
          </cell>
          <cell r="B246" t="str">
            <v>Tee en hierro ductil STM A-536, extremo junta hidráulica,  de 8"x6"x8"</v>
          </cell>
          <cell r="C246" t="str">
            <v>Und.</v>
          </cell>
          <cell r="D246">
            <v>755300</v>
          </cell>
          <cell r="E246">
            <v>898807</v>
          </cell>
        </row>
        <row r="247">
          <cell r="A247" t="str">
            <v>TE8</v>
          </cell>
          <cell r="B247" t="str">
            <v>Tee en hierro ductil STM A-536, extremo junta hidráulica,  de 8"x8"x8"</v>
          </cell>
          <cell r="C247" t="str">
            <v>Und.</v>
          </cell>
          <cell r="D247">
            <v>811200</v>
          </cell>
          <cell r="E247">
            <v>965328</v>
          </cell>
        </row>
        <row r="248">
          <cell r="A248" t="str">
            <v>TE110</v>
          </cell>
          <cell r="B248" t="str">
            <v>Tee en hierro ductil STM A-536, extremo junta hidráulica,  de 10"x10"x10"</v>
          </cell>
          <cell r="C248" t="str">
            <v>Und.</v>
          </cell>
          <cell r="D248">
            <v>1596400</v>
          </cell>
          <cell r="E248">
            <v>1899716</v>
          </cell>
        </row>
        <row r="249">
          <cell r="A249" t="str">
            <v>TE1212</v>
          </cell>
          <cell r="B249" t="str">
            <v>Tee en hierro ductil STM A-536, extremo junta hidráulica,  de 12"x12"x12"</v>
          </cell>
          <cell r="C249" t="str">
            <v>Und.</v>
          </cell>
          <cell r="D249">
            <v>2454000</v>
          </cell>
          <cell r="E249">
            <v>2920260</v>
          </cell>
        </row>
        <row r="250">
          <cell r="A250" t="str">
            <v>THD4</v>
          </cell>
          <cell r="B250" t="str">
            <v xml:space="preserve">Tuberia estandar HD DN 100 mm K9 </v>
          </cell>
          <cell r="C250" t="str">
            <v>ml</v>
          </cell>
          <cell r="D250">
            <v>0</v>
          </cell>
          <cell r="E250">
            <v>0</v>
          </cell>
        </row>
        <row r="251">
          <cell r="A251" t="str">
            <v>THD6</v>
          </cell>
          <cell r="B251" t="str">
            <v xml:space="preserve">Tuberia estandar HD DN 150 mm K9 </v>
          </cell>
          <cell r="C251" t="str">
            <v>ml</v>
          </cell>
          <cell r="D251">
            <v>0</v>
          </cell>
          <cell r="E251">
            <v>0</v>
          </cell>
        </row>
        <row r="252">
          <cell r="A252" t="str">
            <v>THD8</v>
          </cell>
          <cell r="B252" t="str">
            <v xml:space="preserve">Tuberia estandar HD DN 200 mm K9 </v>
          </cell>
          <cell r="C252" t="str">
            <v>ml</v>
          </cell>
          <cell r="D252">
            <v>0</v>
          </cell>
          <cell r="E252">
            <v>0</v>
          </cell>
        </row>
        <row r="253">
          <cell r="A253" t="str">
            <v>THD10</v>
          </cell>
          <cell r="B253" t="str">
            <v xml:space="preserve">Tuberia estandar HD DN 250 mm K8 </v>
          </cell>
          <cell r="C253" t="str">
            <v>ml</v>
          </cell>
          <cell r="D253">
            <v>0</v>
          </cell>
          <cell r="E253">
            <v>0</v>
          </cell>
        </row>
        <row r="254">
          <cell r="A254" t="str">
            <v>THD12</v>
          </cell>
          <cell r="B254" t="str">
            <v xml:space="preserve">Tuberia estandar HD DN 300 mm K7 </v>
          </cell>
          <cell r="C254" t="str">
            <v>ml</v>
          </cell>
          <cell r="D254">
            <v>0</v>
          </cell>
          <cell r="E254">
            <v>0</v>
          </cell>
        </row>
        <row r="255">
          <cell r="A255" t="str">
            <v>THD14</v>
          </cell>
          <cell r="B255" t="str">
            <v xml:space="preserve">Tuberia estandar HD DN 350 mm K7 </v>
          </cell>
          <cell r="C255" t="str">
            <v>ml</v>
          </cell>
          <cell r="D255">
            <v>0</v>
          </cell>
          <cell r="E255">
            <v>0</v>
          </cell>
        </row>
        <row r="256">
          <cell r="A256" t="str">
            <v>THD16</v>
          </cell>
          <cell r="B256" t="str">
            <v xml:space="preserve">Tuberia estandar HD DN 400 mm K7 </v>
          </cell>
          <cell r="C256" t="str">
            <v>ml</v>
          </cell>
          <cell r="D256">
            <v>0</v>
          </cell>
          <cell r="E256">
            <v>0</v>
          </cell>
        </row>
        <row r="257">
          <cell r="A257" t="str">
            <v>THD18</v>
          </cell>
          <cell r="B257" t="str">
            <v xml:space="preserve">Tuberia estandar HD DN 450 mm K7 </v>
          </cell>
          <cell r="C257" t="str">
            <v>ml</v>
          </cell>
          <cell r="D257">
            <v>0</v>
          </cell>
          <cell r="E257">
            <v>0</v>
          </cell>
        </row>
        <row r="258">
          <cell r="A258" t="str">
            <v>THD20</v>
          </cell>
          <cell r="B258" t="str">
            <v xml:space="preserve">Tuberia estandar HD DN 500 mm K7 </v>
          </cell>
          <cell r="C258" t="str">
            <v>ml</v>
          </cell>
          <cell r="D258">
            <v>0</v>
          </cell>
          <cell r="E258">
            <v>0</v>
          </cell>
        </row>
        <row r="259">
          <cell r="A259" t="str">
            <v>THD24</v>
          </cell>
          <cell r="B259" t="str">
            <v xml:space="preserve">Tuberia estandar HD DN 600 mm K7 </v>
          </cell>
          <cell r="C259" t="str">
            <v>ml</v>
          </cell>
          <cell r="D259">
            <v>0</v>
          </cell>
          <cell r="E259">
            <v>0</v>
          </cell>
        </row>
        <row r="260">
          <cell r="A260" t="str">
            <v>THD28</v>
          </cell>
          <cell r="B260" t="str">
            <v xml:space="preserve">Tuberia estandar HD DN 700 mm K7 </v>
          </cell>
          <cell r="C260" t="str">
            <v>ml</v>
          </cell>
          <cell r="D260">
            <v>0</v>
          </cell>
          <cell r="E260">
            <v>0</v>
          </cell>
        </row>
        <row r="261">
          <cell r="A261" t="str">
            <v>THD32</v>
          </cell>
          <cell r="B261" t="str">
            <v xml:space="preserve">Tuberia estandar HD DN 800 mm K7 </v>
          </cell>
          <cell r="C261" t="str">
            <v>ml</v>
          </cell>
          <cell r="D261">
            <v>0</v>
          </cell>
          <cell r="E261">
            <v>0</v>
          </cell>
        </row>
        <row r="262">
          <cell r="A262" t="str">
            <v>THD36</v>
          </cell>
          <cell r="B262" t="str">
            <v xml:space="preserve">Tuberia estandar HD DN 900 mm K7 </v>
          </cell>
          <cell r="C262" t="str">
            <v>ml</v>
          </cell>
          <cell r="D262">
            <v>0</v>
          </cell>
          <cell r="E262">
            <v>0</v>
          </cell>
        </row>
        <row r="263">
          <cell r="A263" t="str">
            <v>THD40</v>
          </cell>
          <cell r="B263" t="str">
            <v xml:space="preserve">Tuberia estandar HD DN 1000 mm K7 </v>
          </cell>
          <cell r="C263" t="str">
            <v>ml</v>
          </cell>
          <cell r="D263">
            <v>0</v>
          </cell>
          <cell r="E263">
            <v>0</v>
          </cell>
        </row>
        <row r="264">
          <cell r="A264" t="str">
            <v>UU10</v>
          </cell>
          <cell r="B264" t="str">
            <v>Unión universal de 10" en hierro ductil (ASTM-A-536).  R1</v>
          </cell>
          <cell r="C264" t="str">
            <v>Und.</v>
          </cell>
          <cell r="D264">
            <v>397800</v>
          </cell>
          <cell r="E264">
            <v>473382</v>
          </cell>
        </row>
        <row r="265">
          <cell r="A265" t="str">
            <v>UU12</v>
          </cell>
          <cell r="B265" t="str">
            <v>Unión universal de 12" en hierro ductil (ASTM-A-536).  R1</v>
          </cell>
          <cell r="C265" t="str">
            <v>Und.</v>
          </cell>
          <cell r="D265">
            <v>578500</v>
          </cell>
          <cell r="E265">
            <v>688415</v>
          </cell>
        </row>
        <row r="266">
          <cell r="A266" t="str">
            <v>UUH2</v>
          </cell>
          <cell r="B266" t="str">
            <v>Unión universal de 2" en hierro ductil (ASTM-A-536).  Acople para diferentes tuberías</v>
          </cell>
          <cell r="C266" t="str">
            <v>Und.</v>
          </cell>
          <cell r="D266">
            <v>102700</v>
          </cell>
          <cell r="E266">
            <v>122213</v>
          </cell>
        </row>
        <row r="267">
          <cell r="A267" t="str">
            <v>UUH3</v>
          </cell>
          <cell r="B267" t="str">
            <v>Unión universal de 3" en hierro ductil (ASTM-A-536).  Acople para diferentes tuberías</v>
          </cell>
          <cell r="C267" t="str">
            <v>Und.</v>
          </cell>
          <cell r="D267">
            <v>85000</v>
          </cell>
          <cell r="E267">
            <v>101150</v>
          </cell>
        </row>
        <row r="268">
          <cell r="A268" t="str">
            <v>UUH4</v>
          </cell>
          <cell r="B268" t="str">
            <v>Unión universal de 4" en hierro ductil (ASTM-A-536).  Acople para diferentes tuberías</v>
          </cell>
          <cell r="C268" t="str">
            <v>Und.</v>
          </cell>
          <cell r="D268">
            <v>95000</v>
          </cell>
          <cell r="E268">
            <v>113050</v>
          </cell>
        </row>
        <row r="269">
          <cell r="A269" t="str">
            <v>UUH6</v>
          </cell>
          <cell r="B269" t="str">
            <v>Unión universal de 6" en hierro ductil (ASTM-A-536).  Acople para diferentes tuberías</v>
          </cell>
          <cell r="C269" t="str">
            <v>Und.</v>
          </cell>
          <cell r="D269">
            <v>180000</v>
          </cell>
          <cell r="E269">
            <v>214200</v>
          </cell>
        </row>
        <row r="270">
          <cell r="A270" t="str">
            <v>UUH8</v>
          </cell>
          <cell r="B270" t="str">
            <v>Unión universal de 8" en hierro ductil (ASTM-A-536).  R1</v>
          </cell>
          <cell r="C270" t="str">
            <v>Und.</v>
          </cell>
          <cell r="D270">
            <v>235000</v>
          </cell>
          <cell r="E270">
            <v>279650</v>
          </cell>
        </row>
        <row r="271">
          <cell r="A271" t="str">
            <v>VCE2</v>
          </cell>
          <cell r="B271" t="str">
            <v>Válvula de compuerta elástica en hierro dúctil (ASTM-A-536) de 2", vástago no ascendente en acero inoxidable, presión de trabajo 250 psi. Extremo Brida.</v>
          </cell>
          <cell r="C271" t="str">
            <v>Und.</v>
          </cell>
          <cell r="D271">
            <v>358000</v>
          </cell>
          <cell r="E271">
            <v>426020</v>
          </cell>
        </row>
        <row r="272">
          <cell r="A272" t="str">
            <v>VCE3</v>
          </cell>
          <cell r="B272" t="str">
            <v>Válvula de compuerta elástica en hierro dúctil (ASTM-A-536) de 3", vástago no ascendente en acero inoxidable, presión de trabajo 250 psi. Extremo Liso Para PVC</v>
          </cell>
          <cell r="C272" t="str">
            <v>Und.</v>
          </cell>
          <cell r="D272">
            <v>400000</v>
          </cell>
          <cell r="E272">
            <v>476000</v>
          </cell>
        </row>
        <row r="273">
          <cell r="A273" t="str">
            <v>VCE4</v>
          </cell>
          <cell r="B273" t="str">
            <v>Válvula de compuerta elástica en hierro dúctil (ASTM-A-536) de 4", vástago no ascendente en acero inoxidable, presión de trabajo 250 psi. Extremo Liso para PVC</v>
          </cell>
          <cell r="C273" t="str">
            <v>Und.</v>
          </cell>
          <cell r="D273">
            <v>530000</v>
          </cell>
          <cell r="E273">
            <v>630700</v>
          </cell>
        </row>
        <row r="274">
          <cell r="A274" t="str">
            <v>VCE6</v>
          </cell>
          <cell r="B274" t="str">
            <v>Válvula de compuerta elástica en hierro dúctil (ASTM-A-536) de 6", vástago no ascendente en acero inoxidable, presión de trabajo 250 psi. Extremo Brida.</v>
          </cell>
          <cell r="C274" t="str">
            <v>Und.</v>
          </cell>
          <cell r="D274">
            <v>1025000</v>
          </cell>
          <cell r="E274">
            <v>1219750</v>
          </cell>
          <cell r="F274">
            <v>25</v>
          </cell>
          <cell r="G274">
            <v>1000</v>
          </cell>
        </row>
        <row r="275">
          <cell r="A275" t="str">
            <v>VCE8</v>
          </cell>
          <cell r="B275" t="str">
            <v>Válvula de compuerta elástica en hierro dúctil (ASTM-A-536) de 8", vástago no ascendente en acero inoxidable, presión de trabajo 250 psi. Extremo Brida.</v>
          </cell>
          <cell r="C275" t="str">
            <v>Und.</v>
          </cell>
          <cell r="D275">
            <v>1500000</v>
          </cell>
          <cell r="E275">
            <v>1785000</v>
          </cell>
          <cell r="F275">
            <v>25</v>
          </cell>
          <cell r="G275">
            <v>1000</v>
          </cell>
        </row>
        <row r="276">
          <cell r="A276" t="str">
            <v>VCE10</v>
          </cell>
          <cell r="B276" t="str">
            <v>Válvula de compuerta elástica en hierro dúctil (ASTM-A-536) de 10", vástago no ascendente en acero inoxidable, presión de trabajo 250 psi. Extremo Liso para PVC</v>
          </cell>
          <cell r="C276" t="str">
            <v>Und.</v>
          </cell>
          <cell r="D276">
            <v>3303000</v>
          </cell>
          <cell r="E276">
            <v>3930570</v>
          </cell>
        </row>
        <row r="277">
          <cell r="A277" t="str">
            <v>VCE12</v>
          </cell>
          <cell r="B277" t="str">
            <v>Válvula de compuerta elástica en hierro dúctil (ASTM-A-536) de 12", vástago no ascendente en acero inoxidable, presión de trabajo 250 psi. Extremo Liso para PVC</v>
          </cell>
          <cell r="C277" t="str">
            <v>Und.</v>
          </cell>
          <cell r="D277">
            <v>4130000</v>
          </cell>
          <cell r="E277">
            <v>4914700</v>
          </cell>
        </row>
        <row r="278">
          <cell r="A278" t="str">
            <v>VCL2</v>
          </cell>
          <cell r="B278" t="str">
            <v>Válvula de cierre lento tipo globo en hierro dúctil (ASTM-A-536) de 2". Extremo Brida para PVC</v>
          </cell>
          <cell r="C278" t="str">
            <v>Und.</v>
          </cell>
          <cell r="D278">
            <v>652800</v>
          </cell>
          <cell r="E278">
            <v>776832</v>
          </cell>
        </row>
        <row r="279">
          <cell r="A279" t="str">
            <v>VCL3</v>
          </cell>
          <cell r="B279" t="str">
            <v>Válvula de cierre lento tipo globo en hierro dúctil (ASTM-A-536) de 3". Extremo Brida para PVC</v>
          </cell>
          <cell r="C279" t="str">
            <v>Und.</v>
          </cell>
          <cell r="D279">
            <v>897600</v>
          </cell>
          <cell r="E279">
            <v>1068144</v>
          </cell>
        </row>
        <row r="280">
          <cell r="A280" t="str">
            <v>VVC1</v>
          </cell>
          <cell r="B280" t="str">
            <v>Válvula Ventosa doble cámara triple efecto multiple acción HD 1". Extremo rosca</v>
          </cell>
          <cell r="C280" t="str">
            <v>Und.</v>
          </cell>
          <cell r="D280">
            <v>733700</v>
          </cell>
          <cell r="E280">
            <v>873103</v>
          </cell>
        </row>
        <row r="281">
          <cell r="A281" t="str">
            <v>VVC2</v>
          </cell>
          <cell r="B281" t="str">
            <v>Válvula Ventosa doble cámara triple efecto multiple acción HD 2". Extremo Brida</v>
          </cell>
          <cell r="C281" t="str">
            <v>Und.</v>
          </cell>
          <cell r="D281">
            <v>896999.99999999988</v>
          </cell>
          <cell r="E281">
            <v>1067430</v>
          </cell>
        </row>
        <row r="282">
          <cell r="A282" t="str">
            <v>ACCESORIOS Y TUBERÍA PVC PRESIÓN - ACUEDUCTO</v>
          </cell>
        </row>
        <row r="283">
          <cell r="A283" t="str">
            <v>MATERIALES</v>
          </cell>
        </row>
        <row r="284">
          <cell r="A284" t="str">
            <v>COD</v>
          </cell>
          <cell r="B284" t="str">
            <v>DESCRIPCION</v>
          </cell>
          <cell r="C284" t="str">
            <v>UNIDAD</v>
          </cell>
          <cell r="D284" t="str">
            <v>Vr. Sin IVA</v>
          </cell>
          <cell r="E284" t="str">
            <v>Vr. Con IVA</v>
          </cell>
          <cell r="F284" t="str">
            <v>TRANSPORTE</v>
          </cell>
        </row>
        <row r="285">
          <cell r="E285">
            <v>0.19</v>
          </cell>
          <cell r="F285" t="str">
            <v>DIST/. (Km)</v>
          </cell>
          <cell r="G285" t="str">
            <v>TARIFA $/m3</v>
          </cell>
        </row>
        <row r="286">
          <cell r="A286" t="str">
            <v>TUBERÍA Y ACCESORIOS PVC PARA ACUEDUCTO Y RIEGO</v>
          </cell>
        </row>
        <row r="287">
          <cell r="A287" t="str">
            <v>TUBERÍA PRESIÓN EXTREMO LISO</v>
          </cell>
        </row>
        <row r="288">
          <cell r="A288" t="str">
            <v>TP1/29</v>
          </cell>
          <cell r="B288" t="str">
            <v>Tubería PVC Presión E.L. de 1/2" RDE 9</v>
          </cell>
          <cell r="C288" t="str">
            <v>m.</v>
          </cell>
          <cell r="D288">
            <v>2513</v>
          </cell>
          <cell r="E288">
            <v>2990</v>
          </cell>
        </row>
        <row r="289">
          <cell r="A289" t="str">
            <v>TP3/411</v>
          </cell>
          <cell r="B289" t="str">
            <v>Tubería PVC Presión E.L. de 3/4" RDE 11</v>
          </cell>
          <cell r="C289" t="str">
            <v>m.</v>
          </cell>
          <cell r="D289">
            <v>3347</v>
          </cell>
          <cell r="E289">
            <v>3983</v>
          </cell>
        </row>
        <row r="290">
          <cell r="A290" t="str">
            <v>TP1/213.5</v>
          </cell>
          <cell r="B290" t="str">
            <v>Tubería PVC Presión E.L. de 1/2" RDE 13.5</v>
          </cell>
          <cell r="C290" t="str">
            <v>m.</v>
          </cell>
          <cell r="D290">
            <v>1794</v>
          </cell>
          <cell r="E290">
            <v>2135</v>
          </cell>
        </row>
        <row r="291">
          <cell r="A291" t="str">
            <v>TP113.5</v>
          </cell>
          <cell r="B291" t="str">
            <v>Tubería PVC Presión E.L. de 1" RDE 13.5</v>
          </cell>
          <cell r="C291" t="str">
            <v>m.</v>
          </cell>
          <cell r="D291">
            <v>4517</v>
          </cell>
          <cell r="E291">
            <v>5375</v>
          </cell>
        </row>
        <row r="292">
          <cell r="A292" t="str">
            <v>TP3/421</v>
          </cell>
          <cell r="B292" t="str">
            <v>Tubería PVC Presión E.L. de 3/4" RDE 21</v>
          </cell>
          <cell r="C292" t="str">
            <v>m.</v>
          </cell>
          <cell r="D292">
            <v>2221</v>
          </cell>
          <cell r="E292">
            <v>2643</v>
          </cell>
        </row>
        <row r="293">
          <cell r="A293" t="str">
            <v>TP121</v>
          </cell>
          <cell r="B293" t="str">
            <v>Tubería PVC Presión E.L. de 1" RDE 21</v>
          </cell>
          <cell r="C293" t="str">
            <v>m.</v>
          </cell>
          <cell r="D293">
            <v>3118</v>
          </cell>
          <cell r="E293">
            <v>3710</v>
          </cell>
        </row>
        <row r="294">
          <cell r="A294" t="str">
            <v>TP1-1/421</v>
          </cell>
          <cell r="B294" t="str">
            <v>Tubería PVC Presión E.L. de 1-1/4" RDE 21</v>
          </cell>
          <cell r="C294" t="str">
            <v>m.</v>
          </cell>
          <cell r="D294">
            <v>5619</v>
          </cell>
          <cell r="E294">
            <v>6687</v>
          </cell>
        </row>
        <row r="295">
          <cell r="A295" t="str">
            <v>TP1-1/221</v>
          </cell>
          <cell r="B295" t="str">
            <v>Tubería PVC Presión E.L. de 1-1/2" RDE 21</v>
          </cell>
          <cell r="C295" t="str">
            <v>m.</v>
          </cell>
          <cell r="D295">
            <v>7337</v>
          </cell>
          <cell r="E295">
            <v>8731</v>
          </cell>
        </row>
        <row r="296">
          <cell r="A296" t="str">
            <v>TP221</v>
          </cell>
          <cell r="B296" t="str">
            <v>Tubería PVC Presión E.L. de 2" RDE 21</v>
          </cell>
          <cell r="C296" t="str">
            <v>m.</v>
          </cell>
          <cell r="D296">
            <v>11251</v>
          </cell>
          <cell r="E296">
            <v>13389</v>
          </cell>
        </row>
        <row r="297">
          <cell r="A297" t="str">
            <v>TP2-1/221</v>
          </cell>
          <cell r="B297" t="str">
            <v>Tubería PVC Presión E.L. de 2-1/2" RDE 21</v>
          </cell>
          <cell r="C297" t="str">
            <v>m.</v>
          </cell>
          <cell r="D297">
            <v>18233</v>
          </cell>
          <cell r="E297">
            <v>21697</v>
          </cell>
        </row>
        <row r="298">
          <cell r="A298" t="str">
            <v>TP321</v>
          </cell>
          <cell r="B298" t="str">
            <v>Tubería PVC Presión E.L. de 3" RDE 21</v>
          </cell>
          <cell r="C298" t="str">
            <v>m.</v>
          </cell>
          <cell r="D298">
            <v>24344</v>
          </cell>
          <cell r="E298">
            <v>28969</v>
          </cell>
        </row>
        <row r="299">
          <cell r="A299" t="str">
            <v>TP421</v>
          </cell>
          <cell r="B299" t="str">
            <v>Tubería PVC Presión E.L. de 4" RDE 21</v>
          </cell>
          <cell r="C299" t="str">
            <v>m.</v>
          </cell>
          <cell r="D299">
            <v>41523</v>
          </cell>
          <cell r="E299">
            <v>49412</v>
          </cell>
        </row>
        <row r="300">
          <cell r="A300" t="str">
            <v>TP226</v>
          </cell>
          <cell r="B300" t="str">
            <v>Tubería PVC Presión E.L. de 2" RDE 26</v>
          </cell>
          <cell r="C300" t="str">
            <v>m.</v>
          </cell>
          <cell r="D300">
            <v>9289</v>
          </cell>
          <cell r="E300">
            <v>11054</v>
          </cell>
        </row>
        <row r="301">
          <cell r="A301" t="str">
            <v>TP2-1/226</v>
          </cell>
          <cell r="B301" t="str">
            <v>Tubería PVC Presión E.L. de 2-1/2" RDE 26</v>
          </cell>
          <cell r="C301" t="str">
            <v>m.</v>
          </cell>
          <cell r="D301">
            <v>14073</v>
          </cell>
          <cell r="E301">
            <v>16747</v>
          </cell>
        </row>
        <row r="302">
          <cell r="A302" t="str">
            <v>TP326</v>
          </cell>
          <cell r="B302" t="str">
            <v>Tubería PVC Presión E.L. de 3" RDE 26</v>
          </cell>
          <cell r="C302" t="str">
            <v>m.</v>
          </cell>
          <cell r="D302">
            <v>19845</v>
          </cell>
          <cell r="E302">
            <v>23616</v>
          </cell>
        </row>
        <row r="303">
          <cell r="A303" t="str">
            <v>TP426</v>
          </cell>
          <cell r="B303" t="str">
            <v>Tubería PVC Presión E.L. de 4" RDE 26</v>
          </cell>
          <cell r="C303" t="str">
            <v>m.</v>
          </cell>
          <cell r="D303">
            <v>32979</v>
          </cell>
          <cell r="E303">
            <v>39245</v>
          </cell>
        </row>
        <row r="304">
          <cell r="A304" t="str">
            <v>TP332.5</v>
          </cell>
          <cell r="B304" t="str">
            <v>Tubería PVC Presión E.L. de 3" RDE 32.5</v>
          </cell>
          <cell r="C304" t="str">
            <v>m.</v>
          </cell>
          <cell r="D304">
            <v>16689</v>
          </cell>
          <cell r="E304">
            <v>19860</v>
          </cell>
        </row>
        <row r="305">
          <cell r="A305" t="str">
            <v>TP432.5</v>
          </cell>
          <cell r="B305" t="str">
            <v>Tubería PVC Presión E.L. de 4" RDE 32.5</v>
          </cell>
          <cell r="C305" t="str">
            <v>m.</v>
          </cell>
          <cell r="D305">
            <v>26454</v>
          </cell>
          <cell r="E305">
            <v>31480</v>
          </cell>
        </row>
        <row r="306">
          <cell r="A306" t="str">
            <v>TP441</v>
          </cell>
          <cell r="B306" t="str">
            <v>Tubería PVC Presión E.L. de 4" RDE 41</v>
          </cell>
          <cell r="C306" t="str">
            <v>m.</v>
          </cell>
          <cell r="D306">
            <v>22714</v>
          </cell>
          <cell r="E306">
            <v>27030</v>
          </cell>
        </row>
        <row r="308">
          <cell r="A308" t="str">
            <v>ACCESORIOS PRESION Liso - Roscado</v>
          </cell>
        </row>
        <row r="309">
          <cell r="B309" t="str">
            <v>Adaptador Hembra PVC</v>
          </cell>
        </row>
        <row r="310">
          <cell r="A310" t="str">
            <v>AH1/2*3/4</v>
          </cell>
          <cell r="B310" t="str">
            <v>Adaptador Hembra PVC de 1/2"x1/4"</v>
          </cell>
          <cell r="C310" t="str">
            <v>Und.</v>
          </cell>
          <cell r="D310">
            <v>585</v>
          </cell>
          <cell r="E310">
            <v>696</v>
          </cell>
        </row>
        <row r="311">
          <cell r="A311" t="str">
            <v>AH1/2*3/8</v>
          </cell>
          <cell r="B311" t="str">
            <v>Adaptador Hembra PVC de 1/2"x3/8"</v>
          </cell>
          <cell r="C311" t="str">
            <v>Und.</v>
          </cell>
          <cell r="D311">
            <v>1084</v>
          </cell>
          <cell r="E311">
            <v>1290</v>
          </cell>
        </row>
        <row r="312">
          <cell r="A312" t="str">
            <v>AH1/2</v>
          </cell>
          <cell r="B312" t="str">
            <v>Adaptador Hembra PVC de 1/2"</v>
          </cell>
          <cell r="C312" t="str">
            <v>Und.</v>
          </cell>
          <cell r="D312">
            <v>316</v>
          </cell>
          <cell r="E312">
            <v>376</v>
          </cell>
        </row>
        <row r="313">
          <cell r="A313" t="str">
            <v>AH3/4</v>
          </cell>
          <cell r="B313" t="str">
            <v>Adaptador Hembra PVC de 3/4"</v>
          </cell>
          <cell r="C313" t="str">
            <v>Und.</v>
          </cell>
          <cell r="D313">
            <v>572</v>
          </cell>
          <cell r="E313">
            <v>681</v>
          </cell>
        </row>
        <row r="314">
          <cell r="A314" t="str">
            <v>AH1</v>
          </cell>
          <cell r="B314" t="str">
            <v>Adaptador Hembra PVC de 1"</v>
          </cell>
          <cell r="C314" t="str">
            <v>Und.</v>
          </cell>
          <cell r="D314">
            <v>1275</v>
          </cell>
          <cell r="E314">
            <v>1517</v>
          </cell>
        </row>
        <row r="315">
          <cell r="A315" t="str">
            <v>AH1-1/4</v>
          </cell>
          <cell r="B315" t="str">
            <v>Adaptador Hembra PVC de 1 1/4"</v>
          </cell>
          <cell r="C315" t="str">
            <v>Und.</v>
          </cell>
          <cell r="D315">
            <v>2086</v>
          </cell>
          <cell r="E315">
            <v>2482</v>
          </cell>
        </row>
        <row r="316">
          <cell r="A316" t="str">
            <v>AH1-1/2</v>
          </cell>
          <cell r="B316" t="str">
            <v>Adaptador Hembra PVC de 1 1/2"</v>
          </cell>
          <cell r="C316" t="str">
            <v>Und.</v>
          </cell>
          <cell r="D316">
            <v>3529</v>
          </cell>
          <cell r="E316">
            <v>4200</v>
          </cell>
        </row>
        <row r="317">
          <cell r="A317" t="str">
            <v>AH2</v>
          </cell>
          <cell r="B317" t="str">
            <v>Adaptador Hembra PVC de 2"</v>
          </cell>
          <cell r="C317" t="str">
            <v>Und.</v>
          </cell>
          <cell r="D317">
            <v>6285</v>
          </cell>
          <cell r="E317">
            <v>7479</v>
          </cell>
        </row>
        <row r="318">
          <cell r="A318" t="str">
            <v>AH2-1/2</v>
          </cell>
          <cell r="B318" t="str">
            <v>Adaptador Hembra PVC de 2 1/2"</v>
          </cell>
          <cell r="C318" t="str">
            <v>Und.</v>
          </cell>
          <cell r="D318">
            <v>11699</v>
          </cell>
          <cell r="E318">
            <v>13922</v>
          </cell>
        </row>
        <row r="319">
          <cell r="A319" t="str">
            <v>AH3</v>
          </cell>
          <cell r="B319" t="str">
            <v>Adaptador Hembra PVC de 3"</v>
          </cell>
          <cell r="C319" t="str">
            <v>Und.</v>
          </cell>
          <cell r="D319">
            <v>18460</v>
          </cell>
          <cell r="E319">
            <v>21967</v>
          </cell>
        </row>
        <row r="320">
          <cell r="A320" t="str">
            <v>AH4</v>
          </cell>
          <cell r="B320" t="str">
            <v>Adaptador Hembra PVC de 4"</v>
          </cell>
          <cell r="C320" t="str">
            <v>Und.</v>
          </cell>
          <cell r="D320">
            <v>33351</v>
          </cell>
          <cell r="E320">
            <v>39688</v>
          </cell>
        </row>
        <row r="322">
          <cell r="B322" t="str">
            <v>Adaptador Macho PVC</v>
          </cell>
        </row>
        <row r="323">
          <cell r="A323" t="str">
            <v>AM1/2</v>
          </cell>
          <cell r="B323" t="str">
            <v>Adaptador Macho PVC de 1/2"</v>
          </cell>
          <cell r="C323" t="str">
            <v>Und.</v>
          </cell>
          <cell r="D323">
            <v>280</v>
          </cell>
          <cell r="E323">
            <v>333</v>
          </cell>
        </row>
        <row r="324">
          <cell r="A324" t="str">
            <v>AM3/4</v>
          </cell>
          <cell r="B324" t="str">
            <v>Adaptador Macho PVC de 3/4"</v>
          </cell>
          <cell r="C324" t="str">
            <v>Und.</v>
          </cell>
          <cell r="D324">
            <v>509</v>
          </cell>
          <cell r="E324">
            <v>606</v>
          </cell>
        </row>
        <row r="325">
          <cell r="A325" t="str">
            <v>AM1</v>
          </cell>
          <cell r="B325" t="str">
            <v>Adaptador Macho PVC de 1"</v>
          </cell>
          <cell r="C325" t="str">
            <v>Und.</v>
          </cell>
          <cell r="D325">
            <v>1066</v>
          </cell>
          <cell r="E325">
            <v>1269</v>
          </cell>
        </row>
        <row r="326">
          <cell r="A326" t="str">
            <v>AM1-1/4</v>
          </cell>
          <cell r="B326" t="str">
            <v>Adaptador Macho PVC de 1 1/4"</v>
          </cell>
          <cell r="C326" t="str">
            <v>Und.</v>
          </cell>
          <cell r="D326">
            <v>2244</v>
          </cell>
          <cell r="E326">
            <v>2670</v>
          </cell>
        </row>
        <row r="327">
          <cell r="A327" t="str">
            <v>AM1-1/2</v>
          </cell>
          <cell r="B327" t="str">
            <v>Adaptador Macho PVC de 1 1/2"</v>
          </cell>
          <cell r="C327" t="str">
            <v>Und.</v>
          </cell>
          <cell r="D327">
            <v>2630</v>
          </cell>
          <cell r="E327">
            <v>3130</v>
          </cell>
        </row>
        <row r="328">
          <cell r="A328" t="str">
            <v>AM2</v>
          </cell>
          <cell r="B328" t="str">
            <v>Adaptador Macho PVC de 2"</v>
          </cell>
          <cell r="C328" t="str">
            <v>Und.</v>
          </cell>
          <cell r="D328">
            <v>3756</v>
          </cell>
          <cell r="E328">
            <v>4470</v>
          </cell>
        </row>
        <row r="329">
          <cell r="A329" t="str">
            <v>AM2-1/2</v>
          </cell>
          <cell r="B329" t="str">
            <v>Adaptador Macho PVC de 2 1/2"</v>
          </cell>
          <cell r="C329" t="str">
            <v>Und.</v>
          </cell>
          <cell r="D329">
            <v>9773</v>
          </cell>
          <cell r="E329">
            <v>11630</v>
          </cell>
        </row>
        <row r="330">
          <cell r="A330" t="str">
            <v>AM3</v>
          </cell>
          <cell r="B330" t="str">
            <v>Adaptador Macho PVC de 3"</v>
          </cell>
          <cell r="C330" t="str">
            <v>Und.</v>
          </cell>
          <cell r="D330">
            <v>14765</v>
          </cell>
          <cell r="E330">
            <v>17570</v>
          </cell>
        </row>
        <row r="331">
          <cell r="A331" t="str">
            <v>AM4</v>
          </cell>
          <cell r="B331" t="str">
            <v>Adaptador Macho PVC de 4"</v>
          </cell>
          <cell r="C331" t="str">
            <v>Und.</v>
          </cell>
          <cell r="D331">
            <v>27177</v>
          </cell>
          <cell r="E331">
            <v>32341</v>
          </cell>
        </row>
        <row r="333">
          <cell r="B333" t="str">
            <v>Buje Roscado</v>
          </cell>
        </row>
        <row r="334">
          <cell r="A334" t="str">
            <v>BR1/2*1/4</v>
          </cell>
          <cell r="B334" t="str">
            <v>Buje Roscado de 1/2"x1/4"</v>
          </cell>
          <cell r="C334" t="str">
            <v>Und.</v>
          </cell>
          <cell r="D334">
            <v>736</v>
          </cell>
          <cell r="E334">
            <v>876</v>
          </cell>
        </row>
        <row r="335">
          <cell r="A335" t="str">
            <v>BR1/2*3/8</v>
          </cell>
          <cell r="B335" t="str">
            <v>Buje Roscado de 1/2"x3/8"</v>
          </cell>
          <cell r="C335" t="str">
            <v>Und.</v>
          </cell>
          <cell r="D335">
            <v>733</v>
          </cell>
          <cell r="E335">
            <v>872</v>
          </cell>
        </row>
        <row r="336">
          <cell r="A336" t="str">
            <v>BR3/4*1/2</v>
          </cell>
          <cell r="B336" t="str">
            <v>Buje Roscado de 3/4"x1/2"</v>
          </cell>
          <cell r="C336" t="str">
            <v>Und.</v>
          </cell>
          <cell r="D336">
            <v>921</v>
          </cell>
          <cell r="E336">
            <v>1096</v>
          </cell>
        </row>
        <row r="337">
          <cell r="A337" t="str">
            <v>BR1*1/2</v>
          </cell>
          <cell r="B337" t="str">
            <v>Buje Roscado de 1"x1/2"</v>
          </cell>
          <cell r="C337" t="str">
            <v>Und.</v>
          </cell>
          <cell r="D337">
            <v>1606</v>
          </cell>
          <cell r="E337">
            <v>1911</v>
          </cell>
        </row>
        <row r="338">
          <cell r="A338" t="str">
            <v>BR1*3/4</v>
          </cell>
          <cell r="B338" t="str">
            <v>Buje Roscado de 1"x3/4"</v>
          </cell>
          <cell r="C338" t="str">
            <v>Und.</v>
          </cell>
          <cell r="D338">
            <v>1606</v>
          </cell>
          <cell r="E338">
            <v>1911</v>
          </cell>
        </row>
        <row r="339">
          <cell r="A339" t="str">
            <v>BR1-1/4*1/2</v>
          </cell>
          <cell r="B339" t="str">
            <v>Buje Roscado de 1 1/4"x1/2"</v>
          </cell>
          <cell r="C339" t="str">
            <v>Und.</v>
          </cell>
          <cell r="D339">
            <v>2695</v>
          </cell>
          <cell r="E339">
            <v>3207</v>
          </cell>
        </row>
        <row r="340">
          <cell r="A340" t="str">
            <v>BR1-1/4*3/4</v>
          </cell>
          <cell r="B340" t="str">
            <v>Buje Roscado de 1 1/4"x3/4"</v>
          </cell>
          <cell r="C340" t="str">
            <v>Und.</v>
          </cell>
          <cell r="D340">
            <v>2695</v>
          </cell>
          <cell r="E340">
            <v>3207</v>
          </cell>
        </row>
        <row r="341">
          <cell r="A341" t="str">
            <v>BR1-1/4*1</v>
          </cell>
          <cell r="B341" t="str">
            <v>Buje Roscado de 1 1/4"x1"</v>
          </cell>
          <cell r="C341" t="str">
            <v>Und.</v>
          </cell>
          <cell r="D341">
            <v>2695</v>
          </cell>
          <cell r="E341">
            <v>3207</v>
          </cell>
        </row>
        <row r="342">
          <cell r="A342" t="str">
            <v>BR1-1/2*1-1/2</v>
          </cell>
          <cell r="B342" t="str">
            <v>Buje Roscado de 1 1/2"x1 1/2"</v>
          </cell>
          <cell r="C342" t="str">
            <v>Und.</v>
          </cell>
          <cell r="D342">
            <v>3214</v>
          </cell>
          <cell r="E342">
            <v>3825</v>
          </cell>
        </row>
        <row r="343">
          <cell r="A343" t="str">
            <v>BR1-1/2*1-3/4</v>
          </cell>
          <cell r="B343" t="str">
            <v>Buje Roscado de 1 1/2"x1 3/4"</v>
          </cell>
          <cell r="C343" t="str">
            <v>Und.</v>
          </cell>
          <cell r="D343">
            <v>3214</v>
          </cell>
          <cell r="E343">
            <v>3825</v>
          </cell>
        </row>
        <row r="344">
          <cell r="A344" t="str">
            <v>BR1-1/2*1</v>
          </cell>
          <cell r="B344" t="str">
            <v>Buje Roscado de 1 1/2"x1"</v>
          </cell>
          <cell r="C344" t="str">
            <v>Und.</v>
          </cell>
          <cell r="D344">
            <v>3214</v>
          </cell>
          <cell r="E344">
            <v>3825</v>
          </cell>
        </row>
        <row r="345">
          <cell r="A345" t="str">
            <v>BR1-1/2*1-1/4</v>
          </cell>
          <cell r="B345" t="str">
            <v>Buje Roscado de 1 1/2x1 1/4"</v>
          </cell>
          <cell r="C345" t="str">
            <v>Und.</v>
          </cell>
          <cell r="D345">
            <v>3214</v>
          </cell>
          <cell r="E345">
            <v>3825</v>
          </cell>
        </row>
        <row r="346">
          <cell r="A346" t="str">
            <v>BR2*3/4</v>
          </cell>
          <cell r="B346" t="str">
            <v>Buje Roscado de 2"x3/4"</v>
          </cell>
          <cell r="C346" t="str">
            <v>Und.</v>
          </cell>
          <cell r="D346">
            <v>5171</v>
          </cell>
          <cell r="E346">
            <v>6153</v>
          </cell>
        </row>
        <row r="347">
          <cell r="A347" t="str">
            <v>BR2*1</v>
          </cell>
          <cell r="B347" t="str">
            <v>Buje Roscado de 2"x1"</v>
          </cell>
          <cell r="C347" t="str">
            <v>Und.</v>
          </cell>
          <cell r="D347">
            <v>5171</v>
          </cell>
          <cell r="E347">
            <v>6153</v>
          </cell>
        </row>
        <row r="348">
          <cell r="A348" t="str">
            <v>BR2*1-1/4</v>
          </cell>
          <cell r="B348" t="str">
            <v>Buje Roscado de 2"x1 1/4"</v>
          </cell>
          <cell r="C348" t="str">
            <v>Und.</v>
          </cell>
          <cell r="D348">
            <v>5171</v>
          </cell>
          <cell r="E348">
            <v>6153</v>
          </cell>
        </row>
        <row r="349">
          <cell r="A349" t="str">
            <v>BR2*1-1/2</v>
          </cell>
          <cell r="B349" t="str">
            <v>Buje Roscado de 2"x1 1/2"</v>
          </cell>
          <cell r="C349" t="str">
            <v>Und.</v>
          </cell>
          <cell r="D349">
            <v>5168</v>
          </cell>
          <cell r="E349">
            <v>6150</v>
          </cell>
        </row>
        <row r="350">
          <cell r="A350" t="str">
            <v>BR2-1/2*1</v>
          </cell>
          <cell r="B350" t="str">
            <v>Buje Roscado de 2 1/2"x1"</v>
          </cell>
          <cell r="C350" t="str">
            <v>Und.</v>
          </cell>
          <cell r="D350">
            <v>3795</v>
          </cell>
          <cell r="E350">
            <v>4516</v>
          </cell>
        </row>
        <row r="351">
          <cell r="A351" t="str">
            <v>BR2-1/2*2</v>
          </cell>
          <cell r="B351" t="str">
            <v>Buje Roscado de 2 1/2"x2"</v>
          </cell>
          <cell r="C351" t="str">
            <v>Und.</v>
          </cell>
          <cell r="D351">
            <v>5180</v>
          </cell>
          <cell r="E351">
            <v>6164</v>
          </cell>
        </row>
        <row r="352">
          <cell r="A352" t="str">
            <v>BR3*2</v>
          </cell>
          <cell r="B352" t="str">
            <v>Buje Roscado de 3"x2"</v>
          </cell>
          <cell r="C352" t="str">
            <v>Und.</v>
          </cell>
          <cell r="D352">
            <v>22717</v>
          </cell>
          <cell r="E352">
            <v>27033</v>
          </cell>
        </row>
        <row r="353">
          <cell r="A353" t="str">
            <v>BR4*2-1/2</v>
          </cell>
          <cell r="B353" t="str">
            <v>Buje Roscado de 4"x2 1/2"</v>
          </cell>
          <cell r="C353" t="str">
            <v>Und.</v>
          </cell>
          <cell r="D353">
            <v>16672</v>
          </cell>
          <cell r="E353">
            <v>19840</v>
          </cell>
        </row>
        <row r="355">
          <cell r="B355" t="str">
            <v>Buje Soldado</v>
          </cell>
        </row>
        <row r="356">
          <cell r="A356" t="str">
            <v>BS3/4*1/2</v>
          </cell>
          <cell r="B356" t="str">
            <v>Buje Soldado de 3/4 x 1/2</v>
          </cell>
          <cell r="C356" t="str">
            <v>Und.</v>
          </cell>
          <cell r="D356">
            <v>394</v>
          </cell>
          <cell r="E356">
            <v>469</v>
          </cell>
        </row>
        <row r="357">
          <cell r="A357" t="str">
            <v>BS1*1/2</v>
          </cell>
          <cell r="B357" t="str">
            <v>Buje Soldado de 1 x 1/2</v>
          </cell>
          <cell r="C357" t="str">
            <v>Und.</v>
          </cell>
          <cell r="D357">
            <v>787</v>
          </cell>
          <cell r="E357">
            <v>937</v>
          </cell>
        </row>
        <row r="358">
          <cell r="A358" t="str">
            <v>BS1*3/4</v>
          </cell>
          <cell r="B358" t="str">
            <v>Buje Soldado de 1 x 3/4</v>
          </cell>
          <cell r="C358" t="str">
            <v>Und.</v>
          </cell>
          <cell r="D358">
            <v>787</v>
          </cell>
          <cell r="E358">
            <v>937</v>
          </cell>
        </row>
        <row r="359">
          <cell r="A359" t="str">
            <v>BS1-1/4*1/2</v>
          </cell>
          <cell r="B359" t="str">
            <v>Buje Soldado de 1 1/4 x 1/2</v>
          </cell>
          <cell r="C359" t="str">
            <v>Und.</v>
          </cell>
          <cell r="D359">
            <v>1513</v>
          </cell>
          <cell r="E359">
            <v>1800</v>
          </cell>
        </row>
        <row r="360">
          <cell r="A360" t="str">
            <v>BS1-1/4*3/4</v>
          </cell>
          <cell r="B360" t="str">
            <v>Buje Soldado de 1 1/4 x 3/4</v>
          </cell>
          <cell r="C360" t="str">
            <v>Und.</v>
          </cell>
          <cell r="D360">
            <v>1513</v>
          </cell>
          <cell r="E360">
            <v>1800</v>
          </cell>
        </row>
        <row r="361">
          <cell r="A361" t="str">
            <v>BS1-1/4*1</v>
          </cell>
          <cell r="B361" t="str">
            <v>Buje Soldado de 1 1/4 x 1</v>
          </cell>
          <cell r="C361" t="str">
            <v>Und.</v>
          </cell>
          <cell r="D361">
            <v>1513</v>
          </cell>
          <cell r="E361">
            <v>1800</v>
          </cell>
        </row>
        <row r="362">
          <cell r="A362" t="str">
            <v>BS1-1/2*1/2</v>
          </cell>
          <cell r="B362" t="str">
            <v>Buje Soldado de 1 1/2 x 1/2</v>
          </cell>
          <cell r="C362" t="str">
            <v>Und.</v>
          </cell>
          <cell r="D362">
            <v>2336</v>
          </cell>
          <cell r="E362">
            <v>2780</v>
          </cell>
        </row>
        <row r="363">
          <cell r="A363" t="str">
            <v>BS1-1/2*3/4</v>
          </cell>
          <cell r="B363" t="str">
            <v>Buje Soldado de 1 1/2 x 3/4</v>
          </cell>
          <cell r="C363" t="str">
            <v>Und.</v>
          </cell>
          <cell r="D363">
            <v>2336</v>
          </cell>
          <cell r="E363">
            <v>2780</v>
          </cell>
        </row>
        <row r="364">
          <cell r="A364" t="str">
            <v>BS1-1*2 x 1</v>
          </cell>
          <cell r="B364" t="str">
            <v>Buje Soldado de 1 1/2 x 1</v>
          </cell>
          <cell r="C364" t="str">
            <v>Und.</v>
          </cell>
          <cell r="D364">
            <v>2336</v>
          </cell>
          <cell r="E364">
            <v>2780</v>
          </cell>
        </row>
        <row r="365">
          <cell r="A365" t="str">
            <v>BS1-1/2 x 1*1/4</v>
          </cell>
          <cell r="B365" t="str">
            <v>Buje Soldado de 1 1/2 x 1 1/4</v>
          </cell>
          <cell r="C365" t="str">
            <v>Und.</v>
          </cell>
          <cell r="D365">
            <v>2336</v>
          </cell>
          <cell r="E365">
            <v>2780</v>
          </cell>
        </row>
        <row r="366">
          <cell r="A366" t="str">
            <v>BS2*1/2</v>
          </cell>
          <cell r="B366" t="str">
            <v>Buje Soldado de 2 x 1/2</v>
          </cell>
          <cell r="C366" t="str">
            <v>Und.</v>
          </cell>
          <cell r="D366">
            <v>3573</v>
          </cell>
          <cell r="E366">
            <v>4252</v>
          </cell>
        </row>
        <row r="367">
          <cell r="A367" t="str">
            <v>BS2*3/4</v>
          </cell>
          <cell r="B367" t="str">
            <v>Buje Soldado de 2 x 3/4</v>
          </cell>
          <cell r="C367" t="str">
            <v>Und.</v>
          </cell>
          <cell r="D367">
            <v>3573</v>
          </cell>
          <cell r="E367">
            <v>4252</v>
          </cell>
        </row>
        <row r="368">
          <cell r="A368" t="str">
            <v>BS2*1</v>
          </cell>
          <cell r="B368" t="str">
            <v>Buje Soldado de 2 x 1</v>
          </cell>
          <cell r="C368" t="str">
            <v>Und.</v>
          </cell>
          <cell r="D368">
            <v>3573</v>
          </cell>
          <cell r="E368">
            <v>4252</v>
          </cell>
        </row>
        <row r="369">
          <cell r="A369" t="str">
            <v>BS2*1-1/4</v>
          </cell>
          <cell r="B369" t="str">
            <v>Buje Soldado de 2 x 1 1/4</v>
          </cell>
          <cell r="C369" t="str">
            <v>Und.</v>
          </cell>
          <cell r="D369">
            <v>3573</v>
          </cell>
          <cell r="E369">
            <v>4252</v>
          </cell>
        </row>
        <row r="370">
          <cell r="A370" t="str">
            <v>BS2*1-1/2</v>
          </cell>
          <cell r="B370" t="str">
            <v>Buje Soldado de 2 x 1 1/2</v>
          </cell>
          <cell r="C370" t="str">
            <v>Und.</v>
          </cell>
          <cell r="D370">
            <v>3573</v>
          </cell>
          <cell r="E370">
            <v>4252</v>
          </cell>
        </row>
        <row r="371">
          <cell r="A371" t="str">
            <v>BS2-1/2*1-1/2</v>
          </cell>
          <cell r="B371" t="str">
            <v>Buje Soldado de 2 1/2 x 1 1/2</v>
          </cell>
          <cell r="C371" t="str">
            <v>Und.</v>
          </cell>
          <cell r="D371">
            <v>8965</v>
          </cell>
          <cell r="E371">
            <v>10668</v>
          </cell>
        </row>
        <row r="372">
          <cell r="A372" t="str">
            <v>BS2-1/2*2</v>
          </cell>
          <cell r="B372" t="str">
            <v>Buje Soldado de 2 1/2 x 2</v>
          </cell>
          <cell r="C372" t="str">
            <v>Und.</v>
          </cell>
          <cell r="D372">
            <v>8420</v>
          </cell>
          <cell r="E372">
            <v>10020</v>
          </cell>
        </row>
        <row r="373">
          <cell r="A373" t="str">
            <v>BS3*1-1/2</v>
          </cell>
          <cell r="B373" t="str">
            <v>Buje Soldado de 3 x 11/2</v>
          </cell>
          <cell r="C373" t="str">
            <v>Und.</v>
          </cell>
          <cell r="D373">
            <v>10406</v>
          </cell>
          <cell r="E373">
            <v>12383</v>
          </cell>
        </row>
        <row r="374">
          <cell r="A374" t="str">
            <v>BS3*2</v>
          </cell>
          <cell r="B374" t="str">
            <v>Buje Soldado de 3 x 2</v>
          </cell>
          <cell r="C374" t="str">
            <v>Und.</v>
          </cell>
          <cell r="D374">
            <v>12862</v>
          </cell>
          <cell r="E374">
            <v>15306</v>
          </cell>
        </row>
        <row r="375">
          <cell r="A375" t="str">
            <v>BS3*2-1/2</v>
          </cell>
          <cell r="B375" t="str">
            <v>Buje Soldado de 3 x 2 1/2</v>
          </cell>
          <cell r="C375" t="str">
            <v>Und.</v>
          </cell>
          <cell r="D375">
            <v>12862</v>
          </cell>
          <cell r="E375">
            <v>15306</v>
          </cell>
        </row>
        <row r="376">
          <cell r="A376" t="str">
            <v>BS4*2</v>
          </cell>
          <cell r="B376" t="str">
            <v>Buje Soldado de 4 x 2</v>
          </cell>
          <cell r="C376" t="str">
            <v>Und.</v>
          </cell>
          <cell r="D376">
            <v>20299</v>
          </cell>
          <cell r="E376">
            <v>24156</v>
          </cell>
        </row>
        <row r="377">
          <cell r="A377" t="str">
            <v>BS4*1-1/2</v>
          </cell>
          <cell r="B377" t="str">
            <v>Buje Soldado de 4 x 2 1/2</v>
          </cell>
          <cell r="C377" t="str">
            <v>Und.</v>
          </cell>
          <cell r="D377">
            <v>20299</v>
          </cell>
          <cell r="E377">
            <v>24156</v>
          </cell>
        </row>
        <row r="378">
          <cell r="A378" t="str">
            <v>BS4*3</v>
          </cell>
          <cell r="B378" t="str">
            <v>Buje Soldado de 4 x 3</v>
          </cell>
          <cell r="C378" t="str">
            <v>Und.</v>
          </cell>
          <cell r="D378">
            <v>20299</v>
          </cell>
          <cell r="E378">
            <v>24156</v>
          </cell>
        </row>
        <row r="379">
          <cell r="A379" t="str">
            <v>BS6*4</v>
          </cell>
          <cell r="B379" t="str">
            <v>Buje Soldado de 6 x 4</v>
          </cell>
          <cell r="C379" t="str">
            <v>Und.</v>
          </cell>
          <cell r="D379">
            <v>46193</v>
          </cell>
          <cell r="E379">
            <v>54970</v>
          </cell>
        </row>
        <row r="381">
          <cell r="B381" t="str">
            <v>Codo PVC soldado de 90° x</v>
          </cell>
        </row>
        <row r="382">
          <cell r="A382" t="str">
            <v>C90*1/2</v>
          </cell>
          <cell r="B382" t="str">
            <v>Codo PVC soldado de 90° x 1/2</v>
          </cell>
          <cell r="C382" t="str">
            <v>Und.</v>
          </cell>
          <cell r="D382">
            <v>407</v>
          </cell>
          <cell r="E382">
            <v>484</v>
          </cell>
        </row>
        <row r="383">
          <cell r="A383" t="str">
            <v>C90*3/4</v>
          </cell>
          <cell r="B383" t="str">
            <v>Codo PVC soldado de 90° x 3/4</v>
          </cell>
          <cell r="C383" t="str">
            <v>Und.</v>
          </cell>
          <cell r="D383">
            <v>653</v>
          </cell>
          <cell r="E383">
            <v>777</v>
          </cell>
        </row>
        <row r="384">
          <cell r="A384" t="str">
            <v>C90*1</v>
          </cell>
          <cell r="B384" t="str">
            <v>Codo PVC soldado de 90° x 1</v>
          </cell>
          <cell r="C384" t="str">
            <v>Und.</v>
          </cell>
          <cell r="D384">
            <v>1278</v>
          </cell>
          <cell r="E384">
            <v>1521</v>
          </cell>
        </row>
        <row r="385">
          <cell r="A385" t="str">
            <v>C90*1-1/4</v>
          </cell>
          <cell r="B385" t="str">
            <v>Codo PVC soldado de 90° x 1 1/4</v>
          </cell>
          <cell r="C385" t="str">
            <v>Und.</v>
          </cell>
          <cell r="D385">
            <v>2458</v>
          </cell>
          <cell r="E385">
            <v>2925</v>
          </cell>
        </row>
        <row r="386">
          <cell r="A386" t="str">
            <v>C90*1-1/2</v>
          </cell>
          <cell r="B386" t="str">
            <v>Codo PVC soldado de 90° x 1 1/2</v>
          </cell>
          <cell r="C386" t="str">
            <v>Und.</v>
          </cell>
          <cell r="D386">
            <v>4589</v>
          </cell>
          <cell r="E386">
            <v>5461</v>
          </cell>
        </row>
        <row r="387">
          <cell r="A387" t="str">
            <v>C90*2</v>
          </cell>
          <cell r="B387" t="str">
            <v>Codo PVC soldado de 90° x 2</v>
          </cell>
          <cell r="C387" t="str">
            <v>Und.</v>
          </cell>
          <cell r="D387">
            <v>7524</v>
          </cell>
          <cell r="E387">
            <v>8954</v>
          </cell>
        </row>
        <row r="388">
          <cell r="A388" t="str">
            <v>C90*2-1/2</v>
          </cell>
          <cell r="B388" t="str">
            <v>Codo PVC soldado de 90° x 2 1/2</v>
          </cell>
          <cell r="C388" t="str">
            <v>Und.</v>
          </cell>
          <cell r="D388">
            <v>21669</v>
          </cell>
          <cell r="E388">
            <v>25786</v>
          </cell>
        </row>
        <row r="389">
          <cell r="A389" t="str">
            <v>C90*3</v>
          </cell>
          <cell r="B389" t="str">
            <v>Codo PVC soldado de 90° x 3</v>
          </cell>
          <cell r="C389" t="str">
            <v>Und.</v>
          </cell>
          <cell r="D389">
            <v>28043</v>
          </cell>
          <cell r="E389">
            <v>33371</v>
          </cell>
        </row>
        <row r="390">
          <cell r="A390" t="str">
            <v>C90*4</v>
          </cell>
          <cell r="B390" t="str">
            <v>Codo PVC soldado de 90° x 4</v>
          </cell>
          <cell r="C390" t="str">
            <v>Und.</v>
          </cell>
          <cell r="D390">
            <v>60836</v>
          </cell>
          <cell r="E390">
            <v>72395</v>
          </cell>
        </row>
        <row r="391">
          <cell r="A391" t="str">
            <v>C90*6</v>
          </cell>
          <cell r="B391" t="str">
            <v>Codo PVC soldado de 90° x 6</v>
          </cell>
          <cell r="C391" t="str">
            <v>Und.</v>
          </cell>
          <cell r="D391">
            <v>97624</v>
          </cell>
          <cell r="E391">
            <v>116173</v>
          </cell>
        </row>
        <row r="393">
          <cell r="B393" t="str">
            <v>Codo PVC roscado-soldado de 90° x</v>
          </cell>
        </row>
        <row r="394">
          <cell r="A394" t="str">
            <v>CRS90*1/2</v>
          </cell>
          <cell r="B394" t="str">
            <v>Codo PVC roscado-soldado de 90° x 1/2"</v>
          </cell>
          <cell r="C394" t="str">
            <v>Und.</v>
          </cell>
          <cell r="D394">
            <v>1014</v>
          </cell>
          <cell r="E394">
            <v>1207</v>
          </cell>
        </row>
        <row r="396">
          <cell r="B396" t="str">
            <v>Codo PVC soldado de 45° x</v>
          </cell>
        </row>
        <row r="397">
          <cell r="A397" t="str">
            <v>C45*1/2</v>
          </cell>
          <cell r="B397" t="str">
            <v>Codo PVC soldado de 45° x 1/2"</v>
          </cell>
          <cell r="C397" t="str">
            <v>Und.</v>
          </cell>
          <cell r="D397">
            <v>673</v>
          </cell>
          <cell r="E397">
            <v>801</v>
          </cell>
        </row>
        <row r="398">
          <cell r="A398" t="str">
            <v>C45*3/4</v>
          </cell>
          <cell r="B398" t="str">
            <v>Codo PVC soldado de 45° x 3/4"</v>
          </cell>
          <cell r="C398" t="str">
            <v>Und.</v>
          </cell>
          <cell r="D398">
            <v>1078</v>
          </cell>
          <cell r="E398">
            <v>1283</v>
          </cell>
        </row>
        <row r="399">
          <cell r="A399" t="str">
            <v>C45*1</v>
          </cell>
          <cell r="B399" t="str">
            <v>Codo PVC soldado de 45° x 1"</v>
          </cell>
          <cell r="C399" t="str">
            <v>Und.</v>
          </cell>
          <cell r="D399">
            <v>2055</v>
          </cell>
          <cell r="E399">
            <v>2445</v>
          </cell>
        </row>
        <row r="400">
          <cell r="A400" t="str">
            <v>C45*1-1/4</v>
          </cell>
          <cell r="B400" t="str">
            <v>Codo PVC soldado de 45° x 1 1/4"</v>
          </cell>
          <cell r="C400" t="str">
            <v>Und.</v>
          </cell>
          <cell r="D400">
            <v>3716</v>
          </cell>
          <cell r="E400">
            <v>4422</v>
          </cell>
        </row>
        <row r="401">
          <cell r="A401" t="str">
            <v>C45*1-1/2</v>
          </cell>
          <cell r="B401" t="str">
            <v>Codo PVC soldado de 45° x 1 1/2"</v>
          </cell>
          <cell r="C401" t="str">
            <v>Und.</v>
          </cell>
          <cell r="D401">
            <v>4983</v>
          </cell>
          <cell r="E401">
            <v>5930</v>
          </cell>
        </row>
        <row r="402">
          <cell r="A402" t="str">
            <v>C45* 2</v>
          </cell>
          <cell r="B402" t="str">
            <v>Codo PVC soldado de 45° x 2"</v>
          </cell>
          <cell r="C402" t="str">
            <v>Und.</v>
          </cell>
          <cell r="D402">
            <v>8244</v>
          </cell>
          <cell r="E402">
            <v>9810</v>
          </cell>
        </row>
        <row r="403">
          <cell r="A403" t="str">
            <v>C45*2-1/2</v>
          </cell>
          <cell r="B403" t="str">
            <v>Codo PVC soldado de 45° x 2 1/2"</v>
          </cell>
          <cell r="C403" t="str">
            <v>Und.</v>
          </cell>
          <cell r="D403">
            <v>23239</v>
          </cell>
          <cell r="E403">
            <v>27654</v>
          </cell>
        </row>
        <row r="404">
          <cell r="A404" t="str">
            <v>C45*3</v>
          </cell>
          <cell r="B404" t="str">
            <v>Codo PVC soldado de 45° x 3"</v>
          </cell>
          <cell r="C404" t="str">
            <v>Und.</v>
          </cell>
          <cell r="D404">
            <v>26541</v>
          </cell>
          <cell r="E404">
            <v>31584</v>
          </cell>
        </row>
        <row r="405">
          <cell r="A405" t="str">
            <v>C45*4</v>
          </cell>
          <cell r="B405" t="str">
            <v>Codo PVC soldado de 45° x 4"</v>
          </cell>
          <cell r="C405" t="str">
            <v>Und.</v>
          </cell>
          <cell r="D405">
            <v>56466</v>
          </cell>
          <cell r="E405">
            <v>67195</v>
          </cell>
        </row>
        <row r="407">
          <cell r="B407" t="str">
            <v>Tapón Roscado PVC</v>
          </cell>
        </row>
        <row r="408">
          <cell r="A408" t="str">
            <v>TR1/2</v>
          </cell>
          <cell r="B408" t="str">
            <v>Tapón Roscado PVC de 1/2"</v>
          </cell>
          <cell r="C408" t="str">
            <v>Und.</v>
          </cell>
          <cell r="D408">
            <v>317</v>
          </cell>
          <cell r="E408">
            <v>377</v>
          </cell>
        </row>
        <row r="409">
          <cell r="A409" t="str">
            <v>TR3/4</v>
          </cell>
          <cell r="B409" t="str">
            <v>Tapón Roscado PVC de 3/4"</v>
          </cell>
          <cell r="C409" t="str">
            <v>Und.</v>
          </cell>
          <cell r="D409">
            <v>934</v>
          </cell>
          <cell r="E409">
            <v>1111</v>
          </cell>
        </row>
        <row r="410">
          <cell r="A410" t="str">
            <v>TR1</v>
          </cell>
          <cell r="B410" t="str">
            <v>Tapón Roscado PVC de 1"</v>
          </cell>
          <cell r="C410" t="str">
            <v>Und.</v>
          </cell>
          <cell r="D410">
            <v>1330</v>
          </cell>
          <cell r="E410">
            <v>1583</v>
          </cell>
        </row>
        <row r="411">
          <cell r="A411" t="str">
            <v>TR1-1/4</v>
          </cell>
          <cell r="B411" t="str">
            <v>Tapón Roscado PVC de 1 1/4"</v>
          </cell>
          <cell r="C411" t="str">
            <v>Und.</v>
          </cell>
          <cell r="D411">
            <v>2355</v>
          </cell>
          <cell r="E411">
            <v>2802</v>
          </cell>
        </row>
        <row r="412">
          <cell r="A412" t="str">
            <v>TR1-1/2</v>
          </cell>
          <cell r="B412" t="str">
            <v>Tapón Roscado PVC de 1 1/2"</v>
          </cell>
          <cell r="C412" t="str">
            <v>Und.</v>
          </cell>
          <cell r="D412">
            <v>3117</v>
          </cell>
          <cell r="E412">
            <v>3709</v>
          </cell>
        </row>
        <row r="413">
          <cell r="A413" t="str">
            <v>TR2</v>
          </cell>
          <cell r="B413" t="str">
            <v>Tapón Roscado PVC de 2"</v>
          </cell>
          <cell r="C413" t="str">
            <v>Und.</v>
          </cell>
          <cell r="D413">
            <v>5097</v>
          </cell>
          <cell r="E413">
            <v>6065</v>
          </cell>
        </row>
        <row r="414">
          <cell r="A414" t="str">
            <v>TR2-1/2</v>
          </cell>
          <cell r="B414" t="str">
            <v>Tapón Roscado PVC de 2 1/2"</v>
          </cell>
          <cell r="C414" t="str">
            <v>Und.</v>
          </cell>
          <cell r="D414">
            <v>11750</v>
          </cell>
          <cell r="E414">
            <v>13983</v>
          </cell>
        </row>
        <row r="415">
          <cell r="A415" t="str">
            <v>TR3</v>
          </cell>
          <cell r="B415" t="str">
            <v>Tapón Roscado PVC de 3"</v>
          </cell>
          <cell r="C415" t="str">
            <v>Und.</v>
          </cell>
          <cell r="D415">
            <v>18694</v>
          </cell>
          <cell r="E415">
            <v>22246</v>
          </cell>
        </row>
        <row r="416">
          <cell r="A416" t="str">
            <v>TR4</v>
          </cell>
          <cell r="B416" t="str">
            <v>Tapón Roscado PVC de 4"</v>
          </cell>
          <cell r="C416" t="str">
            <v>Und.</v>
          </cell>
          <cell r="D416">
            <v>34530</v>
          </cell>
          <cell r="E416">
            <v>41091</v>
          </cell>
        </row>
        <row r="418">
          <cell r="B418" t="str">
            <v>Tapón Soldado PVC</v>
          </cell>
        </row>
        <row r="419">
          <cell r="A419" t="str">
            <v>TSOL1/2</v>
          </cell>
          <cell r="B419" t="str">
            <v>Tapón Soldado PVC de 1/2"</v>
          </cell>
          <cell r="C419" t="str">
            <v>Und.</v>
          </cell>
          <cell r="D419">
            <v>232</v>
          </cell>
          <cell r="E419">
            <v>276</v>
          </cell>
        </row>
        <row r="420">
          <cell r="A420" t="str">
            <v>TSOL3/4</v>
          </cell>
          <cell r="B420" t="str">
            <v>Tapón Soldado PVC de 3/4"</v>
          </cell>
          <cell r="C420" t="str">
            <v>Und.</v>
          </cell>
          <cell r="D420">
            <v>465</v>
          </cell>
          <cell r="E420">
            <v>553</v>
          </cell>
        </row>
        <row r="421">
          <cell r="A421" t="str">
            <v>TSOL1</v>
          </cell>
          <cell r="B421" t="str">
            <v>Tapón Soldado PVC de 1"</v>
          </cell>
          <cell r="C421" t="str">
            <v>Und.</v>
          </cell>
          <cell r="D421">
            <v>782</v>
          </cell>
          <cell r="E421">
            <v>931</v>
          </cell>
        </row>
        <row r="422">
          <cell r="A422" t="str">
            <v>TSOL1-1/4</v>
          </cell>
          <cell r="B422" t="str">
            <v>Tapón Soldado PVC de 1 1/4"</v>
          </cell>
          <cell r="C422" t="str">
            <v>Und.</v>
          </cell>
          <cell r="D422">
            <v>1885</v>
          </cell>
          <cell r="E422">
            <v>2243</v>
          </cell>
        </row>
        <row r="423">
          <cell r="A423" t="str">
            <v>TSOL1-1/2</v>
          </cell>
          <cell r="B423" t="str">
            <v>Tapón Soldado PVC de 1 1/2"</v>
          </cell>
          <cell r="C423" t="str">
            <v>Und.</v>
          </cell>
          <cell r="D423">
            <v>2454</v>
          </cell>
          <cell r="E423">
            <v>2920</v>
          </cell>
        </row>
        <row r="424">
          <cell r="A424" t="str">
            <v>TSOL2</v>
          </cell>
          <cell r="B424" t="str">
            <v>Tapón Soldado PVC de 2"</v>
          </cell>
          <cell r="C424" t="str">
            <v>Und.</v>
          </cell>
          <cell r="D424">
            <v>3900</v>
          </cell>
          <cell r="E424">
            <v>4641</v>
          </cell>
        </row>
        <row r="425">
          <cell r="A425" t="str">
            <v>TSOL2-1/2</v>
          </cell>
          <cell r="B425" t="str">
            <v>Tapón Soldado PVC de 2 1/2"</v>
          </cell>
          <cell r="C425" t="str">
            <v>Und.</v>
          </cell>
          <cell r="D425">
            <v>9183</v>
          </cell>
          <cell r="E425">
            <v>10928</v>
          </cell>
        </row>
        <row r="426">
          <cell r="A426" t="str">
            <v>TSOL3</v>
          </cell>
          <cell r="B426" t="str">
            <v>Tapón Soldado PVC de 3"</v>
          </cell>
          <cell r="C426" t="str">
            <v>Und.</v>
          </cell>
          <cell r="D426">
            <v>14917</v>
          </cell>
          <cell r="E426">
            <v>17751</v>
          </cell>
        </row>
        <row r="427">
          <cell r="A427" t="str">
            <v>TSOL4</v>
          </cell>
          <cell r="B427" t="str">
            <v>Tapón Soldado PVC de 4"</v>
          </cell>
          <cell r="C427" t="str">
            <v>Und.</v>
          </cell>
          <cell r="D427">
            <v>27124</v>
          </cell>
          <cell r="E427">
            <v>32278</v>
          </cell>
        </row>
        <row r="429">
          <cell r="B429" t="str">
            <v>Tee Soldada PVC</v>
          </cell>
        </row>
        <row r="430">
          <cell r="A430" t="str">
            <v>T1/2</v>
          </cell>
          <cell r="B430" t="str">
            <v>Tee Soldada PVC de 1/2"</v>
          </cell>
          <cell r="C430" t="str">
            <v>Und.</v>
          </cell>
          <cell r="D430">
            <v>538</v>
          </cell>
          <cell r="E430">
            <v>640</v>
          </cell>
        </row>
        <row r="431">
          <cell r="A431" t="str">
            <v>T3/4</v>
          </cell>
          <cell r="B431" t="str">
            <v>Tee Soldada PVC de 3/4"</v>
          </cell>
          <cell r="C431" t="str">
            <v>Und.</v>
          </cell>
          <cell r="D431">
            <v>910</v>
          </cell>
          <cell r="E431">
            <v>1083</v>
          </cell>
        </row>
        <row r="432">
          <cell r="A432" t="str">
            <v>T1</v>
          </cell>
          <cell r="B432" t="str">
            <v>Tee Soldada PVC de 1"</v>
          </cell>
          <cell r="C432" t="str">
            <v>Und.</v>
          </cell>
          <cell r="D432">
            <v>1780</v>
          </cell>
          <cell r="E432">
            <v>2118</v>
          </cell>
        </row>
        <row r="433">
          <cell r="A433" t="str">
            <v>T1-1/4</v>
          </cell>
          <cell r="B433" t="str">
            <v>Tee Soldada PVC de 1 1/4"</v>
          </cell>
          <cell r="C433" t="str">
            <v>Und.</v>
          </cell>
          <cell r="D433">
            <v>4597</v>
          </cell>
          <cell r="E433">
            <v>5470</v>
          </cell>
        </row>
        <row r="434">
          <cell r="A434" t="str">
            <v>T1-1/2</v>
          </cell>
          <cell r="B434" t="str">
            <v>Tee Soldada PVC de 1 1/2"</v>
          </cell>
          <cell r="C434" t="str">
            <v>Und.</v>
          </cell>
          <cell r="D434">
            <v>6036</v>
          </cell>
          <cell r="E434">
            <v>7183</v>
          </cell>
        </row>
        <row r="435">
          <cell r="A435" t="str">
            <v>T2</v>
          </cell>
          <cell r="B435" t="str">
            <v>Tee Soldada PVC de 2"</v>
          </cell>
          <cell r="C435" t="str">
            <v>Und.</v>
          </cell>
          <cell r="D435">
            <v>9614</v>
          </cell>
          <cell r="E435">
            <v>11441</v>
          </cell>
        </row>
        <row r="436">
          <cell r="A436" t="str">
            <v>T2-1/2</v>
          </cell>
          <cell r="B436" t="str">
            <v>Tee Soldada PVC de 2 1/2"</v>
          </cell>
          <cell r="C436" t="str">
            <v>Und.</v>
          </cell>
          <cell r="D436">
            <v>22805</v>
          </cell>
          <cell r="E436">
            <v>27138</v>
          </cell>
        </row>
        <row r="437">
          <cell r="A437" t="str">
            <v>T3</v>
          </cell>
          <cell r="B437" t="str">
            <v>Tee Soldada PVC de 3"</v>
          </cell>
          <cell r="C437" t="str">
            <v>Und.</v>
          </cell>
          <cell r="D437">
            <v>36274</v>
          </cell>
          <cell r="E437">
            <v>43166</v>
          </cell>
        </row>
        <row r="438">
          <cell r="A438" t="str">
            <v>T4</v>
          </cell>
          <cell r="B438" t="str">
            <v>Tee Soldada PVC de 4"</v>
          </cell>
          <cell r="C438" t="str">
            <v>Und.</v>
          </cell>
          <cell r="D438">
            <v>79157</v>
          </cell>
          <cell r="E438">
            <v>94197</v>
          </cell>
        </row>
        <row r="439">
          <cell r="A439" t="str">
            <v>T6</v>
          </cell>
          <cell r="B439" t="str">
            <v>Tee Soldada PVC de 6"</v>
          </cell>
          <cell r="C439" t="str">
            <v>Und.</v>
          </cell>
          <cell r="D439">
            <v>153416</v>
          </cell>
          <cell r="E439">
            <v>182565</v>
          </cell>
        </row>
        <row r="441">
          <cell r="B441" t="str">
            <v>Unión Soldada PVC</v>
          </cell>
        </row>
        <row r="442">
          <cell r="A442" t="str">
            <v>U1/2</v>
          </cell>
          <cell r="B442" t="str">
            <v>Unión Soldada PVC de 1/2"</v>
          </cell>
          <cell r="C442" t="str">
            <v>Und.</v>
          </cell>
          <cell r="D442">
            <v>260</v>
          </cell>
          <cell r="E442">
            <v>309</v>
          </cell>
        </row>
        <row r="443">
          <cell r="A443" t="str">
            <v>U3/4</v>
          </cell>
          <cell r="B443" t="str">
            <v>Unión Soldada PVC de 3/4"</v>
          </cell>
          <cell r="C443" t="str">
            <v>Und.</v>
          </cell>
          <cell r="D443">
            <v>411</v>
          </cell>
          <cell r="E443">
            <v>489</v>
          </cell>
        </row>
        <row r="444">
          <cell r="A444" t="str">
            <v>U1</v>
          </cell>
          <cell r="B444" t="str">
            <v>Unión Soldada PVC de 1"</v>
          </cell>
          <cell r="C444" t="str">
            <v>Und.</v>
          </cell>
          <cell r="D444">
            <v>673</v>
          </cell>
          <cell r="E444">
            <v>801</v>
          </cell>
        </row>
        <row r="445">
          <cell r="A445" t="str">
            <v>U1-1/4</v>
          </cell>
          <cell r="B445" t="str">
            <v>Unión Soldada PVC de 1 1/4"</v>
          </cell>
          <cell r="C445" t="str">
            <v>Und.</v>
          </cell>
          <cell r="D445">
            <v>1235</v>
          </cell>
          <cell r="E445">
            <v>1470</v>
          </cell>
        </row>
        <row r="446">
          <cell r="A446" t="str">
            <v>U1-1/2</v>
          </cell>
          <cell r="B446" t="str">
            <v>Unión Soldada PVC de 1 1/2"</v>
          </cell>
          <cell r="C446" t="str">
            <v>Und.</v>
          </cell>
          <cell r="D446">
            <v>1688</v>
          </cell>
          <cell r="E446">
            <v>2009</v>
          </cell>
        </row>
        <row r="447">
          <cell r="A447" t="str">
            <v>U2</v>
          </cell>
          <cell r="B447" t="str">
            <v>Unión Soldada PVC de 2"</v>
          </cell>
          <cell r="C447" t="str">
            <v>Und.</v>
          </cell>
          <cell r="D447">
            <v>2767</v>
          </cell>
          <cell r="E447">
            <v>3293</v>
          </cell>
        </row>
        <row r="448">
          <cell r="A448" t="str">
            <v>U2-1/2</v>
          </cell>
          <cell r="B448" t="str">
            <v>Unión Soldada PVC de 2 1/2"</v>
          </cell>
          <cell r="C448" t="str">
            <v>Und.</v>
          </cell>
          <cell r="D448">
            <v>10953</v>
          </cell>
          <cell r="E448">
            <v>13034</v>
          </cell>
        </row>
        <row r="449">
          <cell r="A449" t="str">
            <v>U3</v>
          </cell>
          <cell r="B449" t="str">
            <v>Unión Soldada PVC de 3"</v>
          </cell>
          <cell r="C449" t="str">
            <v>Und.</v>
          </cell>
          <cell r="D449">
            <v>13557</v>
          </cell>
          <cell r="E449">
            <v>16133</v>
          </cell>
        </row>
        <row r="450">
          <cell r="A450" t="str">
            <v>U4</v>
          </cell>
          <cell r="B450" t="str">
            <v>Unión Soldada PVC de 4"</v>
          </cell>
          <cell r="C450" t="str">
            <v>Und.</v>
          </cell>
          <cell r="D450">
            <v>29471</v>
          </cell>
          <cell r="E450">
            <v>35070</v>
          </cell>
        </row>
        <row r="452">
          <cell r="B452" t="str">
            <v>Unión Universal PVC</v>
          </cell>
        </row>
        <row r="453">
          <cell r="A453" t="str">
            <v>UU1/2</v>
          </cell>
          <cell r="B453" t="str">
            <v>Unión Universal PVC de 1/2"</v>
          </cell>
          <cell r="C453" t="str">
            <v>Und.</v>
          </cell>
          <cell r="D453">
            <v>2272</v>
          </cell>
          <cell r="E453">
            <v>2704</v>
          </cell>
        </row>
        <row r="454">
          <cell r="A454" t="str">
            <v>UU3/4</v>
          </cell>
          <cell r="B454" t="str">
            <v>Unión Universal PVC de 3/4"</v>
          </cell>
          <cell r="C454" t="str">
            <v>Und.</v>
          </cell>
          <cell r="D454">
            <v>4027</v>
          </cell>
          <cell r="E454">
            <v>4792</v>
          </cell>
        </row>
        <row r="455">
          <cell r="A455" t="str">
            <v>UU1</v>
          </cell>
          <cell r="B455" t="str">
            <v>Unión Universal PVC de 1"</v>
          </cell>
          <cell r="C455" t="str">
            <v>Und.</v>
          </cell>
          <cell r="D455">
            <v>6090</v>
          </cell>
          <cell r="E455">
            <v>7247</v>
          </cell>
        </row>
        <row r="456">
          <cell r="A456" t="str">
            <v>UU1-1/4</v>
          </cell>
          <cell r="B456" t="str">
            <v>Unión Universal PVC de 1 1/4"</v>
          </cell>
          <cell r="C456" t="str">
            <v>Und.</v>
          </cell>
          <cell r="D456">
            <v>10996</v>
          </cell>
          <cell r="E456">
            <v>13085</v>
          </cell>
        </row>
        <row r="457">
          <cell r="A457" t="str">
            <v>UU1-1/2</v>
          </cell>
          <cell r="B457" t="str">
            <v>Unión Universal PVC de 1 1/2"</v>
          </cell>
          <cell r="C457" t="str">
            <v>Und.</v>
          </cell>
          <cell r="D457">
            <v>18865</v>
          </cell>
          <cell r="E457">
            <v>22449</v>
          </cell>
        </row>
        <row r="458">
          <cell r="A458" t="str">
            <v>UU2</v>
          </cell>
          <cell r="B458" t="str">
            <v>Unión Universal PVC de 2"</v>
          </cell>
          <cell r="C458" t="str">
            <v>Und.</v>
          </cell>
          <cell r="D458">
            <v>24125</v>
          </cell>
          <cell r="E458">
            <v>28709</v>
          </cell>
        </row>
        <row r="460">
          <cell r="B460" t="str">
            <v>Válvula de Bola PVC</v>
          </cell>
        </row>
        <row r="461">
          <cell r="A461" t="str">
            <v>VB1/2</v>
          </cell>
          <cell r="B461" t="str">
            <v>Válvula de Bola PVC de 1/2"</v>
          </cell>
          <cell r="C461" t="str">
            <v>Und.</v>
          </cell>
          <cell r="D461">
            <v>3539</v>
          </cell>
          <cell r="E461">
            <v>4211</v>
          </cell>
        </row>
        <row r="462">
          <cell r="A462" t="str">
            <v>VB3/4</v>
          </cell>
          <cell r="B462" t="str">
            <v>Válvula de Bola PVC de 3/4"</v>
          </cell>
          <cell r="C462" t="str">
            <v>Und.</v>
          </cell>
          <cell r="D462">
            <v>6262</v>
          </cell>
          <cell r="E462">
            <v>7452</v>
          </cell>
        </row>
        <row r="463">
          <cell r="A463" t="str">
            <v>VB1</v>
          </cell>
          <cell r="B463" t="str">
            <v>Válvula de Bola PVC de 1"</v>
          </cell>
          <cell r="C463" t="str">
            <v>Und.</v>
          </cell>
          <cell r="D463">
            <v>8077</v>
          </cell>
          <cell r="E463">
            <v>9612</v>
          </cell>
        </row>
        <row r="465">
          <cell r="B465" t="str">
            <v>Tubería PVC Sanitaria Aguas Lluvias</v>
          </cell>
        </row>
        <row r="466">
          <cell r="A466" t="str">
            <v>ALL1-1/2</v>
          </cell>
          <cell r="B466" t="str">
            <v>Tubería PVC Sanitaria Aguas Lluvias de 1 1/2"</v>
          </cell>
          <cell r="C466" t="str">
            <v>m.</v>
          </cell>
          <cell r="D466">
            <v>6306</v>
          </cell>
          <cell r="E466">
            <v>7504</v>
          </cell>
        </row>
        <row r="467">
          <cell r="A467" t="str">
            <v>ALL2</v>
          </cell>
          <cell r="B467" t="str">
            <v>Tubería PVC Sanitaria Aguas Lluvias de 2"</v>
          </cell>
          <cell r="C467" t="str">
            <v>m.</v>
          </cell>
          <cell r="D467">
            <v>7818</v>
          </cell>
          <cell r="E467">
            <v>9303</v>
          </cell>
        </row>
        <row r="468">
          <cell r="A468" t="str">
            <v>ALL3</v>
          </cell>
          <cell r="B468" t="str">
            <v>Tubería PVC Sanitaria Aguas Lluvias de 3"</v>
          </cell>
          <cell r="C468" t="str">
            <v>m.</v>
          </cell>
          <cell r="D468">
            <v>11677</v>
          </cell>
          <cell r="E468">
            <v>13896</v>
          </cell>
        </row>
        <row r="469">
          <cell r="A469" t="str">
            <v>ALL4</v>
          </cell>
          <cell r="B469" t="str">
            <v>Tubería PVC Sanitaria Aguas Lluvias de 4"</v>
          </cell>
          <cell r="C469" t="str">
            <v>m.</v>
          </cell>
          <cell r="D469">
            <v>16273</v>
          </cell>
          <cell r="E469">
            <v>19365</v>
          </cell>
        </row>
        <row r="470">
          <cell r="A470" t="str">
            <v>ALL6</v>
          </cell>
          <cell r="B470" t="str">
            <v>Tubería PVC Sanitaria Aguas Lluvias de 6"</v>
          </cell>
          <cell r="C470" t="str">
            <v>m.</v>
          </cell>
          <cell r="D470">
            <v>34461</v>
          </cell>
          <cell r="E470">
            <v>41009</v>
          </cell>
        </row>
        <row r="471">
          <cell r="A471" t="str">
            <v>ALL8</v>
          </cell>
          <cell r="B471" t="str">
            <v>Tubería PVC Sanitaria Aguas Lluvias de 8"</v>
          </cell>
          <cell r="C471" t="str">
            <v>m.</v>
          </cell>
          <cell r="D471">
            <v>61995</v>
          </cell>
          <cell r="E471">
            <v>73774</v>
          </cell>
        </row>
        <row r="472">
          <cell r="A472" t="str">
            <v>ALL10</v>
          </cell>
          <cell r="B472" t="str">
            <v>Tubería PVC Sanitaria Aguas Lluvias de 10"</v>
          </cell>
          <cell r="C472" t="str">
            <v>m.</v>
          </cell>
          <cell r="D472">
            <v>96711</v>
          </cell>
          <cell r="E472">
            <v>115086</v>
          </cell>
        </row>
        <row r="474">
          <cell r="B474" t="str">
            <v>Soldadura PVC</v>
          </cell>
        </row>
        <row r="475">
          <cell r="A475" t="str">
            <v>SOL1/4</v>
          </cell>
          <cell r="B475" t="str">
            <v>Soldadura PVC x 1/4 gal</v>
          </cell>
          <cell r="C475" t="str">
            <v>Gal.</v>
          </cell>
          <cell r="D475">
            <v>75216.930000000008</v>
          </cell>
          <cell r="E475">
            <v>89508</v>
          </cell>
        </row>
        <row r="476">
          <cell r="A476" t="str">
            <v>SOL1/8</v>
          </cell>
          <cell r="B476" t="str">
            <v>Soldadura PVC x 1/8 gal</v>
          </cell>
          <cell r="C476" t="str">
            <v>Gal.</v>
          </cell>
          <cell r="D476">
            <v>38867.760000000002</v>
          </cell>
          <cell r="E476">
            <v>46253</v>
          </cell>
        </row>
        <row r="477">
          <cell r="A477" t="str">
            <v>SOL1/16</v>
          </cell>
          <cell r="B477" t="str">
            <v>Soldadura PVC x 1/16 gal</v>
          </cell>
          <cell r="C477" t="str">
            <v>Gal.</v>
          </cell>
          <cell r="D477">
            <v>24027.06</v>
          </cell>
          <cell r="E477">
            <v>28592</v>
          </cell>
        </row>
        <row r="478">
          <cell r="A478" t="str">
            <v>SOL1/32</v>
          </cell>
          <cell r="B478" t="str">
            <v>Soldadura PVC x 1/32 gal</v>
          </cell>
          <cell r="C478" t="str">
            <v>Gal.</v>
          </cell>
          <cell r="D478">
            <v>14321.220000000001</v>
          </cell>
          <cell r="E478">
            <v>17042</v>
          </cell>
        </row>
        <row r="479">
          <cell r="A479" t="str">
            <v>SOL1/64</v>
          </cell>
          <cell r="B479" t="str">
            <v>Soldadura PVC x 1/64 gal</v>
          </cell>
          <cell r="C479" t="str">
            <v>Gal.</v>
          </cell>
          <cell r="D479">
            <v>8366.0700000000015</v>
          </cell>
          <cell r="E479">
            <v>9956</v>
          </cell>
        </row>
        <row r="480">
          <cell r="A480" t="str">
            <v>SOL1/168</v>
          </cell>
          <cell r="B480" t="str">
            <v>Soldadura PVC x 1/168 gal</v>
          </cell>
          <cell r="C480" t="str">
            <v>Gal.</v>
          </cell>
          <cell r="D480">
            <v>4269.0600000000004</v>
          </cell>
          <cell r="E480">
            <v>5080</v>
          </cell>
        </row>
        <row r="482">
          <cell r="B482" t="str">
            <v>Lubricante PVC</v>
          </cell>
        </row>
        <row r="483">
          <cell r="A483" t="str">
            <v>LUB</v>
          </cell>
          <cell r="B483" t="str">
            <v>Lubricante PVC x 500 gr.</v>
          </cell>
          <cell r="C483" t="str">
            <v>500 g</v>
          </cell>
          <cell r="E483">
            <v>22869.000000000004</v>
          </cell>
        </row>
        <row r="485">
          <cell r="B485" t="str">
            <v>Limpiador PVC</v>
          </cell>
        </row>
        <row r="486">
          <cell r="A486" t="str">
            <v>LIM1/4</v>
          </cell>
          <cell r="B486" t="str">
            <v>Limpiador PVC x 1/4.</v>
          </cell>
          <cell r="C486" t="str">
            <v>Gal.</v>
          </cell>
          <cell r="E486">
            <v>55991.100000000006</v>
          </cell>
        </row>
        <row r="487">
          <cell r="A487" t="str">
            <v>LIM12</v>
          </cell>
          <cell r="B487" t="str">
            <v>Limpiador PVC x 12 onzas</v>
          </cell>
          <cell r="C487" t="str">
            <v>Oz.</v>
          </cell>
          <cell r="D487">
            <v>23444.654100000003</v>
          </cell>
          <cell r="E487">
            <v>27899</v>
          </cell>
        </row>
        <row r="488">
          <cell r="A488" t="str">
            <v>LIM1/32</v>
          </cell>
          <cell r="B488" t="str">
            <v>Limpiador PVC x 1/32.</v>
          </cell>
          <cell r="C488" t="str">
            <v>Gal.</v>
          </cell>
          <cell r="D488">
            <v>7521.2046</v>
          </cell>
          <cell r="E488">
            <v>8950</v>
          </cell>
        </row>
        <row r="489">
          <cell r="A489" t="str">
            <v>LIM1/64</v>
          </cell>
          <cell r="B489" t="str">
            <v>Limpiador PVC x 1/64.</v>
          </cell>
          <cell r="C489" t="str">
            <v>Gal.</v>
          </cell>
          <cell r="D489">
            <v>4082.9019000000003</v>
          </cell>
          <cell r="E489">
            <v>4859</v>
          </cell>
        </row>
        <row r="490">
          <cell r="A490" t="str">
            <v>LIM1/168</v>
          </cell>
          <cell r="B490" t="str">
            <v>Limpiador PVC x 1/168.</v>
          </cell>
          <cell r="C490" t="str">
            <v>Gal.</v>
          </cell>
          <cell r="D490">
            <v>2847.8604</v>
          </cell>
          <cell r="E490">
            <v>3389</v>
          </cell>
        </row>
        <row r="492">
          <cell r="A492" t="str">
            <v>TUBERÍA PVC UNIÓN MECÁNICA</v>
          </cell>
        </row>
        <row r="493">
          <cell r="B493" t="str">
            <v>Tubería PVC Unión Mecánica</v>
          </cell>
          <cell r="C493" t="str">
            <v>RDE 13.5 (315 PSI)</v>
          </cell>
        </row>
        <row r="494">
          <cell r="A494" t="str">
            <v>TUM213.5</v>
          </cell>
          <cell r="B494" t="str">
            <v>Tubería PVC Unión Mecánica de 2" RDE 13.5 (315 PSI)</v>
          </cell>
          <cell r="C494" t="str">
            <v>m.</v>
          </cell>
          <cell r="D494">
            <v>13270</v>
          </cell>
          <cell r="E494">
            <v>15791</v>
          </cell>
        </row>
        <row r="495">
          <cell r="A495" t="str">
            <v>TUM313.5</v>
          </cell>
          <cell r="B495" t="str">
            <v>Tubería PVC Unión Mecánica de 3" RDE 13.5 (315 PSI)</v>
          </cell>
          <cell r="C495" t="str">
            <v>m.</v>
          </cell>
          <cell r="D495">
            <v>29281</v>
          </cell>
          <cell r="E495">
            <v>34844</v>
          </cell>
        </row>
        <row r="496">
          <cell r="A496" t="str">
            <v>TUM413.5</v>
          </cell>
          <cell r="B496" t="str">
            <v>Tubería PVC Unión Mecánica de 4" RDE 13.5 (315 PSI)</v>
          </cell>
          <cell r="C496" t="str">
            <v>m.</v>
          </cell>
          <cell r="D496">
            <v>46797</v>
          </cell>
          <cell r="E496">
            <v>55688</v>
          </cell>
        </row>
        <row r="497">
          <cell r="A497" t="str">
            <v>TUM613.5</v>
          </cell>
          <cell r="B497" t="str">
            <v>Tubería PVC Unión Mecánica de 6" RDE 13.5 (315 PSI)</v>
          </cell>
          <cell r="C497" t="str">
            <v>m.</v>
          </cell>
          <cell r="D497">
            <v>113532</v>
          </cell>
          <cell r="E497">
            <v>135103</v>
          </cell>
        </row>
        <row r="498">
          <cell r="A498" t="str">
            <v>TUM813.5</v>
          </cell>
          <cell r="B498" t="str">
            <v>Tubería PVC Unión Mecánica de 8" RDE 13.5 (315 PSI)</v>
          </cell>
          <cell r="C498" t="str">
            <v>m.</v>
          </cell>
          <cell r="D498">
            <v>192406</v>
          </cell>
          <cell r="E498">
            <v>228963</v>
          </cell>
        </row>
        <row r="499">
          <cell r="A499" t="str">
            <v>TUM1013.5</v>
          </cell>
          <cell r="B499" t="str">
            <v>Tubería PVC Unión Mecánica de 10" RDE 13.5 (315 PSI)</v>
          </cell>
          <cell r="C499" t="str">
            <v>m.</v>
          </cell>
          <cell r="D499">
            <v>285183</v>
          </cell>
          <cell r="E499">
            <v>339368</v>
          </cell>
        </row>
        <row r="500">
          <cell r="A500" t="str">
            <v>TUM1213.5</v>
          </cell>
          <cell r="B500" t="str">
            <v>Tubería PVC Unión Mecánica de 12" RDE 13.5 (315 PSI)</v>
          </cell>
          <cell r="C500" t="str">
            <v>m.</v>
          </cell>
          <cell r="D500">
            <v>403006</v>
          </cell>
          <cell r="E500">
            <v>479577</v>
          </cell>
        </row>
        <row r="501">
          <cell r="A501" t="str">
            <v>TUM1413.5</v>
          </cell>
          <cell r="B501" t="str">
            <v>Tubería PVC Unión Mecánica de 14" RDE 13.5 (315 PSI)</v>
          </cell>
          <cell r="C501" t="str">
            <v>m.</v>
          </cell>
          <cell r="D501">
            <v>476237</v>
          </cell>
          <cell r="E501">
            <v>566722</v>
          </cell>
        </row>
        <row r="503">
          <cell r="B503" t="str">
            <v>Tubería PVC Unión Mecánica</v>
          </cell>
          <cell r="C503" t="str">
            <v>RDE 21 (200 PSI)</v>
          </cell>
        </row>
        <row r="504">
          <cell r="A504" t="str">
            <v>TUM221</v>
          </cell>
          <cell r="B504" t="str">
            <v>Tubería PVC Unión Mecánica de 2" RDE 21 (200 PSI)</v>
          </cell>
          <cell r="C504" t="str">
            <v>m.</v>
          </cell>
          <cell r="D504">
            <v>7100</v>
          </cell>
          <cell r="E504">
            <v>8449</v>
          </cell>
        </row>
        <row r="505">
          <cell r="A505" t="str">
            <v>TUM2-1/221</v>
          </cell>
          <cell r="B505" t="str">
            <v>Tubería PVC Unión Mecánica de 2 1/2" RDE 21 (200 PSI)</v>
          </cell>
          <cell r="C505" t="str">
            <v>m.</v>
          </cell>
          <cell r="D505">
            <v>10414</v>
          </cell>
          <cell r="E505">
            <v>12393</v>
          </cell>
        </row>
        <row r="506">
          <cell r="A506" t="str">
            <v>TUM321</v>
          </cell>
          <cell r="B506" t="str">
            <v>Tubería PVC de 3" Presión (200 PSI)</v>
          </cell>
          <cell r="C506" t="str">
            <v>m.</v>
          </cell>
          <cell r="E506">
            <v>25086</v>
          </cell>
          <cell r="F506">
            <v>25</v>
          </cell>
          <cell r="G506">
            <v>50</v>
          </cell>
        </row>
        <row r="507">
          <cell r="A507" t="str">
            <v>TUM421</v>
          </cell>
          <cell r="B507" t="str">
            <v>Tubería PVC Unión Mecánica de 4" RDE 21 (200 PSI)</v>
          </cell>
          <cell r="C507" t="str">
            <v>m.</v>
          </cell>
          <cell r="D507">
            <v>25636</v>
          </cell>
          <cell r="E507">
            <v>30507</v>
          </cell>
          <cell r="F507">
            <v>25</v>
          </cell>
          <cell r="G507">
            <v>50</v>
          </cell>
        </row>
        <row r="508">
          <cell r="A508" t="str">
            <v>TUM621</v>
          </cell>
          <cell r="B508" t="str">
            <v>Tubería PVC Unión Mecánica de 6" RDE 21 (200 PSI)</v>
          </cell>
          <cell r="C508" t="str">
            <v>m.</v>
          </cell>
          <cell r="D508">
            <v>55977</v>
          </cell>
          <cell r="E508">
            <v>66613</v>
          </cell>
          <cell r="F508">
            <v>25</v>
          </cell>
          <cell r="G508">
            <v>50</v>
          </cell>
        </row>
        <row r="509">
          <cell r="A509" t="str">
            <v>TUM821</v>
          </cell>
          <cell r="B509" t="str">
            <v>Tubería PVC Unión Mecánica de 8" RDE 21 (200 PSI)</v>
          </cell>
          <cell r="C509" t="str">
            <v>m.</v>
          </cell>
          <cell r="D509">
            <v>94817</v>
          </cell>
          <cell r="E509">
            <v>112832</v>
          </cell>
          <cell r="F509">
            <v>25</v>
          </cell>
          <cell r="G509">
            <v>50</v>
          </cell>
        </row>
        <row r="510">
          <cell r="A510" t="str">
            <v>TUM1021</v>
          </cell>
          <cell r="B510" t="str">
            <v>Tubería PVC Unión Mecánica de 10" RDE 21 (200 PSI)</v>
          </cell>
          <cell r="C510" t="str">
            <v>m.</v>
          </cell>
          <cell r="D510">
            <v>149262</v>
          </cell>
          <cell r="E510">
            <v>177622</v>
          </cell>
        </row>
        <row r="511">
          <cell r="A511" t="str">
            <v>TUM1221</v>
          </cell>
          <cell r="B511" t="str">
            <v>Tubería PVC Unión Mecánica de 12" RDE 21 (200 PSI)</v>
          </cell>
          <cell r="C511" t="str">
            <v>m.</v>
          </cell>
          <cell r="D511">
            <v>208846</v>
          </cell>
          <cell r="E511">
            <v>248527</v>
          </cell>
        </row>
        <row r="512">
          <cell r="A512" t="str">
            <v>TUM1421</v>
          </cell>
          <cell r="B512" t="str">
            <v>Tubería PVC Unión Mecánica de 14" RDE 21 (200 PSI)</v>
          </cell>
          <cell r="C512" t="str">
            <v>m.</v>
          </cell>
          <cell r="D512">
            <v>258994</v>
          </cell>
          <cell r="E512">
            <v>308203</v>
          </cell>
        </row>
        <row r="513">
          <cell r="A513" t="str">
            <v>TUM1621</v>
          </cell>
          <cell r="B513" t="str">
            <v>Tubería PVC Unión Mecánica de 16" RDE 21 (200 PSI)</v>
          </cell>
          <cell r="C513" t="str">
            <v>m.</v>
          </cell>
          <cell r="D513">
            <v>339934</v>
          </cell>
          <cell r="E513">
            <v>404521</v>
          </cell>
        </row>
        <row r="514">
          <cell r="A514" t="str">
            <v>TUM1821</v>
          </cell>
          <cell r="B514" t="str">
            <v>Tubería PVC Unión Mecánica de 18" RDE 21 (200 PSI)</v>
          </cell>
          <cell r="C514" t="str">
            <v>m.</v>
          </cell>
          <cell r="D514">
            <v>436285</v>
          </cell>
          <cell r="E514">
            <v>519179</v>
          </cell>
        </row>
        <row r="515">
          <cell r="A515" t="str">
            <v>TUM2021</v>
          </cell>
          <cell r="B515" t="str">
            <v>Tubería PVC Unión Mecánica de 20" RDE 21 (200 PSI)</v>
          </cell>
          <cell r="C515" t="str">
            <v>m.</v>
          </cell>
          <cell r="D515">
            <v>543596</v>
          </cell>
          <cell r="E515">
            <v>646879</v>
          </cell>
        </row>
        <row r="516">
          <cell r="A516" t="str">
            <v>TUM2421</v>
          </cell>
          <cell r="B516" t="str">
            <v>Tubería PVC Unión Mecánica de 24" RDE 21 (200 PSI)</v>
          </cell>
          <cell r="C516" t="str">
            <v>m.</v>
          </cell>
          <cell r="D516">
            <v>876110</v>
          </cell>
          <cell r="E516">
            <v>1042571</v>
          </cell>
        </row>
        <row r="518">
          <cell r="B518" t="str">
            <v>Tubería PVC Unión Mecánica</v>
          </cell>
          <cell r="C518" t="str">
            <v>RDE 26 (160 PSI)</v>
          </cell>
        </row>
        <row r="519">
          <cell r="A519" t="str">
            <v>TUM226</v>
          </cell>
          <cell r="B519" t="str">
            <v>Tubería PVC Unión Mecánica de 2" RDE 26 (160 PSI)</v>
          </cell>
          <cell r="C519" t="str">
            <v>m.</v>
          </cell>
          <cell r="D519">
            <v>5950</v>
          </cell>
          <cell r="E519">
            <v>7081</v>
          </cell>
        </row>
        <row r="520">
          <cell r="A520" t="str">
            <v>TUM2-1/226</v>
          </cell>
          <cell r="B520" t="str">
            <v>Tubería PVC Unión Mecánica de 2 1/2" RDE 26 (160 PSI)</v>
          </cell>
          <cell r="C520" t="str">
            <v>m.</v>
          </cell>
          <cell r="D520">
            <v>8785</v>
          </cell>
          <cell r="E520">
            <v>10454</v>
          </cell>
        </row>
        <row r="521">
          <cell r="A521" t="str">
            <v>TUM326</v>
          </cell>
          <cell r="B521" t="str">
            <v>Tubería PVC Unión Mecánica de 3" RDE 26 (160 PSI)</v>
          </cell>
          <cell r="C521" t="str">
            <v>m.</v>
          </cell>
          <cell r="D521">
            <v>13089</v>
          </cell>
          <cell r="E521">
            <v>15576</v>
          </cell>
        </row>
        <row r="522">
          <cell r="A522" t="str">
            <v>TUM426</v>
          </cell>
          <cell r="B522" t="str">
            <v>Tubería PVC Unión Mecánica de 4" RDE 26 (160 PSI)</v>
          </cell>
          <cell r="C522" t="str">
            <v>m.</v>
          </cell>
          <cell r="D522">
            <v>21619</v>
          </cell>
          <cell r="E522">
            <v>25727</v>
          </cell>
        </row>
        <row r="523">
          <cell r="A523" t="str">
            <v>TUM626</v>
          </cell>
          <cell r="B523" t="str">
            <v>Tubería PVC Unión Mecánica de 6" RDE 26 (160 PSI)</v>
          </cell>
          <cell r="C523" t="str">
            <v>m.</v>
          </cell>
          <cell r="D523">
            <v>46310</v>
          </cell>
          <cell r="E523">
            <v>55109</v>
          </cell>
        </row>
        <row r="524">
          <cell r="A524" t="str">
            <v>TUM826</v>
          </cell>
          <cell r="B524" t="str">
            <v>Tubería PVC Unión Mecánica de 8" RDE 26 (160 PSI)</v>
          </cell>
          <cell r="C524" t="str">
            <v>m.</v>
          </cell>
          <cell r="D524">
            <v>78783</v>
          </cell>
          <cell r="E524">
            <v>93752</v>
          </cell>
        </row>
        <row r="525">
          <cell r="A525" t="str">
            <v>TUM1026</v>
          </cell>
          <cell r="B525" t="str">
            <v>Tubería PVC Unión Mecánica de 10" RDE 26 (160 PSI)</v>
          </cell>
          <cell r="C525" t="str">
            <v>m.</v>
          </cell>
          <cell r="D525">
            <v>122628</v>
          </cell>
          <cell r="E525">
            <v>145927</v>
          </cell>
        </row>
        <row r="526">
          <cell r="A526" t="str">
            <v>TUM1226</v>
          </cell>
          <cell r="B526" t="str">
            <v>Tubería PVC Unión Mecánica de 12" RDE 26 (160 PSI)</v>
          </cell>
          <cell r="C526" t="str">
            <v>m.</v>
          </cell>
          <cell r="D526">
            <v>172863</v>
          </cell>
          <cell r="E526">
            <v>205707</v>
          </cell>
        </row>
        <row r="527">
          <cell r="A527" t="str">
            <v>TUM1426</v>
          </cell>
          <cell r="B527" t="str">
            <v>Tubería PVC Unión Mecánica de 14" RDE 26 (160 PSI)</v>
          </cell>
          <cell r="C527" t="str">
            <v>m.</v>
          </cell>
          <cell r="D527">
            <v>215086</v>
          </cell>
          <cell r="E527">
            <v>255952</v>
          </cell>
        </row>
        <row r="528">
          <cell r="A528" t="str">
            <v>TUM1626</v>
          </cell>
          <cell r="B528" t="str">
            <v>Tubería PVC Unión Mecánica de 16" RDE 26 (160 PSI)</v>
          </cell>
          <cell r="C528" t="str">
            <v>m.</v>
          </cell>
          <cell r="D528">
            <v>285373</v>
          </cell>
          <cell r="E528">
            <v>339594</v>
          </cell>
        </row>
        <row r="529">
          <cell r="A529" t="str">
            <v>TUM1826</v>
          </cell>
          <cell r="B529" t="str">
            <v>Tubería PVC Unión Mecánica de 18" RDE 26 (160 PSI)</v>
          </cell>
          <cell r="C529" t="str">
            <v>m.</v>
          </cell>
          <cell r="D529">
            <v>365790</v>
          </cell>
          <cell r="E529">
            <v>435290</v>
          </cell>
        </row>
        <row r="530">
          <cell r="A530" t="str">
            <v>TUM2026</v>
          </cell>
          <cell r="B530" t="str">
            <v>Tubería PVC Unión Mecánica de 20" RDE 26 (160 PSI)</v>
          </cell>
          <cell r="C530" t="str">
            <v>m.</v>
          </cell>
          <cell r="D530">
            <v>471290</v>
          </cell>
          <cell r="E530">
            <v>560835</v>
          </cell>
        </row>
        <row r="532">
          <cell r="B532" t="str">
            <v>Tubería PVC Unión Mecánica</v>
          </cell>
          <cell r="C532" t="str">
            <v>RDE 32.5 (125 PSI)</v>
          </cell>
        </row>
        <row r="533">
          <cell r="A533" t="str">
            <v>TUM232.5</v>
          </cell>
          <cell r="B533" t="str">
            <v>Tubería PVC Unión Mecánica de 2" RDE 32.5 (125 PSI)</v>
          </cell>
          <cell r="C533" t="str">
            <v>m.</v>
          </cell>
          <cell r="D533">
            <v>4840</v>
          </cell>
          <cell r="E533">
            <v>5760</v>
          </cell>
        </row>
        <row r="534">
          <cell r="A534" t="str">
            <v>TUM332.5</v>
          </cell>
          <cell r="B534" t="str">
            <v>Tubería PVC Unión Mecánica de 3" RDE 32.5 (125 PSI)</v>
          </cell>
          <cell r="C534" t="str">
            <v>m.</v>
          </cell>
          <cell r="D534">
            <v>10515</v>
          </cell>
          <cell r="E534">
            <v>12513</v>
          </cell>
        </row>
        <row r="535">
          <cell r="A535" t="str">
            <v>TUM432.5</v>
          </cell>
          <cell r="B535" t="str">
            <v>Tubería PVC Unión Mecánica de 4" RDE 32.5 (125 PSI)</v>
          </cell>
          <cell r="C535" t="str">
            <v>m.</v>
          </cell>
          <cell r="D535">
            <v>17334</v>
          </cell>
          <cell r="E535">
            <v>20627</v>
          </cell>
        </row>
        <row r="536">
          <cell r="A536" t="str">
            <v>TUM632.5</v>
          </cell>
          <cell r="B536" t="str">
            <v>Tubería PVC Unión Mecánica de 6" RDE 32.5 (125 PSI)</v>
          </cell>
          <cell r="C536" t="str">
            <v>m.</v>
          </cell>
          <cell r="D536">
            <v>37784</v>
          </cell>
          <cell r="E536">
            <v>44963</v>
          </cell>
        </row>
        <row r="537">
          <cell r="A537" t="str">
            <v>TUM832.5</v>
          </cell>
          <cell r="B537" t="str">
            <v>Tubería PVC Unión Mecánica de 8" RDE 32.5 (125 PSI)</v>
          </cell>
          <cell r="C537" t="str">
            <v>m.</v>
          </cell>
          <cell r="D537">
            <v>64292</v>
          </cell>
          <cell r="E537">
            <v>76507</v>
          </cell>
        </row>
        <row r="538">
          <cell r="A538" t="str">
            <v>TUM1032.5</v>
          </cell>
          <cell r="B538" t="str">
            <v>Tubería PVC Unión Mecánica de 10" RDE 32.5 (125 PSI)</v>
          </cell>
          <cell r="C538" t="str">
            <v>m.</v>
          </cell>
          <cell r="D538">
            <v>100497</v>
          </cell>
          <cell r="E538">
            <v>119591</v>
          </cell>
        </row>
        <row r="539">
          <cell r="A539" t="str">
            <v>TUM1232.5</v>
          </cell>
          <cell r="B539" t="str">
            <v>Tubería PVC Unión Mecánica de 12" RDE 32.5 (125 PSI)</v>
          </cell>
          <cell r="C539" t="str">
            <v>m.</v>
          </cell>
          <cell r="D539">
            <v>141574</v>
          </cell>
          <cell r="E539">
            <v>168473</v>
          </cell>
        </row>
        <row r="540">
          <cell r="A540" t="str">
            <v>TUM1432.5</v>
          </cell>
          <cell r="B540" t="str">
            <v>Tubería PVC Unión Mecánica de 14" RDE 32.5 (125 PSI)</v>
          </cell>
          <cell r="C540" t="str">
            <v>m.</v>
          </cell>
          <cell r="D540">
            <v>175275</v>
          </cell>
          <cell r="E540">
            <v>208577</v>
          </cell>
        </row>
        <row r="541">
          <cell r="A541" t="str">
            <v>TUM1632.5</v>
          </cell>
          <cell r="B541" t="str">
            <v>Tubería PVC Unión Mecánica de 16" RDE 32.5 (125 PSI)</v>
          </cell>
          <cell r="C541" t="str">
            <v>m.</v>
          </cell>
          <cell r="D541">
            <v>233100</v>
          </cell>
          <cell r="E541">
            <v>277389</v>
          </cell>
        </row>
        <row r="542">
          <cell r="A542" t="str">
            <v>TUM1832.5</v>
          </cell>
          <cell r="B542" t="str">
            <v>Tubería PVC Unión Mecánica de 18" RDE 32.5 (125 PSI)</v>
          </cell>
          <cell r="C542" t="str">
            <v>m.</v>
          </cell>
          <cell r="D542">
            <v>295549</v>
          </cell>
          <cell r="E542">
            <v>351703</v>
          </cell>
        </row>
        <row r="543">
          <cell r="A543" t="str">
            <v>TUM2032.5</v>
          </cell>
          <cell r="B543" t="str">
            <v>Tubería PVC Unión Mecánica de 20" RDE 32.5 (125 PSI)</v>
          </cell>
          <cell r="C543" t="str">
            <v>m.</v>
          </cell>
          <cell r="D543">
            <v>387131</v>
          </cell>
          <cell r="E543">
            <v>460686</v>
          </cell>
        </row>
        <row r="544">
          <cell r="A544" t="str">
            <v>TUM2432.5</v>
          </cell>
          <cell r="B544" t="str">
            <v>Tubería PVC Unión Mecánica de 24" RDE 32.5 (125 PSI)</v>
          </cell>
          <cell r="C544" t="str">
            <v>m.</v>
          </cell>
          <cell r="D544">
            <v>554928</v>
          </cell>
          <cell r="E544">
            <v>660364</v>
          </cell>
        </row>
        <row r="546">
          <cell r="B546" t="str">
            <v>Tubería PVC Unión Mecánica</v>
          </cell>
          <cell r="C546" t="str">
            <v>RDE 41 (100 PSI)</v>
          </cell>
        </row>
        <row r="547">
          <cell r="A547" t="str">
            <v>TUM241</v>
          </cell>
          <cell r="B547" t="str">
            <v>Tubería PVC Unión Mecánica de 2" RDE 41 (100 PSI)</v>
          </cell>
          <cell r="C547" t="str">
            <v>m.</v>
          </cell>
          <cell r="D547">
            <v>4119</v>
          </cell>
          <cell r="E547">
            <v>4902</v>
          </cell>
        </row>
        <row r="548">
          <cell r="A548" t="str">
            <v>TUM341</v>
          </cell>
          <cell r="B548" t="str">
            <v>Tubería PVC Unión Mecánica de 3" RDE 41 (100 PSI)</v>
          </cell>
          <cell r="C548" t="str">
            <v>m.</v>
          </cell>
          <cell r="D548">
            <v>8534</v>
          </cell>
          <cell r="E548">
            <v>10155</v>
          </cell>
        </row>
        <row r="549">
          <cell r="A549" t="str">
            <v>TUM441</v>
          </cell>
          <cell r="B549" t="str">
            <v>Tubería PVC Unión Mecánica de 4" RDE 41 (100 PSI)</v>
          </cell>
          <cell r="C549" t="str">
            <v>m.</v>
          </cell>
          <cell r="D549">
            <v>14366</v>
          </cell>
          <cell r="E549">
            <v>17096</v>
          </cell>
        </row>
        <row r="550">
          <cell r="A550" t="str">
            <v>TUM641</v>
          </cell>
          <cell r="B550" t="str">
            <v>Tubería PVC Unión Mecánica de 6" RDE 41 (100 PSI)</v>
          </cell>
          <cell r="C550" t="str">
            <v>m.</v>
          </cell>
          <cell r="D550">
            <v>30456</v>
          </cell>
          <cell r="E550">
            <v>36243</v>
          </cell>
        </row>
        <row r="551">
          <cell r="A551" t="str">
            <v>TUM841</v>
          </cell>
          <cell r="B551" t="str">
            <v>Tubería PVC Unión Mecánica de 8" RDE 41 (100 PSI)</v>
          </cell>
          <cell r="C551" t="str">
            <v>m.</v>
          </cell>
          <cell r="D551">
            <v>51442</v>
          </cell>
          <cell r="E551">
            <v>61216</v>
          </cell>
        </row>
        <row r="552">
          <cell r="A552" t="str">
            <v>TUM1041</v>
          </cell>
          <cell r="B552" t="str">
            <v>Tubería PVC Unión Mecánica de 10" RDE 41 (100 PSI)</v>
          </cell>
          <cell r="C552" t="str">
            <v>m.</v>
          </cell>
          <cell r="D552">
            <v>80442</v>
          </cell>
          <cell r="E552">
            <v>95726</v>
          </cell>
        </row>
        <row r="553">
          <cell r="A553" t="str">
            <v>TUM1241</v>
          </cell>
          <cell r="B553" t="str">
            <v>Tubería PVC Unión Mecánica de 12" RDE 41 (100 PSI)</v>
          </cell>
          <cell r="C553" t="str">
            <v>m.</v>
          </cell>
          <cell r="D553">
            <v>113926</v>
          </cell>
          <cell r="E553">
            <v>135572</v>
          </cell>
        </row>
        <row r="554">
          <cell r="A554" t="str">
            <v>TUM1441</v>
          </cell>
          <cell r="B554" t="str">
            <v>Tubería PVC Unión Mecánica de 14" RDE 41 (100 PSI)</v>
          </cell>
          <cell r="C554" t="str">
            <v>m.</v>
          </cell>
          <cell r="D554">
            <v>143872</v>
          </cell>
          <cell r="E554">
            <v>171208</v>
          </cell>
        </row>
        <row r="555">
          <cell r="A555" t="str">
            <v>TUM1641</v>
          </cell>
          <cell r="B555" t="str">
            <v>Tubería PVC Unión Mecánica de 16" RDE 41 (100 PSI)</v>
          </cell>
          <cell r="C555" t="str">
            <v>m.</v>
          </cell>
          <cell r="D555">
            <v>193678</v>
          </cell>
          <cell r="E555">
            <v>230477</v>
          </cell>
        </row>
        <row r="556">
          <cell r="A556" t="str">
            <v>TUM1841</v>
          </cell>
          <cell r="B556" t="str">
            <v>Tubería PVC Unión Mecánica de 18" RDE 41 (100 PSI)</v>
          </cell>
          <cell r="C556" t="str">
            <v>m.</v>
          </cell>
          <cell r="D556">
            <v>251969</v>
          </cell>
          <cell r="E556">
            <v>299843</v>
          </cell>
        </row>
        <row r="557">
          <cell r="A557" t="str">
            <v>TUM2041</v>
          </cell>
          <cell r="B557" t="str">
            <v>Tubería PVC Unión Mecánica de 20" RDE 41 (100 PSI)</v>
          </cell>
          <cell r="C557" t="str">
            <v>m.</v>
          </cell>
          <cell r="D557">
            <v>319744</v>
          </cell>
          <cell r="E557">
            <v>380495</v>
          </cell>
        </row>
        <row r="559">
          <cell r="B559" t="str">
            <v>Tubería PVC Orientada Unión Mecánica (SUPRAXIAL)</v>
          </cell>
          <cell r="C559" t="str">
            <v>200 PSI</v>
          </cell>
        </row>
        <row r="560">
          <cell r="A560" t="str">
            <v>TUMS4200</v>
          </cell>
          <cell r="B560" t="str">
            <v>Tubería PVC Orientada Unión Mecánica (SUPRAXIAL) de 4" 200 PSI</v>
          </cell>
          <cell r="C560" t="str">
            <v>m.</v>
          </cell>
          <cell r="D560">
            <v>25895</v>
          </cell>
          <cell r="E560">
            <v>30815</v>
          </cell>
        </row>
        <row r="561">
          <cell r="A561" t="str">
            <v>TUMS6200</v>
          </cell>
          <cell r="B561" t="str">
            <v>Tubería PVC Orientada Unión Mecánica (SUPRAXIAL) de 6" 200 PSI</v>
          </cell>
          <cell r="C561" t="str">
            <v>m.</v>
          </cell>
          <cell r="D561">
            <v>56542</v>
          </cell>
          <cell r="E561">
            <v>67285</v>
          </cell>
        </row>
        <row r="562">
          <cell r="A562" t="str">
            <v>TUMS8200</v>
          </cell>
          <cell r="B562" t="str">
            <v>Tubería PVC Orientada Unión Mecánica (SUPRAXIAL) de 8" 200 PSI</v>
          </cell>
          <cell r="C562" t="str">
            <v>m.</v>
          </cell>
          <cell r="D562">
            <v>95775</v>
          </cell>
          <cell r="E562">
            <v>113972</v>
          </cell>
        </row>
        <row r="563">
          <cell r="A563" t="str">
            <v>TUMS10200</v>
          </cell>
          <cell r="B563" t="str">
            <v>Tubería PVC Orientada Unión Mecánica (SUPRAXIAL) de 10" 200 PSI</v>
          </cell>
          <cell r="C563" t="str">
            <v>m.</v>
          </cell>
          <cell r="D563">
            <v>150770</v>
          </cell>
          <cell r="E563">
            <v>179416</v>
          </cell>
        </row>
        <row r="564">
          <cell r="A564" t="str">
            <v>TUMS12200</v>
          </cell>
          <cell r="B564" t="str">
            <v>Tubería PVC Orientada Unión Mecánica (SUPRAXIAL) de 12" 200 PSI</v>
          </cell>
          <cell r="C564" t="str">
            <v>m.</v>
          </cell>
          <cell r="D564">
            <v>210955</v>
          </cell>
          <cell r="E564">
            <v>251036</v>
          </cell>
        </row>
        <row r="565">
          <cell r="A565" t="str">
            <v>TUMS14200</v>
          </cell>
          <cell r="B565" t="str">
            <v>Tubería PVC Orientada Unión Mecánica (SUPRAXIAL) de 14" 200 PSI</v>
          </cell>
          <cell r="C565" t="str">
            <v>m.</v>
          </cell>
          <cell r="D565">
            <v>261610</v>
          </cell>
          <cell r="E565">
            <v>311316</v>
          </cell>
        </row>
        <row r="566">
          <cell r="A566" t="str">
            <v>TUMS16200</v>
          </cell>
          <cell r="B566" t="str">
            <v>Tubería PVC Orientada Unión Mecánica (SUPRAXIAL) de 16" 200 PSI</v>
          </cell>
          <cell r="C566" t="str">
            <v>m.</v>
          </cell>
          <cell r="D566">
            <v>343367</v>
          </cell>
          <cell r="E566">
            <v>408607</v>
          </cell>
        </row>
        <row r="568">
          <cell r="B568" t="str">
            <v>Tubería PVC Orientada Unión Mecánica (SUPRAXIAL)</v>
          </cell>
          <cell r="C568" t="str">
            <v>160 PSI</v>
          </cell>
        </row>
        <row r="569">
          <cell r="A569" t="str">
            <v>TUMS4160</v>
          </cell>
          <cell r="B569" t="str">
            <v>Tubería PVC Orientada Unión Mecánica (SUPRAXIAL) de 4" 160 PSI</v>
          </cell>
          <cell r="C569" t="str">
            <v>m.</v>
          </cell>
          <cell r="D569">
            <v>21619</v>
          </cell>
          <cell r="E569">
            <v>25727</v>
          </cell>
        </row>
        <row r="570">
          <cell r="A570" t="str">
            <v>TUMS6160</v>
          </cell>
          <cell r="B570" t="str">
            <v>Tubería PVC Orientada Unión Mecánica (SUPRAXIAL) de 6" 160 PSI</v>
          </cell>
          <cell r="C570" t="str">
            <v>m.</v>
          </cell>
          <cell r="D570">
            <v>46310</v>
          </cell>
          <cell r="E570">
            <v>55109</v>
          </cell>
        </row>
        <row r="571">
          <cell r="A571" t="str">
            <v>TUMS8160</v>
          </cell>
          <cell r="B571" t="str">
            <v>Tubería PVC Orientada Unión Mecánica (SUPRAXIAL) de 8" 160 PSI</v>
          </cell>
          <cell r="C571" t="str">
            <v>m.</v>
          </cell>
          <cell r="D571">
            <v>78784</v>
          </cell>
          <cell r="E571">
            <v>93753</v>
          </cell>
        </row>
        <row r="572">
          <cell r="A572" t="str">
            <v>TUMS10160</v>
          </cell>
          <cell r="B572" t="str">
            <v>Tubería PVC Orientada Unión Mecánica (SUPRAXIAL) de 10" 160 PSI</v>
          </cell>
          <cell r="C572" t="str">
            <v>m.</v>
          </cell>
          <cell r="D572">
            <v>122628</v>
          </cell>
          <cell r="E572">
            <v>145927</v>
          </cell>
        </row>
        <row r="573">
          <cell r="A573" t="str">
            <v>TUMS12160</v>
          </cell>
          <cell r="B573" t="str">
            <v>Tubería PVC Orientada Unión Mecánica (SUPRAXIAL) de 12" 160 PSI</v>
          </cell>
          <cell r="C573" t="str">
            <v>m.</v>
          </cell>
          <cell r="D573">
            <v>172863</v>
          </cell>
          <cell r="E573">
            <v>205707</v>
          </cell>
        </row>
        <row r="574">
          <cell r="A574" t="str">
            <v>TUMS14160</v>
          </cell>
          <cell r="B574" t="str">
            <v>Tubería PVC Orientada Unión Mecánica (SUPRAXIAL) de 14" 160 PSI</v>
          </cell>
          <cell r="C574" t="str">
            <v>m.</v>
          </cell>
          <cell r="D574">
            <v>215086</v>
          </cell>
          <cell r="E574">
            <v>255952</v>
          </cell>
        </row>
        <row r="575">
          <cell r="A575" t="str">
            <v>TUMS16160</v>
          </cell>
          <cell r="B575" t="str">
            <v>Tubería PVC Orientada Unión Mecánica (SUPRAXIAL) de 16" 160 PSI</v>
          </cell>
          <cell r="C575" t="str">
            <v>m.</v>
          </cell>
          <cell r="D575">
            <v>285373</v>
          </cell>
          <cell r="E575">
            <v>339594</v>
          </cell>
        </row>
        <row r="577">
          <cell r="A577" t="str">
            <v>ALTA PRESION</v>
          </cell>
          <cell r="B577" t="str">
            <v>Tubería PVC Presión E.L.</v>
          </cell>
          <cell r="C577" t="str">
            <v>RDE 11 (400 PSI)</v>
          </cell>
        </row>
        <row r="578">
          <cell r="A578" t="str">
            <v>TAP311</v>
          </cell>
          <cell r="B578" t="str">
            <v>Tubería PVC Presión E.L. de 3" RDE 11 (400 PSI)</v>
          </cell>
          <cell r="C578" t="str">
            <v>m.</v>
          </cell>
          <cell r="D578">
            <v>40110</v>
          </cell>
          <cell r="E578">
            <v>47731</v>
          </cell>
        </row>
        <row r="579">
          <cell r="A579" t="str">
            <v>TAP411</v>
          </cell>
          <cell r="B579" t="str">
            <v>Tubería PVC Presión E.L. de 4" RDE 11 (400 PSI)</v>
          </cell>
          <cell r="C579" t="str">
            <v>m.</v>
          </cell>
          <cell r="D579">
            <v>66715</v>
          </cell>
          <cell r="E579">
            <v>79391</v>
          </cell>
        </row>
        <row r="580">
          <cell r="A580" t="str">
            <v>TAP611</v>
          </cell>
          <cell r="B580" t="str">
            <v>Tubería PVC Presión E.L. de 6" RDE 11 (400 PSI)</v>
          </cell>
          <cell r="C580" t="str">
            <v>m.</v>
          </cell>
          <cell r="D580">
            <v>144547</v>
          </cell>
          <cell r="E580">
            <v>172011</v>
          </cell>
        </row>
        <row r="581">
          <cell r="A581" t="str">
            <v>TAP811</v>
          </cell>
          <cell r="B581" t="str">
            <v>Tubería PVC Presión E.L. de 8" RDE 11 (400 PSI)</v>
          </cell>
          <cell r="C581" t="str">
            <v>m.</v>
          </cell>
          <cell r="D581">
            <v>242998</v>
          </cell>
          <cell r="E581">
            <v>289168</v>
          </cell>
        </row>
        <row r="583">
          <cell r="A583" t="str">
            <v>ACCESORIOS UNIÓN MECÁNICA</v>
          </cell>
        </row>
        <row r="584">
          <cell r="B584" t="str">
            <v xml:space="preserve">Codo PVC Gran Radio </v>
          </cell>
        </row>
        <row r="585">
          <cell r="A585" t="str">
            <v>CGR290</v>
          </cell>
          <cell r="B585" t="str">
            <v xml:space="preserve">Codo PVC Gran Radio  de 2 x 90 </v>
          </cell>
          <cell r="C585" t="str">
            <v>Und.</v>
          </cell>
          <cell r="D585">
            <v>0</v>
          </cell>
          <cell r="E585">
            <v>0</v>
          </cell>
        </row>
        <row r="586">
          <cell r="A586" t="str">
            <v>CGR2-1/290</v>
          </cell>
          <cell r="B586" t="str">
            <v xml:space="preserve">Codo PVC Gran Radio  de 2 1/2 x 90 </v>
          </cell>
          <cell r="C586" t="str">
            <v>Und.</v>
          </cell>
          <cell r="D586">
            <v>0</v>
          </cell>
          <cell r="E586">
            <v>0</v>
          </cell>
        </row>
        <row r="587">
          <cell r="A587" t="str">
            <v>CGR390</v>
          </cell>
          <cell r="B587" t="str">
            <v xml:space="preserve">Codo PVC Gran Radio  de 3 x 90 </v>
          </cell>
          <cell r="C587" t="str">
            <v>Und.</v>
          </cell>
          <cell r="D587">
            <v>0</v>
          </cell>
          <cell r="E587">
            <v>81674</v>
          </cell>
        </row>
        <row r="588">
          <cell r="A588" t="str">
            <v>CGR490</v>
          </cell>
          <cell r="B588" t="str">
            <v xml:space="preserve">Codo PVC Gran Radio  de 4 x 90 </v>
          </cell>
          <cell r="C588" t="str">
            <v>Und.</v>
          </cell>
          <cell r="D588">
            <v>0</v>
          </cell>
          <cell r="E588">
            <v>0</v>
          </cell>
        </row>
        <row r="589">
          <cell r="A589" t="str">
            <v>CGR690</v>
          </cell>
          <cell r="B589" t="str">
            <v xml:space="preserve">Codo PVC Gran Radio  de 6 x 90 </v>
          </cell>
          <cell r="C589" t="str">
            <v>Und.</v>
          </cell>
          <cell r="D589">
            <v>257638</v>
          </cell>
          <cell r="E589">
            <v>306589</v>
          </cell>
        </row>
        <row r="590">
          <cell r="A590" t="str">
            <v>CGR890</v>
          </cell>
          <cell r="B590" t="str">
            <v xml:space="preserve">Codo PVC Gran Radio  de 8 x 90 </v>
          </cell>
          <cell r="C590" t="str">
            <v>Und.</v>
          </cell>
          <cell r="D590">
            <v>611480</v>
          </cell>
          <cell r="E590">
            <v>727661</v>
          </cell>
        </row>
        <row r="591">
          <cell r="A591" t="str">
            <v>CGR1090</v>
          </cell>
          <cell r="B591" t="str">
            <v xml:space="preserve">Codo PVC Gran Radio  de 10 x 90 </v>
          </cell>
          <cell r="C591" t="str">
            <v>Und.</v>
          </cell>
          <cell r="D591">
            <v>0</v>
          </cell>
          <cell r="E591">
            <v>0</v>
          </cell>
        </row>
        <row r="592">
          <cell r="A592" t="str">
            <v>CGR1290</v>
          </cell>
          <cell r="B592" t="str">
            <v xml:space="preserve">Codo PVC Gran Radio  de 12 x 90 </v>
          </cell>
          <cell r="C592" t="str">
            <v>Und.</v>
          </cell>
          <cell r="D592">
            <v>0</v>
          </cell>
          <cell r="E592">
            <v>0</v>
          </cell>
        </row>
        <row r="593">
          <cell r="A593" t="str">
            <v>CGR1490</v>
          </cell>
          <cell r="B593" t="str">
            <v xml:space="preserve">Codo PVC Gran Radio  de 14 x 90 </v>
          </cell>
          <cell r="C593" t="str">
            <v>Und.</v>
          </cell>
          <cell r="D593">
            <v>0</v>
          </cell>
          <cell r="E593">
            <v>0</v>
          </cell>
        </row>
        <row r="594">
          <cell r="A594" t="str">
            <v>CGR245</v>
          </cell>
          <cell r="B594" t="str">
            <v xml:space="preserve">Codo PVC Gran Radio  de 2 x 45 </v>
          </cell>
          <cell r="C594" t="str">
            <v>Und.</v>
          </cell>
          <cell r="D594">
            <v>0</v>
          </cell>
          <cell r="E594">
            <v>0</v>
          </cell>
        </row>
        <row r="595">
          <cell r="A595" t="str">
            <v>CGR2-1/245</v>
          </cell>
          <cell r="B595" t="str">
            <v xml:space="preserve">Codo PVC Gran Radio  de 2 1/2 x 45 </v>
          </cell>
          <cell r="C595" t="str">
            <v>Und.</v>
          </cell>
          <cell r="D595">
            <v>0</v>
          </cell>
          <cell r="E595">
            <v>0</v>
          </cell>
        </row>
        <row r="596">
          <cell r="A596" t="str">
            <v>CGR345</v>
          </cell>
          <cell r="B596" t="str">
            <v xml:space="preserve">Codo PVC Gran Radio  de 3 x 45 </v>
          </cell>
          <cell r="C596" t="str">
            <v>Und.</v>
          </cell>
          <cell r="D596">
            <v>0</v>
          </cell>
          <cell r="E596">
            <v>77511</v>
          </cell>
        </row>
        <row r="597">
          <cell r="A597" t="str">
            <v>CGR445</v>
          </cell>
          <cell r="B597" t="str">
            <v xml:space="preserve">Codo PVC Gran Radio  de 4 x 45 </v>
          </cell>
          <cell r="C597" t="str">
            <v>Und.</v>
          </cell>
          <cell r="D597">
            <v>0</v>
          </cell>
          <cell r="E597">
            <v>0</v>
          </cell>
        </row>
        <row r="598">
          <cell r="A598" t="str">
            <v>CGR645</v>
          </cell>
          <cell r="B598" t="str">
            <v xml:space="preserve">Codo PVC Gran Radio  de 6 x 45 </v>
          </cell>
          <cell r="C598" t="str">
            <v>Und.</v>
          </cell>
          <cell r="D598">
            <v>187026</v>
          </cell>
          <cell r="E598">
            <v>222561</v>
          </cell>
        </row>
        <row r="599">
          <cell r="A599" t="str">
            <v>CGR845</v>
          </cell>
          <cell r="B599" t="str">
            <v xml:space="preserve">Codo PVC Gran Radio  de 8 x 45 </v>
          </cell>
          <cell r="C599" t="str">
            <v>Und.</v>
          </cell>
          <cell r="D599">
            <v>406186</v>
          </cell>
          <cell r="E599">
            <v>483361</v>
          </cell>
        </row>
        <row r="600">
          <cell r="A600" t="str">
            <v>CGR1045</v>
          </cell>
          <cell r="B600" t="str">
            <v xml:space="preserve">Codo PVC Gran Radio  de 10 x 45 </v>
          </cell>
          <cell r="C600" t="str">
            <v>Und.</v>
          </cell>
          <cell r="D600">
            <v>0</v>
          </cell>
          <cell r="E600">
            <v>0</v>
          </cell>
        </row>
        <row r="601">
          <cell r="A601" t="str">
            <v>CGR1245</v>
          </cell>
          <cell r="B601" t="str">
            <v xml:space="preserve">Codo PVC Gran Radio  de 12 x 45 </v>
          </cell>
          <cell r="C601" t="str">
            <v>Und.</v>
          </cell>
          <cell r="D601">
            <v>0</v>
          </cell>
          <cell r="E601">
            <v>0</v>
          </cell>
        </row>
        <row r="602">
          <cell r="A602" t="str">
            <v>CGR1445</v>
          </cell>
          <cell r="B602" t="str">
            <v xml:space="preserve">Codo PVC Gran Radio  de 14 x 45 </v>
          </cell>
          <cell r="C602" t="str">
            <v>Und.</v>
          </cell>
          <cell r="D602">
            <v>0</v>
          </cell>
          <cell r="E602">
            <v>0</v>
          </cell>
        </row>
        <row r="603">
          <cell r="A603" t="str">
            <v>CGR222.5</v>
          </cell>
          <cell r="B603" t="str">
            <v xml:space="preserve">Codo PVC Gran Radio  de 2 x 22,5 </v>
          </cell>
          <cell r="C603" t="str">
            <v>Und.</v>
          </cell>
          <cell r="D603">
            <v>0</v>
          </cell>
          <cell r="E603">
            <v>0</v>
          </cell>
        </row>
        <row r="604">
          <cell r="A604" t="str">
            <v>CGR2-1/222.5</v>
          </cell>
          <cell r="B604" t="str">
            <v xml:space="preserve">Codo PVC Gran Radio  de 2 1/2 x 22,5 </v>
          </cell>
          <cell r="C604" t="str">
            <v>Und.</v>
          </cell>
          <cell r="D604">
            <v>0</v>
          </cell>
          <cell r="E604">
            <v>0</v>
          </cell>
        </row>
        <row r="605">
          <cell r="A605" t="str">
            <v>CGR322.5</v>
          </cell>
          <cell r="B605" t="str">
            <v xml:space="preserve">Codo PVC Gran Radio  de 3 x 22,5 </v>
          </cell>
          <cell r="C605" t="str">
            <v>Und.</v>
          </cell>
          <cell r="D605">
            <v>0</v>
          </cell>
          <cell r="E605">
            <v>49023</v>
          </cell>
        </row>
        <row r="606">
          <cell r="A606" t="str">
            <v>CGR422.5</v>
          </cell>
          <cell r="B606" t="str">
            <v xml:space="preserve">Codo PVC Gran Radio  de 4 x 22,5 </v>
          </cell>
          <cell r="C606" t="str">
            <v>Und.</v>
          </cell>
          <cell r="D606">
            <v>0</v>
          </cell>
          <cell r="E606">
            <v>0</v>
          </cell>
        </row>
        <row r="607">
          <cell r="A607" t="str">
            <v>CGR622.5</v>
          </cell>
          <cell r="B607" t="str">
            <v xml:space="preserve">Codo PVC Gran Radio  de 6 x 22,5 </v>
          </cell>
          <cell r="C607" t="str">
            <v>Und.</v>
          </cell>
          <cell r="D607">
            <v>149362</v>
          </cell>
          <cell r="E607">
            <v>177741</v>
          </cell>
        </row>
        <row r="608">
          <cell r="A608" t="str">
            <v>CGR822.5</v>
          </cell>
          <cell r="B608" t="str">
            <v xml:space="preserve">Codo PVC Gran Radio  de 8 x 22,5 </v>
          </cell>
          <cell r="C608" t="str">
            <v>Und.</v>
          </cell>
          <cell r="D608">
            <v>316029</v>
          </cell>
          <cell r="E608">
            <v>376075</v>
          </cell>
        </row>
        <row r="609">
          <cell r="A609" t="str">
            <v>CGR1022.5</v>
          </cell>
          <cell r="B609" t="str">
            <v xml:space="preserve">Codo PVC Gran Radio  de 10 x 22,5 </v>
          </cell>
          <cell r="C609" t="str">
            <v>Und.</v>
          </cell>
          <cell r="D609">
            <v>0</v>
          </cell>
          <cell r="E609">
            <v>0</v>
          </cell>
        </row>
        <row r="610">
          <cell r="A610" t="str">
            <v>CGR1222.5</v>
          </cell>
          <cell r="B610" t="str">
            <v xml:space="preserve">Codo PVC Gran Radio  de 12 x 22,5 </v>
          </cell>
          <cell r="C610" t="str">
            <v>Und.</v>
          </cell>
          <cell r="D610">
            <v>0</v>
          </cell>
          <cell r="E610">
            <v>0</v>
          </cell>
        </row>
        <row r="611">
          <cell r="A611" t="str">
            <v>CGR1422.5</v>
          </cell>
          <cell r="B611" t="str">
            <v xml:space="preserve">Codo PVC Gran Radio  de 14 x 22,5 </v>
          </cell>
          <cell r="C611" t="str">
            <v>Und.</v>
          </cell>
          <cell r="D611">
            <v>0</v>
          </cell>
          <cell r="E611">
            <v>0</v>
          </cell>
        </row>
        <row r="612">
          <cell r="A612" t="str">
            <v>CGR211.25</v>
          </cell>
          <cell r="B612" t="str">
            <v xml:space="preserve">Codo PVC Gran Radio  de 2 x 11,25 </v>
          </cell>
          <cell r="C612" t="str">
            <v>Und.</v>
          </cell>
          <cell r="D612">
            <v>0</v>
          </cell>
          <cell r="E612">
            <v>0</v>
          </cell>
        </row>
        <row r="613">
          <cell r="A613" t="str">
            <v>CGR2-1/211.25</v>
          </cell>
          <cell r="B613" t="str">
            <v xml:space="preserve">Codo PVC Gran Radio  de 2 1/2 x 11,25 </v>
          </cell>
          <cell r="C613" t="str">
            <v>Und.</v>
          </cell>
          <cell r="D613">
            <v>0</v>
          </cell>
          <cell r="E613">
            <v>0</v>
          </cell>
        </row>
        <row r="614">
          <cell r="A614" t="str">
            <v>CGR311.25</v>
          </cell>
          <cell r="B614" t="str">
            <v xml:space="preserve">Codo PVC Gran Radio  de 3 x 11,25 </v>
          </cell>
          <cell r="C614" t="str">
            <v>Und.</v>
          </cell>
          <cell r="D614">
            <v>0</v>
          </cell>
          <cell r="E614">
            <v>44718</v>
          </cell>
        </row>
        <row r="615">
          <cell r="A615" t="str">
            <v>CGR411.25</v>
          </cell>
          <cell r="B615" t="str">
            <v xml:space="preserve">Codo PVC Gran Radio  de 4 x 11,25 </v>
          </cell>
          <cell r="C615" t="str">
            <v>Und.</v>
          </cell>
          <cell r="D615">
            <v>0</v>
          </cell>
          <cell r="E615">
            <v>0</v>
          </cell>
        </row>
        <row r="616">
          <cell r="A616" t="str">
            <v>CGR611.25</v>
          </cell>
          <cell r="B616" t="str">
            <v xml:space="preserve">Codo PVC Gran Radio  de 6 x 11,25 </v>
          </cell>
          <cell r="C616" t="str">
            <v>Und.</v>
          </cell>
          <cell r="D616">
            <v>133556</v>
          </cell>
          <cell r="E616">
            <v>158932</v>
          </cell>
        </row>
        <row r="617">
          <cell r="A617" t="str">
            <v>CGR811.25</v>
          </cell>
          <cell r="B617" t="str">
            <v xml:space="preserve">Codo PVC Gran Radio  de 8 x 11,25 </v>
          </cell>
          <cell r="C617" t="str">
            <v>Und.</v>
          </cell>
          <cell r="D617">
            <v>271372</v>
          </cell>
          <cell r="E617">
            <v>322933</v>
          </cell>
        </row>
        <row r="618">
          <cell r="A618" t="str">
            <v>CGR1011.25</v>
          </cell>
          <cell r="B618" t="str">
            <v xml:space="preserve">Codo PVC Gran Radio  de 10 x 11,25 </v>
          </cell>
          <cell r="C618" t="str">
            <v>Und.</v>
          </cell>
          <cell r="D618">
            <v>0</v>
          </cell>
          <cell r="E618">
            <v>0</v>
          </cell>
        </row>
        <row r="619">
          <cell r="A619" t="str">
            <v>CGR1211.25</v>
          </cell>
          <cell r="B619" t="str">
            <v xml:space="preserve">Codo PVC Gran Radio  de 12 x 11,25 </v>
          </cell>
          <cell r="C619" t="str">
            <v>Und.</v>
          </cell>
          <cell r="D619">
            <v>0</v>
          </cell>
          <cell r="E619">
            <v>0</v>
          </cell>
        </row>
        <row r="620">
          <cell r="A620" t="str">
            <v>CGR1411.25</v>
          </cell>
          <cell r="B620" t="str">
            <v xml:space="preserve">Codo PVC Gran Radio  de 14 x 11,25 </v>
          </cell>
          <cell r="C620" t="str">
            <v>Und.</v>
          </cell>
          <cell r="D620">
            <v>0</v>
          </cell>
          <cell r="E620">
            <v>0</v>
          </cell>
        </row>
        <row r="621">
          <cell r="A621" t="str">
            <v>CGR86</v>
          </cell>
          <cell r="B621" t="str">
            <v xml:space="preserve">Codo PVC Gran Radio  de 8 x 6 </v>
          </cell>
          <cell r="C621" t="str">
            <v>Und.</v>
          </cell>
          <cell r="D621">
            <v>0</v>
          </cell>
          <cell r="E621">
            <v>0</v>
          </cell>
        </row>
        <row r="622">
          <cell r="A622" t="str">
            <v>CGR126</v>
          </cell>
          <cell r="B622" t="str">
            <v xml:space="preserve">Codo PVC Gran Radio  de 12 x 6 </v>
          </cell>
          <cell r="C622" t="str">
            <v>Und.</v>
          </cell>
          <cell r="D622">
            <v>0</v>
          </cell>
          <cell r="E622">
            <v>0</v>
          </cell>
        </row>
        <row r="624">
          <cell r="B624" t="str">
            <v>Collar de Derivación PVC</v>
          </cell>
        </row>
        <row r="625">
          <cell r="A625" t="str">
            <v>CD2*1/2</v>
          </cell>
          <cell r="B625" t="str">
            <v xml:space="preserve">Collar de Derivación PVC de 2 x 1/2 </v>
          </cell>
          <cell r="C625" t="str">
            <v>Und.</v>
          </cell>
          <cell r="D625">
            <v>5340</v>
          </cell>
          <cell r="E625">
            <v>6355</v>
          </cell>
        </row>
        <row r="626">
          <cell r="A626" t="str">
            <v>CD2*3/4</v>
          </cell>
          <cell r="B626" t="str">
            <v xml:space="preserve">Collar de Derivación PVC de 2 x 3/4 </v>
          </cell>
          <cell r="C626" t="str">
            <v>Und.</v>
          </cell>
          <cell r="D626">
            <v>5343</v>
          </cell>
          <cell r="E626">
            <v>6358</v>
          </cell>
        </row>
        <row r="627">
          <cell r="A627" t="str">
            <v>CD3*1/2</v>
          </cell>
          <cell r="B627" t="str">
            <v xml:space="preserve">Collar de Derivación PVC de 3 x 1/2 </v>
          </cell>
          <cell r="C627" t="str">
            <v>Und.</v>
          </cell>
          <cell r="D627">
            <v>17405</v>
          </cell>
          <cell r="E627">
            <v>17405</v>
          </cell>
        </row>
        <row r="628">
          <cell r="A628" t="str">
            <v>CD3*3/4</v>
          </cell>
          <cell r="B628" t="str">
            <v xml:space="preserve">Collar de Derivación PVC de 3 x 3/4 </v>
          </cell>
          <cell r="C628" t="str">
            <v>Und.</v>
          </cell>
          <cell r="D628">
            <v>10679</v>
          </cell>
          <cell r="E628">
            <v>12708</v>
          </cell>
        </row>
        <row r="629">
          <cell r="A629" t="str">
            <v>CD4*1/2</v>
          </cell>
          <cell r="B629" t="str">
            <v xml:space="preserve">Collar de Derivación PVC de 4 x 1/2 </v>
          </cell>
          <cell r="C629" t="str">
            <v>Und.</v>
          </cell>
          <cell r="D629">
            <v>12207</v>
          </cell>
          <cell r="E629">
            <v>14526</v>
          </cell>
        </row>
        <row r="630">
          <cell r="A630" t="str">
            <v>CD4*3/2</v>
          </cell>
          <cell r="B630" t="str">
            <v xml:space="preserve">Collar de Derivación PVC de 4 x 3/4 </v>
          </cell>
          <cell r="C630" t="str">
            <v>Und.</v>
          </cell>
          <cell r="D630">
            <v>13106</v>
          </cell>
          <cell r="E630">
            <v>15596</v>
          </cell>
        </row>
        <row r="631">
          <cell r="A631" t="str">
            <v>CD6*1/2</v>
          </cell>
          <cell r="B631" t="str">
            <v xml:space="preserve">Collar de Derivación PVC de 6 x 1/2 </v>
          </cell>
          <cell r="C631" t="str">
            <v>Und.</v>
          </cell>
          <cell r="D631">
            <v>15106</v>
          </cell>
          <cell r="E631">
            <v>17976</v>
          </cell>
        </row>
        <row r="632">
          <cell r="A632" t="str">
            <v>CD6*3/4</v>
          </cell>
          <cell r="B632" t="str">
            <v xml:space="preserve">Collar de Derivación PVC de 6 x 3/4 </v>
          </cell>
          <cell r="C632" t="str">
            <v>Und.</v>
          </cell>
          <cell r="D632">
            <v>15374</v>
          </cell>
          <cell r="E632">
            <v>18295</v>
          </cell>
        </row>
        <row r="634">
          <cell r="B634" t="str">
            <v>Unión Mecánica PVC Presión Campana</v>
          </cell>
        </row>
        <row r="635">
          <cell r="A635" t="str">
            <v>UM2</v>
          </cell>
          <cell r="B635" t="str">
            <v xml:space="preserve">Unión Mecánica PVC Presión Campana de 2" </v>
          </cell>
          <cell r="C635" t="str">
            <v>Und.</v>
          </cell>
          <cell r="D635">
            <v>15462</v>
          </cell>
          <cell r="E635">
            <v>18400</v>
          </cell>
        </row>
        <row r="636">
          <cell r="A636" t="str">
            <v>UM2-1/2</v>
          </cell>
          <cell r="B636" t="str">
            <v xml:space="preserve">Unión Mecánica PVC Presión Campana de 2 1/2' </v>
          </cell>
          <cell r="C636" t="str">
            <v>Und.</v>
          </cell>
          <cell r="D636">
            <v>20156</v>
          </cell>
          <cell r="E636">
            <v>23986</v>
          </cell>
        </row>
        <row r="637">
          <cell r="A637" t="str">
            <v>UM3</v>
          </cell>
          <cell r="B637" t="str">
            <v xml:space="preserve">Unión Mecánica PVC Presión Campana de 3" </v>
          </cell>
          <cell r="C637" t="str">
            <v>Und.</v>
          </cell>
          <cell r="D637">
            <v>26499</v>
          </cell>
          <cell r="E637">
            <v>31534</v>
          </cell>
        </row>
        <row r="638">
          <cell r="A638" t="str">
            <v>UM4</v>
          </cell>
          <cell r="B638" t="str">
            <v xml:space="preserve">Unión Mecánica PVC Presión Campana de 4" </v>
          </cell>
          <cell r="C638" t="str">
            <v>Und.</v>
          </cell>
          <cell r="D638">
            <v>43090</v>
          </cell>
          <cell r="E638">
            <v>51277</v>
          </cell>
        </row>
        <row r="639">
          <cell r="A639" t="str">
            <v>UM6</v>
          </cell>
          <cell r="B639" t="str">
            <v xml:space="preserve">Unión Mecánica PVC Presión Campana de 6" </v>
          </cell>
          <cell r="C639" t="str">
            <v>Und.</v>
          </cell>
          <cell r="D639">
            <v>100613</v>
          </cell>
          <cell r="E639">
            <v>119729</v>
          </cell>
        </row>
        <row r="640">
          <cell r="A640" t="str">
            <v>UM8</v>
          </cell>
          <cell r="B640" t="str">
            <v xml:space="preserve">Unión Mecánica PVC Presión Campana de 8" </v>
          </cell>
          <cell r="C640" t="str">
            <v>Und.</v>
          </cell>
          <cell r="D640">
            <v>184850</v>
          </cell>
          <cell r="E640">
            <v>219972</v>
          </cell>
        </row>
        <row r="641">
          <cell r="A641" t="str">
            <v>UM10</v>
          </cell>
          <cell r="B641" t="str">
            <v xml:space="preserve">Unión Mecánica PVC Presión Campana de 10" </v>
          </cell>
          <cell r="C641" t="str">
            <v>Und.</v>
          </cell>
          <cell r="D641">
            <v>330270</v>
          </cell>
          <cell r="E641">
            <v>393021</v>
          </cell>
        </row>
        <row r="642">
          <cell r="A642" t="str">
            <v>UM12</v>
          </cell>
          <cell r="B642" t="str">
            <v xml:space="preserve">Unión Mecánica PVC Presión Campana de 12" </v>
          </cell>
          <cell r="C642" t="str">
            <v>Und.</v>
          </cell>
          <cell r="D642">
            <v>511844</v>
          </cell>
          <cell r="E642">
            <v>609094</v>
          </cell>
        </row>
        <row r="643">
          <cell r="A643" t="str">
            <v>UM14</v>
          </cell>
          <cell r="B643" t="str">
            <v xml:space="preserve">Unión Mecánica PVC Presión Campana de 14" </v>
          </cell>
          <cell r="C643" t="str">
            <v>Und.</v>
          </cell>
          <cell r="D643">
            <v>713694</v>
          </cell>
          <cell r="E643">
            <v>849296</v>
          </cell>
        </row>
        <row r="645">
          <cell r="B645" t="str">
            <v>Unión PVC de Reparación</v>
          </cell>
        </row>
        <row r="646">
          <cell r="A646" t="str">
            <v>UR2</v>
          </cell>
          <cell r="B646" t="str">
            <v xml:space="preserve">Unión PVC de Reparación de 2" </v>
          </cell>
          <cell r="C646" t="str">
            <v>Und.</v>
          </cell>
          <cell r="D646">
            <v>0</v>
          </cell>
          <cell r="E646">
            <v>0</v>
          </cell>
        </row>
        <row r="647">
          <cell r="A647" t="str">
            <v>UR2-1/2</v>
          </cell>
          <cell r="B647" t="str">
            <v xml:space="preserve">Unión PVC de Reparación de 2 1/2' </v>
          </cell>
          <cell r="C647" t="str">
            <v>Und.</v>
          </cell>
          <cell r="D647">
            <v>0</v>
          </cell>
          <cell r="E647">
            <v>0</v>
          </cell>
        </row>
        <row r="648">
          <cell r="A648" t="str">
            <v>UR3</v>
          </cell>
          <cell r="B648" t="str">
            <v xml:space="preserve">Unión PVC de Reparación de 3" </v>
          </cell>
          <cell r="C648" t="str">
            <v>Und.</v>
          </cell>
          <cell r="D648">
            <v>0</v>
          </cell>
          <cell r="E648">
            <v>46011</v>
          </cell>
        </row>
        <row r="649">
          <cell r="A649" t="str">
            <v>UR4</v>
          </cell>
          <cell r="B649" t="str">
            <v xml:space="preserve">Unión PVC de Reparación de 4" </v>
          </cell>
          <cell r="C649" t="str">
            <v>Und.</v>
          </cell>
          <cell r="D649">
            <v>0</v>
          </cell>
          <cell r="E649">
            <v>0</v>
          </cell>
        </row>
        <row r="650">
          <cell r="A650" t="str">
            <v>UR6</v>
          </cell>
          <cell r="B650" t="str">
            <v xml:space="preserve">Unión PVC de Reparación de 6" </v>
          </cell>
          <cell r="C650" t="str">
            <v>Und.</v>
          </cell>
          <cell r="D650">
            <v>123466</v>
          </cell>
          <cell r="E650">
            <v>146925</v>
          </cell>
        </row>
        <row r="651">
          <cell r="A651" t="str">
            <v>UR8</v>
          </cell>
          <cell r="B651" t="str">
            <v xml:space="preserve">Unión PVC de Reparación de 8" </v>
          </cell>
          <cell r="C651" t="str">
            <v>Und.</v>
          </cell>
          <cell r="D651">
            <v>227012</v>
          </cell>
          <cell r="E651">
            <v>270144</v>
          </cell>
        </row>
        <row r="652">
          <cell r="A652" t="str">
            <v>UR10</v>
          </cell>
          <cell r="B652" t="str">
            <v xml:space="preserve">Unión PVC de Reparación de 10" </v>
          </cell>
          <cell r="C652" t="str">
            <v>Und.</v>
          </cell>
          <cell r="D652">
            <v>0</v>
          </cell>
          <cell r="E652">
            <v>0</v>
          </cell>
        </row>
        <row r="653">
          <cell r="A653" t="str">
            <v>UR12</v>
          </cell>
          <cell r="B653" t="str">
            <v xml:space="preserve">Unión PVC de Reparación de 12" </v>
          </cell>
          <cell r="C653" t="str">
            <v>Und.</v>
          </cell>
          <cell r="D653">
            <v>0</v>
          </cell>
          <cell r="E653">
            <v>0</v>
          </cell>
        </row>
        <row r="655">
          <cell r="A655" t="str">
            <v>TUBERÍA ALCANTARILLADOS</v>
          </cell>
        </row>
        <row r="656">
          <cell r="B656" t="str">
            <v>Tubería Corrugada Alcantarillado RS8</v>
          </cell>
        </row>
        <row r="657">
          <cell r="A657" t="str">
            <v>TA4</v>
          </cell>
          <cell r="B657" t="str">
            <v xml:space="preserve">Tubería Corrugada Alcantarillado RS8 de 110 mm </v>
          </cell>
          <cell r="C657" t="str">
            <v>m.</v>
          </cell>
          <cell r="D657">
            <v>13684</v>
          </cell>
          <cell r="E657">
            <v>16284</v>
          </cell>
          <cell r="F657">
            <v>25</v>
          </cell>
          <cell r="G657">
            <v>50</v>
          </cell>
        </row>
        <row r="658">
          <cell r="A658" t="str">
            <v>TA6</v>
          </cell>
          <cell r="B658" t="str">
            <v xml:space="preserve">Tubería Corrugada Alcantarillado RS8 de 160 mm </v>
          </cell>
          <cell r="C658" t="str">
            <v>m.</v>
          </cell>
          <cell r="D658">
            <v>34039</v>
          </cell>
          <cell r="E658">
            <v>34039</v>
          </cell>
          <cell r="F658">
            <v>25</v>
          </cell>
          <cell r="G658">
            <v>50</v>
          </cell>
        </row>
        <row r="659">
          <cell r="A659" t="str">
            <v>TA8</v>
          </cell>
          <cell r="B659" t="str">
            <v xml:space="preserve">Tubería Corrugada Alcantarillado RS8 de 200 mm </v>
          </cell>
          <cell r="C659" t="str">
            <v>m.</v>
          </cell>
          <cell r="D659">
            <v>48659</v>
          </cell>
          <cell r="E659">
            <v>48659</v>
          </cell>
          <cell r="F659">
            <v>25</v>
          </cell>
          <cell r="G659">
            <v>50</v>
          </cell>
        </row>
        <row r="660">
          <cell r="A660" t="str">
            <v>TA10</v>
          </cell>
          <cell r="B660" t="str">
            <v xml:space="preserve">Tubería Corrugada Alcantarillado RS8 de 250 mm </v>
          </cell>
          <cell r="C660" t="str">
            <v>m.</v>
          </cell>
          <cell r="D660">
            <v>71069</v>
          </cell>
          <cell r="E660">
            <v>71069</v>
          </cell>
          <cell r="F660">
            <v>25</v>
          </cell>
          <cell r="G660">
            <v>50</v>
          </cell>
        </row>
        <row r="661">
          <cell r="A661" t="str">
            <v>TA12</v>
          </cell>
          <cell r="B661" t="str">
            <v xml:space="preserve">Tubería Corrugada Alcantarillado RS8 de 315 mm </v>
          </cell>
          <cell r="C661" t="str">
            <v>m.</v>
          </cell>
          <cell r="D661">
            <v>102263</v>
          </cell>
          <cell r="E661">
            <v>102263</v>
          </cell>
          <cell r="F661">
            <v>25</v>
          </cell>
          <cell r="G661">
            <v>50</v>
          </cell>
        </row>
        <row r="662">
          <cell r="A662" t="str">
            <v>TA14</v>
          </cell>
          <cell r="B662" t="str">
            <v xml:space="preserve">Tubería Corrugada Alcantarillado RS8 de 355 mm </v>
          </cell>
          <cell r="C662" t="str">
            <v>m.</v>
          </cell>
          <cell r="D662">
            <v>153255</v>
          </cell>
          <cell r="E662">
            <v>153255</v>
          </cell>
          <cell r="F662">
            <v>25</v>
          </cell>
          <cell r="G662">
            <v>50</v>
          </cell>
        </row>
        <row r="663">
          <cell r="A663" t="str">
            <v>TA16</v>
          </cell>
          <cell r="B663" t="str">
            <v xml:space="preserve">Tubería Corrugada Alcantarillado RS8 de 400 mm </v>
          </cell>
          <cell r="C663" t="str">
            <v>m.</v>
          </cell>
          <cell r="D663">
            <v>187448</v>
          </cell>
          <cell r="E663">
            <v>187448</v>
          </cell>
          <cell r="F663">
            <v>25</v>
          </cell>
          <cell r="G663">
            <v>50</v>
          </cell>
        </row>
        <row r="664">
          <cell r="A664" t="str">
            <v>TA18</v>
          </cell>
          <cell r="B664" t="str">
            <v xml:space="preserve">Tubería Corrugada Alcantarillado RS8 de 450 mm </v>
          </cell>
          <cell r="C664" t="str">
            <v>m.</v>
          </cell>
          <cell r="D664">
            <v>178417</v>
          </cell>
          <cell r="E664">
            <v>212316</v>
          </cell>
          <cell r="F664">
            <v>25</v>
          </cell>
          <cell r="G664">
            <v>50</v>
          </cell>
        </row>
        <row r="665">
          <cell r="A665" t="str">
            <v>TA20</v>
          </cell>
          <cell r="B665" t="str">
            <v xml:space="preserve">Tubería Corrugada Alcantarillado RS8 de 500 mm </v>
          </cell>
          <cell r="C665" t="str">
            <v>m.</v>
          </cell>
          <cell r="D665">
            <v>232603</v>
          </cell>
          <cell r="E665">
            <v>276798</v>
          </cell>
          <cell r="F665">
            <v>25</v>
          </cell>
          <cell r="G665">
            <v>50</v>
          </cell>
        </row>
        <row r="668">
          <cell r="B668" t="str">
            <v>Tubería Alcantarillado Doble Pared</v>
          </cell>
        </row>
        <row r="669">
          <cell r="A669" t="str">
            <v>TA24</v>
          </cell>
          <cell r="B669" t="str">
            <v xml:space="preserve">Tubería Alcantarillado Doble Pared de 24" </v>
          </cell>
          <cell r="C669" t="str">
            <v>m.</v>
          </cell>
          <cell r="D669">
            <v>330304</v>
          </cell>
          <cell r="E669">
            <v>393062</v>
          </cell>
          <cell r="F669">
            <v>25</v>
          </cell>
          <cell r="G669">
            <v>50</v>
          </cell>
        </row>
        <row r="670">
          <cell r="A670" t="str">
            <v>TA27</v>
          </cell>
          <cell r="B670" t="str">
            <v xml:space="preserve">Tubería Alcantarillado Doble Pared de 27" </v>
          </cell>
          <cell r="C670" t="str">
            <v>m.</v>
          </cell>
          <cell r="D670">
            <v>378719</v>
          </cell>
          <cell r="E670">
            <v>450676</v>
          </cell>
          <cell r="F670">
            <v>25</v>
          </cell>
          <cell r="G670">
            <v>50</v>
          </cell>
        </row>
        <row r="671">
          <cell r="A671" t="str">
            <v>TA30</v>
          </cell>
          <cell r="B671" t="str">
            <v xml:space="preserve">Tubería Alcantarillado Doble Pared de 30" </v>
          </cell>
          <cell r="C671" t="str">
            <v>m.</v>
          </cell>
          <cell r="D671">
            <v>493382</v>
          </cell>
          <cell r="E671">
            <v>587125</v>
          </cell>
          <cell r="F671">
            <v>25</v>
          </cell>
          <cell r="G671">
            <v>50</v>
          </cell>
        </row>
        <row r="672">
          <cell r="A672" t="str">
            <v>TA33</v>
          </cell>
          <cell r="B672" t="str">
            <v xml:space="preserve">Tubería Alcantarillado Doble Pared de 33" </v>
          </cell>
          <cell r="C672" t="str">
            <v>m.</v>
          </cell>
          <cell r="D672">
            <v>611474</v>
          </cell>
          <cell r="E672">
            <v>727654</v>
          </cell>
          <cell r="F672">
            <v>25</v>
          </cell>
          <cell r="G672">
            <v>50</v>
          </cell>
        </row>
        <row r="673">
          <cell r="A673" t="str">
            <v>TA36</v>
          </cell>
          <cell r="B673" t="str">
            <v xml:space="preserve">Tubería Alcantarillado Doble Pared de 36" </v>
          </cell>
          <cell r="C673" t="str">
            <v>m.</v>
          </cell>
          <cell r="D673">
            <v>890305</v>
          </cell>
          <cell r="E673">
            <v>1059463</v>
          </cell>
          <cell r="F673">
            <v>25</v>
          </cell>
          <cell r="G673">
            <v>50</v>
          </cell>
        </row>
        <row r="674">
          <cell r="A674" t="str">
            <v>TA39</v>
          </cell>
          <cell r="B674" t="str">
            <v xml:space="preserve">Tubería Alcantarillado Doble Pared de 39" </v>
          </cell>
          <cell r="C674" t="str">
            <v>m.</v>
          </cell>
          <cell r="D674">
            <v>1225670</v>
          </cell>
          <cell r="E674">
            <v>1458547</v>
          </cell>
          <cell r="F674">
            <v>25</v>
          </cell>
          <cell r="G674">
            <v>50</v>
          </cell>
        </row>
        <row r="675">
          <cell r="A675" t="str">
            <v>TA42</v>
          </cell>
          <cell r="B675" t="str">
            <v xml:space="preserve">Tubería Alcantarillado Doble Pared de 42" </v>
          </cell>
          <cell r="C675" t="str">
            <v>m.</v>
          </cell>
          <cell r="D675">
            <v>1401507</v>
          </cell>
          <cell r="E675">
            <v>1667793</v>
          </cell>
          <cell r="F675">
            <v>25</v>
          </cell>
          <cell r="G675">
            <v>50</v>
          </cell>
        </row>
        <row r="677">
          <cell r="A677" t="str">
            <v>ACCESORIOS ALCANTARILLADOS</v>
          </cell>
        </row>
        <row r="678">
          <cell r="B678" t="str">
            <v>Codo Alcantarillado de 90°</v>
          </cell>
        </row>
        <row r="679">
          <cell r="A679" t="str">
            <v>CA490</v>
          </cell>
          <cell r="B679" t="str">
            <v xml:space="preserve">Codo Alcantarillado de 90° x 110 mm </v>
          </cell>
          <cell r="C679" t="str">
            <v>Und.</v>
          </cell>
          <cell r="D679">
            <v>27555</v>
          </cell>
          <cell r="E679">
            <v>32790</v>
          </cell>
        </row>
        <row r="680">
          <cell r="A680" t="str">
            <v>CA690</v>
          </cell>
          <cell r="B680" t="str">
            <v xml:space="preserve">Codo Alcantarillado de 90° x 160 mm </v>
          </cell>
          <cell r="C680" t="str">
            <v>Und.</v>
          </cell>
          <cell r="D680">
            <v>64707</v>
          </cell>
          <cell r="E680">
            <v>77001</v>
          </cell>
        </row>
        <row r="681">
          <cell r="A681" t="str">
            <v>CA890</v>
          </cell>
          <cell r="B681" t="str">
            <v xml:space="preserve">Codo Alcantarillado de 90° x 200 mm </v>
          </cell>
          <cell r="C681" t="str">
            <v>Und.</v>
          </cell>
          <cell r="D681">
            <v>97464</v>
          </cell>
          <cell r="E681">
            <v>115982</v>
          </cell>
        </row>
        <row r="682">
          <cell r="A682" t="str">
            <v>CA1090</v>
          </cell>
          <cell r="B682" t="str">
            <v xml:space="preserve">Codo Alcantarillado de 90° x 250 mm </v>
          </cell>
          <cell r="C682" t="str">
            <v>Und.</v>
          </cell>
          <cell r="D682">
            <v>186381</v>
          </cell>
          <cell r="E682">
            <v>221793</v>
          </cell>
        </row>
        <row r="683">
          <cell r="A683" t="str">
            <v>CA1290</v>
          </cell>
          <cell r="B683" t="str">
            <v xml:space="preserve">Codo Alcantarillado de 90° x 315 mm </v>
          </cell>
          <cell r="C683" t="str">
            <v>Und.</v>
          </cell>
          <cell r="D683">
            <v>285478</v>
          </cell>
          <cell r="E683">
            <v>339719</v>
          </cell>
        </row>
        <row r="684">
          <cell r="A684" t="str">
            <v>CA1490</v>
          </cell>
          <cell r="B684" t="str">
            <v xml:space="preserve">Codo Alcantarillado de 90° x 355 mm </v>
          </cell>
          <cell r="C684" t="str">
            <v>Und.</v>
          </cell>
          <cell r="D684">
            <v>698774</v>
          </cell>
          <cell r="E684">
            <v>831541</v>
          </cell>
        </row>
        <row r="685">
          <cell r="A685" t="str">
            <v>CA1690</v>
          </cell>
          <cell r="B685" t="str">
            <v xml:space="preserve">Codo Alcantarillado de 90° x 400 mm </v>
          </cell>
          <cell r="C685" t="str">
            <v>Und.</v>
          </cell>
          <cell r="D685">
            <v>1064470</v>
          </cell>
          <cell r="E685">
            <v>1266719</v>
          </cell>
        </row>
        <row r="686">
          <cell r="A686" t="str">
            <v>CA1890</v>
          </cell>
          <cell r="B686" t="str">
            <v xml:space="preserve">Codo Alcantarillado de 90° x 450 mm </v>
          </cell>
          <cell r="C686" t="str">
            <v>Und.</v>
          </cell>
          <cell r="D686">
            <v>1064470</v>
          </cell>
          <cell r="E686">
            <v>1266719</v>
          </cell>
        </row>
        <row r="688">
          <cell r="B688" t="str">
            <v>Codo Alcantarillado de 45°</v>
          </cell>
        </row>
        <row r="689">
          <cell r="A689" t="str">
            <v>CA445</v>
          </cell>
          <cell r="B689" t="str">
            <v xml:space="preserve">Codo Alcantarillado de 45° x 110 mm </v>
          </cell>
          <cell r="C689" t="str">
            <v>Und.</v>
          </cell>
          <cell r="D689">
            <v>16963.02</v>
          </cell>
          <cell r="E689">
            <v>20186</v>
          </cell>
        </row>
        <row r="690">
          <cell r="A690" t="str">
            <v>CA645</v>
          </cell>
          <cell r="B690" t="str">
            <v xml:space="preserve">Codo Alcantarillado de 45° x 160 mm </v>
          </cell>
          <cell r="C690" t="str">
            <v>Und.</v>
          </cell>
          <cell r="D690">
            <v>40673.730000000003</v>
          </cell>
          <cell r="E690">
            <v>48402</v>
          </cell>
        </row>
        <row r="691">
          <cell r="A691" t="str">
            <v>CA845</v>
          </cell>
          <cell r="B691" t="str">
            <v xml:space="preserve">Codo Alcantarillado de 45° x 200 mm </v>
          </cell>
          <cell r="C691" t="str">
            <v>Und.</v>
          </cell>
          <cell r="D691">
            <v>117079.47000000002</v>
          </cell>
          <cell r="E691">
            <v>139325</v>
          </cell>
        </row>
        <row r="692">
          <cell r="A692" t="str">
            <v>CA1045</v>
          </cell>
          <cell r="B692" t="str">
            <v xml:space="preserve">Codo Alcantarillado de 45° x 250 mm </v>
          </cell>
          <cell r="C692" t="str">
            <v>Und.</v>
          </cell>
          <cell r="D692">
            <v>226807.41000000003</v>
          </cell>
          <cell r="E692">
            <v>269901</v>
          </cell>
        </row>
        <row r="693">
          <cell r="A693" t="str">
            <v>CA1245</v>
          </cell>
          <cell r="B693" t="str">
            <v xml:space="preserve">Codo Alcantarillado de 45° x 315 mm </v>
          </cell>
          <cell r="C693" t="str">
            <v>Und.</v>
          </cell>
          <cell r="D693">
            <v>348568.86000000004</v>
          </cell>
          <cell r="E693">
            <v>414797</v>
          </cell>
        </row>
        <row r="694">
          <cell r="A694" t="str">
            <v>CA1445</v>
          </cell>
          <cell r="B694" t="str">
            <v xml:space="preserve">Codo Alcantarillado de 45° x 355 mm </v>
          </cell>
          <cell r="C694" t="str">
            <v>Und.</v>
          </cell>
          <cell r="D694">
            <v>683067.3600000001</v>
          </cell>
          <cell r="E694">
            <v>812850</v>
          </cell>
        </row>
        <row r="695">
          <cell r="A695" t="str">
            <v>CA1645</v>
          </cell>
          <cell r="B695" t="str">
            <v xml:space="preserve">Codo Alcantarillado de 45° x 400 mm </v>
          </cell>
          <cell r="C695" t="str">
            <v>Und.</v>
          </cell>
          <cell r="D695">
            <v>956294.97000000009</v>
          </cell>
          <cell r="E695">
            <v>1137991</v>
          </cell>
        </row>
        <row r="696">
          <cell r="A696" t="str">
            <v>CA1845</v>
          </cell>
          <cell r="B696" t="str">
            <v xml:space="preserve">Codo Alcantarillado de 45° x 450 mm </v>
          </cell>
          <cell r="C696" t="str">
            <v>Und.</v>
          </cell>
          <cell r="D696">
            <v>1338813.1800000002</v>
          </cell>
          <cell r="E696">
            <v>1593188</v>
          </cell>
        </row>
        <row r="698">
          <cell r="B698" t="str">
            <v>Silla Tee</v>
          </cell>
        </row>
        <row r="699">
          <cell r="A699" t="str">
            <v>ST64</v>
          </cell>
          <cell r="B699" t="str">
            <v xml:space="preserve">Silla Tee de 160x110 </v>
          </cell>
          <cell r="C699" t="str">
            <v>Und.</v>
          </cell>
          <cell r="D699">
            <v>46456</v>
          </cell>
          <cell r="E699">
            <v>55283</v>
          </cell>
        </row>
        <row r="700">
          <cell r="A700" t="str">
            <v>ST66</v>
          </cell>
          <cell r="B700" t="str">
            <v xml:space="preserve">Silla Tee de 160x160 </v>
          </cell>
          <cell r="C700" t="str">
            <v>Und.</v>
          </cell>
          <cell r="D700">
            <v>46457</v>
          </cell>
          <cell r="E700">
            <v>55284</v>
          </cell>
        </row>
        <row r="701">
          <cell r="A701" t="str">
            <v>ST84</v>
          </cell>
          <cell r="B701" t="str">
            <v xml:space="preserve">Silla Tee de 200x110 </v>
          </cell>
          <cell r="C701" t="str">
            <v>Und.</v>
          </cell>
          <cell r="D701">
            <v>56901</v>
          </cell>
          <cell r="E701">
            <v>67712</v>
          </cell>
        </row>
        <row r="702">
          <cell r="A702" t="str">
            <v>ST86</v>
          </cell>
          <cell r="B702" t="str">
            <v xml:space="preserve">Silla Tee de 200x160 </v>
          </cell>
          <cell r="C702" t="str">
            <v>Und.</v>
          </cell>
          <cell r="D702">
            <v>56901</v>
          </cell>
          <cell r="E702">
            <v>67712</v>
          </cell>
        </row>
        <row r="703">
          <cell r="A703" t="str">
            <v>ST104</v>
          </cell>
          <cell r="B703" t="str">
            <v xml:space="preserve">Silla Tee de 250x110 </v>
          </cell>
          <cell r="C703" t="str">
            <v>Und.</v>
          </cell>
          <cell r="D703">
            <v>65980</v>
          </cell>
          <cell r="E703">
            <v>78516</v>
          </cell>
        </row>
        <row r="704">
          <cell r="A704" t="str">
            <v>ST106</v>
          </cell>
          <cell r="B704" t="str">
            <v xml:space="preserve">Silla Tee de 250x160 </v>
          </cell>
          <cell r="C704" t="str">
            <v>Und.</v>
          </cell>
          <cell r="D704">
            <v>65980</v>
          </cell>
          <cell r="E704">
            <v>78516</v>
          </cell>
        </row>
        <row r="705">
          <cell r="A705" t="str">
            <v>ST108</v>
          </cell>
          <cell r="B705" t="str">
            <v xml:space="preserve">Silla Tee de 250x200 </v>
          </cell>
          <cell r="C705" t="str">
            <v>Und.</v>
          </cell>
          <cell r="D705">
            <v>84229</v>
          </cell>
          <cell r="E705">
            <v>100233</v>
          </cell>
        </row>
        <row r="706">
          <cell r="A706" t="str">
            <v>ST124</v>
          </cell>
          <cell r="B706" t="str">
            <v xml:space="preserve">Silla Tee de 315x110 </v>
          </cell>
          <cell r="C706" t="str">
            <v>Und.</v>
          </cell>
          <cell r="D706">
            <v>102292</v>
          </cell>
          <cell r="E706">
            <v>121727</v>
          </cell>
        </row>
        <row r="707">
          <cell r="A707" t="str">
            <v>ST126</v>
          </cell>
          <cell r="B707" t="str">
            <v xml:space="preserve">Silla Tee de 315x160 </v>
          </cell>
          <cell r="C707" t="str">
            <v>Und.</v>
          </cell>
          <cell r="D707">
            <v>102292</v>
          </cell>
          <cell r="E707">
            <v>121727</v>
          </cell>
        </row>
        <row r="708">
          <cell r="A708" t="str">
            <v>ST128</v>
          </cell>
          <cell r="B708" t="str">
            <v xml:space="preserve">Silla Tee de 315x200 </v>
          </cell>
          <cell r="C708" t="str">
            <v>Und.</v>
          </cell>
          <cell r="D708">
            <v>138284</v>
          </cell>
          <cell r="E708">
            <v>164558</v>
          </cell>
        </row>
        <row r="709">
          <cell r="A709" t="str">
            <v>ST1210</v>
          </cell>
          <cell r="B709" t="str">
            <v xml:space="preserve">Silla Tee de 315x250 </v>
          </cell>
          <cell r="C709" t="str">
            <v>Und.</v>
          </cell>
          <cell r="D709">
            <v>138284</v>
          </cell>
          <cell r="E709">
            <v>164558</v>
          </cell>
        </row>
        <row r="710">
          <cell r="A710" t="str">
            <v>ST144</v>
          </cell>
          <cell r="B710" t="str">
            <v xml:space="preserve">Silla Tee de 355x110 </v>
          </cell>
          <cell r="C710" t="str">
            <v>Und.</v>
          </cell>
          <cell r="D710">
            <v>138284</v>
          </cell>
          <cell r="E710">
            <v>164558</v>
          </cell>
        </row>
        <row r="711">
          <cell r="A711" t="str">
            <v>ST146</v>
          </cell>
          <cell r="B711" t="str">
            <v xml:space="preserve">Silla Tee de 355x160 </v>
          </cell>
          <cell r="C711" t="str">
            <v>Und.</v>
          </cell>
          <cell r="D711">
            <v>154004</v>
          </cell>
          <cell r="E711">
            <v>183265</v>
          </cell>
        </row>
        <row r="712">
          <cell r="A712" t="str">
            <v>ST148</v>
          </cell>
          <cell r="B712" t="str">
            <v xml:space="preserve">Silla Tee de 355x200 </v>
          </cell>
          <cell r="C712" t="str">
            <v>Und.</v>
          </cell>
          <cell r="D712">
            <v>154002</v>
          </cell>
          <cell r="E712">
            <v>183262</v>
          </cell>
        </row>
        <row r="713">
          <cell r="A713" t="str">
            <v>ST164</v>
          </cell>
          <cell r="B713" t="str">
            <v xml:space="preserve">Silla Tee de 400x110 </v>
          </cell>
          <cell r="C713" t="str">
            <v>Und.</v>
          </cell>
          <cell r="D713">
            <v>168858</v>
          </cell>
          <cell r="E713">
            <v>200941</v>
          </cell>
        </row>
        <row r="714">
          <cell r="A714" t="str">
            <v>ST166</v>
          </cell>
          <cell r="B714" t="str">
            <v xml:space="preserve">Silla Tee de 400x160 </v>
          </cell>
          <cell r="C714" t="str">
            <v>Und.</v>
          </cell>
          <cell r="D714">
            <v>168858</v>
          </cell>
          <cell r="E714">
            <v>200941</v>
          </cell>
        </row>
        <row r="715">
          <cell r="A715" t="str">
            <v>ST168</v>
          </cell>
          <cell r="B715" t="str">
            <v xml:space="preserve">Silla Tee de 400x200 </v>
          </cell>
          <cell r="C715" t="str">
            <v>Und.</v>
          </cell>
          <cell r="D715">
            <v>168858</v>
          </cell>
          <cell r="E715">
            <v>200941</v>
          </cell>
        </row>
        <row r="716">
          <cell r="A716" t="str">
            <v>ST1610</v>
          </cell>
          <cell r="B716" t="str">
            <v xml:space="preserve">Silla Tee de 400x250 </v>
          </cell>
          <cell r="C716" t="str">
            <v>Und.</v>
          </cell>
          <cell r="D716">
            <v>168858</v>
          </cell>
          <cell r="E716">
            <v>200941</v>
          </cell>
        </row>
        <row r="717">
          <cell r="A717" t="str">
            <v>ST186</v>
          </cell>
          <cell r="B717" t="str">
            <v xml:space="preserve">Silla Tee de 450x160 </v>
          </cell>
          <cell r="C717" t="str">
            <v>Und.</v>
          </cell>
          <cell r="D717">
            <v>180615</v>
          </cell>
          <cell r="E717">
            <v>214932</v>
          </cell>
        </row>
        <row r="718">
          <cell r="A718" t="str">
            <v>ST188</v>
          </cell>
          <cell r="B718" t="str">
            <v xml:space="preserve">Silla Tee de 450x200 </v>
          </cell>
          <cell r="C718" t="str">
            <v>Und.</v>
          </cell>
          <cell r="D718">
            <v>175561</v>
          </cell>
          <cell r="E718">
            <v>208918</v>
          </cell>
        </row>
        <row r="719">
          <cell r="A719" t="str">
            <v>ST206</v>
          </cell>
          <cell r="B719" t="str">
            <v xml:space="preserve">Silla Tee de 500x160 </v>
          </cell>
          <cell r="C719" t="str">
            <v>Und.</v>
          </cell>
          <cell r="D719">
            <v>275529</v>
          </cell>
          <cell r="E719">
            <v>327880</v>
          </cell>
        </row>
        <row r="720">
          <cell r="A720" t="str">
            <v>ST208</v>
          </cell>
          <cell r="B720" t="str">
            <v xml:space="preserve">Silla Tee de 500x200 </v>
          </cell>
          <cell r="C720" t="str">
            <v>Und.</v>
          </cell>
          <cell r="D720">
            <v>357930</v>
          </cell>
          <cell r="E720">
            <v>425937</v>
          </cell>
        </row>
        <row r="721">
          <cell r="A721" t="str">
            <v>ST246</v>
          </cell>
          <cell r="B721" t="str">
            <v xml:space="preserve">Silla Tee de 24"x160 </v>
          </cell>
          <cell r="C721" t="str">
            <v>Und.</v>
          </cell>
          <cell r="D721">
            <v>257629</v>
          </cell>
          <cell r="E721">
            <v>306579</v>
          </cell>
        </row>
        <row r="722">
          <cell r="A722" t="str">
            <v>ST248</v>
          </cell>
          <cell r="B722" t="str">
            <v xml:space="preserve">Silla Tee de 24"x200 </v>
          </cell>
          <cell r="C722" t="str">
            <v>Und.</v>
          </cell>
          <cell r="D722">
            <v>282087</v>
          </cell>
          <cell r="E722">
            <v>335684</v>
          </cell>
        </row>
        <row r="723">
          <cell r="A723" t="str">
            <v>ST276</v>
          </cell>
          <cell r="B723" t="str">
            <v xml:space="preserve">Silla Tee de 27"x160 </v>
          </cell>
          <cell r="C723" t="str">
            <v>Und.</v>
          </cell>
          <cell r="D723">
            <v>290056</v>
          </cell>
          <cell r="E723">
            <v>345167</v>
          </cell>
        </row>
        <row r="724">
          <cell r="A724" t="str">
            <v>ST278</v>
          </cell>
          <cell r="B724" t="str">
            <v xml:space="preserve">Silla Tee de 27"x200 </v>
          </cell>
          <cell r="C724" t="str">
            <v>Und.</v>
          </cell>
          <cell r="D724">
            <v>290056</v>
          </cell>
          <cell r="E724">
            <v>345167</v>
          </cell>
        </row>
        <row r="725">
          <cell r="A725" t="str">
            <v>ST306</v>
          </cell>
          <cell r="B725" t="str">
            <v xml:space="preserve">Silla Tee de 30"x160 </v>
          </cell>
          <cell r="C725" t="str">
            <v>Und.</v>
          </cell>
          <cell r="D725">
            <v>313261</v>
          </cell>
          <cell r="E725">
            <v>372781</v>
          </cell>
        </row>
        <row r="726">
          <cell r="A726" t="str">
            <v>ST308</v>
          </cell>
          <cell r="B726" t="str">
            <v xml:space="preserve">Silla Tee de 30"x200 </v>
          </cell>
          <cell r="C726" t="str">
            <v>Und.</v>
          </cell>
          <cell r="D726">
            <v>313261</v>
          </cell>
          <cell r="E726">
            <v>372781</v>
          </cell>
        </row>
        <row r="727">
          <cell r="A727" t="str">
            <v>ST336</v>
          </cell>
          <cell r="B727" t="str">
            <v xml:space="preserve">Silla Tee de 33"x160 </v>
          </cell>
          <cell r="C727" t="str">
            <v>Und.</v>
          </cell>
          <cell r="D727">
            <v>338321</v>
          </cell>
          <cell r="E727">
            <v>402602</v>
          </cell>
        </row>
        <row r="728">
          <cell r="A728" t="str">
            <v>ST338</v>
          </cell>
          <cell r="B728" t="str">
            <v xml:space="preserve">Silla Tee de 33"x200 </v>
          </cell>
          <cell r="C728" t="str">
            <v>Und.</v>
          </cell>
          <cell r="D728">
            <v>338321</v>
          </cell>
          <cell r="E728">
            <v>402602</v>
          </cell>
        </row>
        <row r="729">
          <cell r="A729" t="str">
            <v>ST366</v>
          </cell>
          <cell r="B729" t="str">
            <v xml:space="preserve">Silla Tee de 36"160 </v>
          </cell>
          <cell r="C729" t="str">
            <v>Und.</v>
          </cell>
          <cell r="D729">
            <v>365388</v>
          </cell>
          <cell r="E729">
            <v>434812</v>
          </cell>
        </row>
        <row r="730">
          <cell r="A730" t="str">
            <v>ST368</v>
          </cell>
          <cell r="B730" t="str">
            <v xml:space="preserve">Silla Tee de 36"x200 </v>
          </cell>
          <cell r="C730" t="str">
            <v>Und.</v>
          </cell>
          <cell r="D730">
            <v>365388</v>
          </cell>
          <cell r="E730">
            <v>434812</v>
          </cell>
        </row>
        <row r="731">
          <cell r="A731" t="str">
            <v>ST3610</v>
          </cell>
          <cell r="B731" t="str">
            <v xml:space="preserve">Silla Tee de 36"x250 </v>
          </cell>
          <cell r="C731" t="str">
            <v>Und.</v>
          </cell>
          <cell r="D731">
            <v>365388</v>
          </cell>
          <cell r="E731">
            <v>434812</v>
          </cell>
        </row>
        <row r="732">
          <cell r="A732" t="str">
            <v>ST3612</v>
          </cell>
          <cell r="B732" t="str">
            <v xml:space="preserve">Silla Tee de 36"x315 </v>
          </cell>
          <cell r="C732" t="str">
            <v>Und.</v>
          </cell>
          <cell r="D732">
            <v>365388</v>
          </cell>
          <cell r="E732">
            <v>434812</v>
          </cell>
        </row>
        <row r="734">
          <cell r="B734" t="str">
            <v>Silla Yee</v>
          </cell>
        </row>
        <row r="735">
          <cell r="A735" t="str">
            <v>SY64</v>
          </cell>
          <cell r="B735" t="str">
            <v xml:space="preserve">Silla Yee de 160x110 </v>
          </cell>
          <cell r="C735" t="str">
            <v>Und.</v>
          </cell>
          <cell r="D735">
            <v>56724.33</v>
          </cell>
          <cell r="E735">
            <v>67502</v>
          </cell>
        </row>
        <row r="736">
          <cell r="A736" t="str">
            <v>SY84</v>
          </cell>
          <cell r="B736" t="str">
            <v xml:space="preserve">Silla Yee de 200x110 </v>
          </cell>
          <cell r="C736" t="str">
            <v>Und.</v>
          </cell>
          <cell r="D736">
            <v>69477.12000000001</v>
          </cell>
          <cell r="E736">
            <v>82678</v>
          </cell>
        </row>
        <row r="737">
          <cell r="A737" t="str">
            <v>SY86</v>
          </cell>
          <cell r="B737" t="str">
            <v xml:space="preserve">Silla Yee de 200x160 </v>
          </cell>
          <cell r="C737" t="str">
            <v>Und.</v>
          </cell>
          <cell r="D737">
            <v>69477.12000000001</v>
          </cell>
          <cell r="E737">
            <v>82678</v>
          </cell>
        </row>
        <row r="738">
          <cell r="A738" t="str">
            <v>SY104</v>
          </cell>
          <cell r="B738" t="str">
            <v xml:space="preserve">Silla Yee de 250x110 </v>
          </cell>
          <cell r="C738" t="str">
            <v>Und.</v>
          </cell>
          <cell r="D738">
            <v>80561.58</v>
          </cell>
          <cell r="E738">
            <v>95868</v>
          </cell>
        </row>
        <row r="739">
          <cell r="A739" t="str">
            <v>SY106</v>
          </cell>
          <cell r="B739" t="str">
            <v xml:space="preserve">Silla Yee de 250x160 </v>
          </cell>
          <cell r="C739" t="str">
            <v>Und.</v>
          </cell>
          <cell r="D739">
            <v>80561.58</v>
          </cell>
          <cell r="E739">
            <v>95868</v>
          </cell>
        </row>
        <row r="740">
          <cell r="A740" t="str">
            <v>SY108</v>
          </cell>
          <cell r="B740" t="str">
            <v xml:space="preserve">Silla Yee de 250x200 </v>
          </cell>
          <cell r="C740" t="str">
            <v>Und.</v>
          </cell>
          <cell r="D740">
            <v>119467.08000000002</v>
          </cell>
          <cell r="E740">
            <v>142166</v>
          </cell>
        </row>
        <row r="741">
          <cell r="A741" t="str">
            <v>SY124</v>
          </cell>
          <cell r="B741" t="str">
            <v xml:space="preserve">Silla Yee de 315x110 </v>
          </cell>
          <cell r="C741" t="str">
            <v>Und.</v>
          </cell>
          <cell r="D741">
            <v>124899.42000000001</v>
          </cell>
          <cell r="E741">
            <v>148630</v>
          </cell>
        </row>
        <row r="742">
          <cell r="A742" t="str">
            <v>SY126</v>
          </cell>
          <cell r="B742" t="str">
            <v xml:space="preserve">Silla Yee de 315x160 </v>
          </cell>
          <cell r="C742" t="str">
            <v>Und.</v>
          </cell>
          <cell r="D742">
            <v>124731.81000000001</v>
          </cell>
          <cell r="E742">
            <v>148431</v>
          </cell>
        </row>
        <row r="743">
          <cell r="A743" t="str">
            <v>SY128</v>
          </cell>
          <cell r="B743" t="str">
            <v xml:space="preserve">Silla Yee de 315x200 </v>
          </cell>
          <cell r="C743" t="str">
            <v>Und.</v>
          </cell>
          <cell r="D743">
            <v>168845.43000000002</v>
          </cell>
          <cell r="E743">
            <v>200926</v>
          </cell>
        </row>
        <row r="744">
          <cell r="A744" t="str">
            <v>SY144</v>
          </cell>
          <cell r="B744" t="str">
            <v xml:space="preserve">Silla Yee de 355x110 </v>
          </cell>
          <cell r="C744" t="str">
            <v>Und.</v>
          </cell>
          <cell r="D744">
            <v>188039.55000000002</v>
          </cell>
          <cell r="E744">
            <v>223767</v>
          </cell>
        </row>
        <row r="745">
          <cell r="A745" t="str">
            <v>SY146</v>
          </cell>
          <cell r="B745" t="str">
            <v xml:space="preserve">Silla Yee de 355x160 </v>
          </cell>
          <cell r="C745" t="str">
            <v>Und.</v>
          </cell>
          <cell r="D745">
            <v>188039.55000000002</v>
          </cell>
          <cell r="E745">
            <v>223767</v>
          </cell>
        </row>
        <row r="746">
          <cell r="A746" t="str">
            <v>SY148</v>
          </cell>
          <cell r="B746" t="str">
            <v xml:space="preserve">Silla Yee de 355x200 </v>
          </cell>
          <cell r="C746" t="str">
            <v>Und.</v>
          </cell>
          <cell r="D746">
            <v>188035.11000000002</v>
          </cell>
          <cell r="E746">
            <v>223762</v>
          </cell>
        </row>
        <row r="747">
          <cell r="A747" t="str">
            <v>SY164</v>
          </cell>
          <cell r="B747" t="str">
            <v xml:space="preserve">Silla Yee de 400x110 </v>
          </cell>
          <cell r="C747" t="str">
            <v>Und.</v>
          </cell>
          <cell r="D747">
            <v>206176.95</v>
          </cell>
          <cell r="E747">
            <v>245351</v>
          </cell>
        </row>
        <row r="748">
          <cell r="A748" t="str">
            <v>SY166</v>
          </cell>
          <cell r="B748" t="str">
            <v xml:space="preserve">Silla Yee de 400x160 </v>
          </cell>
          <cell r="C748" t="str">
            <v>Und.</v>
          </cell>
          <cell r="D748">
            <v>206176.95</v>
          </cell>
          <cell r="E748">
            <v>245351</v>
          </cell>
        </row>
        <row r="749">
          <cell r="A749" t="str">
            <v>SY168</v>
          </cell>
          <cell r="B749" t="str">
            <v xml:space="preserve">Silla Yee de 400x200 </v>
          </cell>
          <cell r="C749" t="str">
            <v>Und.</v>
          </cell>
          <cell r="D749">
            <v>206178.06000000003</v>
          </cell>
          <cell r="E749">
            <v>245352</v>
          </cell>
        </row>
        <row r="750">
          <cell r="A750" t="str">
            <v>SY1610</v>
          </cell>
          <cell r="B750" t="str">
            <v xml:space="preserve">Silla Yee de 400x250 </v>
          </cell>
          <cell r="C750" t="str">
            <v>Und.</v>
          </cell>
          <cell r="D750">
            <v>206176.95</v>
          </cell>
          <cell r="E750">
            <v>245351</v>
          </cell>
        </row>
        <row r="751">
          <cell r="A751" t="str">
            <v>SY186</v>
          </cell>
          <cell r="B751" t="str">
            <v xml:space="preserve">Silla Yee de 450x160 </v>
          </cell>
          <cell r="C751" t="str">
            <v>Und.</v>
          </cell>
          <cell r="D751">
            <v>220531.47000000003</v>
          </cell>
          <cell r="E751">
            <v>262432</v>
          </cell>
        </row>
        <row r="752">
          <cell r="A752" t="str">
            <v>SY188</v>
          </cell>
          <cell r="B752" t="str">
            <v xml:space="preserve">Silla Yee de 450x200 </v>
          </cell>
          <cell r="C752" t="str">
            <v>Und.</v>
          </cell>
          <cell r="D752">
            <v>220537.02000000002</v>
          </cell>
          <cell r="E752">
            <v>262439</v>
          </cell>
        </row>
        <row r="753">
          <cell r="A753" t="str">
            <v>SY206</v>
          </cell>
          <cell r="B753" t="str">
            <v xml:space="preserve">Silla Yee de 500x160 </v>
          </cell>
          <cell r="C753" t="str">
            <v>Und.</v>
          </cell>
          <cell r="D753">
            <v>336421.02</v>
          </cell>
          <cell r="E753">
            <v>400341</v>
          </cell>
        </row>
        <row r="754">
          <cell r="A754" t="str">
            <v>SY208</v>
          </cell>
          <cell r="B754" t="str">
            <v xml:space="preserve">Silla Yee de 500x200 </v>
          </cell>
          <cell r="C754" t="str">
            <v>Und.</v>
          </cell>
          <cell r="D754">
            <v>336425.46</v>
          </cell>
          <cell r="E754">
            <v>400346</v>
          </cell>
        </row>
        <row r="755">
          <cell r="A755" t="str">
            <v>SY246</v>
          </cell>
          <cell r="B755" t="str">
            <v xml:space="preserve">Silla Yee de 24"x160 </v>
          </cell>
          <cell r="C755" t="str">
            <v>Und.</v>
          </cell>
          <cell r="D755">
            <v>226152</v>
          </cell>
          <cell r="E755">
            <v>269121</v>
          </cell>
        </row>
        <row r="756">
          <cell r="A756" t="str">
            <v>SY248</v>
          </cell>
          <cell r="B756" t="str">
            <v xml:space="preserve">Silla Yee de 24"x200 </v>
          </cell>
          <cell r="C756" t="str">
            <v>Und.</v>
          </cell>
          <cell r="D756">
            <v>279893</v>
          </cell>
          <cell r="E756">
            <v>333073</v>
          </cell>
        </row>
        <row r="757">
          <cell r="A757" t="str">
            <v>SY276</v>
          </cell>
          <cell r="B757" t="str">
            <v xml:space="preserve">Silla Yee de 27"x160 </v>
          </cell>
          <cell r="C757" t="str">
            <v>Und.</v>
          </cell>
          <cell r="D757">
            <v>280720</v>
          </cell>
          <cell r="E757">
            <v>334057</v>
          </cell>
        </row>
        <row r="758">
          <cell r="A758" t="str">
            <v>SY278</v>
          </cell>
          <cell r="B758" t="str">
            <v xml:space="preserve">Silla Yee de 27"x200 </v>
          </cell>
          <cell r="C758" t="str">
            <v>Und.</v>
          </cell>
          <cell r="D758">
            <v>281543</v>
          </cell>
          <cell r="E758">
            <v>335036</v>
          </cell>
        </row>
        <row r="759">
          <cell r="A759" t="str">
            <v>SY306</v>
          </cell>
          <cell r="B759" t="str">
            <v xml:space="preserve">Silla Yee de 30"x160 </v>
          </cell>
          <cell r="C759" t="str">
            <v>Und.</v>
          </cell>
          <cell r="D759">
            <v>293110</v>
          </cell>
          <cell r="E759">
            <v>348801</v>
          </cell>
        </row>
        <row r="760">
          <cell r="A760" t="str">
            <v>SY308</v>
          </cell>
          <cell r="B760" t="str">
            <v xml:space="preserve">Silla Yee de 30"x200 </v>
          </cell>
          <cell r="C760" t="str">
            <v>Und.</v>
          </cell>
          <cell r="D760">
            <v>446758</v>
          </cell>
          <cell r="E760">
            <v>531642</v>
          </cell>
        </row>
        <row r="761">
          <cell r="A761" t="str">
            <v>SY336</v>
          </cell>
          <cell r="B761" t="str">
            <v xml:space="preserve">Silla Yee de 33"x160 </v>
          </cell>
          <cell r="C761" t="str">
            <v>Und.</v>
          </cell>
          <cell r="D761">
            <v>305464</v>
          </cell>
          <cell r="E761">
            <v>363502</v>
          </cell>
        </row>
        <row r="762">
          <cell r="A762" t="str">
            <v>SY338</v>
          </cell>
          <cell r="B762" t="str">
            <v xml:space="preserve">Silla Yee de 33"x200 </v>
          </cell>
          <cell r="C762" t="str">
            <v>Und.</v>
          </cell>
          <cell r="D762">
            <v>314892</v>
          </cell>
          <cell r="E762">
            <v>374721</v>
          </cell>
        </row>
        <row r="763">
          <cell r="A763" t="str">
            <v>SY366</v>
          </cell>
          <cell r="B763" t="str">
            <v xml:space="preserve">Silla Yee de 36"160 </v>
          </cell>
          <cell r="C763" t="str">
            <v>Und.</v>
          </cell>
          <cell r="D763">
            <v>329895</v>
          </cell>
          <cell r="E763">
            <v>392575</v>
          </cell>
        </row>
        <row r="764">
          <cell r="A764" t="str">
            <v>SY368</v>
          </cell>
          <cell r="B764" t="str">
            <v xml:space="preserve">Silla Yee de 36"x200 </v>
          </cell>
          <cell r="C764" t="str">
            <v>Und.</v>
          </cell>
          <cell r="D764">
            <v>333785</v>
          </cell>
          <cell r="E764">
            <v>397204</v>
          </cell>
        </row>
        <row r="766">
          <cell r="B766" t="str">
            <v>Kit Silla Yee</v>
          </cell>
        </row>
        <row r="767">
          <cell r="A767" t="str">
            <v>KSY64</v>
          </cell>
          <cell r="B767" t="str">
            <v xml:space="preserve">Kit Silla Yee de 160x110 </v>
          </cell>
          <cell r="C767" t="str">
            <v>Und.</v>
          </cell>
          <cell r="D767">
            <v>0</v>
          </cell>
          <cell r="E767">
            <v>0</v>
          </cell>
        </row>
        <row r="768">
          <cell r="A768" t="str">
            <v>KSY84</v>
          </cell>
          <cell r="B768" t="str">
            <v xml:space="preserve">Kit Silla Yee de 200x110 </v>
          </cell>
          <cell r="C768" t="str">
            <v>Und.</v>
          </cell>
          <cell r="D768">
            <v>0</v>
          </cell>
          <cell r="E768">
            <v>0</v>
          </cell>
        </row>
        <row r="769">
          <cell r="A769" t="str">
            <v>KSY86</v>
          </cell>
          <cell r="B769" t="str">
            <v xml:space="preserve">Kit Silla Yee de 200x160 </v>
          </cell>
          <cell r="C769" t="str">
            <v>Und.</v>
          </cell>
          <cell r="D769">
            <v>144994</v>
          </cell>
          <cell r="E769">
            <v>159493</v>
          </cell>
        </row>
        <row r="770">
          <cell r="A770" t="str">
            <v>KSY106</v>
          </cell>
          <cell r="B770" t="str">
            <v xml:space="preserve">Kit Silla Yee de 250x160 </v>
          </cell>
          <cell r="C770" t="str">
            <v>Und.</v>
          </cell>
          <cell r="D770">
            <v>163913</v>
          </cell>
          <cell r="E770">
            <v>180304</v>
          </cell>
        </row>
        <row r="771">
          <cell r="A771" t="str">
            <v>KSY104</v>
          </cell>
          <cell r="B771" t="str">
            <v xml:space="preserve">Kit Silla Yee de 250x110 </v>
          </cell>
          <cell r="C771" t="str">
            <v>Und.</v>
          </cell>
          <cell r="D771">
            <v>0</v>
          </cell>
          <cell r="E771">
            <v>0</v>
          </cell>
        </row>
        <row r="772">
          <cell r="A772" t="str">
            <v>KSY124</v>
          </cell>
          <cell r="B772" t="str">
            <v xml:space="preserve">Kit Silla Yee de 315x110 </v>
          </cell>
          <cell r="C772" t="str">
            <v>Und.</v>
          </cell>
          <cell r="D772">
            <v>0</v>
          </cell>
          <cell r="E772">
            <v>0</v>
          </cell>
        </row>
        <row r="773">
          <cell r="A773" t="str">
            <v>KSY126</v>
          </cell>
          <cell r="B773" t="str">
            <v xml:space="preserve">Kit Silla Yee de 315x160 </v>
          </cell>
          <cell r="C773" t="str">
            <v>Und.</v>
          </cell>
          <cell r="D773">
            <v>0</v>
          </cell>
          <cell r="E773">
            <v>0</v>
          </cell>
        </row>
        <row r="775">
          <cell r="A775" t="str">
            <v>TUBERIA Y ACCESORIOS PF+UAD</v>
          </cell>
        </row>
        <row r="776">
          <cell r="A776" t="str">
            <v>AMPF1/2</v>
          </cell>
          <cell r="B776" t="str">
            <v>Adaptador Macho Acometida PF+UAD de 1/2"</v>
          </cell>
          <cell r="C776" t="str">
            <v>Und.</v>
          </cell>
          <cell r="D776">
            <v>1582</v>
          </cell>
          <cell r="E776">
            <v>1883</v>
          </cell>
        </row>
        <row r="777">
          <cell r="A777" t="str">
            <v>AHPF1/2</v>
          </cell>
          <cell r="B777" t="str">
            <v>Adaptador Hembra Acometida PF+UAD de 1/2"</v>
          </cell>
          <cell r="C777" t="str">
            <v>Und.</v>
          </cell>
          <cell r="D777">
            <v>1616</v>
          </cell>
          <cell r="E777">
            <v>1923</v>
          </cell>
        </row>
        <row r="778">
          <cell r="A778" t="str">
            <v>UPF1/2</v>
          </cell>
          <cell r="B778" t="str">
            <v>Unión Acometida PF+UAD de 1/2"</v>
          </cell>
          <cell r="C778" t="str">
            <v>Und.</v>
          </cell>
          <cell r="D778">
            <v>2778</v>
          </cell>
          <cell r="E778">
            <v>3306</v>
          </cell>
        </row>
        <row r="779">
          <cell r="A779" t="str">
            <v>UPF3/4</v>
          </cell>
          <cell r="B779" t="str">
            <v>Unión Acometida PF+UAD de 3/4"</v>
          </cell>
          <cell r="C779" t="str">
            <v>Und.</v>
          </cell>
          <cell r="D779">
            <v>10515</v>
          </cell>
          <cell r="E779">
            <v>12513</v>
          </cell>
        </row>
        <row r="780">
          <cell r="A780" t="str">
            <v>TPF1/2</v>
          </cell>
          <cell r="B780" t="str">
            <v>Tubería Acometida Domiciliaria HDPE de 1/2"</v>
          </cell>
          <cell r="C780" t="str">
            <v>m.</v>
          </cell>
          <cell r="D780">
            <v>1607</v>
          </cell>
          <cell r="E780">
            <v>1912</v>
          </cell>
        </row>
        <row r="781">
          <cell r="A781" t="str">
            <v>TPF3/4</v>
          </cell>
          <cell r="B781" t="str">
            <v>Tubería Acometida Domiciliaria HDPE de 3/4"</v>
          </cell>
          <cell r="C781" t="str">
            <v>m.</v>
          </cell>
          <cell r="D781">
            <v>3161</v>
          </cell>
          <cell r="E781">
            <v>3762</v>
          </cell>
        </row>
        <row r="786">
          <cell r="A786" t="str">
            <v>ACCESORIOS PVC 1/2"</v>
          </cell>
        </row>
        <row r="787">
          <cell r="A787" t="str">
            <v>ACC1/2</v>
          </cell>
          <cell r="B787" t="str">
            <v>Accesorios PVC 1/2" (Codo, uniones, adaptadores)</v>
          </cell>
          <cell r="C787" t="str">
            <v>Und.</v>
          </cell>
          <cell r="D787">
            <v>600</v>
          </cell>
          <cell r="E787">
            <v>714</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
      <sheetName val="INSUMOS"/>
      <sheetName val="PRESUPUESTO"/>
      <sheetName val="AIU"/>
      <sheetName val="PAGA"/>
      <sheetName val="PMT"/>
      <sheetName val="F. MULT"/>
      <sheetName val="INTERVENTORIA"/>
      <sheetName val="SMMV"/>
      <sheetName val="FACTOR PRESTACIONAL"/>
      <sheetName val="CUADRILLAS"/>
      <sheetName val="BASICOS"/>
      <sheetName val="APU-Modelo"/>
      <sheetName val="CRONOGRAMA"/>
      <sheetName val="1.1.1"/>
      <sheetName val="1.1.2"/>
      <sheetName val="1.1.3"/>
      <sheetName val="1.2.1"/>
      <sheetName val="1.2.2"/>
      <sheetName val="1.2.3"/>
      <sheetName val="1.3.1"/>
      <sheetName val="1.4.1"/>
      <sheetName val="1.4.2"/>
      <sheetName val="1.4.3"/>
      <sheetName val="1.4.4"/>
      <sheetName val="1.4.5"/>
      <sheetName val="1.5.1"/>
      <sheetName val="1.5.2"/>
      <sheetName val="1.5.3"/>
      <sheetName val="1.5.4"/>
      <sheetName val="1.6.1"/>
      <sheetName val="2.1.1 A"/>
      <sheetName val="2.1.2 A"/>
      <sheetName val="2.2.1 A"/>
      <sheetName val="2.2.2 A"/>
      <sheetName val="2.2.3 A "/>
      <sheetName val="2.2.4 A"/>
      <sheetName val="2.2.5 A"/>
      <sheetName val="2.2.6 A"/>
      <sheetName val="2.3.1 A"/>
      <sheetName val="2.3.2 A"/>
      <sheetName val="2.3.3 A"/>
      <sheetName val="2.4.1 A"/>
      <sheetName val="2.4.2 A"/>
      <sheetName val="2.4.3 A"/>
      <sheetName val="2.4.4 A"/>
      <sheetName val="2.4.5 A"/>
      <sheetName val="2.4.6 A"/>
      <sheetName val="2.4.7 A"/>
      <sheetName val="2.5.1 A"/>
      <sheetName val="2.5.2 A"/>
      <sheetName val="2.6.1 A"/>
      <sheetName val="Hoja1"/>
    </sheetNames>
    <sheetDataSet>
      <sheetData sheetId="0" refreshError="1"/>
      <sheetData sheetId="1" refreshError="1">
        <row r="2">
          <cell r="A2" t="str">
            <v>EQUIPOS Y HERRAMIENTAS</v>
          </cell>
        </row>
        <row r="4">
          <cell r="A4" t="str">
            <v>CÓDIGO</v>
          </cell>
          <cell r="B4" t="str">
            <v>DESCRIPCIÓN</v>
          </cell>
          <cell r="C4" t="str">
            <v>UNIDAD</v>
          </cell>
          <cell r="D4" t="str">
            <v>VALOR $</v>
          </cell>
          <cell r="E4" t="str">
            <v>FECHA</v>
          </cell>
        </row>
        <row r="5">
          <cell r="A5" t="str">
            <v>CAN</v>
          </cell>
          <cell r="B5" t="str">
            <v>Apisonador tipo canguro</v>
          </cell>
          <cell r="C5" t="str">
            <v>Dia</v>
          </cell>
          <cell r="D5">
            <v>95693</v>
          </cell>
        </row>
        <row r="6">
          <cell r="A6" t="str">
            <v>RANA</v>
          </cell>
          <cell r="B6" t="str">
            <v>Apisonador tipo rana</v>
          </cell>
          <cell r="C6" t="str">
            <v>Dia</v>
          </cell>
          <cell r="D6">
            <v>63796</v>
          </cell>
        </row>
        <row r="7">
          <cell r="A7" t="str">
            <v>CGR</v>
          </cell>
          <cell r="B7" t="str">
            <v>Camión grua</v>
          </cell>
          <cell r="C7" t="str">
            <v>Dia</v>
          </cell>
          <cell r="D7">
            <v>318978</v>
          </cell>
        </row>
        <row r="8">
          <cell r="A8" t="str">
            <v>CAM</v>
          </cell>
          <cell r="B8" t="str">
            <v>Camioneta transporte menor</v>
          </cell>
          <cell r="C8" t="str">
            <v>Viaje</v>
          </cell>
          <cell r="D8">
            <v>31898</v>
          </cell>
        </row>
        <row r="9">
          <cell r="A9" t="str">
            <v>COR</v>
          </cell>
          <cell r="B9" t="str">
            <v>Cortadora de disco diamante</v>
          </cell>
          <cell r="C9" t="str">
            <v>Día</v>
          </cell>
          <cell r="D9">
            <v>65000</v>
          </cell>
        </row>
        <row r="10">
          <cell r="A10" t="str">
            <v>COM</v>
          </cell>
          <cell r="B10" t="str">
            <v>Equipo compresor 120 HP y martillo neumático</v>
          </cell>
          <cell r="C10" t="str">
            <v>Hora</v>
          </cell>
          <cell r="D10">
            <v>95000</v>
          </cell>
        </row>
        <row r="11">
          <cell r="A11" t="str">
            <v>TOP</v>
          </cell>
          <cell r="B11" t="str">
            <v>Equipo de topografía.</v>
          </cell>
          <cell r="C11" t="str">
            <v>Día</v>
          </cell>
          <cell r="D11">
            <v>160000</v>
          </cell>
        </row>
        <row r="12">
          <cell r="A12" t="str">
            <v>DIF</v>
          </cell>
          <cell r="B12" t="str">
            <v>Equipo diferencial para 500kg</v>
          </cell>
          <cell r="C12" t="str">
            <v>Día</v>
          </cell>
          <cell r="D12">
            <v>94189</v>
          </cell>
        </row>
        <row r="13">
          <cell r="A13" t="str">
            <v>FORPZ</v>
          </cell>
          <cell r="B13" t="str">
            <v>Formaleta metálica para pozo</v>
          </cell>
          <cell r="C13" t="str">
            <v>Día</v>
          </cell>
          <cell r="D13">
            <v>80000</v>
          </cell>
        </row>
        <row r="14">
          <cell r="A14" t="str">
            <v>FORPV</v>
          </cell>
          <cell r="B14" t="str">
            <v>Formaleta maestra para pavimentos</v>
          </cell>
          <cell r="C14" t="str">
            <v>Día</v>
          </cell>
          <cell r="D14">
            <v>25000</v>
          </cell>
        </row>
        <row r="15">
          <cell r="A15" t="str">
            <v>HM5</v>
          </cell>
          <cell r="B15" t="str">
            <v>Herramienta Menor (5% de la mano de obra).</v>
          </cell>
          <cell r="C15" t="str">
            <v>%</v>
          </cell>
          <cell r="D15">
            <v>0.05</v>
          </cell>
        </row>
        <row r="16">
          <cell r="A16" t="str">
            <v>HM3</v>
          </cell>
          <cell r="B16" t="str">
            <v>Herramienta Menor (3% de la mano de obra).</v>
          </cell>
          <cell r="C16" t="str">
            <v>%</v>
          </cell>
          <cell r="D16">
            <v>0.03</v>
          </cell>
        </row>
        <row r="17">
          <cell r="A17" t="str">
            <v>HM10</v>
          </cell>
          <cell r="B17" t="str">
            <v>Herramienta Menor (10% de la mano de obra).</v>
          </cell>
          <cell r="C17" t="str">
            <v>%</v>
          </cell>
          <cell r="D17">
            <v>0.1</v>
          </cell>
        </row>
        <row r="18">
          <cell r="A18" t="str">
            <v>MEZ</v>
          </cell>
          <cell r="B18" t="str">
            <v>Mezcladora mecánica (1.0 bultos)</v>
          </cell>
          <cell r="C18" t="str">
            <v>Dia</v>
          </cell>
          <cell r="D18">
            <v>80000</v>
          </cell>
        </row>
        <row r="19">
          <cell r="A19" t="str">
            <v>MOT</v>
          </cell>
          <cell r="B19" t="str">
            <v>Motobomba 3" Autocebante Diesel</v>
          </cell>
          <cell r="C19" t="str">
            <v>Dia</v>
          </cell>
          <cell r="D19">
            <v>41000</v>
          </cell>
        </row>
        <row r="20">
          <cell r="A20" t="str">
            <v>MOS</v>
          </cell>
          <cell r="B20" t="str">
            <v>Motosierra</v>
          </cell>
          <cell r="C20" t="str">
            <v>Dia</v>
          </cell>
          <cell r="D20">
            <v>53000</v>
          </cell>
        </row>
        <row r="21">
          <cell r="A21" t="str">
            <v>RETROLL</v>
          </cell>
          <cell r="B21" t="str">
            <v>Retroexcavadora de llanta</v>
          </cell>
          <cell r="C21" t="str">
            <v>Hora</v>
          </cell>
          <cell r="D21">
            <v>130000</v>
          </cell>
        </row>
        <row r="22">
          <cell r="A22" t="str">
            <v>RETROOR</v>
          </cell>
          <cell r="B22" t="str">
            <v>Retroexcavadora de oruga</v>
          </cell>
          <cell r="C22" t="str">
            <v>Hora</v>
          </cell>
          <cell r="D22">
            <v>180000</v>
          </cell>
        </row>
        <row r="23">
          <cell r="A23" t="str">
            <v>VIB</v>
          </cell>
          <cell r="B23" t="str">
            <v>Vibrocompactador 10Ton</v>
          </cell>
          <cell r="C23" t="str">
            <v>Hora</v>
          </cell>
          <cell r="D23">
            <v>110000</v>
          </cell>
        </row>
        <row r="24">
          <cell r="A24" t="str">
            <v>VOL</v>
          </cell>
          <cell r="B24" t="str">
            <v>Volqueta de 5M3</v>
          </cell>
          <cell r="C24" t="str">
            <v>Hora</v>
          </cell>
          <cell r="D24">
            <v>63000</v>
          </cell>
        </row>
        <row r="25">
          <cell r="A25" t="str">
            <v>MOTO</v>
          </cell>
          <cell r="B25" t="str">
            <v>Motoniveladora</v>
          </cell>
          <cell r="C25" t="str">
            <v>Hora</v>
          </cell>
          <cell r="D25">
            <v>140000</v>
          </cell>
        </row>
        <row r="26">
          <cell r="A26" t="str">
            <v>EPH</v>
          </cell>
          <cell r="B26" t="str">
            <v>Equipo Compresor para Prueba Hidrostática</v>
          </cell>
          <cell r="C26" t="str">
            <v>Día</v>
          </cell>
          <cell r="D26">
            <v>695549</v>
          </cell>
        </row>
        <row r="27">
          <cell r="A27" t="str">
            <v>CTI</v>
          </cell>
          <cell r="B27" t="str">
            <v>Carro tanque irrigador de emulsion asfaltica</v>
          </cell>
          <cell r="C27" t="str">
            <v>Hora</v>
          </cell>
          <cell r="D27">
            <v>60000</v>
          </cell>
        </row>
        <row r="28">
          <cell r="A28" t="str">
            <v>TAL</v>
          </cell>
          <cell r="B28" t="str">
            <v>Taladro 1/2" Percutor Alámbrico (madera y metal)</v>
          </cell>
          <cell r="C28" t="str">
            <v>Día</v>
          </cell>
          <cell r="D28">
            <v>28800</v>
          </cell>
        </row>
        <row r="29">
          <cell r="A29" t="str">
            <v>VIBRO</v>
          </cell>
          <cell r="B29" t="str">
            <v>Vibrador de mezcla</v>
          </cell>
          <cell r="C29" t="str">
            <v>Día</v>
          </cell>
          <cell r="D29">
            <v>55000</v>
          </cell>
        </row>
        <row r="30">
          <cell r="A30" t="str">
            <v>COMPP</v>
          </cell>
          <cell r="B30" t="str">
            <v>Equipo compresor (barrido y soplado)</v>
          </cell>
          <cell r="C30" t="str">
            <v>Día</v>
          </cell>
          <cell r="D30">
            <v>80000</v>
          </cell>
        </row>
        <row r="31">
          <cell r="A31" t="str">
            <v>SOL</v>
          </cell>
          <cell r="B31" t="str">
            <v>Equipo de soldadura</v>
          </cell>
          <cell r="C31" t="str">
            <v>Día</v>
          </cell>
          <cell r="D31">
            <v>125000</v>
          </cell>
        </row>
        <row r="32">
          <cell r="A32" t="str">
            <v>CTA</v>
          </cell>
          <cell r="B32" t="str">
            <v>Carrotanque de agua</v>
          </cell>
          <cell r="C32" t="str">
            <v>Viaje</v>
          </cell>
          <cell r="D32">
            <v>362265</v>
          </cell>
        </row>
        <row r="40">
          <cell r="A40" t="str">
            <v>MATERIAL DE PLAYA - PRESTAMO</v>
          </cell>
        </row>
        <row r="41">
          <cell r="A41" t="str">
            <v>AGUA</v>
          </cell>
          <cell r="B41" t="str">
            <v>Agua</v>
          </cell>
          <cell r="C41" t="str">
            <v>Lt</v>
          </cell>
          <cell r="E41">
            <v>17</v>
          </cell>
        </row>
        <row r="42">
          <cell r="A42" t="str">
            <v>AF</v>
          </cell>
          <cell r="B42" t="str">
            <v>Arena fina de río.</v>
          </cell>
          <cell r="C42" t="str">
            <v>m3</v>
          </cell>
          <cell r="D42">
            <v>40000</v>
          </cell>
          <cell r="E42">
            <v>47600</v>
          </cell>
          <cell r="F42">
            <v>50</v>
          </cell>
          <cell r="G42">
            <v>1200</v>
          </cell>
        </row>
        <row r="43">
          <cell r="A43" t="str">
            <v>AGR</v>
          </cell>
          <cell r="B43" t="str">
            <v>Arena triturada de planta, pasante 3/8"</v>
          </cell>
          <cell r="C43" t="str">
            <v>m3</v>
          </cell>
          <cell r="D43">
            <v>45000</v>
          </cell>
          <cell r="E43">
            <v>53550</v>
          </cell>
          <cell r="F43">
            <v>50</v>
          </cell>
          <cell r="G43">
            <v>1200</v>
          </cell>
        </row>
        <row r="44">
          <cell r="A44" t="str">
            <v>AM</v>
          </cell>
          <cell r="B44" t="str">
            <v>Mixto (50% arena + 50% gravilla).</v>
          </cell>
          <cell r="C44" t="str">
            <v>m3</v>
          </cell>
          <cell r="D44">
            <v>35000</v>
          </cell>
          <cell r="E44">
            <v>41650</v>
          </cell>
          <cell r="F44">
            <v>50</v>
          </cell>
          <cell r="G44">
            <v>1200</v>
          </cell>
        </row>
        <row r="45">
          <cell r="A45" t="str">
            <v>GRA1/2</v>
          </cell>
          <cell r="B45" t="str">
            <v>Gravilla triturada de Ø1/2".</v>
          </cell>
          <cell r="C45" t="str">
            <v>m3</v>
          </cell>
          <cell r="D45">
            <v>75000</v>
          </cell>
          <cell r="E45">
            <v>89250</v>
          </cell>
          <cell r="F45">
            <v>50</v>
          </cell>
          <cell r="G45">
            <v>1200</v>
          </cell>
        </row>
        <row r="46">
          <cell r="A46" t="str">
            <v>GRA3/4</v>
          </cell>
          <cell r="B46" t="str">
            <v>Gravilla triturada de Ø3/4".</v>
          </cell>
          <cell r="C46" t="str">
            <v>m3</v>
          </cell>
          <cell r="D46">
            <v>75000</v>
          </cell>
          <cell r="E46">
            <v>89250</v>
          </cell>
          <cell r="F46">
            <v>50</v>
          </cell>
          <cell r="G46">
            <v>1200</v>
          </cell>
        </row>
        <row r="47">
          <cell r="A47" t="str">
            <v>REC</v>
          </cell>
          <cell r="B47" t="str">
            <v>Recebo granular seleccionado IP&lt;10%.</v>
          </cell>
          <cell r="C47" t="str">
            <v>m3</v>
          </cell>
          <cell r="D47">
            <v>28000</v>
          </cell>
          <cell r="E47">
            <v>33320</v>
          </cell>
          <cell r="F47">
            <v>50</v>
          </cell>
          <cell r="G47">
            <v>1200</v>
          </cell>
        </row>
        <row r="48">
          <cell r="A48" t="str">
            <v>SBG</v>
          </cell>
          <cell r="B48" t="str">
            <v xml:space="preserve">Sub-base granular - IP&lt;6% </v>
          </cell>
          <cell r="C48" t="str">
            <v>m3</v>
          </cell>
          <cell r="D48">
            <v>50000</v>
          </cell>
          <cell r="E48">
            <v>59500</v>
          </cell>
          <cell r="F48">
            <v>50</v>
          </cell>
          <cell r="G48">
            <v>1200</v>
          </cell>
        </row>
        <row r="49">
          <cell r="A49" t="str">
            <v>BG</v>
          </cell>
          <cell r="B49" t="str">
            <v>Base granular IP&lt;3%.</v>
          </cell>
          <cell r="C49" t="str">
            <v>m3</v>
          </cell>
          <cell r="D49">
            <v>55000</v>
          </cell>
          <cell r="E49">
            <v>65450</v>
          </cell>
          <cell r="F49">
            <v>50</v>
          </cell>
          <cell r="G49">
            <v>1200</v>
          </cell>
        </row>
        <row r="50">
          <cell r="A50" t="str">
            <v>PIEDR</v>
          </cell>
          <cell r="B50" t="str">
            <v>Piedra de Río Media Zonga</v>
          </cell>
          <cell r="C50" t="str">
            <v>m3</v>
          </cell>
          <cell r="D50">
            <v>60000</v>
          </cell>
          <cell r="E50">
            <v>71400</v>
          </cell>
          <cell r="F50">
            <v>50</v>
          </cell>
          <cell r="G50">
            <v>1200</v>
          </cell>
        </row>
        <row r="53">
          <cell r="A53" t="str">
            <v>VARIOS</v>
          </cell>
        </row>
        <row r="54">
          <cell r="A54" t="str">
            <v>ESC</v>
          </cell>
          <cell r="B54" t="str">
            <v>Escombros</v>
          </cell>
          <cell r="C54" t="str">
            <v>m3</v>
          </cell>
          <cell r="F54">
            <v>2</v>
          </cell>
          <cell r="G54">
            <v>1350</v>
          </cell>
        </row>
        <row r="55">
          <cell r="A55" t="str">
            <v>ACPM</v>
          </cell>
          <cell r="B55" t="str">
            <v>Combustible tipo ACPM</v>
          </cell>
          <cell r="C55" t="str">
            <v>gal</v>
          </cell>
          <cell r="E55">
            <v>9580</v>
          </cell>
        </row>
        <row r="56">
          <cell r="A56" t="str">
            <v>FE</v>
          </cell>
          <cell r="B56" t="str">
            <v>Acero  de refuerzo, suministro, corte, figurado y amarre, de 60000 psi.</v>
          </cell>
          <cell r="C56" t="str">
            <v>kg</v>
          </cell>
          <cell r="E56">
            <v>4835</v>
          </cell>
        </row>
        <row r="58">
          <cell r="A58" t="str">
            <v>PRODUCCIÓN - CONCRETOS Y MORTEROS</v>
          </cell>
        </row>
        <row r="59">
          <cell r="A59" t="str">
            <v>C1500</v>
          </cell>
          <cell r="B59" t="str">
            <v>Concreto de 105 Kg/cm2 (1500 PSI)</v>
          </cell>
          <cell r="C59" t="str">
            <v>m3</v>
          </cell>
          <cell r="E59">
            <v>387580</v>
          </cell>
        </row>
        <row r="60">
          <cell r="A60" t="str">
            <v>C2000</v>
          </cell>
          <cell r="B60" t="str">
            <v>Concreto de 140 Kg/cm2 (2000 PSI)</v>
          </cell>
          <cell r="C60" t="str">
            <v>m3</v>
          </cell>
          <cell r="E60">
            <v>408632</v>
          </cell>
        </row>
        <row r="61">
          <cell r="A61" t="str">
            <v>C2500</v>
          </cell>
          <cell r="B61" t="str">
            <v>Concreto de 175 Kg/cm2 (2500 PSI)</v>
          </cell>
          <cell r="C61" t="str">
            <v>m3</v>
          </cell>
          <cell r="E61">
            <v>432017</v>
          </cell>
        </row>
        <row r="62">
          <cell r="A62" t="str">
            <v>C3000</v>
          </cell>
          <cell r="B62" t="str">
            <v>Concreto de 210 Kg/cm2 (3000 PSI)</v>
          </cell>
          <cell r="C62" t="str">
            <v>m3</v>
          </cell>
          <cell r="E62">
            <v>507735</v>
          </cell>
        </row>
        <row r="63">
          <cell r="A63" t="str">
            <v>C3500</v>
          </cell>
          <cell r="B63" t="str">
            <v>Concreto de 250 Kg/cm2 (3500 PSI)</v>
          </cell>
          <cell r="C63" t="str">
            <v>m3</v>
          </cell>
          <cell r="E63">
            <v>484142</v>
          </cell>
        </row>
        <row r="64">
          <cell r="A64" t="str">
            <v>C4000</v>
          </cell>
          <cell r="B64" t="str">
            <v>Concreto de 280 Kg/cm2 (4000 PSI)</v>
          </cell>
          <cell r="C64" t="str">
            <v>m3</v>
          </cell>
          <cell r="E64">
            <v>502142</v>
          </cell>
        </row>
        <row r="65">
          <cell r="A65" t="str">
            <v>MR38</v>
          </cell>
          <cell r="B65" t="str">
            <v>Concreto hidráulico premezclado MR 38</v>
          </cell>
          <cell r="C65" t="str">
            <v>m3</v>
          </cell>
          <cell r="E65">
            <v>534000</v>
          </cell>
          <cell r="F65">
            <v>50</v>
          </cell>
          <cell r="G65">
            <v>1200</v>
          </cell>
        </row>
        <row r="66">
          <cell r="A66" t="str">
            <v>MR41</v>
          </cell>
          <cell r="B66" t="str">
            <v>Concreto hidráulico premezclado MR 41</v>
          </cell>
          <cell r="C66" t="str">
            <v>m3</v>
          </cell>
          <cell r="E66">
            <v>554300</v>
          </cell>
          <cell r="F66">
            <v>50</v>
          </cell>
          <cell r="G66">
            <v>1200</v>
          </cell>
        </row>
        <row r="67">
          <cell r="A67" t="str">
            <v>M12</v>
          </cell>
          <cell r="B67" t="str">
            <v>Mortero 1:2</v>
          </cell>
          <cell r="C67" t="str">
            <v>m3</v>
          </cell>
          <cell r="E67">
            <v>527457</v>
          </cell>
        </row>
        <row r="68">
          <cell r="A68" t="str">
            <v>M13</v>
          </cell>
          <cell r="B68" t="str">
            <v>Mortero 1:3</v>
          </cell>
          <cell r="C68" t="str">
            <v>m3</v>
          </cell>
          <cell r="E68">
            <v>446599</v>
          </cell>
        </row>
        <row r="69">
          <cell r="A69" t="str">
            <v>M13I</v>
          </cell>
          <cell r="B69" t="str">
            <v>Mortero 1:3 - Impermeabilizado</v>
          </cell>
          <cell r="C69" t="str">
            <v>m3</v>
          </cell>
          <cell r="E69">
            <v>576984</v>
          </cell>
        </row>
        <row r="70">
          <cell r="A70" t="str">
            <v>M14</v>
          </cell>
          <cell r="B70" t="str">
            <v>Mortero 1:4</v>
          </cell>
          <cell r="C70" t="str">
            <v>m3</v>
          </cell>
          <cell r="E70">
            <v>399791</v>
          </cell>
        </row>
        <row r="71">
          <cell r="A71" t="str">
            <v>M14I</v>
          </cell>
          <cell r="B71" t="str">
            <v>Mortero 1:4 - Impermeabilizado</v>
          </cell>
          <cell r="C71" t="str">
            <v>m3</v>
          </cell>
          <cell r="E71">
            <v>530176</v>
          </cell>
        </row>
        <row r="72">
          <cell r="A72" t="str">
            <v>M15</v>
          </cell>
          <cell r="B72" t="str">
            <v>Mortero 1:5</v>
          </cell>
          <cell r="C72" t="str">
            <v>m3</v>
          </cell>
          <cell r="E72">
            <v>366249</v>
          </cell>
        </row>
        <row r="73">
          <cell r="A73" t="str">
            <v>M16</v>
          </cell>
          <cell r="B73" t="str">
            <v>Mortero 1:6</v>
          </cell>
          <cell r="C73" t="str">
            <v>m3</v>
          </cell>
          <cell r="E73">
            <v>341241</v>
          </cell>
        </row>
        <row r="76">
          <cell r="A76" t="str">
            <v xml:space="preserve">ADITIVOS PARA EL CONCRETO </v>
          </cell>
        </row>
        <row r="77">
          <cell r="A77" t="str">
            <v>ACEL</v>
          </cell>
          <cell r="B77" t="str">
            <v>Acelerante de fraguado</v>
          </cell>
          <cell r="C77" t="str">
            <v>kg</v>
          </cell>
          <cell r="D77">
            <v>8500</v>
          </cell>
          <cell r="E77">
            <v>10115</v>
          </cell>
        </row>
        <row r="78">
          <cell r="A78" t="str">
            <v>IMP</v>
          </cell>
          <cell r="B78" t="str">
            <v>Impermeabilizante para morteros.</v>
          </cell>
          <cell r="C78" t="str">
            <v>kg</v>
          </cell>
          <cell r="E78">
            <v>11940</v>
          </cell>
        </row>
        <row r="79">
          <cell r="A79" t="str">
            <v>ADH</v>
          </cell>
          <cell r="B79" t="str">
            <v>Adhesivo  Ramset Red</v>
          </cell>
          <cell r="C79" t="str">
            <v>fl oz</v>
          </cell>
          <cell r="E79">
            <v>3950</v>
          </cell>
        </row>
        <row r="80">
          <cell r="A80" t="str">
            <v>IMPER</v>
          </cell>
          <cell r="B80" t="str">
            <v>Impermeabilizante para concretos, plastocrete o silimar.</v>
          </cell>
          <cell r="C80" t="str">
            <v>kg</v>
          </cell>
          <cell r="E80">
            <v>49805</v>
          </cell>
        </row>
        <row r="81">
          <cell r="A81" t="str">
            <v>ANTI</v>
          </cell>
          <cell r="B81" t="str">
            <v>Antisol</v>
          </cell>
          <cell r="C81" t="str">
            <v>kg</v>
          </cell>
          <cell r="E81">
            <v>5250</v>
          </cell>
        </row>
        <row r="82">
          <cell r="A82" t="str">
            <v>SIKAR</v>
          </cell>
          <cell r="B82" t="str">
            <v>Sika ROD 6 mm</v>
          </cell>
          <cell r="C82" t="str">
            <v>m</v>
          </cell>
          <cell r="E82">
            <v>780</v>
          </cell>
        </row>
        <row r="83">
          <cell r="A83" t="str">
            <v>SELLA</v>
          </cell>
          <cell r="B83" t="str">
            <v>Sellador de poliuretano autonivelante</v>
          </cell>
          <cell r="C83" t="str">
            <v>gl</v>
          </cell>
          <cell r="E83">
            <v>125000</v>
          </cell>
        </row>
        <row r="87">
          <cell r="A87" t="str">
            <v>FERRETERÍA</v>
          </cell>
        </row>
        <row r="88">
          <cell r="A88" t="str">
            <v>H60</v>
          </cell>
          <cell r="B88" t="str">
            <v>Acero de refuerzo de 60.000psi</v>
          </cell>
          <cell r="C88" t="str">
            <v>Kg.</v>
          </cell>
          <cell r="D88">
            <v>2500</v>
          </cell>
          <cell r="E88">
            <v>2975</v>
          </cell>
          <cell r="F88">
            <v>50</v>
          </cell>
          <cell r="G88">
            <v>1200</v>
          </cell>
        </row>
        <row r="89">
          <cell r="A89" t="str">
            <v>HN</v>
          </cell>
          <cell r="B89" t="str">
            <v>Alambre cal. 18</v>
          </cell>
          <cell r="C89" t="str">
            <v>Kg.</v>
          </cell>
          <cell r="D89">
            <v>4000</v>
          </cell>
          <cell r="E89">
            <v>4760</v>
          </cell>
        </row>
        <row r="90">
          <cell r="A90" t="str">
            <v>HN12</v>
          </cell>
          <cell r="B90" t="str">
            <v>Alambre cal 12</v>
          </cell>
          <cell r="C90" t="str">
            <v>Kg.</v>
          </cell>
          <cell r="D90">
            <v>4500</v>
          </cell>
          <cell r="E90">
            <v>5355</v>
          </cell>
        </row>
        <row r="91">
          <cell r="A91" t="str">
            <v>A15</v>
          </cell>
          <cell r="B91" t="str">
            <v>Angulo de 1 1/2"x1 1/2"x1/4"</v>
          </cell>
          <cell r="C91" t="str">
            <v>ML</v>
          </cell>
          <cell r="D91">
            <v>12000</v>
          </cell>
          <cell r="E91">
            <v>14280</v>
          </cell>
        </row>
        <row r="92">
          <cell r="B92" t="str">
            <v>Angulo de 1 1/2"x1 1/2"x1/4"</v>
          </cell>
          <cell r="E92">
            <v>0</v>
          </cell>
        </row>
        <row r="93">
          <cell r="A93" t="str">
            <v>A4</v>
          </cell>
          <cell r="B93" t="str">
            <v xml:space="preserve">Ángulo de 4 1/4" </v>
          </cell>
          <cell r="C93" t="str">
            <v>ML</v>
          </cell>
          <cell r="D93">
            <v>21640</v>
          </cell>
          <cell r="E93">
            <v>25752</v>
          </cell>
        </row>
        <row r="94">
          <cell r="A94" t="str">
            <v>A3</v>
          </cell>
          <cell r="B94" t="str">
            <v xml:space="preserve">Ángulo de 3 1/4" </v>
          </cell>
          <cell r="C94" t="str">
            <v>ML</v>
          </cell>
          <cell r="D94">
            <v>19362.641979999997</v>
          </cell>
          <cell r="E94">
            <v>23042</v>
          </cell>
        </row>
        <row r="95">
          <cell r="A95" t="str">
            <v>CEM</v>
          </cell>
          <cell r="B95" t="str">
            <v>Cemento gris tipo Portland.</v>
          </cell>
          <cell r="C95" t="str">
            <v>Kg.</v>
          </cell>
          <cell r="D95">
            <v>504.2</v>
          </cell>
          <cell r="E95">
            <v>600</v>
          </cell>
        </row>
        <row r="96">
          <cell r="A96" t="str">
            <v>CS</v>
          </cell>
          <cell r="B96" t="str">
            <v>Cinta señalización (Rollo por 500ml)</v>
          </cell>
          <cell r="C96" t="str">
            <v>UND</v>
          </cell>
          <cell r="D96">
            <v>31380</v>
          </cell>
          <cell r="E96">
            <v>37342</v>
          </cell>
        </row>
        <row r="97">
          <cell r="A97" t="str">
            <v>CT</v>
          </cell>
          <cell r="B97" t="str">
            <v>Cinta teflón</v>
          </cell>
          <cell r="C97" t="str">
            <v>UND</v>
          </cell>
          <cell r="D97">
            <v>1255.2</v>
          </cell>
          <cell r="E97">
            <v>1494</v>
          </cell>
        </row>
        <row r="98">
          <cell r="A98" t="str">
            <v>SoLi</v>
          </cell>
          <cell r="B98" t="str">
            <v>Soldadura PVC y Limpiador PVC</v>
          </cell>
          <cell r="C98" t="str">
            <v>Glo</v>
          </cell>
          <cell r="D98">
            <v>1710.1033080000002</v>
          </cell>
          <cell r="E98">
            <v>2035</v>
          </cell>
        </row>
        <row r="99">
          <cell r="A99" t="str">
            <v>VARIOS</v>
          </cell>
          <cell r="B99" t="str">
            <v>Elementos menores varios</v>
          </cell>
          <cell r="C99" t="str">
            <v>Glo</v>
          </cell>
          <cell r="D99">
            <v>20000</v>
          </cell>
          <cell r="E99">
            <v>23800</v>
          </cell>
        </row>
        <row r="100">
          <cell r="A100" t="str">
            <v>EASF</v>
          </cell>
          <cell r="B100" t="str">
            <v>Emulsión asfáltica/ Liga</v>
          </cell>
          <cell r="C100" t="str">
            <v>Gal</v>
          </cell>
          <cell r="D100">
            <v>11970.723156</v>
          </cell>
          <cell r="E100">
            <v>14245</v>
          </cell>
        </row>
        <row r="101">
          <cell r="A101" t="str">
            <v>MM</v>
          </cell>
          <cell r="B101" t="str">
            <v>Marca Metálica para Huella</v>
          </cell>
          <cell r="C101" t="str">
            <v>UND</v>
          </cell>
          <cell r="D101">
            <v>28501.721799999999</v>
          </cell>
          <cell r="E101">
            <v>33917</v>
          </cell>
        </row>
        <row r="102">
          <cell r="A102" t="str">
            <v>FM</v>
          </cell>
          <cell r="B102" t="str">
            <v>Madera para formaleta</v>
          </cell>
          <cell r="C102" t="str">
            <v>M2</v>
          </cell>
          <cell r="D102">
            <v>25000</v>
          </cell>
          <cell r="E102">
            <v>29750</v>
          </cell>
        </row>
        <row r="103">
          <cell r="A103" t="str">
            <v>MALG</v>
          </cell>
          <cell r="B103" t="str">
            <v>Malla para gavión cal 12 tipo invias, 10 x 10</v>
          </cell>
          <cell r="C103" t="str">
            <v>Unid</v>
          </cell>
          <cell r="D103">
            <v>56000</v>
          </cell>
          <cell r="E103">
            <v>66640</v>
          </cell>
        </row>
        <row r="104">
          <cell r="A104" t="str">
            <v>MASF</v>
          </cell>
          <cell r="B104" t="str">
            <v xml:space="preserve">Mezcla asfáltica tipo MDC-2 </v>
          </cell>
          <cell r="C104" t="str">
            <v>M3</v>
          </cell>
          <cell r="D104">
            <v>396743.96745600004</v>
          </cell>
          <cell r="E104">
            <v>472125</v>
          </cell>
        </row>
        <row r="105">
          <cell r="A105" t="str">
            <v>PASO</v>
          </cell>
          <cell r="B105" t="str">
            <v>Paso para escalera en hierro de 5/8" (Incluye anticorrosivo)</v>
          </cell>
          <cell r="C105" t="str">
            <v>UND</v>
          </cell>
          <cell r="D105">
            <v>14250.8609</v>
          </cell>
          <cell r="E105">
            <v>16959</v>
          </cell>
        </row>
        <row r="106">
          <cell r="A106" t="str">
            <v>PLAT15</v>
          </cell>
          <cell r="B106" t="str">
            <v>Platina de 1 1/2"x1/8</v>
          </cell>
          <cell r="C106" t="str">
            <v>ML</v>
          </cell>
          <cell r="D106">
            <v>6954.420119200001</v>
          </cell>
          <cell r="E106">
            <v>8276</v>
          </cell>
        </row>
        <row r="107">
          <cell r="A107" t="str">
            <v>PUNT</v>
          </cell>
          <cell r="B107" t="str">
            <v>Puntilla variada</v>
          </cell>
          <cell r="C107" t="str">
            <v>Lb</v>
          </cell>
          <cell r="D107">
            <v>2000</v>
          </cell>
          <cell r="E107">
            <v>2380</v>
          </cell>
        </row>
        <row r="108">
          <cell r="A108" t="str">
            <v>REJ1</v>
          </cell>
          <cell r="B108" t="str">
            <v>Rejilla de 1,0mx0,40, con marco en ángulo de 1-1/2"x3/16" y perciana en lámina de 2"x1/8 con separación de 1", reforzada longitudinalmente con 1 varilla 7/8", incluye (visagras tipo capsula, anticorrosivo y pintura de esmalte).</v>
          </cell>
          <cell r="C108" t="str">
            <v>UND</v>
          </cell>
          <cell r="E108">
            <v>0</v>
          </cell>
        </row>
        <row r="109">
          <cell r="A109" t="str">
            <v>REJ2</v>
          </cell>
          <cell r="B109" t="str">
            <v>Rejilla de 2,0mx0,40, con marco en ángulo de 1-1/2"x3/16" y perciana en lámina de 2"x1/8 con separación de 1", reforzada longitudinalmente con 1 varilla 7/8", incluye (visagras tipo capsula, anticorrosivo y pintura de esmalte).</v>
          </cell>
          <cell r="C109" t="str">
            <v>UND</v>
          </cell>
          <cell r="E109">
            <v>0</v>
          </cell>
        </row>
        <row r="110">
          <cell r="A110" t="str">
            <v>REJ3</v>
          </cell>
          <cell r="B110" t="str">
            <v>Rejilla de 3,0mx0,40, con marco en ángulo de 1-1/2"x3/16" y perciana en lámina de 2"x1/8 con separación de 1", reforzada longitudinalmente con 1 varilla 7/8", incluye (visagras tipo capsula, anticorrosivo y pintura de esmalte).</v>
          </cell>
          <cell r="C110" t="str">
            <v>UND</v>
          </cell>
          <cell r="E110">
            <v>0</v>
          </cell>
        </row>
        <row r="111">
          <cell r="A111" t="str">
            <v>REJ4</v>
          </cell>
          <cell r="B111" t="str">
            <v>Rejilla de 4,0mx0,40, con marco en ángulo de 1-1/2"x3/16" y perciana en lámina de 2"x1/8 con separación de 1", reforzada longitudinalmente con 1 varilla 7/8", incluye (visagras tipo capsula, anticorrosivo y pintura de esmalte).</v>
          </cell>
          <cell r="C111" t="str">
            <v>UND</v>
          </cell>
          <cell r="E111">
            <v>0</v>
          </cell>
        </row>
        <row r="112">
          <cell r="A112" t="str">
            <v>RSLA</v>
          </cell>
          <cell r="B112" t="str">
            <v>Autorización entrada relleno sanitario</v>
          </cell>
          <cell r="C112" t="str">
            <v>M3</v>
          </cell>
          <cell r="D112">
            <v>4560.2754880000002</v>
          </cell>
          <cell r="E112">
            <v>5427</v>
          </cell>
        </row>
        <row r="113">
          <cell r="A113" t="str">
            <v>TP</v>
          </cell>
          <cell r="B113" t="str">
            <v>Tapa en polipropileno para pozo, incluye aro en HF</v>
          </cell>
          <cell r="C113" t="str">
            <v>UND</v>
          </cell>
          <cell r="D113">
            <v>720000</v>
          </cell>
          <cell r="E113">
            <v>856800</v>
          </cell>
        </row>
        <row r="114">
          <cell r="A114" t="str">
            <v>CM</v>
          </cell>
          <cell r="B114" t="str">
            <v>Chapaleta metalica 16"</v>
          </cell>
          <cell r="C114" t="str">
            <v>UND</v>
          </cell>
          <cell r="D114">
            <v>4195453.4489600006</v>
          </cell>
          <cell r="E114">
            <v>4992590</v>
          </cell>
        </row>
        <row r="115">
          <cell r="A115" t="str">
            <v>ACCESORIOS METÁLICOS EN HD PARA ACUEDUCTO</v>
          </cell>
        </row>
        <row r="116">
          <cell r="A116" t="str">
            <v>THD6X3</v>
          </cell>
          <cell r="B116" t="str">
            <v>Tee H.D. ext. Liso para PVC 6x3"</v>
          </cell>
          <cell r="C116" t="str">
            <v>Und</v>
          </cell>
          <cell r="D116">
            <v>260000</v>
          </cell>
          <cell r="E116">
            <v>309400</v>
          </cell>
        </row>
        <row r="117">
          <cell r="A117" t="str">
            <v>THD6X4</v>
          </cell>
          <cell r="B117" t="str">
            <v>Tee H.D. ext. Liso para PVC 6x4"</v>
          </cell>
          <cell r="C117" t="str">
            <v>Und</v>
          </cell>
          <cell r="D117">
            <v>305000</v>
          </cell>
          <cell r="E117">
            <v>362950</v>
          </cell>
        </row>
        <row r="118">
          <cell r="A118" t="str">
            <v>THD6X6</v>
          </cell>
          <cell r="B118" t="str">
            <v>Tee H.D. ext. Liso para PVC 6x6"</v>
          </cell>
          <cell r="C118" t="str">
            <v>Und</v>
          </cell>
          <cell r="D118">
            <v>360000</v>
          </cell>
          <cell r="E118">
            <v>428400</v>
          </cell>
        </row>
        <row r="119">
          <cell r="A119" t="str">
            <v>RHD6X3</v>
          </cell>
          <cell r="B119" t="str">
            <v>Redución de 6X3"en hierro ductil (ASTM-A-536),extremo liso.</v>
          </cell>
          <cell r="C119" t="str">
            <v>Und</v>
          </cell>
          <cell r="D119">
            <v>135000</v>
          </cell>
          <cell r="E119">
            <v>160650</v>
          </cell>
        </row>
        <row r="120">
          <cell r="A120" t="str">
            <v>RHD6X4</v>
          </cell>
          <cell r="B120" t="str">
            <v>Redución de 6X4"en hierro ductil (ASTM-A-536),extremo liso.</v>
          </cell>
          <cell r="C120" t="str">
            <v>Und</v>
          </cell>
          <cell r="D120">
            <v>170000</v>
          </cell>
          <cell r="E120">
            <v>202300</v>
          </cell>
        </row>
        <row r="124">
          <cell r="A124" t="str">
            <v>URBANISMO</v>
          </cell>
        </row>
        <row r="125">
          <cell r="A125" t="str">
            <v>SAR</v>
          </cell>
          <cell r="B125" t="str">
            <v xml:space="preserve"> Sardinel Redondo prefabricado en concreto de 1,00 x 0,17 x 0,45 mts.</v>
          </cell>
          <cell r="C125" t="str">
            <v>und</v>
          </cell>
          <cell r="E125">
            <v>29500</v>
          </cell>
        </row>
        <row r="131">
          <cell r="A131" t="str">
            <v>DEMARCACIÓN VIAL</v>
          </cell>
        </row>
        <row r="132">
          <cell r="A132" t="str">
            <v>ER</v>
          </cell>
          <cell r="B132" t="str">
            <v>Esferas reflectivas</v>
          </cell>
          <cell r="C132" t="str">
            <v>kg</v>
          </cell>
          <cell r="E132">
            <v>3850</v>
          </cell>
        </row>
        <row r="133">
          <cell r="A133" t="str">
            <v>PINDE</v>
          </cell>
          <cell r="B133" t="str">
            <v>Pintura demarcación tipo tráfico</v>
          </cell>
          <cell r="C133" t="str">
            <v>gl</v>
          </cell>
          <cell r="E133">
            <v>85600</v>
          </cell>
        </row>
        <row r="134">
          <cell r="A134" t="str">
            <v>CD</v>
          </cell>
          <cell r="B134" t="str">
            <v>Cinta de demarcación Cal. 3 (Rollo 500mx0.10m)</v>
          </cell>
          <cell r="C134" t="str">
            <v>und</v>
          </cell>
          <cell r="E134">
            <v>52600</v>
          </cell>
        </row>
        <row r="135">
          <cell r="A135" t="str">
            <v>SVV</v>
          </cell>
          <cell r="B135" t="str">
            <v>Señal vial vertical regalmentaria</v>
          </cell>
          <cell r="C135" t="str">
            <v>und</v>
          </cell>
          <cell r="E135">
            <v>365900</v>
          </cell>
        </row>
        <row r="147">
          <cell r="A147" t="str">
            <v>ACCESORIOS METÁLICOS EN HF PARA ACUEDUCTO</v>
          </cell>
        </row>
        <row r="148">
          <cell r="A148" t="str">
            <v>PM8</v>
          </cell>
          <cell r="B148" t="str">
            <v>Pasamuro de Ø 8" en hierro ductil STM A-536, L: 60 cm. EB x EL</v>
          </cell>
          <cell r="C148" t="str">
            <v>Und.</v>
          </cell>
          <cell r="D148">
            <v>620000</v>
          </cell>
          <cell r="E148">
            <v>737800</v>
          </cell>
        </row>
        <row r="149">
          <cell r="A149" t="str">
            <v>PM6</v>
          </cell>
          <cell r="B149" t="str">
            <v>Pasamuro de Ø 6" en hierro ductil STM A-536, L: 60 cm. EB x EL</v>
          </cell>
          <cell r="C149" t="str">
            <v>Und.</v>
          </cell>
          <cell r="D149">
            <v>570000</v>
          </cell>
          <cell r="E149">
            <v>678300</v>
          </cell>
        </row>
        <row r="150">
          <cell r="A150" t="str">
            <v>VCLD</v>
          </cell>
          <cell r="B150" t="str">
            <v>Compuerta lateral antideslizante de 0.50 x 0.50 m, incluye: columna de maniobra , vastago , juego de tornillería.</v>
          </cell>
          <cell r="C150" t="str">
            <v>Und.</v>
          </cell>
          <cell r="D150">
            <v>5850000</v>
          </cell>
          <cell r="E150">
            <v>6961500</v>
          </cell>
        </row>
        <row r="151">
          <cell r="A151" t="str">
            <v>VCLD1</v>
          </cell>
          <cell r="B151" t="str">
            <v>Rueda de manejo de (6"-8")</v>
          </cell>
          <cell r="C151" t="str">
            <v>Und.</v>
          </cell>
          <cell r="D151">
            <v>135000</v>
          </cell>
          <cell r="E151">
            <v>160650</v>
          </cell>
        </row>
        <row r="152">
          <cell r="A152" t="str">
            <v>VCLD2</v>
          </cell>
          <cell r="B152" t="str">
            <v xml:space="preserve">Soporte guía vástago </v>
          </cell>
          <cell r="C152" t="str">
            <v>Und.</v>
          </cell>
          <cell r="D152">
            <v>433534.85</v>
          </cell>
          <cell r="E152">
            <v>515906</v>
          </cell>
        </row>
        <row r="153">
          <cell r="A153" t="str">
            <v>VCLD3</v>
          </cell>
          <cell r="B153" t="str">
            <v>Columna de maniobra</v>
          </cell>
          <cell r="C153" t="str">
            <v>Und.</v>
          </cell>
          <cell r="D153">
            <v>813435.25</v>
          </cell>
          <cell r="E153">
            <v>967988</v>
          </cell>
        </row>
        <row r="154">
          <cell r="A154" t="str">
            <v>CHD1022</v>
          </cell>
          <cell r="B154" t="str">
            <v>Codo 22-1/2°x10" en hierro nodular ASTM 536 clase 6422-1/2 Extremo junta hidráulica</v>
          </cell>
          <cell r="C154" t="str">
            <v>Und.</v>
          </cell>
          <cell r="D154">
            <v>788264.66399999999</v>
          </cell>
          <cell r="E154">
            <v>938035</v>
          </cell>
        </row>
        <row r="155">
          <cell r="A155" t="str">
            <v>CHD1222</v>
          </cell>
          <cell r="B155" t="str">
            <v>Codo 22-1/2°x12" en hierro nodular ASTM 536 clase 6422-1/2 Extremo junta hidráulica</v>
          </cell>
          <cell r="C155" t="str">
            <v>Und.</v>
          </cell>
          <cell r="D155">
            <v>1387606.3920000002</v>
          </cell>
          <cell r="E155">
            <v>1651252</v>
          </cell>
        </row>
        <row r="156">
          <cell r="A156" t="str">
            <v>CHD322</v>
          </cell>
          <cell r="B156" t="str">
            <v>Codo 3" x 22-1/2° en hierro nodular ASTM 536 clase 6422-1/2 Extremo junta hidráulica</v>
          </cell>
          <cell r="C156" t="str">
            <v>Und.</v>
          </cell>
          <cell r="D156">
            <v>117262.512</v>
          </cell>
          <cell r="E156">
            <v>139542</v>
          </cell>
        </row>
        <row r="157">
          <cell r="A157" t="str">
            <v>CHD422</v>
          </cell>
          <cell r="B157" t="str">
            <v>Codo 4" x 22-1/2° en hierro nodular ASTM 536 clase 6422-1/2 Extremo junta hidráulica</v>
          </cell>
          <cell r="C157" t="str">
            <v>Und.</v>
          </cell>
          <cell r="D157">
            <v>153744.18239999999</v>
          </cell>
          <cell r="E157">
            <v>182956</v>
          </cell>
        </row>
        <row r="158">
          <cell r="A158" t="str">
            <v>CHD622</v>
          </cell>
          <cell r="B158" t="str">
            <v>Codo 22-1/2°x6" en hierro nodular ASTM 536 clase 6422-1/2 Extremo junta hidráulica</v>
          </cell>
          <cell r="C158" t="str">
            <v>Und.</v>
          </cell>
          <cell r="D158">
            <v>295762.11359999998</v>
          </cell>
          <cell r="E158">
            <v>351957</v>
          </cell>
        </row>
        <row r="159">
          <cell r="A159" t="str">
            <v>CHD822</v>
          </cell>
          <cell r="B159" t="str">
            <v>Codo 22-1/2°x8" en hierro nodular ASTM 536 clase 6422-1/2 Extremo junta hidráulica</v>
          </cell>
          <cell r="C159" t="str">
            <v>Und.</v>
          </cell>
          <cell r="D159">
            <v>429962.54399999999</v>
          </cell>
          <cell r="E159">
            <v>511655</v>
          </cell>
        </row>
        <row r="160">
          <cell r="A160" t="str">
            <v>CHD1045</v>
          </cell>
          <cell r="B160" t="str">
            <v>Codo 45°x10" en hierro nodular ASTM 536 clase 6445 Extremo junta hidráulica</v>
          </cell>
          <cell r="C160" t="str">
            <v>Und.</v>
          </cell>
          <cell r="D160">
            <v>945917.59679999994</v>
          </cell>
          <cell r="E160">
            <v>1125642</v>
          </cell>
        </row>
        <row r="161">
          <cell r="A161" t="str">
            <v>CHD1245</v>
          </cell>
          <cell r="B161" t="str">
            <v>Codo 45°x12" en hierro nodular ASTM 536 clase 6445 Extremo junta hidráulica</v>
          </cell>
          <cell r="C161" t="str">
            <v>Und.</v>
          </cell>
          <cell r="D161">
            <v>1227347.6256000001</v>
          </cell>
          <cell r="E161">
            <v>1460544</v>
          </cell>
        </row>
        <row r="162">
          <cell r="A162" t="str">
            <v>CHD345</v>
          </cell>
          <cell r="B162" t="str">
            <v>Codo 3" x 45° en hierro nodular ASTM 536 clase 6445 Extremo junta hidráulica</v>
          </cell>
          <cell r="C162" t="str">
            <v>Und.</v>
          </cell>
          <cell r="D162">
            <v>126382.9296</v>
          </cell>
          <cell r="E162">
            <v>150396</v>
          </cell>
        </row>
        <row r="163">
          <cell r="A163" t="str">
            <v>CHD445</v>
          </cell>
          <cell r="B163" t="str">
            <v>Codo 4" x 45° en hierro nodular ASTM 536 clase 6445 Extremo junta hidráulica</v>
          </cell>
          <cell r="C163" t="str">
            <v>Und.</v>
          </cell>
          <cell r="D163">
            <v>126382.9296</v>
          </cell>
          <cell r="E163">
            <v>150396</v>
          </cell>
        </row>
        <row r="164">
          <cell r="A164" t="str">
            <v>CHD645</v>
          </cell>
          <cell r="B164" t="str">
            <v>Codo 45°x6" en hierro nodular ASTM 536 clase 6445 Extremo junta hidráulica</v>
          </cell>
          <cell r="C164" t="str">
            <v>Und.</v>
          </cell>
          <cell r="D164">
            <v>286641.696</v>
          </cell>
          <cell r="E164">
            <v>341104</v>
          </cell>
        </row>
        <row r="165">
          <cell r="A165" t="str">
            <v>CHD845</v>
          </cell>
          <cell r="B165" t="str">
            <v>Codo 45°x8" en hierro nodular ASTM 536 clase 6445 Extremo junta hidráulica</v>
          </cell>
          <cell r="C165" t="str">
            <v>Und.</v>
          </cell>
          <cell r="D165">
            <v>644943.81599999999</v>
          </cell>
          <cell r="E165">
            <v>767483</v>
          </cell>
        </row>
        <row r="166">
          <cell r="A166" t="str">
            <v>CHD1090</v>
          </cell>
          <cell r="B166" t="str">
            <v>Codo 90°x10" en hierro nodular ASTM 536 clase 6445 Extremo junta hidráulica</v>
          </cell>
          <cell r="C166" t="str">
            <v>Und.</v>
          </cell>
          <cell r="D166">
            <v>1117902.6143999998</v>
          </cell>
          <cell r="E166">
            <v>1330304</v>
          </cell>
        </row>
        <row r="167">
          <cell r="A167" t="str">
            <v>CHD1290</v>
          </cell>
          <cell r="B167" t="str">
            <v>Codo 90°x12" en hierro nodular ASTM 536 clase 6445 Extremo junta hidráulica</v>
          </cell>
          <cell r="C167" t="str">
            <v>Und.</v>
          </cell>
          <cell r="D167">
            <v>1335489.72</v>
          </cell>
          <cell r="E167">
            <v>1589233</v>
          </cell>
        </row>
        <row r="168">
          <cell r="A168" t="str">
            <v>CHD390</v>
          </cell>
          <cell r="B168" t="str">
            <v>Codo 3" x 90° en hierro nodular ASTM 536 clase 6445 E.L</v>
          </cell>
          <cell r="C168" t="str">
            <v>Und.</v>
          </cell>
          <cell r="D168">
            <v>118565.42879999999</v>
          </cell>
          <cell r="E168">
            <v>141093</v>
          </cell>
        </row>
        <row r="169">
          <cell r="A169" t="str">
            <v>CHD490</v>
          </cell>
          <cell r="B169" t="str">
            <v>Codo 4" x 90° en hierro nodular ASTM 536 clase 6445 E.L</v>
          </cell>
          <cell r="C169" t="str">
            <v>Und.</v>
          </cell>
          <cell r="D169">
            <v>122474.1792</v>
          </cell>
          <cell r="E169">
            <v>145744</v>
          </cell>
        </row>
        <row r="170">
          <cell r="A170" t="str">
            <v>CHD690</v>
          </cell>
          <cell r="B170" t="str">
            <v>Codo 90°x6" en hierro nodular ASTM 536 clase 6445 Extremo junta hidráulica</v>
          </cell>
          <cell r="C170" t="str">
            <v>Und.</v>
          </cell>
          <cell r="D170">
            <v>317911.69920000003</v>
          </cell>
          <cell r="E170">
            <v>378315</v>
          </cell>
        </row>
        <row r="171">
          <cell r="A171" t="str">
            <v>CHD890</v>
          </cell>
          <cell r="B171" t="str">
            <v>Codo 90°x8" en hierro nodular ASTM 536 clase 6445 Extremo junta hidráulica</v>
          </cell>
          <cell r="C171" t="str">
            <v>Und.</v>
          </cell>
          <cell r="D171">
            <v>601947.56160000002</v>
          </cell>
          <cell r="E171">
            <v>716318</v>
          </cell>
        </row>
        <row r="172">
          <cell r="A172" t="str">
            <v>CRHD10</v>
          </cell>
          <cell r="B172" t="str">
            <v>Cruz 10" en hierro nodular ASTM 536 clase 6445 Extremo junta hidráulica</v>
          </cell>
          <cell r="C172" t="str">
            <v>Und.</v>
          </cell>
          <cell r="D172">
            <v>1768058.0976000002</v>
          </cell>
          <cell r="E172">
            <v>2103989</v>
          </cell>
        </row>
        <row r="173">
          <cell r="A173" t="str">
            <v>CRHD12</v>
          </cell>
          <cell r="B173" t="str">
            <v>Cruz 12" en hierro nodular ASTM 536 clase 6445 Extremo junta hidráulica</v>
          </cell>
          <cell r="C173" t="str">
            <v>Und.</v>
          </cell>
          <cell r="D173">
            <v>2465118.5855999999</v>
          </cell>
          <cell r="E173">
            <v>2933491</v>
          </cell>
        </row>
        <row r="174">
          <cell r="A174" t="str">
            <v>CRHD3</v>
          </cell>
          <cell r="B174" t="str">
            <v>Cruz 3" en hierro nodular ASTM 536 clase 6445 Extremo junta hidráulica</v>
          </cell>
          <cell r="C174" t="str">
            <v>Und.</v>
          </cell>
          <cell r="D174">
            <v>158955.84960000002</v>
          </cell>
          <cell r="E174">
            <v>189157</v>
          </cell>
        </row>
        <row r="175">
          <cell r="A175" t="str">
            <v>CRHD4</v>
          </cell>
          <cell r="B175" t="str">
            <v>Cruz 4" en hierro nodular ASTM 536 clase 6445 Extremo junta hidráulica</v>
          </cell>
          <cell r="C175" t="str">
            <v>Und.</v>
          </cell>
          <cell r="D175">
            <v>242342.52480000001</v>
          </cell>
          <cell r="E175">
            <v>288388</v>
          </cell>
        </row>
        <row r="176">
          <cell r="A176" t="str">
            <v>CRHD6</v>
          </cell>
          <cell r="B176" t="str">
            <v>Cruz 6" en hierro nodular ASTM 536 clase 6445 Extremo junta hidráulica</v>
          </cell>
          <cell r="C176" t="str">
            <v>Und.</v>
          </cell>
          <cell r="D176">
            <v>519863.80319999997</v>
          </cell>
          <cell r="E176">
            <v>618638</v>
          </cell>
        </row>
        <row r="177">
          <cell r="A177" t="str">
            <v>CRHD63</v>
          </cell>
          <cell r="B177" t="str">
            <v>Cruz reducida de 6x3" en hierro nodular ASTM 536 clase 6445 Extremo junta hidráulica</v>
          </cell>
          <cell r="C177" t="str">
            <v>Und.</v>
          </cell>
          <cell r="D177">
            <v>320517.53279999999</v>
          </cell>
          <cell r="E177">
            <v>381416</v>
          </cell>
        </row>
        <row r="178">
          <cell r="A178" t="str">
            <v>CRHD8</v>
          </cell>
          <cell r="B178" t="str">
            <v>Cruz 8" en hierro nodular ASTM 536 clase 6445 Extremo junta hidráulica</v>
          </cell>
          <cell r="C178" t="str">
            <v>Und.</v>
          </cell>
          <cell r="D178">
            <v>962855.51520000002</v>
          </cell>
          <cell r="E178">
            <v>1145798</v>
          </cell>
        </row>
        <row r="179">
          <cell r="A179" t="str">
            <v>CRHD83</v>
          </cell>
          <cell r="B179" t="str">
            <v>Cruz 8X3" en hierro nodular ASTM 536 clase 6445 Extremo junta hidráulica</v>
          </cell>
          <cell r="C179" t="str">
            <v>Und.</v>
          </cell>
          <cell r="D179">
            <v>642200</v>
          </cell>
          <cell r="E179">
            <v>764218</v>
          </cell>
        </row>
        <row r="180">
          <cell r="A180" t="str">
            <v>HD3</v>
          </cell>
          <cell r="B180" t="str">
            <v>Hidrante tipo Milan de 3", de 200 psi de presión de trabajo, en hierro gris (Norma AWWA C-503 NTC 382), extremo junta hidráulica.</v>
          </cell>
          <cell r="C180" t="str">
            <v>Und.</v>
          </cell>
          <cell r="D180">
            <v>1734182.2608</v>
          </cell>
          <cell r="E180">
            <v>2063677</v>
          </cell>
        </row>
        <row r="181">
          <cell r="A181" t="str">
            <v>HD4</v>
          </cell>
          <cell r="B181" t="str">
            <v>Hidrante tipo Milan de 4", de 200 psi de presión de trabajo, en hierro gris (Norma AWWA C-503 NTC 382), extremo junta hidráulica.</v>
          </cell>
          <cell r="C181" t="str">
            <v>Und.</v>
          </cell>
          <cell r="D181">
            <v>2492479.8384000002</v>
          </cell>
          <cell r="E181">
            <v>2966051</v>
          </cell>
        </row>
        <row r="182">
          <cell r="A182" t="str">
            <v>HD6</v>
          </cell>
          <cell r="B182" t="str">
            <v>Hidrante tipo poste de 6", de 200 psi de presión de trabajo, en hierro gris (Norma AWWA C-503 NTC 382), extremo brida</v>
          </cell>
          <cell r="C182" t="str">
            <v>Und.</v>
          </cell>
          <cell r="D182">
            <v>2561534.4288000003</v>
          </cell>
          <cell r="E182">
            <v>3048226</v>
          </cell>
        </row>
        <row r="183">
          <cell r="A183" t="str">
            <v>RD43</v>
          </cell>
          <cell r="B183" t="str">
            <v>Reducción de 4"x3", extremo junta hidráulica.</v>
          </cell>
          <cell r="C183" t="str">
            <v>Und.</v>
          </cell>
          <cell r="D183">
            <v>100100</v>
          </cell>
          <cell r="E183">
            <v>119119</v>
          </cell>
        </row>
        <row r="184">
          <cell r="A184" t="str">
            <v>RD63</v>
          </cell>
          <cell r="B184" t="str">
            <v>Reducción de 6"x3", extremo junta hidráulica.</v>
          </cell>
          <cell r="C184" t="str">
            <v>Und.</v>
          </cell>
          <cell r="D184">
            <v>162500</v>
          </cell>
          <cell r="E184">
            <v>193375</v>
          </cell>
        </row>
        <row r="185">
          <cell r="A185" t="str">
            <v>RD64</v>
          </cell>
          <cell r="B185" t="str">
            <v>Reducción de 6"x4", extremo junta hidráulica.</v>
          </cell>
          <cell r="C185" t="str">
            <v>Und.</v>
          </cell>
          <cell r="D185">
            <v>197600</v>
          </cell>
          <cell r="E185">
            <v>235144</v>
          </cell>
        </row>
        <row r="186">
          <cell r="A186" t="str">
            <v>RD83</v>
          </cell>
          <cell r="B186" t="str">
            <v>Reducción de 8"x3", extremo junta hidráulica.</v>
          </cell>
          <cell r="C186" t="str">
            <v>Und.</v>
          </cell>
          <cell r="D186">
            <v>250900</v>
          </cell>
          <cell r="E186">
            <v>298571</v>
          </cell>
        </row>
        <row r="187">
          <cell r="A187" t="str">
            <v>RD84</v>
          </cell>
          <cell r="B187" t="str">
            <v>Reducción de 8"x4", extremo junta hidráulica.</v>
          </cell>
          <cell r="C187" t="str">
            <v>Und.</v>
          </cell>
          <cell r="D187">
            <v>295100</v>
          </cell>
          <cell r="E187">
            <v>351169</v>
          </cell>
        </row>
        <row r="188">
          <cell r="A188" t="str">
            <v>RD86</v>
          </cell>
          <cell r="B188" t="str">
            <v>Reducción de 8"x6", extremo junta hidráulica.</v>
          </cell>
          <cell r="C188" t="str">
            <v>Und.</v>
          </cell>
          <cell r="D188">
            <v>327600</v>
          </cell>
          <cell r="E188">
            <v>389844</v>
          </cell>
        </row>
        <row r="189">
          <cell r="A189" t="str">
            <v>RD106</v>
          </cell>
          <cell r="B189" t="str">
            <v>Reducción de 10"x6", extremo junta hidráulica.</v>
          </cell>
          <cell r="C189" t="str">
            <v>Und.</v>
          </cell>
          <cell r="D189">
            <v>523900</v>
          </cell>
          <cell r="E189">
            <v>623441</v>
          </cell>
        </row>
        <row r="190">
          <cell r="A190" t="str">
            <v>RD108</v>
          </cell>
          <cell r="B190" t="str">
            <v>Reducción de 10"x8", extremo junta hidráulica.</v>
          </cell>
          <cell r="C190" t="str">
            <v>Und.</v>
          </cell>
          <cell r="D190">
            <v>621400</v>
          </cell>
          <cell r="E190">
            <v>739466</v>
          </cell>
        </row>
        <row r="191">
          <cell r="A191" t="str">
            <v>RC12</v>
          </cell>
          <cell r="B191" t="str">
            <v>Registro de corte de 1/2" en cobre</v>
          </cell>
          <cell r="C191" t="str">
            <v>Und.</v>
          </cell>
          <cell r="D191">
            <v>14332.084800000001</v>
          </cell>
          <cell r="E191">
            <v>17055</v>
          </cell>
        </row>
        <row r="192">
          <cell r="A192" t="str">
            <v>RC18</v>
          </cell>
          <cell r="B192" t="str">
            <v>Registro de corte de 3/4" en cobre</v>
          </cell>
          <cell r="C192" t="str">
            <v>Und.</v>
          </cell>
          <cell r="D192">
            <v>26275.488800000003</v>
          </cell>
          <cell r="E192">
            <v>31268</v>
          </cell>
        </row>
        <row r="193">
          <cell r="A193" t="str">
            <v>RI12</v>
          </cell>
          <cell r="B193" t="str">
            <v>Registro de incorporación de 1/2" en cobre</v>
          </cell>
          <cell r="C193" t="str">
            <v>Und.</v>
          </cell>
          <cell r="D193">
            <v>14332.084800000001</v>
          </cell>
          <cell r="E193">
            <v>17055</v>
          </cell>
        </row>
        <row r="194">
          <cell r="A194" t="str">
            <v>RI18</v>
          </cell>
          <cell r="B194" t="str">
            <v>Registro de incorporación de 3/4" en cobre</v>
          </cell>
          <cell r="C194" t="str">
            <v>Und.</v>
          </cell>
          <cell r="D194">
            <v>26275.488800000003</v>
          </cell>
          <cell r="E194">
            <v>31268</v>
          </cell>
        </row>
        <row r="195">
          <cell r="A195" t="str">
            <v>TV</v>
          </cell>
          <cell r="B195" t="str">
            <v>Tapa válvula de 20cm x 20cm para tráfico pesado (En lámina de 3/8" y ángulo de 2x2x1/4, 2 Bisagras de Cápsula, anticorrosivo y pintura negra, resistente a la interperie)</v>
          </cell>
          <cell r="C195" t="str">
            <v>Und.</v>
          </cell>
          <cell r="D195">
            <v>97935.912800000006</v>
          </cell>
          <cell r="E195">
            <v>116544</v>
          </cell>
        </row>
        <row r="196">
          <cell r="A196" t="str">
            <v>TE10</v>
          </cell>
          <cell r="B196" t="str">
            <v>Tee en hierro ductil STM A-536, extremo junta hidráulica,  de 10"x10"x10"</v>
          </cell>
          <cell r="C196" t="str">
            <v>Und.</v>
          </cell>
          <cell r="D196">
            <v>1410516.0124000001</v>
          </cell>
          <cell r="E196">
            <v>1678514</v>
          </cell>
        </row>
        <row r="197">
          <cell r="A197" t="str">
            <v>TE103</v>
          </cell>
          <cell r="B197" t="str">
            <v>Tee en hierro ductil STM A-536, extremo junta hidráulica,  de 10"x3"x10"</v>
          </cell>
          <cell r="C197" t="str">
            <v>Und.</v>
          </cell>
          <cell r="D197">
            <v>875451.51320000004</v>
          </cell>
          <cell r="E197">
            <v>1041787</v>
          </cell>
        </row>
        <row r="198">
          <cell r="A198" t="str">
            <v>TE104</v>
          </cell>
          <cell r="B198" t="str">
            <v>Tee en hierro ductil STM A-536, extremo junta hidráulica,  de 10"x4"x10"</v>
          </cell>
          <cell r="C198" t="str">
            <v>Und.</v>
          </cell>
          <cell r="D198">
            <v>906504.36360000016</v>
          </cell>
          <cell r="E198">
            <v>1078740</v>
          </cell>
        </row>
        <row r="199">
          <cell r="A199" t="str">
            <v>TE106</v>
          </cell>
          <cell r="B199" t="str">
            <v>Tee en hierro ductil STM A-536, extremo junta hidráulica,  de 10"x6"x10"</v>
          </cell>
          <cell r="C199" t="str">
            <v>Und.</v>
          </cell>
          <cell r="D199">
            <v>954277.97960000008</v>
          </cell>
          <cell r="E199">
            <v>1135591</v>
          </cell>
        </row>
        <row r="200">
          <cell r="A200" t="str">
            <v>TE108</v>
          </cell>
          <cell r="B200" t="str">
            <v>Tee en hierro ductil STM A-536, extremo junta hidráulica,  de 10"x8"x10"</v>
          </cell>
          <cell r="C200" t="str">
            <v>Und.</v>
          </cell>
          <cell r="D200">
            <v>1113125.2528000001</v>
          </cell>
          <cell r="E200">
            <v>1324619</v>
          </cell>
        </row>
        <row r="201">
          <cell r="A201" t="str">
            <v>TE1210</v>
          </cell>
          <cell r="B201" t="str">
            <v>Tee en hierro ductil STM A-536, extremo junta hidráulica,  de 12"x10"x12"</v>
          </cell>
          <cell r="C201" t="str">
            <v>Und.</v>
          </cell>
          <cell r="D201">
            <v>2066208.8920000002</v>
          </cell>
          <cell r="E201">
            <v>2458789</v>
          </cell>
        </row>
        <row r="202">
          <cell r="A202" t="str">
            <v>TE12</v>
          </cell>
          <cell r="B202" t="str">
            <v>Tee en hierro ductil STM A-536, extremo junta hidráulica,  de 12"x12"x12"</v>
          </cell>
          <cell r="C202" t="str">
            <v>Und.</v>
          </cell>
          <cell r="D202">
            <v>2385097.7788000004</v>
          </cell>
          <cell r="E202">
            <v>2838266</v>
          </cell>
        </row>
        <row r="203">
          <cell r="A203" t="str">
            <v>TE123</v>
          </cell>
          <cell r="B203" t="str">
            <v>Tee en hierro ductil STM A-536, extremo junta hidráulica,  de 12"x3"x12"</v>
          </cell>
          <cell r="C203" t="str">
            <v>Und.</v>
          </cell>
          <cell r="D203">
            <v>1271972.5260000003</v>
          </cell>
          <cell r="E203">
            <v>1513647</v>
          </cell>
        </row>
        <row r="204">
          <cell r="A204" t="str">
            <v>TE124</v>
          </cell>
          <cell r="B204" t="str">
            <v>Tee en hierro ductil STM A-536, extremo junta hidráulica,  de 12"x4"x12"</v>
          </cell>
          <cell r="C204" t="str">
            <v>Und.</v>
          </cell>
          <cell r="D204">
            <v>1303025.3764000002</v>
          </cell>
          <cell r="E204">
            <v>1550600</v>
          </cell>
        </row>
        <row r="205">
          <cell r="A205" t="str">
            <v>TE126</v>
          </cell>
          <cell r="B205" t="str">
            <v>Tee en hierro ductil STM A-536, extremo junta hidráulica,  de 12"x6"x12"</v>
          </cell>
          <cell r="C205" t="str">
            <v>Und.</v>
          </cell>
          <cell r="D205">
            <v>1589667.0724000002</v>
          </cell>
          <cell r="E205">
            <v>1891704</v>
          </cell>
        </row>
        <row r="206">
          <cell r="A206" t="str">
            <v>TE128</v>
          </cell>
          <cell r="B206" t="str">
            <v>Tee en hierro ductil STM A-536, extremo junta hidráulica,  de 12"x8"x12"</v>
          </cell>
          <cell r="C206" t="str">
            <v>Und.</v>
          </cell>
          <cell r="D206">
            <v>1748514.3456000001</v>
          </cell>
          <cell r="E206">
            <v>2080732</v>
          </cell>
        </row>
        <row r="207">
          <cell r="A207" t="str">
            <v>TE2</v>
          </cell>
          <cell r="B207" t="str">
            <v>Tee en hierro ductil STM A-536, extremo junta hidráulica,  de 2"</v>
          </cell>
          <cell r="C207" t="str">
            <v>Und.</v>
          </cell>
          <cell r="D207">
            <v>72800</v>
          </cell>
          <cell r="E207">
            <v>86632</v>
          </cell>
        </row>
        <row r="208">
          <cell r="A208" t="str">
            <v>TE3</v>
          </cell>
          <cell r="B208" t="str">
            <v>Tee en hierro ductil STM A-536, extremo junta hidráulica,  de 3"</v>
          </cell>
          <cell r="C208" t="str">
            <v>Und.</v>
          </cell>
          <cell r="D208">
            <v>136500</v>
          </cell>
          <cell r="E208">
            <v>162435</v>
          </cell>
        </row>
        <row r="209">
          <cell r="A209" t="str">
            <v>TE32</v>
          </cell>
          <cell r="B209" t="str">
            <v>Tee en hierro ductil STM A-536, extremo junta hidráulica,  de 3X2"</v>
          </cell>
          <cell r="C209" t="str">
            <v>Und.</v>
          </cell>
          <cell r="D209">
            <v>92300</v>
          </cell>
          <cell r="E209">
            <v>109837</v>
          </cell>
        </row>
        <row r="210">
          <cell r="A210" t="str">
            <v>TE43</v>
          </cell>
          <cell r="B210" t="str">
            <v>Tee en hierro ductil STM A-536, extremo junta hidráulica,  de 4"x3"x4"</v>
          </cell>
          <cell r="C210" t="str">
            <v>Und.</v>
          </cell>
          <cell r="D210">
            <v>144300</v>
          </cell>
          <cell r="E210">
            <v>171717</v>
          </cell>
        </row>
        <row r="211">
          <cell r="A211" t="str">
            <v>TE4</v>
          </cell>
          <cell r="B211" t="str">
            <v>Tee en hierro ductil STM A-536, extremo junta hidráulica,  de 4"x4"x4"</v>
          </cell>
          <cell r="C211" t="str">
            <v>Und.</v>
          </cell>
          <cell r="D211">
            <v>179400</v>
          </cell>
          <cell r="E211">
            <v>213486</v>
          </cell>
        </row>
        <row r="212">
          <cell r="A212" t="str">
            <v>TE62</v>
          </cell>
          <cell r="B212" t="str">
            <v>Tee en hierro ductil STM A-536, extremo junta hidráulica,  de 6"x2"x6"</v>
          </cell>
          <cell r="C212" t="str">
            <v>Und.</v>
          </cell>
          <cell r="D212">
            <v>289000</v>
          </cell>
          <cell r="E212">
            <v>343910</v>
          </cell>
        </row>
        <row r="213">
          <cell r="A213" t="str">
            <v>TE63</v>
          </cell>
          <cell r="B213" t="str">
            <v>Tee en hierro ductil STM A-536, extremo junta hidráulica,  de 6"x3"x6"</v>
          </cell>
          <cell r="C213" t="str">
            <v>Und.</v>
          </cell>
          <cell r="D213">
            <v>306800</v>
          </cell>
          <cell r="E213">
            <v>365092</v>
          </cell>
        </row>
        <row r="214">
          <cell r="A214" t="str">
            <v>TE64</v>
          </cell>
          <cell r="B214" t="str">
            <v>Tee en hierro ductil STM A-536, extremo junta hidráulica,  de 6"x4"x6"</v>
          </cell>
          <cell r="C214" t="str">
            <v>Und.</v>
          </cell>
          <cell r="D214">
            <v>400000</v>
          </cell>
          <cell r="E214">
            <v>476000</v>
          </cell>
        </row>
        <row r="215">
          <cell r="A215" t="str">
            <v>TE6</v>
          </cell>
          <cell r="B215" t="str">
            <v>Tee en hierro ductil STM A-536, extremo junta hidráulica,  de 6"x6"x6"</v>
          </cell>
          <cell r="C215" t="str">
            <v>Und.</v>
          </cell>
          <cell r="D215">
            <v>449800</v>
          </cell>
          <cell r="E215">
            <v>535262</v>
          </cell>
        </row>
        <row r="216">
          <cell r="A216" t="str">
            <v>TE82</v>
          </cell>
          <cell r="B216" t="str">
            <v>Tee en hierro ductil STM A-536, extremo junta hidráulica,  de 8"x2"x8"</v>
          </cell>
          <cell r="C216" t="str">
            <v>Und.</v>
          </cell>
          <cell r="D216">
            <v>549900</v>
          </cell>
          <cell r="E216">
            <v>654381</v>
          </cell>
        </row>
        <row r="217">
          <cell r="A217" t="str">
            <v>TE83</v>
          </cell>
          <cell r="B217" t="str">
            <v>Tee en hierro ductil STM A-536, extremo junta hidráulica,  de 8"x3"x8"</v>
          </cell>
          <cell r="C217" t="str">
            <v>Und.</v>
          </cell>
          <cell r="D217">
            <v>630500</v>
          </cell>
          <cell r="E217">
            <v>750295</v>
          </cell>
        </row>
        <row r="218">
          <cell r="A218" t="str">
            <v>TE84</v>
          </cell>
          <cell r="B218" t="str">
            <v>Tee en hierro ductil STM A-536, extremo junta hidráulica,  de 8"x4"x8"</v>
          </cell>
          <cell r="C218" t="str">
            <v>Und.</v>
          </cell>
          <cell r="D218">
            <v>718900</v>
          </cell>
          <cell r="E218">
            <v>855491</v>
          </cell>
        </row>
        <row r="219">
          <cell r="A219" t="str">
            <v>TE86</v>
          </cell>
          <cell r="B219" t="str">
            <v>Tee en hierro ductil STM A-536, extremo junta hidráulica,  de 8"x6"x8"</v>
          </cell>
          <cell r="C219" t="str">
            <v>Und.</v>
          </cell>
          <cell r="D219">
            <v>755300</v>
          </cell>
          <cell r="E219">
            <v>898807</v>
          </cell>
        </row>
        <row r="220">
          <cell r="A220" t="str">
            <v>TE8</v>
          </cell>
          <cell r="B220" t="str">
            <v>Tee en hierro ductil STM A-536, extremo junta hidráulica,  de 8"x8"x8"</v>
          </cell>
          <cell r="C220" t="str">
            <v>Und.</v>
          </cell>
          <cell r="D220">
            <v>811200</v>
          </cell>
          <cell r="E220">
            <v>965328</v>
          </cell>
        </row>
        <row r="221">
          <cell r="A221" t="str">
            <v>TE110</v>
          </cell>
          <cell r="B221" t="str">
            <v>Tee en hierro ductil STM A-536, extremo junta hidráulica,  de 10"x10"x10"</v>
          </cell>
          <cell r="C221" t="str">
            <v>Und.</v>
          </cell>
          <cell r="D221">
            <v>1596400</v>
          </cell>
          <cell r="E221">
            <v>1899716</v>
          </cell>
        </row>
        <row r="222">
          <cell r="A222" t="str">
            <v>TE1212</v>
          </cell>
          <cell r="B222" t="str">
            <v>Tee en hierro ductil STM A-536, extremo junta hidráulica,  de 12"x12"x12"</v>
          </cell>
          <cell r="C222" t="str">
            <v>Und.</v>
          </cell>
          <cell r="D222">
            <v>2454000</v>
          </cell>
          <cell r="E222">
            <v>2920260</v>
          </cell>
        </row>
        <row r="223">
          <cell r="A223" t="str">
            <v>THD4</v>
          </cell>
          <cell r="B223" t="str">
            <v xml:space="preserve">Tuberia estandar HD DN 100 mm K9 </v>
          </cell>
          <cell r="C223" t="str">
            <v>ml</v>
          </cell>
          <cell r="D223">
            <v>0</v>
          </cell>
          <cell r="E223">
            <v>0</v>
          </cell>
        </row>
        <row r="224">
          <cell r="A224" t="str">
            <v>THD6</v>
          </cell>
          <cell r="B224" t="str">
            <v xml:space="preserve">Tuberia estandar HD DN 150 mm K9 </v>
          </cell>
          <cell r="C224" t="str">
            <v>ml</v>
          </cell>
          <cell r="D224">
            <v>0</v>
          </cell>
          <cell r="E224">
            <v>0</v>
          </cell>
        </row>
        <row r="225">
          <cell r="A225" t="str">
            <v>THD8</v>
          </cell>
          <cell r="B225" t="str">
            <v xml:space="preserve">Tuberia estandar HD DN 200 mm K9 </v>
          </cell>
          <cell r="C225" t="str">
            <v>ml</v>
          </cell>
          <cell r="D225">
            <v>0</v>
          </cell>
          <cell r="E225">
            <v>0</v>
          </cell>
        </row>
        <row r="226">
          <cell r="A226" t="str">
            <v>THD10</v>
          </cell>
          <cell r="B226" t="str">
            <v xml:space="preserve">Tuberia estandar HD DN 250 mm K8 </v>
          </cell>
          <cell r="C226" t="str">
            <v>ml</v>
          </cell>
          <cell r="D226">
            <v>0</v>
          </cell>
          <cell r="E226">
            <v>0</v>
          </cell>
        </row>
        <row r="227">
          <cell r="A227" t="str">
            <v>THD12</v>
          </cell>
          <cell r="B227" t="str">
            <v xml:space="preserve">Tuberia estandar HD DN 300 mm K7 </v>
          </cell>
          <cell r="C227" t="str">
            <v>ml</v>
          </cell>
          <cell r="D227">
            <v>0</v>
          </cell>
          <cell r="E227">
            <v>0</v>
          </cell>
        </row>
        <row r="228">
          <cell r="A228" t="str">
            <v>THD14</v>
          </cell>
          <cell r="B228" t="str">
            <v xml:space="preserve">Tuberia estandar HD DN 350 mm K7 </v>
          </cell>
          <cell r="C228" t="str">
            <v>ml</v>
          </cell>
          <cell r="D228">
            <v>0</v>
          </cell>
          <cell r="E228">
            <v>0</v>
          </cell>
        </row>
        <row r="229">
          <cell r="A229" t="str">
            <v>THD16</v>
          </cell>
          <cell r="B229" t="str">
            <v xml:space="preserve">Tuberia estandar HD DN 400 mm K7 </v>
          </cell>
          <cell r="C229" t="str">
            <v>ml</v>
          </cell>
          <cell r="D229">
            <v>0</v>
          </cell>
          <cell r="E229">
            <v>0</v>
          </cell>
        </row>
        <row r="230">
          <cell r="A230" t="str">
            <v>THD18</v>
          </cell>
          <cell r="B230" t="str">
            <v xml:space="preserve">Tuberia estandar HD DN 450 mm K7 </v>
          </cell>
          <cell r="C230" t="str">
            <v>ml</v>
          </cell>
          <cell r="D230">
            <v>0</v>
          </cell>
          <cell r="E230">
            <v>0</v>
          </cell>
        </row>
        <row r="231">
          <cell r="A231" t="str">
            <v>THD20</v>
          </cell>
          <cell r="B231" t="str">
            <v xml:space="preserve">Tuberia estandar HD DN 500 mm K7 </v>
          </cell>
          <cell r="C231" t="str">
            <v>ml</v>
          </cell>
          <cell r="D231">
            <v>0</v>
          </cell>
          <cell r="E231">
            <v>0</v>
          </cell>
        </row>
        <row r="232">
          <cell r="A232" t="str">
            <v>THD24</v>
          </cell>
          <cell r="B232" t="str">
            <v xml:space="preserve">Tuberia estandar HD DN 600 mm K7 </v>
          </cell>
          <cell r="C232" t="str">
            <v>ml</v>
          </cell>
          <cell r="D232">
            <v>0</v>
          </cell>
          <cell r="E232">
            <v>0</v>
          </cell>
        </row>
        <row r="233">
          <cell r="A233" t="str">
            <v>THD28</v>
          </cell>
          <cell r="B233" t="str">
            <v xml:space="preserve">Tuberia estandar HD DN 700 mm K7 </v>
          </cell>
          <cell r="C233" t="str">
            <v>ml</v>
          </cell>
          <cell r="D233">
            <v>0</v>
          </cell>
          <cell r="E233">
            <v>0</v>
          </cell>
        </row>
        <row r="234">
          <cell r="A234" t="str">
            <v>THD32</v>
          </cell>
          <cell r="B234" t="str">
            <v xml:space="preserve">Tuberia estandar HD DN 800 mm K7 </v>
          </cell>
          <cell r="C234" t="str">
            <v>ml</v>
          </cell>
          <cell r="D234">
            <v>0</v>
          </cell>
          <cell r="E234">
            <v>0</v>
          </cell>
        </row>
        <row r="235">
          <cell r="A235" t="str">
            <v>THD36</v>
          </cell>
          <cell r="B235" t="str">
            <v xml:space="preserve">Tuberia estandar HD DN 900 mm K7 </v>
          </cell>
          <cell r="C235" t="str">
            <v>ml</v>
          </cell>
          <cell r="D235">
            <v>0</v>
          </cell>
          <cell r="E235">
            <v>0</v>
          </cell>
        </row>
        <row r="236">
          <cell r="A236" t="str">
            <v>THD40</v>
          </cell>
          <cell r="B236" t="str">
            <v xml:space="preserve">Tuberia estandar HD DN 1000 mm K7 </v>
          </cell>
          <cell r="C236" t="str">
            <v>ml</v>
          </cell>
          <cell r="D236">
            <v>0</v>
          </cell>
          <cell r="E236">
            <v>0</v>
          </cell>
        </row>
        <row r="237">
          <cell r="A237" t="str">
            <v>UU10</v>
          </cell>
          <cell r="B237" t="str">
            <v>Unión universal de 10" en hierro ductil (ASTM-A-536).  R1</v>
          </cell>
          <cell r="C237" t="str">
            <v>Und.</v>
          </cell>
          <cell r="D237">
            <v>397800</v>
          </cell>
          <cell r="E237">
            <v>473382</v>
          </cell>
        </row>
        <row r="238">
          <cell r="A238" t="str">
            <v>UU12</v>
          </cell>
          <cell r="B238" t="str">
            <v>Unión universal de 12" en hierro ductil (ASTM-A-536).  R1</v>
          </cell>
          <cell r="C238" t="str">
            <v>Und.</v>
          </cell>
          <cell r="D238">
            <v>578500</v>
          </cell>
          <cell r="E238">
            <v>688415</v>
          </cell>
        </row>
        <row r="239">
          <cell r="A239" t="str">
            <v>UUH2</v>
          </cell>
          <cell r="B239" t="str">
            <v>Unión universal de 2" en hierro ductil (ASTM-A-536).  Acople para diferentes tuberías</v>
          </cell>
          <cell r="C239" t="str">
            <v>Und.</v>
          </cell>
          <cell r="D239">
            <v>102700</v>
          </cell>
          <cell r="E239">
            <v>122213</v>
          </cell>
        </row>
        <row r="240">
          <cell r="A240" t="str">
            <v>UUH3</v>
          </cell>
          <cell r="B240" t="str">
            <v>Unión universal de 3" en hierro ductil (ASTM-A-536).  Acople para diferentes tuberías</v>
          </cell>
          <cell r="C240" t="str">
            <v>Und.</v>
          </cell>
          <cell r="D240">
            <v>85000</v>
          </cell>
          <cell r="E240">
            <v>101150</v>
          </cell>
        </row>
        <row r="241">
          <cell r="A241" t="str">
            <v>UUH4</v>
          </cell>
          <cell r="B241" t="str">
            <v>Unión universal de 4" en hierro ductil (ASTM-A-536).  Acople para diferentes tuberías</v>
          </cell>
          <cell r="C241" t="str">
            <v>Und.</v>
          </cell>
          <cell r="D241">
            <v>95000</v>
          </cell>
          <cell r="E241">
            <v>113050</v>
          </cell>
        </row>
        <row r="242">
          <cell r="A242" t="str">
            <v>UUH6</v>
          </cell>
          <cell r="B242" t="str">
            <v>Unión universal de 6" en hierro ductil (ASTM-A-536).  Acople para diferentes tuberías</v>
          </cell>
          <cell r="C242" t="str">
            <v>Und.</v>
          </cell>
          <cell r="D242">
            <v>180000</v>
          </cell>
          <cell r="E242">
            <v>214200</v>
          </cell>
        </row>
        <row r="243">
          <cell r="A243" t="str">
            <v>UUH8</v>
          </cell>
          <cell r="B243" t="str">
            <v>Unión universal de 8" en hierro ductil (ASTM-A-536).  R1</v>
          </cell>
          <cell r="C243" t="str">
            <v>Und.</v>
          </cell>
          <cell r="D243">
            <v>235000</v>
          </cell>
          <cell r="E243">
            <v>279650</v>
          </cell>
        </row>
        <row r="244">
          <cell r="A244" t="str">
            <v>VCE2</v>
          </cell>
          <cell r="B244" t="str">
            <v>Válvula de compuerta elástica en hierro dúctil (ASTM-A-536) de 2", vástago no ascendente en acero inoxidable, presión de trabajo 250 psi. Extremo Brida.</v>
          </cell>
          <cell r="C244" t="str">
            <v>Und.</v>
          </cell>
          <cell r="D244">
            <v>358000</v>
          </cell>
          <cell r="E244">
            <v>426020</v>
          </cell>
        </row>
        <row r="245">
          <cell r="A245" t="str">
            <v>VCE3</v>
          </cell>
          <cell r="B245" t="str">
            <v>Válvula de compuerta elástica en hierro dúctil (ASTM-A-536) de 3", vástago no ascendente en acero inoxidable, presión de trabajo 250 psi. Extremo Liso Para PVC</v>
          </cell>
          <cell r="C245" t="str">
            <v>Und.</v>
          </cell>
          <cell r="D245">
            <v>400000</v>
          </cell>
          <cell r="E245">
            <v>476000</v>
          </cell>
        </row>
        <row r="246">
          <cell r="A246" t="str">
            <v>VCE4</v>
          </cell>
          <cell r="B246" t="str">
            <v>Válvula de compuerta elástica en hierro dúctil (ASTM-A-536) de 4", vástago no ascendente en acero inoxidable, presión de trabajo 250 psi. Extremo Liso para PVC</v>
          </cell>
          <cell r="C246" t="str">
            <v>Und.</v>
          </cell>
          <cell r="D246">
            <v>530000</v>
          </cell>
          <cell r="E246">
            <v>630700</v>
          </cell>
        </row>
        <row r="247">
          <cell r="A247" t="str">
            <v>VCE6</v>
          </cell>
          <cell r="B247" t="str">
            <v>Válvula de compuerta elástica en hierro dúctil (ASTM-A-536) de 6", vástago no ascendente en acero inoxidable, presión de trabajo 250 psi. Extremo Brida.</v>
          </cell>
          <cell r="C247" t="str">
            <v>Und.</v>
          </cell>
          <cell r="D247">
            <v>1025000</v>
          </cell>
          <cell r="E247">
            <v>1219750</v>
          </cell>
          <cell r="F247">
            <v>50</v>
          </cell>
          <cell r="G247">
            <v>1000</v>
          </cell>
        </row>
        <row r="248">
          <cell r="A248" t="str">
            <v>VCE8</v>
          </cell>
          <cell r="B248" t="str">
            <v>Válvula de compuerta elástica en hierro dúctil (ASTM-A-536) de 8", vástago no ascendente en acero inoxidable, presión de trabajo 250 psi. Extremo Brida.</v>
          </cell>
          <cell r="C248" t="str">
            <v>Und.</v>
          </cell>
          <cell r="D248">
            <v>1500000</v>
          </cell>
          <cell r="E248">
            <v>1785000</v>
          </cell>
          <cell r="F248">
            <v>50</v>
          </cell>
          <cell r="G248">
            <v>1000</v>
          </cell>
        </row>
        <row r="249">
          <cell r="A249" t="str">
            <v>VCE10</v>
          </cell>
          <cell r="B249" t="str">
            <v>Válvula de compuerta elástica en hierro dúctil (ASTM-A-536) de 10", vástago no ascendente en acero inoxidable, presión de trabajo 250 psi. Extremo Liso para PVC</v>
          </cell>
          <cell r="C249" t="str">
            <v>Und.</v>
          </cell>
          <cell r="D249">
            <v>3303000</v>
          </cell>
          <cell r="E249">
            <v>3930570</v>
          </cell>
        </row>
        <row r="250">
          <cell r="A250" t="str">
            <v>VCE12</v>
          </cell>
          <cell r="B250" t="str">
            <v>Válvula de compuerta elástica en hierro dúctil (ASTM-A-536) de 12", vástago no ascendente en acero inoxidable, presión de trabajo 250 psi. Extremo Liso para PVC</v>
          </cell>
          <cell r="C250" t="str">
            <v>Und.</v>
          </cell>
          <cell r="D250">
            <v>4130000</v>
          </cell>
          <cell r="E250">
            <v>4914700</v>
          </cell>
        </row>
        <row r="251">
          <cell r="A251" t="str">
            <v>VCL2</v>
          </cell>
          <cell r="B251" t="str">
            <v>Válvula de cierre lento tipo globo en hierro dúctil (ASTM-A-536) de 2". Extremo Brida para PVC</v>
          </cell>
          <cell r="C251" t="str">
            <v>Und.</v>
          </cell>
          <cell r="D251">
            <v>652800</v>
          </cell>
          <cell r="E251">
            <v>776832</v>
          </cell>
        </row>
        <row r="252">
          <cell r="A252" t="str">
            <v>VCL3</v>
          </cell>
          <cell r="B252" t="str">
            <v>Válvula de cierre lento tipo globo en hierro dúctil (ASTM-A-536) de 3". Extremo Brida para PVC</v>
          </cell>
          <cell r="C252" t="str">
            <v>Und.</v>
          </cell>
          <cell r="D252">
            <v>897600</v>
          </cell>
          <cell r="E252">
            <v>1068144</v>
          </cell>
        </row>
        <row r="253">
          <cell r="A253" t="str">
            <v>VVC2</v>
          </cell>
          <cell r="B253" t="str">
            <v>Válvula Ventosa doble cámara triple efecto multiple acción HD 2". Extremo Brida</v>
          </cell>
          <cell r="C253" t="str">
            <v>Und.</v>
          </cell>
          <cell r="D253">
            <v>780000</v>
          </cell>
          <cell r="E253">
            <v>928200</v>
          </cell>
        </row>
        <row r="254">
          <cell r="A254" t="str">
            <v>ACCESORIOS Y TUBERÍA PVC PRESIÓN - ACUEDUCTO</v>
          </cell>
        </row>
        <row r="255">
          <cell r="A255" t="str">
            <v>MATERIALES</v>
          </cell>
        </row>
        <row r="256">
          <cell r="A256" t="str">
            <v>COD</v>
          </cell>
          <cell r="B256" t="str">
            <v>DESCRIPCION</v>
          </cell>
          <cell r="C256" t="str">
            <v>UNIDAD</v>
          </cell>
          <cell r="D256" t="str">
            <v>Vr. Sin IVA</v>
          </cell>
          <cell r="E256" t="str">
            <v>Vr. Con IVA</v>
          </cell>
          <cell r="F256" t="str">
            <v>TRANSPORTE</v>
          </cell>
        </row>
        <row r="257">
          <cell r="E257">
            <v>0.19</v>
          </cell>
          <cell r="F257" t="str">
            <v>DIST/. (Km)</v>
          </cell>
          <cell r="G257" t="str">
            <v>TARIFA $/m3</v>
          </cell>
        </row>
        <row r="258">
          <cell r="A258" t="str">
            <v>TUBERÍA Y ACCESORIOS PVC PARA ACUEDUCTO Y RIEGO</v>
          </cell>
        </row>
        <row r="259">
          <cell r="A259" t="str">
            <v>TUBERÍA PRESIÓN EXTREMO LISO</v>
          </cell>
        </row>
        <row r="260">
          <cell r="A260" t="str">
            <v>TP1/29</v>
          </cell>
          <cell r="B260" t="str">
            <v>Tubería PVC Presión E.L. de 1/2" RDE 9</v>
          </cell>
          <cell r="C260" t="str">
            <v>m.</v>
          </cell>
          <cell r="D260">
            <v>2513</v>
          </cell>
          <cell r="E260">
            <v>2990</v>
          </cell>
        </row>
        <row r="261">
          <cell r="A261" t="str">
            <v>TP3/411</v>
          </cell>
          <cell r="B261" t="str">
            <v>Tubería PVC Presión E.L. de 3/4" RDE 11</v>
          </cell>
          <cell r="C261" t="str">
            <v>m.</v>
          </cell>
          <cell r="D261">
            <v>3347</v>
          </cell>
          <cell r="E261">
            <v>3983</v>
          </cell>
        </row>
        <row r="262">
          <cell r="A262" t="str">
            <v>TP1/213.5</v>
          </cell>
          <cell r="B262" t="str">
            <v>Tubería PVC Presión E.L. de 1/2" RDE 13.5</v>
          </cell>
          <cell r="C262" t="str">
            <v>m.</v>
          </cell>
          <cell r="D262">
            <v>1794</v>
          </cell>
          <cell r="E262">
            <v>2135</v>
          </cell>
        </row>
        <row r="263">
          <cell r="A263" t="str">
            <v>TP113.5</v>
          </cell>
          <cell r="B263" t="str">
            <v>Tubería PVC Presión E.L. de 1" RDE 13.5</v>
          </cell>
          <cell r="C263" t="str">
            <v>m.</v>
          </cell>
          <cell r="D263">
            <v>4517</v>
          </cell>
          <cell r="E263">
            <v>5375</v>
          </cell>
        </row>
        <row r="264">
          <cell r="A264" t="str">
            <v>TP3/421</v>
          </cell>
          <cell r="B264" t="str">
            <v>Tubería PVC Presión E.L. de 3/4" RDE 21</v>
          </cell>
          <cell r="C264" t="str">
            <v>m.</v>
          </cell>
          <cell r="D264">
            <v>2221</v>
          </cell>
          <cell r="E264">
            <v>2643</v>
          </cell>
        </row>
        <row r="265">
          <cell r="A265" t="str">
            <v>TP121</v>
          </cell>
          <cell r="B265" t="str">
            <v>Tubería PVC Presión E.L. de 1" RDE 21</v>
          </cell>
          <cell r="C265" t="str">
            <v>m.</v>
          </cell>
          <cell r="D265">
            <v>3118</v>
          </cell>
          <cell r="E265">
            <v>3710</v>
          </cell>
        </row>
        <row r="266">
          <cell r="A266" t="str">
            <v>TP1-1/421</v>
          </cell>
          <cell r="B266" t="str">
            <v>Tubería PVC Presión E.L. de 1-1/4" RDE 21</v>
          </cell>
          <cell r="C266" t="str">
            <v>m.</v>
          </cell>
          <cell r="D266">
            <v>5619</v>
          </cell>
          <cell r="E266">
            <v>6687</v>
          </cell>
        </row>
        <row r="267">
          <cell r="A267" t="str">
            <v>TP1-1/221</v>
          </cell>
          <cell r="B267" t="str">
            <v>Tubería PVC Presión E.L. de 1-1/2" RDE 21</v>
          </cell>
          <cell r="C267" t="str">
            <v>m.</v>
          </cell>
          <cell r="D267">
            <v>7337</v>
          </cell>
          <cell r="E267">
            <v>8731</v>
          </cell>
        </row>
        <row r="268">
          <cell r="A268" t="str">
            <v>TP221</v>
          </cell>
          <cell r="B268" t="str">
            <v>Tubería PVC Presión E.L. de 2" RDE 21</v>
          </cell>
          <cell r="C268" t="str">
            <v>m.</v>
          </cell>
          <cell r="D268">
            <v>11251</v>
          </cell>
          <cell r="E268">
            <v>13389</v>
          </cell>
        </row>
        <row r="269">
          <cell r="A269" t="str">
            <v>TP2-1/221</v>
          </cell>
          <cell r="B269" t="str">
            <v>Tubería PVC Presión E.L. de 2-1/2" RDE 21</v>
          </cell>
          <cell r="C269" t="str">
            <v>m.</v>
          </cell>
          <cell r="D269">
            <v>18233</v>
          </cell>
          <cell r="E269">
            <v>21697</v>
          </cell>
        </row>
        <row r="270">
          <cell r="A270" t="str">
            <v>TP321</v>
          </cell>
          <cell r="B270" t="str">
            <v>Tubería PVC Presión E.L. de 3" RDE 21</v>
          </cell>
          <cell r="C270" t="str">
            <v>m.</v>
          </cell>
          <cell r="D270">
            <v>24344</v>
          </cell>
          <cell r="E270">
            <v>28969</v>
          </cell>
        </row>
        <row r="271">
          <cell r="A271" t="str">
            <v>TP421</v>
          </cell>
          <cell r="B271" t="str">
            <v>Tubería PVC Presión E.L. de 4" RDE 21</v>
          </cell>
          <cell r="C271" t="str">
            <v>m.</v>
          </cell>
          <cell r="D271">
            <v>41523</v>
          </cell>
          <cell r="E271">
            <v>49412</v>
          </cell>
        </row>
        <row r="272">
          <cell r="A272" t="str">
            <v>TP226</v>
          </cell>
          <cell r="B272" t="str">
            <v>Tubería PVC Presión E.L. de 2" RDE 26</v>
          </cell>
          <cell r="C272" t="str">
            <v>m.</v>
          </cell>
          <cell r="D272">
            <v>9289</v>
          </cell>
          <cell r="E272">
            <v>11054</v>
          </cell>
        </row>
        <row r="273">
          <cell r="A273" t="str">
            <v>TP2-1/226</v>
          </cell>
          <cell r="B273" t="str">
            <v>Tubería PVC Presión E.L. de 2-1/2" RDE 26</v>
          </cell>
          <cell r="C273" t="str">
            <v>m.</v>
          </cell>
          <cell r="D273">
            <v>14073</v>
          </cell>
          <cell r="E273">
            <v>16747</v>
          </cell>
        </row>
        <row r="274">
          <cell r="A274" t="str">
            <v>TP326</v>
          </cell>
          <cell r="B274" t="str">
            <v>Tubería PVC Presión E.L. de 3" RDE 26</v>
          </cell>
          <cell r="C274" t="str">
            <v>m.</v>
          </cell>
          <cell r="D274">
            <v>19845</v>
          </cell>
          <cell r="E274">
            <v>23616</v>
          </cell>
        </row>
        <row r="275">
          <cell r="A275" t="str">
            <v>TP426</v>
          </cell>
          <cell r="B275" t="str">
            <v>Tubería PVC Presión E.L. de 4" RDE 26</v>
          </cell>
          <cell r="C275" t="str">
            <v>m.</v>
          </cell>
          <cell r="D275">
            <v>32979</v>
          </cell>
          <cell r="E275">
            <v>39245</v>
          </cell>
        </row>
        <row r="276">
          <cell r="A276" t="str">
            <v>TP332.5</v>
          </cell>
          <cell r="B276" t="str">
            <v>Tubería PVC Presión E.L. de 3" RDE 32.5</v>
          </cell>
          <cell r="C276" t="str">
            <v>m.</v>
          </cell>
          <cell r="D276">
            <v>16689</v>
          </cell>
          <cell r="E276">
            <v>19860</v>
          </cell>
        </row>
        <row r="277">
          <cell r="A277" t="str">
            <v>TP432.5</v>
          </cell>
          <cell r="B277" t="str">
            <v>Tubería PVC Presión E.L. de 4" RDE 32.5</v>
          </cell>
          <cell r="C277" t="str">
            <v>m.</v>
          </cell>
          <cell r="D277">
            <v>26454</v>
          </cell>
          <cell r="E277">
            <v>31480</v>
          </cell>
        </row>
        <row r="278">
          <cell r="A278" t="str">
            <v>TP441</v>
          </cell>
          <cell r="B278" t="str">
            <v>Tubería PVC Presión E.L. de 4" RDE 41</v>
          </cell>
          <cell r="C278" t="str">
            <v>m.</v>
          </cell>
          <cell r="D278">
            <v>22714</v>
          </cell>
          <cell r="E278">
            <v>27030</v>
          </cell>
        </row>
        <row r="280">
          <cell r="A280" t="str">
            <v>ACCESORIOS PRESION Liso - Roscado</v>
          </cell>
        </row>
        <row r="281">
          <cell r="B281" t="str">
            <v>Adaptador Hembra PVC</v>
          </cell>
        </row>
        <row r="282">
          <cell r="A282" t="str">
            <v>AH1/2*3/4</v>
          </cell>
          <cell r="B282" t="str">
            <v>Adaptador Hembra PVC de 1/2"x1/4"</v>
          </cell>
          <cell r="C282" t="str">
            <v>Und.</v>
          </cell>
          <cell r="D282">
            <v>585</v>
          </cell>
          <cell r="E282">
            <v>696</v>
          </cell>
        </row>
        <row r="283">
          <cell r="A283" t="str">
            <v>AH1/2*3/8</v>
          </cell>
          <cell r="B283" t="str">
            <v>Adaptador Hembra PVC de 1/2"x3/8"</v>
          </cell>
          <cell r="C283" t="str">
            <v>Und.</v>
          </cell>
          <cell r="D283">
            <v>1084</v>
          </cell>
          <cell r="E283">
            <v>1290</v>
          </cell>
        </row>
        <row r="284">
          <cell r="A284" t="str">
            <v>AH1/2</v>
          </cell>
          <cell r="B284" t="str">
            <v>Adaptador Hembra PVC de 1/2"</v>
          </cell>
          <cell r="C284" t="str">
            <v>Und.</v>
          </cell>
          <cell r="D284">
            <v>316</v>
          </cell>
          <cell r="E284">
            <v>376</v>
          </cell>
        </row>
        <row r="285">
          <cell r="A285" t="str">
            <v>AH3/4</v>
          </cell>
          <cell r="B285" t="str">
            <v>Adaptador Hembra PVC de 3/4"</v>
          </cell>
          <cell r="C285" t="str">
            <v>Und.</v>
          </cell>
          <cell r="D285">
            <v>572</v>
          </cell>
          <cell r="E285">
            <v>681</v>
          </cell>
        </row>
        <row r="286">
          <cell r="A286" t="str">
            <v>AH1</v>
          </cell>
          <cell r="B286" t="str">
            <v>Adaptador Hembra PVC de 1"</v>
          </cell>
          <cell r="C286" t="str">
            <v>Und.</v>
          </cell>
          <cell r="D286">
            <v>1275</v>
          </cell>
          <cell r="E286">
            <v>1517</v>
          </cell>
        </row>
        <row r="287">
          <cell r="A287" t="str">
            <v>AH1-1/4</v>
          </cell>
          <cell r="B287" t="str">
            <v>Adaptador Hembra PVC de 1 1/4"</v>
          </cell>
          <cell r="C287" t="str">
            <v>Und.</v>
          </cell>
          <cell r="D287">
            <v>2086</v>
          </cell>
          <cell r="E287">
            <v>2482</v>
          </cell>
        </row>
        <row r="288">
          <cell r="A288" t="str">
            <v>AH1-1/2</v>
          </cell>
          <cell r="B288" t="str">
            <v>Adaptador Hembra PVC de 1 1/2"</v>
          </cell>
          <cell r="C288" t="str">
            <v>Und.</v>
          </cell>
          <cell r="D288">
            <v>3529</v>
          </cell>
          <cell r="E288">
            <v>4200</v>
          </cell>
        </row>
        <row r="289">
          <cell r="A289" t="str">
            <v>AH2</v>
          </cell>
          <cell r="B289" t="str">
            <v>Adaptador Hembra PVC de 2"</v>
          </cell>
          <cell r="C289" t="str">
            <v>Und.</v>
          </cell>
          <cell r="D289">
            <v>6285</v>
          </cell>
          <cell r="E289">
            <v>7479</v>
          </cell>
        </row>
        <row r="290">
          <cell r="A290" t="str">
            <v>AH2-1/2</v>
          </cell>
          <cell r="B290" t="str">
            <v>Adaptador Hembra PVC de 2 1/2"</v>
          </cell>
          <cell r="C290" t="str">
            <v>Und.</v>
          </cell>
          <cell r="D290">
            <v>11699</v>
          </cell>
          <cell r="E290">
            <v>13922</v>
          </cell>
        </row>
        <row r="291">
          <cell r="A291" t="str">
            <v>AH3</v>
          </cell>
          <cell r="B291" t="str">
            <v>Adaptador Hembra PVC de 3"</v>
          </cell>
          <cell r="C291" t="str">
            <v>Und.</v>
          </cell>
          <cell r="D291">
            <v>18460</v>
          </cell>
          <cell r="E291">
            <v>21967</v>
          </cell>
        </row>
        <row r="292">
          <cell r="A292" t="str">
            <v>AH4</v>
          </cell>
          <cell r="B292" t="str">
            <v>Adaptador Hembra PVC de 4"</v>
          </cell>
          <cell r="C292" t="str">
            <v>Und.</v>
          </cell>
          <cell r="D292">
            <v>33351</v>
          </cell>
          <cell r="E292">
            <v>39688</v>
          </cell>
        </row>
        <row r="294">
          <cell r="B294" t="str">
            <v>Adaptador Macho PVC</v>
          </cell>
        </row>
        <row r="295">
          <cell r="A295" t="str">
            <v>AM1/2</v>
          </cell>
          <cell r="B295" t="str">
            <v>Adaptador Macho PVC de 1/2"</v>
          </cell>
          <cell r="C295" t="str">
            <v>Und.</v>
          </cell>
          <cell r="D295">
            <v>280</v>
          </cell>
          <cell r="E295">
            <v>333</v>
          </cell>
        </row>
        <row r="296">
          <cell r="A296" t="str">
            <v>AM3/4</v>
          </cell>
          <cell r="B296" t="str">
            <v>Adaptador Macho PVC de 3/4"</v>
          </cell>
          <cell r="C296" t="str">
            <v>Und.</v>
          </cell>
          <cell r="D296">
            <v>509</v>
          </cell>
          <cell r="E296">
            <v>606</v>
          </cell>
        </row>
        <row r="297">
          <cell r="A297" t="str">
            <v>AM1</v>
          </cell>
          <cell r="B297" t="str">
            <v>Adaptador Macho PVC de 1"</v>
          </cell>
          <cell r="C297" t="str">
            <v>Und.</v>
          </cell>
          <cell r="D297">
            <v>1066</v>
          </cell>
          <cell r="E297">
            <v>1269</v>
          </cell>
        </row>
        <row r="298">
          <cell r="A298" t="str">
            <v>AM1-1/4</v>
          </cell>
          <cell r="B298" t="str">
            <v>Adaptador Macho PVC de 1 1/4"</v>
          </cell>
          <cell r="C298" t="str">
            <v>Und.</v>
          </cell>
          <cell r="D298">
            <v>2244</v>
          </cell>
          <cell r="E298">
            <v>2670</v>
          </cell>
        </row>
        <row r="299">
          <cell r="A299" t="str">
            <v>AM1-1/2</v>
          </cell>
          <cell r="B299" t="str">
            <v>Adaptador Macho PVC de 1 1/2"</v>
          </cell>
          <cell r="C299" t="str">
            <v>Und.</v>
          </cell>
          <cell r="D299">
            <v>2630</v>
          </cell>
          <cell r="E299">
            <v>3130</v>
          </cell>
        </row>
        <row r="300">
          <cell r="A300" t="str">
            <v>AM2</v>
          </cell>
          <cell r="B300" t="str">
            <v>Adaptador Macho PVC de 2"</v>
          </cell>
          <cell r="C300" t="str">
            <v>Und.</v>
          </cell>
          <cell r="D300">
            <v>3756</v>
          </cell>
          <cell r="E300">
            <v>4470</v>
          </cell>
        </row>
        <row r="301">
          <cell r="A301" t="str">
            <v>AM2-1/2</v>
          </cell>
          <cell r="B301" t="str">
            <v>Adaptador Macho PVC de 2 1/2"</v>
          </cell>
          <cell r="C301" t="str">
            <v>Und.</v>
          </cell>
          <cell r="D301">
            <v>9773</v>
          </cell>
          <cell r="E301">
            <v>11630</v>
          </cell>
        </row>
        <row r="302">
          <cell r="A302" t="str">
            <v>AM3</v>
          </cell>
          <cell r="B302" t="str">
            <v>Adaptador Macho PVC de 3"</v>
          </cell>
          <cell r="C302" t="str">
            <v>Und.</v>
          </cell>
          <cell r="D302">
            <v>14765</v>
          </cell>
          <cell r="E302">
            <v>17570</v>
          </cell>
        </row>
        <row r="303">
          <cell r="A303" t="str">
            <v>AM4</v>
          </cell>
          <cell r="B303" t="str">
            <v>Adaptador Macho PVC de 4"</v>
          </cell>
          <cell r="C303" t="str">
            <v>Und.</v>
          </cell>
          <cell r="D303">
            <v>27177</v>
          </cell>
          <cell r="E303">
            <v>32341</v>
          </cell>
        </row>
        <row r="305">
          <cell r="B305" t="str">
            <v>Buje Roscado</v>
          </cell>
        </row>
        <row r="306">
          <cell r="A306" t="str">
            <v>BR1/2*1/4</v>
          </cell>
          <cell r="B306" t="str">
            <v>Buje Roscado de 1/2"x1/4"</v>
          </cell>
          <cell r="C306" t="str">
            <v>Und.</v>
          </cell>
          <cell r="D306">
            <v>736</v>
          </cell>
          <cell r="E306">
            <v>876</v>
          </cell>
        </row>
        <row r="307">
          <cell r="A307" t="str">
            <v>BR1/2*3/8</v>
          </cell>
          <cell r="B307" t="str">
            <v>Buje Roscado de 1/2"x3/8"</v>
          </cell>
          <cell r="C307" t="str">
            <v>Und.</v>
          </cell>
          <cell r="D307">
            <v>733</v>
          </cell>
          <cell r="E307">
            <v>872</v>
          </cell>
        </row>
        <row r="308">
          <cell r="A308" t="str">
            <v>BR3/4*1/2</v>
          </cell>
          <cell r="B308" t="str">
            <v>Buje Roscado de 3/4"x1/2"</v>
          </cell>
          <cell r="C308" t="str">
            <v>Und.</v>
          </cell>
          <cell r="D308">
            <v>921</v>
          </cell>
          <cell r="E308">
            <v>1096</v>
          </cell>
        </row>
        <row r="309">
          <cell r="A309" t="str">
            <v>BR1*1/2</v>
          </cell>
          <cell r="B309" t="str">
            <v>Buje Roscado de 1"x1/2"</v>
          </cell>
          <cell r="C309" t="str">
            <v>Und.</v>
          </cell>
          <cell r="D309">
            <v>1606</v>
          </cell>
          <cell r="E309">
            <v>1911</v>
          </cell>
        </row>
        <row r="310">
          <cell r="A310" t="str">
            <v>BR1*3/4</v>
          </cell>
          <cell r="B310" t="str">
            <v>Buje Roscado de 1"x3/4"</v>
          </cell>
          <cell r="C310" t="str">
            <v>Und.</v>
          </cell>
          <cell r="D310">
            <v>1606</v>
          </cell>
          <cell r="E310">
            <v>1911</v>
          </cell>
        </row>
        <row r="311">
          <cell r="A311" t="str">
            <v>BR1-1/4*1/2</v>
          </cell>
          <cell r="B311" t="str">
            <v>Buje Roscado de 1 1/4"x1/2"</v>
          </cell>
          <cell r="C311" t="str">
            <v>Und.</v>
          </cell>
          <cell r="D311">
            <v>2695</v>
          </cell>
          <cell r="E311">
            <v>3207</v>
          </cell>
        </row>
        <row r="312">
          <cell r="A312" t="str">
            <v>BR1-1/4*3/4</v>
          </cell>
          <cell r="B312" t="str">
            <v>Buje Roscado de 1 1/4"x3/4"</v>
          </cell>
          <cell r="C312" t="str">
            <v>Und.</v>
          </cell>
          <cell r="D312">
            <v>2695</v>
          </cell>
          <cell r="E312">
            <v>3207</v>
          </cell>
        </row>
        <row r="313">
          <cell r="A313" t="str">
            <v>BR1-1/4*1</v>
          </cell>
          <cell r="B313" t="str">
            <v>Buje Roscado de 1 1/4"x1"</v>
          </cell>
          <cell r="C313" t="str">
            <v>Und.</v>
          </cell>
          <cell r="D313">
            <v>2695</v>
          </cell>
          <cell r="E313">
            <v>3207</v>
          </cell>
        </row>
        <row r="314">
          <cell r="A314" t="str">
            <v>BR1-1/2*1-1/2</v>
          </cell>
          <cell r="B314" t="str">
            <v>Buje Roscado de 1 1/2"x1 1/2"</v>
          </cell>
          <cell r="C314" t="str">
            <v>Und.</v>
          </cell>
          <cell r="D314">
            <v>3214</v>
          </cell>
          <cell r="E314">
            <v>3825</v>
          </cell>
        </row>
        <row r="315">
          <cell r="A315" t="str">
            <v>BR1-1/2*1-3/4</v>
          </cell>
          <cell r="B315" t="str">
            <v>Buje Roscado de 1 1/2"x1 3/4"</v>
          </cell>
          <cell r="C315" t="str">
            <v>Und.</v>
          </cell>
          <cell r="D315">
            <v>3214</v>
          </cell>
          <cell r="E315">
            <v>3825</v>
          </cell>
        </row>
        <row r="316">
          <cell r="A316" t="str">
            <v>BR1-1/2*1</v>
          </cell>
          <cell r="B316" t="str">
            <v>Buje Roscado de 1 1/2"x1"</v>
          </cell>
          <cell r="C316" t="str">
            <v>Und.</v>
          </cell>
          <cell r="D316">
            <v>3214</v>
          </cell>
          <cell r="E316">
            <v>3825</v>
          </cell>
        </row>
        <row r="317">
          <cell r="A317" t="str">
            <v>BR1-1/2*1-1/4</v>
          </cell>
          <cell r="B317" t="str">
            <v>Buje Roscado de 1 1/2x1 1/4"</v>
          </cell>
          <cell r="C317" t="str">
            <v>Und.</v>
          </cell>
          <cell r="D317">
            <v>3214</v>
          </cell>
          <cell r="E317">
            <v>3825</v>
          </cell>
        </row>
        <row r="318">
          <cell r="A318" t="str">
            <v>BR2*3/4</v>
          </cell>
          <cell r="B318" t="str">
            <v>Buje Roscado de 2"x3/4"</v>
          </cell>
          <cell r="C318" t="str">
            <v>Und.</v>
          </cell>
          <cell r="D318">
            <v>5171</v>
          </cell>
          <cell r="E318">
            <v>6153</v>
          </cell>
        </row>
        <row r="319">
          <cell r="A319" t="str">
            <v>BR2*1</v>
          </cell>
          <cell r="B319" t="str">
            <v>Buje Roscado de 2"x1"</v>
          </cell>
          <cell r="C319" t="str">
            <v>Und.</v>
          </cell>
          <cell r="D319">
            <v>5171</v>
          </cell>
          <cell r="E319">
            <v>6153</v>
          </cell>
        </row>
        <row r="320">
          <cell r="A320" t="str">
            <v>BR2*1-1/4</v>
          </cell>
          <cell r="B320" t="str">
            <v>Buje Roscado de 2"x1 1/4"</v>
          </cell>
          <cell r="C320" t="str">
            <v>Und.</v>
          </cell>
          <cell r="D320">
            <v>5171</v>
          </cell>
          <cell r="E320">
            <v>6153</v>
          </cell>
        </row>
        <row r="321">
          <cell r="A321" t="str">
            <v>BR2*1-1/2</v>
          </cell>
          <cell r="B321" t="str">
            <v>Buje Roscado de 2"x1 1/2"</v>
          </cell>
          <cell r="C321" t="str">
            <v>Und.</v>
          </cell>
          <cell r="D321">
            <v>5168</v>
          </cell>
          <cell r="E321">
            <v>6150</v>
          </cell>
        </row>
        <row r="322">
          <cell r="A322" t="str">
            <v>BR2-1/2*1</v>
          </cell>
          <cell r="B322" t="str">
            <v>Buje Roscado de 2 1/2"x1"</v>
          </cell>
          <cell r="C322" t="str">
            <v>Und.</v>
          </cell>
          <cell r="D322">
            <v>3795</v>
          </cell>
          <cell r="E322">
            <v>4516</v>
          </cell>
        </row>
        <row r="323">
          <cell r="A323" t="str">
            <v>BR2-1/2*2</v>
          </cell>
          <cell r="B323" t="str">
            <v>Buje Roscado de 2 1/2"x2"</v>
          </cell>
          <cell r="C323" t="str">
            <v>Und.</v>
          </cell>
          <cell r="D323">
            <v>5180</v>
          </cell>
          <cell r="E323">
            <v>6164</v>
          </cell>
        </row>
        <row r="324">
          <cell r="A324" t="str">
            <v>BR3*2</v>
          </cell>
          <cell r="B324" t="str">
            <v>Buje Roscado de 3"x2"</v>
          </cell>
          <cell r="C324" t="str">
            <v>Und.</v>
          </cell>
          <cell r="D324">
            <v>22717</v>
          </cell>
          <cell r="E324">
            <v>27033</v>
          </cell>
        </row>
        <row r="325">
          <cell r="A325" t="str">
            <v>BR4*2-1/2</v>
          </cell>
          <cell r="B325" t="str">
            <v>Buje Roscado de 4"x2 1/2"</v>
          </cell>
          <cell r="C325" t="str">
            <v>Und.</v>
          </cell>
          <cell r="D325">
            <v>16672</v>
          </cell>
          <cell r="E325">
            <v>19840</v>
          </cell>
        </row>
        <row r="327">
          <cell r="B327" t="str">
            <v>Buje Soldado</v>
          </cell>
        </row>
        <row r="328">
          <cell r="A328" t="str">
            <v>BS3/4*1/2</v>
          </cell>
          <cell r="B328" t="str">
            <v>Buje Soldado de 3/4 x 1/2</v>
          </cell>
          <cell r="C328" t="str">
            <v>Und.</v>
          </cell>
          <cell r="D328">
            <v>394</v>
          </cell>
          <cell r="E328">
            <v>469</v>
          </cell>
        </row>
        <row r="329">
          <cell r="A329" t="str">
            <v>BS1*1/2</v>
          </cell>
          <cell r="B329" t="str">
            <v>Buje Soldado de 1 x 1/2</v>
          </cell>
          <cell r="C329" t="str">
            <v>Und.</v>
          </cell>
          <cell r="D329">
            <v>787</v>
          </cell>
          <cell r="E329">
            <v>937</v>
          </cell>
        </row>
        <row r="330">
          <cell r="A330" t="str">
            <v>BS1*3/4</v>
          </cell>
          <cell r="B330" t="str">
            <v>Buje Soldado de 1 x 3/4</v>
          </cell>
          <cell r="C330" t="str">
            <v>Und.</v>
          </cell>
          <cell r="D330">
            <v>787</v>
          </cell>
          <cell r="E330">
            <v>937</v>
          </cell>
        </row>
        <row r="331">
          <cell r="A331" t="str">
            <v>BS1-1/4*1/2</v>
          </cell>
          <cell r="B331" t="str">
            <v>Buje Soldado de 1 1/4 x 1/2</v>
          </cell>
          <cell r="C331" t="str">
            <v>Und.</v>
          </cell>
          <cell r="D331">
            <v>1513</v>
          </cell>
          <cell r="E331">
            <v>1800</v>
          </cell>
        </row>
        <row r="332">
          <cell r="A332" t="str">
            <v>BS1-1/4*3/4</v>
          </cell>
          <cell r="B332" t="str">
            <v>Buje Soldado de 1 1/4 x 3/4</v>
          </cell>
          <cell r="C332" t="str">
            <v>Und.</v>
          </cell>
          <cell r="D332">
            <v>1513</v>
          </cell>
          <cell r="E332">
            <v>1800</v>
          </cell>
        </row>
        <row r="333">
          <cell r="A333" t="str">
            <v>BS1-1/4*1</v>
          </cell>
          <cell r="B333" t="str">
            <v>Buje Soldado de 1 1/4 x 1</v>
          </cell>
          <cell r="C333" t="str">
            <v>Und.</v>
          </cell>
          <cell r="D333">
            <v>1513</v>
          </cell>
          <cell r="E333">
            <v>1800</v>
          </cell>
        </row>
        <row r="334">
          <cell r="A334" t="str">
            <v>BS1-1/2*1/2</v>
          </cell>
          <cell r="B334" t="str">
            <v>Buje Soldado de 1 1/2 x 1/2</v>
          </cell>
          <cell r="C334" t="str">
            <v>Und.</v>
          </cell>
          <cell r="D334">
            <v>2336</v>
          </cell>
          <cell r="E334">
            <v>2780</v>
          </cell>
        </row>
        <row r="335">
          <cell r="A335" t="str">
            <v>BS1-1/2*3/4</v>
          </cell>
          <cell r="B335" t="str">
            <v>Buje Soldado de 1 1/2 x 3/4</v>
          </cell>
          <cell r="C335" t="str">
            <v>Und.</v>
          </cell>
          <cell r="D335">
            <v>2336</v>
          </cell>
          <cell r="E335">
            <v>2780</v>
          </cell>
        </row>
        <row r="336">
          <cell r="A336" t="str">
            <v>BS1-1*2 x 1</v>
          </cell>
          <cell r="B336" t="str">
            <v>Buje Soldado de 1 1/2 x 1</v>
          </cell>
          <cell r="C336" t="str">
            <v>Und.</v>
          </cell>
          <cell r="D336">
            <v>2336</v>
          </cell>
          <cell r="E336">
            <v>2780</v>
          </cell>
        </row>
        <row r="337">
          <cell r="A337" t="str">
            <v>BS1-1/2 x 1*1/4</v>
          </cell>
          <cell r="B337" t="str">
            <v>Buje Soldado de 1 1/2 x 1 1/4</v>
          </cell>
          <cell r="C337" t="str">
            <v>Und.</v>
          </cell>
          <cell r="D337">
            <v>2336</v>
          </cell>
          <cell r="E337">
            <v>2780</v>
          </cell>
        </row>
        <row r="338">
          <cell r="A338" t="str">
            <v>BS2*1/2</v>
          </cell>
          <cell r="B338" t="str">
            <v>Buje Soldado de 2 x 1/2</v>
          </cell>
          <cell r="C338" t="str">
            <v>Und.</v>
          </cell>
          <cell r="D338">
            <v>3573</v>
          </cell>
          <cell r="E338">
            <v>4252</v>
          </cell>
        </row>
        <row r="339">
          <cell r="A339" t="str">
            <v>BS2*3/4</v>
          </cell>
          <cell r="B339" t="str">
            <v>Buje Soldado de 2 x 3/4</v>
          </cell>
          <cell r="C339" t="str">
            <v>Und.</v>
          </cell>
          <cell r="D339">
            <v>3573</v>
          </cell>
          <cell r="E339">
            <v>4252</v>
          </cell>
        </row>
        <row r="340">
          <cell r="A340" t="str">
            <v>BS2*1</v>
          </cell>
          <cell r="B340" t="str">
            <v>Buje Soldado de 2 x 1</v>
          </cell>
          <cell r="C340" t="str">
            <v>Und.</v>
          </cell>
          <cell r="D340">
            <v>3573</v>
          </cell>
          <cell r="E340">
            <v>4252</v>
          </cell>
        </row>
        <row r="341">
          <cell r="A341" t="str">
            <v>BS2*1-1/4</v>
          </cell>
          <cell r="B341" t="str">
            <v>Buje Soldado de 2 x 1 1/4</v>
          </cell>
          <cell r="C341" t="str">
            <v>Und.</v>
          </cell>
          <cell r="D341">
            <v>3573</v>
          </cell>
          <cell r="E341">
            <v>4252</v>
          </cell>
        </row>
        <row r="342">
          <cell r="A342" t="str">
            <v>BS2*1-1/2</v>
          </cell>
          <cell r="B342" t="str">
            <v>Buje Soldado de 2 x 1 1/2</v>
          </cell>
          <cell r="C342" t="str">
            <v>Und.</v>
          </cell>
          <cell r="D342">
            <v>3573</v>
          </cell>
          <cell r="E342">
            <v>4252</v>
          </cell>
        </row>
        <row r="343">
          <cell r="A343" t="str">
            <v>BS2-1/2*1-1/2</v>
          </cell>
          <cell r="B343" t="str">
            <v>Buje Soldado de 2 1/2 x 1 1/2</v>
          </cell>
          <cell r="C343" t="str">
            <v>Und.</v>
          </cell>
          <cell r="D343">
            <v>8965</v>
          </cell>
          <cell r="E343">
            <v>10668</v>
          </cell>
        </row>
        <row r="344">
          <cell r="A344" t="str">
            <v>BS2-1/2*2</v>
          </cell>
          <cell r="B344" t="str">
            <v>Buje Soldado de 2 1/2 x 2</v>
          </cell>
          <cell r="C344" t="str">
            <v>Und.</v>
          </cell>
          <cell r="D344">
            <v>8420</v>
          </cell>
          <cell r="E344">
            <v>10020</v>
          </cell>
        </row>
        <row r="345">
          <cell r="A345" t="str">
            <v>BS3*1-1/2</v>
          </cell>
          <cell r="B345" t="str">
            <v>Buje Soldado de 3 x 11/2</v>
          </cell>
          <cell r="C345" t="str">
            <v>Und.</v>
          </cell>
          <cell r="D345">
            <v>10406</v>
          </cell>
          <cell r="E345">
            <v>12383</v>
          </cell>
        </row>
        <row r="346">
          <cell r="A346" t="str">
            <v>BS3*2</v>
          </cell>
          <cell r="B346" t="str">
            <v>Buje Soldado de 3 x 2</v>
          </cell>
          <cell r="C346" t="str">
            <v>Und.</v>
          </cell>
          <cell r="D346">
            <v>12862</v>
          </cell>
          <cell r="E346">
            <v>15306</v>
          </cell>
        </row>
        <row r="347">
          <cell r="A347" t="str">
            <v>BS3*2-1/2</v>
          </cell>
          <cell r="B347" t="str">
            <v>Buje Soldado de 3 x 2 1/2</v>
          </cell>
          <cell r="C347" t="str">
            <v>Und.</v>
          </cell>
          <cell r="D347">
            <v>12862</v>
          </cell>
          <cell r="E347">
            <v>15306</v>
          </cell>
        </row>
        <row r="348">
          <cell r="A348" t="str">
            <v>BS4*2</v>
          </cell>
          <cell r="B348" t="str">
            <v>Buje Soldado de 4 x 2</v>
          </cell>
          <cell r="C348" t="str">
            <v>Und.</v>
          </cell>
          <cell r="D348">
            <v>20299</v>
          </cell>
          <cell r="E348">
            <v>24156</v>
          </cell>
        </row>
        <row r="349">
          <cell r="A349" t="str">
            <v>BS4*1-1/2</v>
          </cell>
          <cell r="B349" t="str">
            <v>Buje Soldado de 4 x 2 1/2</v>
          </cell>
          <cell r="C349" t="str">
            <v>Und.</v>
          </cell>
          <cell r="D349">
            <v>20299</v>
          </cell>
          <cell r="E349">
            <v>24156</v>
          </cell>
        </row>
        <row r="350">
          <cell r="A350" t="str">
            <v>BS4*3</v>
          </cell>
          <cell r="B350" t="str">
            <v>Buje Soldado de 4 x 3</v>
          </cell>
          <cell r="C350" t="str">
            <v>Und.</v>
          </cell>
          <cell r="D350">
            <v>20299</v>
          </cell>
          <cell r="E350">
            <v>24156</v>
          </cell>
        </row>
        <row r="351">
          <cell r="A351" t="str">
            <v>BS6*4</v>
          </cell>
          <cell r="B351" t="str">
            <v>Buje Soldado de 6 x 4</v>
          </cell>
          <cell r="C351" t="str">
            <v>Und.</v>
          </cell>
          <cell r="D351">
            <v>46193</v>
          </cell>
          <cell r="E351">
            <v>54970</v>
          </cell>
        </row>
        <row r="353">
          <cell r="B353" t="str">
            <v>Codo PVC soldado de 90° x</v>
          </cell>
        </row>
        <row r="354">
          <cell r="A354" t="str">
            <v>C90*1/2</v>
          </cell>
          <cell r="B354" t="str">
            <v>Codo PVC soldado de 90° x 1/2</v>
          </cell>
          <cell r="C354" t="str">
            <v>Und.</v>
          </cell>
          <cell r="D354">
            <v>407</v>
          </cell>
          <cell r="E354">
            <v>484</v>
          </cell>
        </row>
        <row r="355">
          <cell r="A355" t="str">
            <v>C90*3/4</v>
          </cell>
          <cell r="B355" t="str">
            <v>Codo PVC soldado de 90° x 3/4</v>
          </cell>
          <cell r="C355" t="str">
            <v>Und.</v>
          </cell>
          <cell r="D355">
            <v>653</v>
          </cell>
          <cell r="E355">
            <v>777</v>
          </cell>
        </row>
        <row r="356">
          <cell r="A356" t="str">
            <v>C90*1</v>
          </cell>
          <cell r="B356" t="str">
            <v>Codo PVC soldado de 90° x 1</v>
          </cell>
          <cell r="C356" t="str">
            <v>Und.</v>
          </cell>
          <cell r="D356">
            <v>1278</v>
          </cell>
          <cell r="E356">
            <v>1521</v>
          </cell>
        </row>
        <row r="357">
          <cell r="A357" t="str">
            <v>C90*1-1/4</v>
          </cell>
          <cell r="B357" t="str">
            <v>Codo PVC soldado de 90° x 1 1/4</v>
          </cell>
          <cell r="C357" t="str">
            <v>Und.</v>
          </cell>
          <cell r="D357">
            <v>2458</v>
          </cell>
          <cell r="E357">
            <v>2925</v>
          </cell>
        </row>
        <row r="358">
          <cell r="A358" t="str">
            <v>C90*1-1/2</v>
          </cell>
          <cell r="B358" t="str">
            <v>Codo PVC soldado de 90° x 1 1/2</v>
          </cell>
          <cell r="C358" t="str">
            <v>Und.</v>
          </cell>
          <cell r="D358">
            <v>4589</v>
          </cell>
          <cell r="E358">
            <v>5461</v>
          </cell>
        </row>
        <row r="359">
          <cell r="A359" t="str">
            <v>C90*2</v>
          </cell>
          <cell r="B359" t="str">
            <v>Codo PVC soldado de 90° x 2</v>
          </cell>
          <cell r="C359" t="str">
            <v>Und.</v>
          </cell>
          <cell r="D359">
            <v>7524</v>
          </cell>
          <cell r="E359">
            <v>8954</v>
          </cell>
        </row>
        <row r="360">
          <cell r="A360" t="str">
            <v>C90*2-1/2</v>
          </cell>
          <cell r="B360" t="str">
            <v>Codo PVC soldado de 90° x 2 1/2</v>
          </cell>
          <cell r="C360" t="str">
            <v>Und.</v>
          </cell>
          <cell r="D360">
            <v>21669</v>
          </cell>
          <cell r="E360">
            <v>25786</v>
          </cell>
        </row>
        <row r="361">
          <cell r="A361" t="str">
            <v>C90*3</v>
          </cell>
          <cell r="B361" t="str">
            <v>Codo PVC soldado de 90° x 3</v>
          </cell>
          <cell r="C361" t="str">
            <v>Und.</v>
          </cell>
          <cell r="D361">
            <v>28043</v>
          </cell>
          <cell r="E361">
            <v>33371</v>
          </cell>
        </row>
        <row r="362">
          <cell r="A362" t="str">
            <v>C90*4</v>
          </cell>
          <cell r="B362" t="str">
            <v>Codo PVC soldado de 90° x 4</v>
          </cell>
          <cell r="C362" t="str">
            <v>Und.</v>
          </cell>
          <cell r="D362">
            <v>60836</v>
          </cell>
          <cell r="E362">
            <v>72395</v>
          </cell>
        </row>
        <row r="363">
          <cell r="A363" t="str">
            <v>C90*6</v>
          </cell>
          <cell r="B363" t="str">
            <v>Codo PVC soldado de 90° x 6</v>
          </cell>
          <cell r="C363" t="str">
            <v>Und.</v>
          </cell>
          <cell r="D363">
            <v>97624</v>
          </cell>
          <cell r="E363">
            <v>116173</v>
          </cell>
        </row>
        <row r="365">
          <cell r="B365" t="str">
            <v>Codo PVC roscado-soldado de 90° x</v>
          </cell>
        </row>
        <row r="366">
          <cell r="A366" t="str">
            <v>CRS90*1/2</v>
          </cell>
          <cell r="B366" t="str">
            <v>Codo PVC roscado-soldado de 90° x 1/2"</v>
          </cell>
          <cell r="C366" t="str">
            <v>Und.</v>
          </cell>
          <cell r="D366">
            <v>1014</v>
          </cell>
          <cell r="E366">
            <v>1207</v>
          </cell>
        </row>
        <row r="368">
          <cell r="B368" t="str">
            <v>Codo PVC soldado de 45° x</v>
          </cell>
        </row>
        <row r="369">
          <cell r="A369" t="str">
            <v>C45*1/2</v>
          </cell>
          <cell r="B369" t="str">
            <v>Codo PVC soldado de 45° x 1/2"</v>
          </cell>
          <cell r="C369" t="str">
            <v>Und.</v>
          </cell>
          <cell r="D369">
            <v>673</v>
          </cell>
          <cell r="E369">
            <v>801</v>
          </cell>
        </row>
        <row r="370">
          <cell r="A370" t="str">
            <v>C45*3/4</v>
          </cell>
          <cell r="B370" t="str">
            <v>Codo PVC soldado de 45° x 3/4"</v>
          </cell>
          <cell r="C370" t="str">
            <v>Und.</v>
          </cell>
          <cell r="D370">
            <v>1078</v>
          </cell>
          <cell r="E370">
            <v>1283</v>
          </cell>
        </row>
        <row r="371">
          <cell r="A371" t="str">
            <v>C45*1</v>
          </cell>
          <cell r="B371" t="str">
            <v>Codo PVC soldado de 45° x 1"</v>
          </cell>
          <cell r="C371" t="str">
            <v>Und.</v>
          </cell>
          <cell r="D371">
            <v>2055</v>
          </cell>
          <cell r="E371">
            <v>2445</v>
          </cell>
        </row>
        <row r="372">
          <cell r="A372" t="str">
            <v>C45*1-1/4</v>
          </cell>
          <cell r="B372" t="str">
            <v>Codo PVC soldado de 45° x 1 1/4"</v>
          </cell>
          <cell r="C372" t="str">
            <v>Und.</v>
          </cell>
          <cell r="D372">
            <v>3716</v>
          </cell>
          <cell r="E372">
            <v>4422</v>
          </cell>
        </row>
        <row r="373">
          <cell r="A373" t="str">
            <v>C45*1-1/2</v>
          </cell>
          <cell r="B373" t="str">
            <v>Codo PVC soldado de 45° x 1 1/2"</v>
          </cell>
          <cell r="C373" t="str">
            <v>Und.</v>
          </cell>
          <cell r="D373">
            <v>4983</v>
          </cell>
          <cell r="E373">
            <v>5930</v>
          </cell>
        </row>
        <row r="374">
          <cell r="A374" t="str">
            <v>C45* 2</v>
          </cell>
          <cell r="B374" t="str">
            <v>Codo PVC soldado de 45° x 2"</v>
          </cell>
          <cell r="C374" t="str">
            <v>Und.</v>
          </cell>
          <cell r="D374">
            <v>8244</v>
          </cell>
          <cell r="E374">
            <v>9810</v>
          </cell>
        </row>
        <row r="375">
          <cell r="A375" t="str">
            <v>C45*2-1/2</v>
          </cell>
          <cell r="B375" t="str">
            <v>Codo PVC soldado de 45° x 2 1/2"</v>
          </cell>
          <cell r="C375" t="str">
            <v>Und.</v>
          </cell>
          <cell r="D375">
            <v>23239</v>
          </cell>
          <cell r="E375">
            <v>27654</v>
          </cell>
        </row>
        <row r="376">
          <cell r="A376" t="str">
            <v>C45*3</v>
          </cell>
          <cell r="B376" t="str">
            <v>Codo PVC soldado de 45° x 3"</v>
          </cell>
          <cell r="C376" t="str">
            <v>Und.</v>
          </cell>
          <cell r="D376">
            <v>26541</v>
          </cell>
          <cell r="E376">
            <v>31584</v>
          </cell>
        </row>
        <row r="377">
          <cell r="A377" t="str">
            <v>C45*4</v>
          </cell>
          <cell r="B377" t="str">
            <v>Codo PVC soldado de 45° x 4"</v>
          </cell>
          <cell r="C377" t="str">
            <v>Und.</v>
          </cell>
          <cell r="D377">
            <v>56466</v>
          </cell>
          <cell r="E377">
            <v>67195</v>
          </cell>
        </row>
        <row r="379">
          <cell r="B379" t="str">
            <v>Tapón Roscado PVC</v>
          </cell>
        </row>
        <row r="380">
          <cell r="A380" t="str">
            <v>TR1/2</v>
          </cell>
          <cell r="B380" t="str">
            <v>Tapón Roscado PVC de 1/2"</v>
          </cell>
          <cell r="C380" t="str">
            <v>Und.</v>
          </cell>
          <cell r="D380">
            <v>317</v>
          </cell>
          <cell r="E380">
            <v>377</v>
          </cell>
        </row>
        <row r="381">
          <cell r="A381" t="str">
            <v>TR3/4</v>
          </cell>
          <cell r="B381" t="str">
            <v>Tapón Roscado PVC de 3/4"</v>
          </cell>
          <cell r="C381" t="str">
            <v>Und.</v>
          </cell>
          <cell r="D381">
            <v>934</v>
          </cell>
          <cell r="E381">
            <v>1111</v>
          </cell>
        </row>
        <row r="382">
          <cell r="A382" t="str">
            <v>TR1</v>
          </cell>
          <cell r="B382" t="str">
            <v>Tapón Roscado PVC de 1"</v>
          </cell>
          <cell r="C382" t="str">
            <v>Und.</v>
          </cell>
          <cell r="D382">
            <v>1330</v>
          </cell>
          <cell r="E382">
            <v>1583</v>
          </cell>
        </row>
        <row r="383">
          <cell r="A383" t="str">
            <v>TR1-1/4</v>
          </cell>
          <cell r="B383" t="str">
            <v>Tapón Roscado PVC de 1 1/4"</v>
          </cell>
          <cell r="C383" t="str">
            <v>Und.</v>
          </cell>
          <cell r="D383">
            <v>2355</v>
          </cell>
          <cell r="E383">
            <v>2802</v>
          </cell>
        </row>
        <row r="384">
          <cell r="A384" t="str">
            <v>TR1-1/2</v>
          </cell>
          <cell r="B384" t="str">
            <v>Tapón Roscado PVC de 1 1/2"</v>
          </cell>
          <cell r="C384" t="str">
            <v>Und.</v>
          </cell>
          <cell r="D384">
            <v>3117</v>
          </cell>
          <cell r="E384">
            <v>3709</v>
          </cell>
        </row>
        <row r="385">
          <cell r="A385" t="str">
            <v>TR2</v>
          </cell>
          <cell r="B385" t="str">
            <v>Tapón Roscado PVC de 2"</v>
          </cell>
          <cell r="C385" t="str">
            <v>Und.</v>
          </cell>
          <cell r="D385">
            <v>5097</v>
          </cell>
          <cell r="E385">
            <v>6065</v>
          </cell>
        </row>
        <row r="386">
          <cell r="A386" t="str">
            <v>TR2-1/2</v>
          </cell>
          <cell r="B386" t="str">
            <v>Tapón Roscado PVC de 2 1/2"</v>
          </cell>
          <cell r="C386" t="str">
            <v>Und.</v>
          </cell>
          <cell r="D386">
            <v>11750</v>
          </cell>
          <cell r="E386">
            <v>13983</v>
          </cell>
        </row>
        <row r="387">
          <cell r="A387" t="str">
            <v>TR3</v>
          </cell>
          <cell r="B387" t="str">
            <v>Tapón Roscado PVC de 3"</v>
          </cell>
          <cell r="C387" t="str">
            <v>Und.</v>
          </cell>
          <cell r="D387">
            <v>18694</v>
          </cell>
          <cell r="E387">
            <v>22246</v>
          </cell>
        </row>
        <row r="388">
          <cell r="A388" t="str">
            <v>TR4</v>
          </cell>
          <cell r="B388" t="str">
            <v>Tapón Roscado PVC de 4"</v>
          </cell>
          <cell r="C388" t="str">
            <v>Und.</v>
          </cell>
          <cell r="D388">
            <v>34530</v>
          </cell>
          <cell r="E388">
            <v>41091</v>
          </cell>
        </row>
        <row r="390">
          <cell r="B390" t="str">
            <v>Tapón Soldado PVC</v>
          </cell>
        </row>
        <row r="391">
          <cell r="A391" t="str">
            <v>TSOL1/2</v>
          </cell>
          <cell r="B391" t="str">
            <v>Tapón Soldado PVC de 1/2"</v>
          </cell>
          <cell r="C391" t="str">
            <v>Und.</v>
          </cell>
          <cell r="D391">
            <v>232</v>
          </cell>
          <cell r="E391">
            <v>276</v>
          </cell>
        </row>
        <row r="392">
          <cell r="A392" t="str">
            <v>TSOL3/4</v>
          </cell>
          <cell r="B392" t="str">
            <v>Tapón Soldado PVC de 3/4"</v>
          </cell>
          <cell r="C392" t="str">
            <v>Und.</v>
          </cell>
          <cell r="D392">
            <v>465</v>
          </cell>
          <cell r="E392">
            <v>553</v>
          </cell>
        </row>
        <row r="393">
          <cell r="A393" t="str">
            <v>TSOL1</v>
          </cell>
          <cell r="B393" t="str">
            <v>Tapón Soldado PVC de 1"</v>
          </cell>
          <cell r="C393" t="str">
            <v>Und.</v>
          </cell>
          <cell r="D393">
            <v>782</v>
          </cell>
          <cell r="E393">
            <v>931</v>
          </cell>
        </row>
        <row r="394">
          <cell r="A394" t="str">
            <v>TSOL1-1/4</v>
          </cell>
          <cell r="B394" t="str">
            <v>Tapón Soldado PVC de 1 1/4"</v>
          </cell>
          <cell r="C394" t="str">
            <v>Und.</v>
          </cell>
          <cell r="D394">
            <v>1885</v>
          </cell>
          <cell r="E394">
            <v>2243</v>
          </cell>
        </row>
        <row r="395">
          <cell r="A395" t="str">
            <v>TSOL1-1/2</v>
          </cell>
          <cell r="B395" t="str">
            <v>Tapón Soldado PVC de 1 1/2"</v>
          </cell>
          <cell r="C395" t="str">
            <v>Und.</v>
          </cell>
          <cell r="D395">
            <v>2454</v>
          </cell>
          <cell r="E395">
            <v>2920</v>
          </cell>
        </row>
        <row r="396">
          <cell r="A396" t="str">
            <v>TSOL2</v>
          </cell>
          <cell r="B396" t="str">
            <v>Tapón Soldado PVC de 2"</v>
          </cell>
          <cell r="C396" t="str">
            <v>Und.</v>
          </cell>
          <cell r="D396">
            <v>3900</v>
          </cell>
          <cell r="E396">
            <v>4641</v>
          </cell>
        </row>
        <row r="397">
          <cell r="A397" t="str">
            <v>TSOL2-1/2</v>
          </cell>
          <cell r="B397" t="str">
            <v>Tapón Soldado PVC de 2 1/2"</v>
          </cell>
          <cell r="C397" t="str">
            <v>Und.</v>
          </cell>
          <cell r="D397">
            <v>9183</v>
          </cell>
          <cell r="E397">
            <v>10928</v>
          </cell>
        </row>
        <row r="398">
          <cell r="A398" t="str">
            <v>TSOL3</v>
          </cell>
          <cell r="B398" t="str">
            <v>Tapón Soldado PVC de 3"</v>
          </cell>
          <cell r="C398" t="str">
            <v>Und.</v>
          </cell>
          <cell r="D398">
            <v>14917</v>
          </cell>
          <cell r="E398">
            <v>17751</v>
          </cell>
        </row>
        <row r="399">
          <cell r="A399" t="str">
            <v>TSOL4</v>
          </cell>
          <cell r="B399" t="str">
            <v>Tapón Soldado PVC de 4"</v>
          </cell>
          <cell r="C399" t="str">
            <v>Und.</v>
          </cell>
          <cell r="D399">
            <v>27124</v>
          </cell>
          <cell r="E399">
            <v>32278</v>
          </cell>
        </row>
        <row r="401">
          <cell r="B401" t="str">
            <v>Tee Soldada PVC</v>
          </cell>
        </row>
        <row r="402">
          <cell r="A402" t="str">
            <v>T1/2</v>
          </cell>
          <cell r="B402" t="str">
            <v>Tee Soldada PVC de 1/2"</v>
          </cell>
          <cell r="C402" t="str">
            <v>Und.</v>
          </cell>
          <cell r="D402">
            <v>538</v>
          </cell>
          <cell r="E402">
            <v>640</v>
          </cell>
        </row>
        <row r="403">
          <cell r="A403" t="str">
            <v>T3/4</v>
          </cell>
          <cell r="B403" t="str">
            <v>Tee Soldada PVC de 3/4"</v>
          </cell>
          <cell r="C403" t="str">
            <v>Und.</v>
          </cell>
          <cell r="D403">
            <v>910</v>
          </cell>
          <cell r="E403">
            <v>1083</v>
          </cell>
        </row>
        <row r="404">
          <cell r="A404" t="str">
            <v>T1</v>
          </cell>
          <cell r="B404" t="str">
            <v>Tee Soldada PVC de 1"</v>
          </cell>
          <cell r="C404" t="str">
            <v>Und.</v>
          </cell>
          <cell r="D404">
            <v>1780</v>
          </cell>
          <cell r="E404">
            <v>2118</v>
          </cell>
        </row>
        <row r="405">
          <cell r="A405" t="str">
            <v>T1-1/4</v>
          </cell>
          <cell r="B405" t="str">
            <v>Tee Soldada PVC de 1 1/4"</v>
          </cell>
          <cell r="C405" t="str">
            <v>Und.</v>
          </cell>
          <cell r="D405">
            <v>4597</v>
          </cell>
          <cell r="E405">
            <v>5470</v>
          </cell>
        </row>
        <row r="406">
          <cell r="A406" t="str">
            <v>T1-1/2</v>
          </cell>
          <cell r="B406" t="str">
            <v>Tee Soldada PVC de 1 1/2"</v>
          </cell>
          <cell r="C406" t="str">
            <v>Und.</v>
          </cell>
          <cell r="D406">
            <v>6036</v>
          </cell>
          <cell r="E406">
            <v>7183</v>
          </cell>
        </row>
        <row r="407">
          <cell r="A407" t="str">
            <v>T2</v>
          </cell>
          <cell r="B407" t="str">
            <v>Tee Soldada PVC de 2"</v>
          </cell>
          <cell r="C407" t="str">
            <v>Und.</v>
          </cell>
          <cell r="D407">
            <v>9614</v>
          </cell>
          <cell r="E407">
            <v>11441</v>
          </cell>
        </row>
        <row r="408">
          <cell r="A408" t="str">
            <v>T2-1/2</v>
          </cell>
          <cell r="B408" t="str">
            <v>Tee Soldada PVC de 2 1/2"</v>
          </cell>
          <cell r="C408" t="str">
            <v>Und.</v>
          </cell>
          <cell r="D408">
            <v>22805</v>
          </cell>
          <cell r="E408">
            <v>27138</v>
          </cell>
        </row>
        <row r="409">
          <cell r="A409" t="str">
            <v>T3</v>
          </cell>
          <cell r="B409" t="str">
            <v>Tee Soldada PVC de 3"</v>
          </cell>
          <cell r="C409" t="str">
            <v>Und.</v>
          </cell>
          <cell r="D409">
            <v>36274</v>
          </cell>
          <cell r="E409">
            <v>43166</v>
          </cell>
        </row>
        <row r="410">
          <cell r="A410" t="str">
            <v>T4</v>
          </cell>
          <cell r="B410" t="str">
            <v>Tee Soldada PVC de 4"</v>
          </cell>
          <cell r="C410" t="str">
            <v>Und.</v>
          </cell>
          <cell r="D410">
            <v>79157</v>
          </cell>
          <cell r="E410">
            <v>94197</v>
          </cell>
        </row>
        <row r="411">
          <cell r="A411" t="str">
            <v>T6</v>
          </cell>
          <cell r="B411" t="str">
            <v>Tee Soldada PVC de 6"</v>
          </cell>
          <cell r="C411" t="str">
            <v>Und.</v>
          </cell>
          <cell r="D411">
            <v>153416</v>
          </cell>
          <cell r="E411">
            <v>182565</v>
          </cell>
        </row>
        <row r="413">
          <cell r="B413" t="str">
            <v>Unión Soldada PVC</v>
          </cell>
        </row>
        <row r="414">
          <cell r="A414" t="str">
            <v>U1/2</v>
          </cell>
          <cell r="B414" t="str">
            <v>Unión Soldada PVC de 1/2"</v>
          </cell>
          <cell r="C414" t="str">
            <v>Und.</v>
          </cell>
          <cell r="D414">
            <v>260</v>
          </cell>
          <cell r="E414">
            <v>309</v>
          </cell>
        </row>
        <row r="415">
          <cell r="A415" t="str">
            <v>U3/4</v>
          </cell>
          <cell r="B415" t="str">
            <v>Unión Soldada PVC de 3/4"</v>
          </cell>
          <cell r="C415" t="str">
            <v>Und.</v>
          </cell>
          <cell r="D415">
            <v>411</v>
          </cell>
          <cell r="E415">
            <v>489</v>
          </cell>
        </row>
        <row r="416">
          <cell r="A416" t="str">
            <v>U1</v>
          </cell>
          <cell r="B416" t="str">
            <v>Unión Soldada PVC de 1"</v>
          </cell>
          <cell r="C416" t="str">
            <v>Und.</v>
          </cell>
          <cell r="D416">
            <v>673</v>
          </cell>
          <cell r="E416">
            <v>801</v>
          </cell>
        </row>
        <row r="417">
          <cell r="A417" t="str">
            <v>U1-1/4</v>
          </cell>
          <cell r="B417" t="str">
            <v>Unión Soldada PVC de 1 1/4"</v>
          </cell>
          <cell r="C417" t="str">
            <v>Und.</v>
          </cell>
          <cell r="D417">
            <v>1235</v>
          </cell>
          <cell r="E417">
            <v>1470</v>
          </cell>
        </row>
        <row r="418">
          <cell r="A418" t="str">
            <v>U1-1/2</v>
          </cell>
          <cell r="B418" t="str">
            <v>Unión Soldada PVC de 1 1/2"</v>
          </cell>
          <cell r="C418" t="str">
            <v>Und.</v>
          </cell>
          <cell r="D418">
            <v>1688</v>
          </cell>
          <cell r="E418">
            <v>2009</v>
          </cell>
        </row>
        <row r="419">
          <cell r="A419" t="str">
            <v>U2</v>
          </cell>
          <cell r="B419" t="str">
            <v>Unión Soldada PVC de 2"</v>
          </cell>
          <cell r="C419" t="str">
            <v>Und.</v>
          </cell>
          <cell r="D419">
            <v>2767</v>
          </cell>
          <cell r="E419">
            <v>3293</v>
          </cell>
        </row>
        <row r="420">
          <cell r="A420" t="str">
            <v>U2-1/2</v>
          </cell>
          <cell r="B420" t="str">
            <v>Unión Soldada PVC de 2 1/2"</v>
          </cell>
          <cell r="C420" t="str">
            <v>Und.</v>
          </cell>
          <cell r="D420">
            <v>10953</v>
          </cell>
          <cell r="E420">
            <v>13034</v>
          </cell>
        </row>
        <row r="421">
          <cell r="A421" t="str">
            <v>U3</v>
          </cell>
          <cell r="B421" t="str">
            <v>Unión Soldada PVC de 3"</v>
          </cell>
          <cell r="C421" t="str">
            <v>Und.</v>
          </cell>
          <cell r="D421">
            <v>13557</v>
          </cell>
          <cell r="E421">
            <v>16133</v>
          </cell>
        </row>
        <row r="422">
          <cell r="A422" t="str">
            <v>U4</v>
          </cell>
          <cell r="B422" t="str">
            <v>Unión Soldada PVC de 4"</v>
          </cell>
          <cell r="C422" t="str">
            <v>Und.</v>
          </cell>
          <cell r="D422">
            <v>29471</v>
          </cell>
          <cell r="E422">
            <v>35070</v>
          </cell>
        </row>
        <row r="424">
          <cell r="B424" t="str">
            <v>Unión Universal PVC</v>
          </cell>
        </row>
        <row r="425">
          <cell r="A425" t="str">
            <v>UU1/2</v>
          </cell>
          <cell r="B425" t="str">
            <v>Unión Universal PVC de 1/2"</v>
          </cell>
          <cell r="C425" t="str">
            <v>Und.</v>
          </cell>
          <cell r="D425">
            <v>2272</v>
          </cell>
          <cell r="E425">
            <v>2704</v>
          </cell>
        </row>
        <row r="426">
          <cell r="A426" t="str">
            <v>UU3/4</v>
          </cell>
          <cell r="B426" t="str">
            <v>Unión Universal PVC de 3/4"</v>
          </cell>
          <cell r="C426" t="str">
            <v>Und.</v>
          </cell>
          <cell r="D426">
            <v>4027</v>
          </cell>
          <cell r="E426">
            <v>4792</v>
          </cell>
        </row>
        <row r="427">
          <cell r="A427" t="str">
            <v>UU1</v>
          </cell>
          <cell r="B427" t="str">
            <v>Unión Universal PVC de 1"</v>
          </cell>
          <cell r="C427" t="str">
            <v>Und.</v>
          </cell>
          <cell r="D427">
            <v>6090</v>
          </cell>
          <cell r="E427">
            <v>7247</v>
          </cell>
        </row>
        <row r="428">
          <cell r="A428" t="str">
            <v>UU1-1/4</v>
          </cell>
          <cell r="B428" t="str">
            <v>Unión Universal PVC de 1 1/4"</v>
          </cell>
          <cell r="C428" t="str">
            <v>Und.</v>
          </cell>
          <cell r="D428">
            <v>10996</v>
          </cell>
          <cell r="E428">
            <v>13085</v>
          </cell>
        </row>
        <row r="429">
          <cell r="A429" t="str">
            <v>UU1-1/2</v>
          </cell>
          <cell r="B429" t="str">
            <v>Unión Universal PVC de 1 1/2"</v>
          </cell>
          <cell r="C429" t="str">
            <v>Und.</v>
          </cell>
          <cell r="D429">
            <v>18865</v>
          </cell>
          <cell r="E429">
            <v>22449</v>
          </cell>
        </row>
        <row r="430">
          <cell r="A430" t="str">
            <v>UU2</v>
          </cell>
          <cell r="B430" t="str">
            <v>Unión Universal PVC de 2"</v>
          </cell>
          <cell r="C430" t="str">
            <v>Und.</v>
          </cell>
          <cell r="D430">
            <v>24125</v>
          </cell>
          <cell r="E430">
            <v>28709</v>
          </cell>
        </row>
        <row r="432">
          <cell r="B432" t="str">
            <v>Válvula de Bola PVC</v>
          </cell>
        </row>
        <row r="433">
          <cell r="A433" t="str">
            <v>VB1/2</v>
          </cell>
          <cell r="B433" t="str">
            <v>Válvula de Bola PVC de 1/2"</v>
          </cell>
          <cell r="C433" t="str">
            <v>Und.</v>
          </cell>
          <cell r="D433">
            <v>3539</v>
          </cell>
          <cell r="E433">
            <v>4211</v>
          </cell>
        </row>
        <row r="434">
          <cell r="A434" t="str">
            <v>VB3/4</v>
          </cell>
          <cell r="B434" t="str">
            <v>Válvula de Bola PVC de 3/4"</v>
          </cell>
          <cell r="C434" t="str">
            <v>Und.</v>
          </cell>
          <cell r="D434">
            <v>6262</v>
          </cell>
          <cell r="E434">
            <v>7452</v>
          </cell>
        </row>
        <row r="435">
          <cell r="A435" t="str">
            <v>VB1</v>
          </cell>
          <cell r="B435" t="str">
            <v>Válvula de Bola PVC de 1"</v>
          </cell>
          <cell r="C435" t="str">
            <v>Und.</v>
          </cell>
          <cell r="D435">
            <v>8077</v>
          </cell>
          <cell r="E435">
            <v>9612</v>
          </cell>
        </row>
        <row r="437">
          <cell r="B437" t="str">
            <v>Tubería PVC Sanitaria Aguas Lluvias</v>
          </cell>
        </row>
        <row r="438">
          <cell r="A438" t="str">
            <v>ALL1-1/2</v>
          </cell>
          <cell r="B438" t="str">
            <v>Tubería PVC Sanitaria Aguas Lluvias de 1 1/2"</v>
          </cell>
          <cell r="C438" t="str">
            <v>m.</v>
          </cell>
          <cell r="D438">
            <v>6306</v>
          </cell>
          <cell r="E438">
            <v>7504</v>
          </cell>
        </row>
        <row r="439">
          <cell r="A439" t="str">
            <v>ALL2</v>
          </cell>
          <cell r="B439" t="str">
            <v>Tubería PVC Sanitaria Aguas Lluvias de 2"</v>
          </cell>
          <cell r="C439" t="str">
            <v>m.</v>
          </cell>
          <cell r="D439">
            <v>7818</v>
          </cell>
          <cell r="E439">
            <v>9303</v>
          </cell>
        </row>
        <row r="440">
          <cell r="A440" t="str">
            <v>ALL3</v>
          </cell>
          <cell r="B440" t="str">
            <v>Tubería PVC Sanitaria Aguas Lluvias de 3"</v>
          </cell>
          <cell r="C440" t="str">
            <v>m.</v>
          </cell>
          <cell r="D440">
            <v>11677</v>
          </cell>
          <cell r="E440">
            <v>13896</v>
          </cell>
        </row>
        <row r="441">
          <cell r="A441" t="str">
            <v>ALL4</v>
          </cell>
          <cell r="B441" t="str">
            <v>Tubería PVC Sanitaria Aguas Lluvias de 4"</v>
          </cell>
          <cell r="C441" t="str">
            <v>m.</v>
          </cell>
          <cell r="D441">
            <v>16273</v>
          </cell>
          <cell r="E441">
            <v>19365</v>
          </cell>
        </row>
        <row r="442">
          <cell r="A442" t="str">
            <v>ALL6</v>
          </cell>
          <cell r="B442" t="str">
            <v>Tubería PVC Sanitaria Aguas Lluvias de 6"</v>
          </cell>
          <cell r="C442" t="str">
            <v>m.</v>
          </cell>
          <cell r="D442">
            <v>34461</v>
          </cell>
          <cell r="E442">
            <v>41009</v>
          </cell>
        </row>
        <row r="443">
          <cell r="A443" t="str">
            <v>ALL8</v>
          </cell>
          <cell r="B443" t="str">
            <v>Tubería PVC Sanitaria Aguas Lluvias de 8"</v>
          </cell>
          <cell r="C443" t="str">
            <v>m.</v>
          </cell>
          <cell r="D443">
            <v>61995</v>
          </cell>
          <cell r="E443">
            <v>73774</v>
          </cell>
        </row>
        <row r="444">
          <cell r="A444" t="str">
            <v>ALL10</v>
          </cell>
          <cell r="B444" t="str">
            <v>Tubería PVC Sanitaria Aguas Lluvias de 10"</v>
          </cell>
          <cell r="C444" t="str">
            <v>m.</v>
          </cell>
          <cell r="D444">
            <v>96711</v>
          </cell>
          <cell r="E444">
            <v>115086</v>
          </cell>
        </row>
        <row r="446">
          <cell r="B446" t="str">
            <v>Soldadura PVC</v>
          </cell>
        </row>
        <row r="447">
          <cell r="A447" t="str">
            <v>SOL1/4</v>
          </cell>
          <cell r="B447" t="str">
            <v>Soldadura PVC x 1/4 gal</v>
          </cell>
          <cell r="C447" t="str">
            <v>Gal.</v>
          </cell>
          <cell r="D447">
            <v>75216.930000000008</v>
          </cell>
          <cell r="E447">
            <v>89508</v>
          </cell>
        </row>
        <row r="448">
          <cell r="A448" t="str">
            <v>SOL1/8</v>
          </cell>
          <cell r="B448" t="str">
            <v>Soldadura PVC x 1/8 gal</v>
          </cell>
          <cell r="C448" t="str">
            <v>Gal.</v>
          </cell>
          <cell r="D448">
            <v>38867.760000000002</v>
          </cell>
          <cell r="E448">
            <v>46253</v>
          </cell>
        </row>
        <row r="449">
          <cell r="A449" t="str">
            <v>SOL1/16</v>
          </cell>
          <cell r="B449" t="str">
            <v>Soldadura PVC x 1/16 gal</v>
          </cell>
          <cell r="C449" t="str">
            <v>Gal.</v>
          </cell>
          <cell r="D449">
            <v>24027.06</v>
          </cell>
          <cell r="E449">
            <v>28592</v>
          </cell>
        </row>
        <row r="450">
          <cell r="A450" t="str">
            <v>SOL1/32</v>
          </cell>
          <cell r="B450" t="str">
            <v>Soldadura PVC x 1/32 gal</v>
          </cell>
          <cell r="C450" t="str">
            <v>Gal.</v>
          </cell>
          <cell r="D450">
            <v>14321.220000000001</v>
          </cell>
          <cell r="E450">
            <v>17042</v>
          </cell>
        </row>
        <row r="451">
          <cell r="A451" t="str">
            <v>SOL1/64</v>
          </cell>
          <cell r="B451" t="str">
            <v>Soldadura PVC x 1/64 gal</v>
          </cell>
          <cell r="C451" t="str">
            <v>Gal.</v>
          </cell>
          <cell r="D451">
            <v>8366.0700000000015</v>
          </cell>
          <cell r="E451">
            <v>9956</v>
          </cell>
        </row>
        <row r="452">
          <cell r="A452" t="str">
            <v>SOL1/168</v>
          </cell>
          <cell r="B452" t="str">
            <v>Soldadura PVC x 1/168 gal</v>
          </cell>
          <cell r="C452" t="str">
            <v>Gal.</v>
          </cell>
          <cell r="D452">
            <v>4269.0600000000004</v>
          </cell>
          <cell r="E452">
            <v>5080</v>
          </cell>
        </row>
        <row r="454">
          <cell r="B454" t="str">
            <v>Lubricante PVC</v>
          </cell>
        </row>
        <row r="455">
          <cell r="A455" t="str">
            <v>LUB</v>
          </cell>
          <cell r="B455" t="str">
            <v>Lubricante PVC x 500 gr.</v>
          </cell>
          <cell r="C455" t="str">
            <v>gr.</v>
          </cell>
          <cell r="D455">
            <v>17140.620000000003</v>
          </cell>
          <cell r="E455">
            <v>20397</v>
          </cell>
        </row>
        <row r="457">
          <cell r="B457" t="str">
            <v>Limpiador PVC</v>
          </cell>
        </row>
        <row r="458">
          <cell r="A458" t="str">
            <v>LIM1/4</v>
          </cell>
          <cell r="B458" t="str">
            <v>Limpiador PVC x 1/4.</v>
          </cell>
          <cell r="C458" t="str">
            <v>Gal.</v>
          </cell>
          <cell r="D458">
            <v>43159.08660000001</v>
          </cell>
          <cell r="E458">
            <v>51359</v>
          </cell>
        </row>
        <row r="459">
          <cell r="A459" t="str">
            <v>LIM12</v>
          </cell>
          <cell r="B459" t="str">
            <v>Limpiador PVC x 12 onzas</v>
          </cell>
          <cell r="C459" t="str">
            <v>Oz.</v>
          </cell>
          <cell r="D459">
            <v>23444.654100000003</v>
          </cell>
          <cell r="E459">
            <v>27899</v>
          </cell>
        </row>
        <row r="460">
          <cell r="A460" t="str">
            <v>LIM1/32</v>
          </cell>
          <cell r="B460" t="str">
            <v>Limpiador PVC x 1/32.</v>
          </cell>
          <cell r="C460" t="str">
            <v>Gal.</v>
          </cell>
          <cell r="D460">
            <v>7521.2046</v>
          </cell>
          <cell r="E460">
            <v>8950</v>
          </cell>
        </row>
        <row r="461">
          <cell r="A461" t="str">
            <v>LIM1/64</v>
          </cell>
          <cell r="B461" t="str">
            <v>Limpiador PVC x 1/64.</v>
          </cell>
          <cell r="C461" t="str">
            <v>Gal.</v>
          </cell>
          <cell r="D461">
            <v>4082.9019000000003</v>
          </cell>
          <cell r="E461">
            <v>4859</v>
          </cell>
        </row>
        <row r="462">
          <cell r="A462" t="str">
            <v>LIM1/168</v>
          </cell>
          <cell r="B462" t="str">
            <v>Limpiador PVC x 1/168.</v>
          </cell>
          <cell r="C462" t="str">
            <v>Gal.</v>
          </cell>
          <cell r="D462">
            <v>2847.8604</v>
          </cell>
          <cell r="E462">
            <v>3389</v>
          </cell>
        </row>
        <row r="464">
          <cell r="A464" t="str">
            <v>TUBERÍA PVC UNIÓN MECÁNICA</v>
          </cell>
        </row>
        <row r="465">
          <cell r="B465" t="str">
            <v>Tubería PVC Unión Mecánica</v>
          </cell>
          <cell r="C465" t="str">
            <v>RDE 13.5 (315 PSI)</v>
          </cell>
        </row>
        <row r="466">
          <cell r="A466" t="str">
            <v>TUM213.5</v>
          </cell>
          <cell r="B466" t="str">
            <v>Tubería PVC Unión Mecánica de 2" RDE 13.5 (315 PSI)</v>
          </cell>
          <cell r="C466" t="str">
            <v>m.</v>
          </cell>
          <cell r="D466">
            <v>13270</v>
          </cell>
          <cell r="E466">
            <v>15791</v>
          </cell>
        </row>
        <row r="467">
          <cell r="A467" t="str">
            <v>TUM313.5</v>
          </cell>
          <cell r="B467" t="str">
            <v>Tubería PVC Unión Mecánica de 3" RDE 13.5 (315 PSI)</v>
          </cell>
          <cell r="C467" t="str">
            <v>m.</v>
          </cell>
          <cell r="D467">
            <v>29281</v>
          </cell>
          <cell r="E467">
            <v>34844</v>
          </cell>
        </row>
        <row r="468">
          <cell r="A468" t="str">
            <v>TUM413.5</v>
          </cell>
          <cell r="B468" t="str">
            <v>Tubería PVC Unión Mecánica de 4" RDE 13.5 (315 PSI)</v>
          </cell>
          <cell r="C468" t="str">
            <v>m.</v>
          </cell>
          <cell r="D468">
            <v>46797</v>
          </cell>
          <cell r="E468">
            <v>55688</v>
          </cell>
        </row>
        <row r="469">
          <cell r="A469" t="str">
            <v>TUM613.5</v>
          </cell>
          <cell r="B469" t="str">
            <v>Tubería PVC Unión Mecánica de 6" RDE 13.5 (315 PSI)</v>
          </cell>
          <cell r="C469" t="str">
            <v>m.</v>
          </cell>
          <cell r="D469">
            <v>113532</v>
          </cell>
          <cell r="E469">
            <v>135103</v>
          </cell>
        </row>
        <row r="470">
          <cell r="A470" t="str">
            <v>TUM813.5</v>
          </cell>
          <cell r="B470" t="str">
            <v>Tubería PVC Unión Mecánica de 8" RDE 13.5 (315 PSI)</v>
          </cell>
          <cell r="C470" t="str">
            <v>m.</v>
          </cell>
          <cell r="D470">
            <v>192406</v>
          </cell>
          <cell r="E470">
            <v>228963</v>
          </cell>
        </row>
        <row r="471">
          <cell r="A471" t="str">
            <v>TUM1013.5</v>
          </cell>
          <cell r="B471" t="str">
            <v>Tubería PVC Unión Mecánica de 10" RDE 13.5 (315 PSI)</v>
          </cell>
          <cell r="C471" t="str">
            <v>m.</v>
          </cell>
          <cell r="D471">
            <v>285183</v>
          </cell>
          <cell r="E471">
            <v>339368</v>
          </cell>
        </row>
        <row r="472">
          <cell r="A472" t="str">
            <v>TUM1213.5</v>
          </cell>
          <cell r="B472" t="str">
            <v>Tubería PVC Unión Mecánica de 12" RDE 13.5 (315 PSI)</v>
          </cell>
          <cell r="C472" t="str">
            <v>m.</v>
          </cell>
          <cell r="D472">
            <v>403006</v>
          </cell>
          <cell r="E472">
            <v>479577</v>
          </cell>
        </row>
        <row r="473">
          <cell r="A473" t="str">
            <v>TUM1413.5</v>
          </cell>
          <cell r="B473" t="str">
            <v>Tubería PVC Unión Mecánica de 14" RDE 13.5 (315 PSI)</v>
          </cell>
          <cell r="C473" t="str">
            <v>m.</v>
          </cell>
          <cell r="D473">
            <v>476237</v>
          </cell>
          <cell r="E473">
            <v>566722</v>
          </cell>
        </row>
        <row r="475">
          <cell r="B475" t="str">
            <v>Tubería PVC Unión Mecánica</v>
          </cell>
          <cell r="C475" t="str">
            <v>RDE 21 (200 PSI)</v>
          </cell>
        </row>
        <row r="476">
          <cell r="A476" t="str">
            <v>TUM221</v>
          </cell>
          <cell r="B476" t="str">
            <v>Tubería PVC Unión Mecánica de 2" RDE 21 (200 PSI)</v>
          </cell>
          <cell r="C476" t="str">
            <v>m.</v>
          </cell>
          <cell r="D476">
            <v>7100</v>
          </cell>
          <cell r="E476">
            <v>8449</v>
          </cell>
        </row>
        <row r="477">
          <cell r="A477" t="str">
            <v>TUM2-1/221</v>
          </cell>
          <cell r="B477" t="str">
            <v>Tubería PVC Unión Mecánica de 2 1/2" RDE 21 (200 PSI)</v>
          </cell>
          <cell r="C477" t="str">
            <v>m.</v>
          </cell>
          <cell r="D477">
            <v>10414</v>
          </cell>
          <cell r="E477">
            <v>12393</v>
          </cell>
        </row>
        <row r="478">
          <cell r="A478" t="str">
            <v>TUM321</v>
          </cell>
          <cell r="B478" t="str">
            <v>Tubería PVC Unión Mecánica de 3" RDE 21 (200 PSI)</v>
          </cell>
          <cell r="C478" t="str">
            <v>m.</v>
          </cell>
          <cell r="D478">
            <v>15538</v>
          </cell>
          <cell r="E478">
            <v>18490</v>
          </cell>
        </row>
        <row r="479">
          <cell r="A479" t="str">
            <v>TUM421</v>
          </cell>
          <cell r="B479" t="str">
            <v>Tubería PVC Unión Mecánica de 4" RDE 21 (200 PSI)</v>
          </cell>
          <cell r="C479" t="str">
            <v>m.</v>
          </cell>
          <cell r="D479">
            <v>25636</v>
          </cell>
          <cell r="E479">
            <v>30507</v>
          </cell>
          <cell r="F479">
            <v>153</v>
          </cell>
          <cell r="G479">
            <v>50</v>
          </cell>
        </row>
        <row r="480">
          <cell r="A480" t="str">
            <v>TUM621</v>
          </cell>
          <cell r="B480" t="str">
            <v>Tubería PVC Unión Mecánica de 6" RDE 21 (200 PSI)</v>
          </cell>
          <cell r="C480" t="str">
            <v>m.</v>
          </cell>
          <cell r="D480">
            <v>55977</v>
          </cell>
          <cell r="E480">
            <v>66613</v>
          </cell>
          <cell r="F480">
            <v>153</v>
          </cell>
          <cell r="G480">
            <v>50</v>
          </cell>
        </row>
        <row r="481">
          <cell r="A481" t="str">
            <v>TUM821</v>
          </cell>
          <cell r="B481" t="str">
            <v>Tubería PVC Unión Mecánica de 8" RDE 21 (200 PSI)</v>
          </cell>
          <cell r="C481" t="str">
            <v>m.</v>
          </cell>
          <cell r="D481">
            <v>94817</v>
          </cell>
          <cell r="E481">
            <v>112832</v>
          </cell>
          <cell r="F481">
            <v>153</v>
          </cell>
          <cell r="G481">
            <v>50</v>
          </cell>
        </row>
        <row r="482">
          <cell r="A482" t="str">
            <v>TUM1021</v>
          </cell>
          <cell r="B482" t="str">
            <v>Tubería PVC Unión Mecánica de 10" RDE 21 (200 PSI)</v>
          </cell>
          <cell r="C482" t="str">
            <v>m.</v>
          </cell>
          <cell r="D482">
            <v>149262</v>
          </cell>
          <cell r="E482">
            <v>177622</v>
          </cell>
        </row>
        <row r="483">
          <cell r="A483" t="str">
            <v>TUM1221</v>
          </cell>
          <cell r="B483" t="str">
            <v>Tubería PVC Unión Mecánica de 12" RDE 21 (200 PSI)</v>
          </cell>
          <cell r="C483" t="str">
            <v>m.</v>
          </cell>
          <cell r="D483">
            <v>208846</v>
          </cell>
          <cell r="E483">
            <v>248527</v>
          </cell>
        </row>
        <row r="484">
          <cell r="A484" t="str">
            <v>TUM1421</v>
          </cell>
          <cell r="B484" t="str">
            <v>Tubería PVC Unión Mecánica de 14" RDE 21 (200 PSI)</v>
          </cell>
          <cell r="C484" t="str">
            <v>m.</v>
          </cell>
          <cell r="D484">
            <v>258994</v>
          </cell>
          <cell r="E484">
            <v>308203</v>
          </cell>
        </row>
        <row r="485">
          <cell r="A485" t="str">
            <v>TUM1621</v>
          </cell>
          <cell r="B485" t="str">
            <v>Tubería PVC Unión Mecánica de 16" RDE 21 (200 PSI)</v>
          </cell>
          <cell r="C485" t="str">
            <v>m.</v>
          </cell>
          <cell r="D485">
            <v>339934</v>
          </cell>
          <cell r="E485">
            <v>404521</v>
          </cell>
        </row>
        <row r="486">
          <cell r="A486" t="str">
            <v>TUM1821</v>
          </cell>
          <cell r="B486" t="str">
            <v>Tubería PVC Unión Mecánica de 18" RDE 21 (200 PSI)</v>
          </cell>
          <cell r="C486" t="str">
            <v>m.</v>
          </cell>
          <cell r="D486">
            <v>436285</v>
          </cell>
          <cell r="E486">
            <v>519179</v>
          </cell>
        </row>
        <row r="487">
          <cell r="A487" t="str">
            <v>TUM2021</v>
          </cell>
          <cell r="B487" t="str">
            <v>Tubería PVC Unión Mecánica de 20" RDE 21 (200 PSI)</v>
          </cell>
          <cell r="C487" t="str">
            <v>m.</v>
          </cell>
          <cell r="D487">
            <v>543596</v>
          </cell>
          <cell r="E487">
            <v>646879</v>
          </cell>
        </row>
        <row r="488">
          <cell r="A488" t="str">
            <v>TUM2421</v>
          </cell>
          <cell r="B488" t="str">
            <v>Tubería PVC Unión Mecánica de 24" RDE 21 (200 PSI)</v>
          </cell>
          <cell r="C488" t="str">
            <v>m.</v>
          </cell>
          <cell r="D488">
            <v>876110</v>
          </cell>
          <cell r="E488">
            <v>1042571</v>
          </cell>
        </row>
        <row r="490">
          <cell r="B490" t="str">
            <v>Tubería PVC Unión Mecánica</v>
          </cell>
          <cell r="C490" t="str">
            <v>RDE 26 (160 PSI)</v>
          </cell>
        </row>
        <row r="491">
          <cell r="A491" t="str">
            <v>TUM226</v>
          </cell>
          <cell r="B491" t="str">
            <v>Tubería PVC Unión Mecánica de 2" RDE 26 (160 PSI)</v>
          </cell>
          <cell r="C491" t="str">
            <v>m.</v>
          </cell>
          <cell r="D491">
            <v>5950</v>
          </cell>
          <cell r="E491">
            <v>7081</v>
          </cell>
        </row>
        <row r="492">
          <cell r="A492" t="str">
            <v>TUM2-1/226</v>
          </cell>
          <cell r="B492" t="str">
            <v>Tubería PVC Unión Mecánica de 2 1/2" RDE 26 (160 PSI)</v>
          </cell>
          <cell r="C492" t="str">
            <v>m.</v>
          </cell>
          <cell r="D492">
            <v>8785</v>
          </cell>
          <cell r="E492">
            <v>10454</v>
          </cell>
        </row>
        <row r="493">
          <cell r="A493" t="str">
            <v>TUM326</v>
          </cell>
          <cell r="B493" t="str">
            <v>Tubería PVC Unión Mecánica de 3" RDE 26 (160 PSI)</v>
          </cell>
          <cell r="C493" t="str">
            <v>m.</v>
          </cell>
          <cell r="D493">
            <v>13089</v>
          </cell>
          <cell r="E493">
            <v>15576</v>
          </cell>
        </row>
        <row r="494">
          <cell r="A494" t="str">
            <v>TUM426</v>
          </cell>
          <cell r="B494" t="str">
            <v>Tubería PVC Unión Mecánica de 4" RDE 26 (160 PSI)</v>
          </cell>
          <cell r="C494" t="str">
            <v>m.</v>
          </cell>
          <cell r="D494">
            <v>21619</v>
          </cell>
          <cell r="E494">
            <v>25727</v>
          </cell>
        </row>
        <row r="495">
          <cell r="A495" t="str">
            <v>TUM626</v>
          </cell>
          <cell r="B495" t="str">
            <v>Tubería PVC Unión Mecánica de 6" RDE 26 (160 PSI)</v>
          </cell>
          <cell r="C495" t="str">
            <v>m.</v>
          </cell>
          <cell r="D495">
            <v>46310</v>
          </cell>
          <cell r="E495">
            <v>55109</v>
          </cell>
        </row>
        <row r="496">
          <cell r="A496" t="str">
            <v>TUM826</v>
          </cell>
          <cell r="B496" t="str">
            <v>Tubería PVC Unión Mecánica de 8" RDE 26 (160 PSI)</v>
          </cell>
          <cell r="C496" t="str">
            <v>m.</v>
          </cell>
          <cell r="D496">
            <v>78783</v>
          </cell>
          <cell r="E496">
            <v>93752</v>
          </cell>
        </row>
        <row r="497">
          <cell r="A497" t="str">
            <v>TUM1026</v>
          </cell>
          <cell r="B497" t="str">
            <v>Tubería PVC Unión Mecánica de 10" RDE 26 (160 PSI)</v>
          </cell>
          <cell r="C497" t="str">
            <v>m.</v>
          </cell>
          <cell r="D497">
            <v>122628</v>
          </cell>
          <cell r="E497">
            <v>145927</v>
          </cell>
        </row>
        <row r="498">
          <cell r="A498" t="str">
            <v>TUM1226</v>
          </cell>
          <cell r="B498" t="str">
            <v>Tubería PVC Unión Mecánica de 12" RDE 26 (160 PSI)</v>
          </cell>
          <cell r="C498" t="str">
            <v>m.</v>
          </cell>
          <cell r="D498">
            <v>172863</v>
          </cell>
          <cell r="E498">
            <v>205707</v>
          </cell>
        </row>
        <row r="499">
          <cell r="A499" t="str">
            <v>TUM1426</v>
          </cell>
          <cell r="B499" t="str">
            <v>Tubería PVC Unión Mecánica de 14" RDE 26 (160 PSI)</v>
          </cell>
          <cell r="C499" t="str">
            <v>m.</v>
          </cell>
          <cell r="D499">
            <v>215086</v>
          </cell>
          <cell r="E499">
            <v>255952</v>
          </cell>
        </row>
        <row r="500">
          <cell r="A500" t="str">
            <v>TUM1626</v>
          </cell>
          <cell r="B500" t="str">
            <v>Tubería PVC Unión Mecánica de 16" RDE 26 (160 PSI)</v>
          </cell>
          <cell r="C500" t="str">
            <v>m.</v>
          </cell>
          <cell r="D500">
            <v>285373</v>
          </cell>
          <cell r="E500">
            <v>339594</v>
          </cell>
        </row>
        <row r="501">
          <cell r="A501" t="str">
            <v>TUM1826</v>
          </cell>
          <cell r="B501" t="str">
            <v>Tubería PVC Unión Mecánica de 18" RDE 26 (160 PSI)</v>
          </cell>
          <cell r="C501" t="str">
            <v>m.</v>
          </cell>
          <cell r="D501">
            <v>365790</v>
          </cell>
          <cell r="E501">
            <v>435290</v>
          </cell>
        </row>
        <row r="502">
          <cell r="A502" t="str">
            <v>TUM2026</v>
          </cell>
          <cell r="B502" t="str">
            <v>Tubería PVC Unión Mecánica de 20" RDE 26 (160 PSI)</v>
          </cell>
          <cell r="C502" t="str">
            <v>m.</v>
          </cell>
          <cell r="D502">
            <v>471290</v>
          </cell>
          <cell r="E502">
            <v>560835</v>
          </cell>
        </row>
        <row r="504">
          <cell r="B504" t="str">
            <v>Tubería PVC Unión Mecánica</v>
          </cell>
          <cell r="C504" t="str">
            <v>RDE 32.5 (125 PSI)</v>
          </cell>
        </row>
        <row r="505">
          <cell r="A505" t="str">
            <v>TUM232.5</v>
          </cell>
          <cell r="B505" t="str">
            <v>Tubería PVC Unión Mecánica de 2" RDE 32.5 (125 PSI)</v>
          </cell>
          <cell r="C505" t="str">
            <v>m.</v>
          </cell>
          <cell r="D505">
            <v>4840</v>
          </cell>
          <cell r="E505">
            <v>5760</v>
          </cell>
        </row>
        <row r="506">
          <cell r="A506" t="str">
            <v>TUM332.5</v>
          </cell>
          <cell r="B506" t="str">
            <v>Tubería PVC Unión Mecánica de 3" RDE 32.5 (125 PSI)</v>
          </cell>
          <cell r="C506" t="str">
            <v>m.</v>
          </cell>
          <cell r="D506">
            <v>10515</v>
          </cell>
          <cell r="E506">
            <v>12513</v>
          </cell>
        </row>
        <row r="507">
          <cell r="A507" t="str">
            <v>TUM432.5</v>
          </cell>
          <cell r="B507" t="str">
            <v>Tubería PVC Unión Mecánica de 4" RDE 32.5 (125 PSI)</v>
          </cell>
          <cell r="C507" t="str">
            <v>m.</v>
          </cell>
          <cell r="D507">
            <v>17334</v>
          </cell>
          <cell r="E507">
            <v>20627</v>
          </cell>
        </row>
        <row r="508">
          <cell r="A508" t="str">
            <v>TUM632.5</v>
          </cell>
          <cell r="B508" t="str">
            <v>Tubería PVC Unión Mecánica de 6" RDE 32.5 (125 PSI)</v>
          </cell>
          <cell r="C508" t="str">
            <v>m.</v>
          </cell>
          <cell r="D508">
            <v>37784</v>
          </cell>
          <cell r="E508">
            <v>44963</v>
          </cell>
        </row>
        <row r="509">
          <cell r="A509" t="str">
            <v>TUM832.5</v>
          </cell>
          <cell r="B509" t="str">
            <v>Tubería PVC Unión Mecánica de 8" RDE 32.5 (125 PSI)</v>
          </cell>
          <cell r="C509" t="str">
            <v>m.</v>
          </cell>
          <cell r="D509">
            <v>64292</v>
          </cell>
          <cell r="E509">
            <v>76507</v>
          </cell>
        </row>
        <row r="510">
          <cell r="A510" t="str">
            <v>TUM1032.5</v>
          </cell>
          <cell r="B510" t="str">
            <v>Tubería PVC Unión Mecánica de 10" RDE 32.5 (125 PSI)</v>
          </cell>
          <cell r="C510" t="str">
            <v>m.</v>
          </cell>
          <cell r="D510">
            <v>100497</v>
          </cell>
          <cell r="E510">
            <v>119591</v>
          </cell>
        </row>
        <row r="511">
          <cell r="A511" t="str">
            <v>TUM1232.5</v>
          </cell>
          <cell r="B511" t="str">
            <v>Tubería PVC Unión Mecánica de 12" RDE 32.5 (125 PSI)</v>
          </cell>
          <cell r="C511" t="str">
            <v>m.</v>
          </cell>
          <cell r="D511">
            <v>141574</v>
          </cell>
          <cell r="E511">
            <v>168473</v>
          </cell>
        </row>
        <row r="512">
          <cell r="A512" t="str">
            <v>TUM1432.5</v>
          </cell>
          <cell r="B512" t="str">
            <v>Tubería PVC Unión Mecánica de 14" RDE 32.5 (125 PSI)</v>
          </cell>
          <cell r="C512" t="str">
            <v>m.</v>
          </cell>
          <cell r="D512">
            <v>175275</v>
          </cell>
          <cell r="E512">
            <v>208577</v>
          </cell>
        </row>
        <row r="513">
          <cell r="A513" t="str">
            <v>TUM1632.5</v>
          </cell>
          <cell r="B513" t="str">
            <v>Tubería PVC Unión Mecánica de 16" RDE 32.5 (125 PSI)</v>
          </cell>
          <cell r="C513" t="str">
            <v>m.</v>
          </cell>
          <cell r="D513">
            <v>233100</v>
          </cell>
          <cell r="E513">
            <v>277389</v>
          </cell>
        </row>
        <row r="514">
          <cell r="A514" t="str">
            <v>TUM1832.5</v>
          </cell>
          <cell r="B514" t="str">
            <v>Tubería PVC Unión Mecánica de 18" RDE 32.5 (125 PSI)</v>
          </cell>
          <cell r="C514" t="str">
            <v>m.</v>
          </cell>
          <cell r="D514">
            <v>295549</v>
          </cell>
          <cell r="E514">
            <v>351703</v>
          </cell>
        </row>
        <row r="515">
          <cell r="A515" t="str">
            <v>TUM2032.5</v>
          </cell>
          <cell r="B515" t="str">
            <v>Tubería PVC Unión Mecánica de 20" RDE 32.5 (125 PSI)</v>
          </cell>
          <cell r="C515" t="str">
            <v>m.</v>
          </cell>
          <cell r="D515">
            <v>387131</v>
          </cell>
          <cell r="E515">
            <v>460686</v>
          </cell>
        </row>
        <row r="516">
          <cell r="A516" t="str">
            <v>TUM2432.5</v>
          </cell>
          <cell r="B516" t="str">
            <v>Tubería PVC Unión Mecánica de 24" RDE 32.5 (125 PSI)</v>
          </cell>
          <cell r="C516" t="str">
            <v>m.</v>
          </cell>
          <cell r="D516">
            <v>554928</v>
          </cell>
          <cell r="E516">
            <v>660364</v>
          </cell>
        </row>
        <row r="518">
          <cell r="B518" t="str">
            <v>Tubería PVC Unión Mecánica</v>
          </cell>
          <cell r="C518" t="str">
            <v>RDE 41 (100 PSI)</v>
          </cell>
        </row>
        <row r="519">
          <cell r="A519" t="str">
            <v>TUM241</v>
          </cell>
          <cell r="B519" t="str">
            <v>Tubería PVC Unión Mecánica de 2" RDE 41 (100 PSI)</v>
          </cell>
          <cell r="C519" t="str">
            <v>m.</v>
          </cell>
          <cell r="D519">
            <v>4119</v>
          </cell>
          <cell r="E519">
            <v>4902</v>
          </cell>
        </row>
        <row r="520">
          <cell r="A520" t="str">
            <v>TUM341</v>
          </cell>
          <cell r="B520" t="str">
            <v>Tubería PVC Unión Mecánica de 3" RDE 41 (100 PSI)</v>
          </cell>
          <cell r="C520" t="str">
            <v>m.</v>
          </cell>
          <cell r="D520">
            <v>8534</v>
          </cell>
          <cell r="E520">
            <v>10155</v>
          </cell>
        </row>
        <row r="521">
          <cell r="A521" t="str">
            <v>TUM441</v>
          </cell>
          <cell r="B521" t="str">
            <v>Tubería PVC Unión Mecánica de 4" RDE 41 (100 PSI)</v>
          </cell>
          <cell r="C521" t="str">
            <v>m.</v>
          </cell>
          <cell r="D521">
            <v>14366</v>
          </cell>
          <cell r="E521">
            <v>17096</v>
          </cell>
        </row>
        <row r="522">
          <cell r="A522" t="str">
            <v>TUM641</v>
          </cell>
          <cell r="B522" t="str">
            <v>Tubería PVC Unión Mecánica de 6" RDE 41 (100 PSI)</v>
          </cell>
          <cell r="C522" t="str">
            <v>m.</v>
          </cell>
          <cell r="D522">
            <v>30456</v>
          </cell>
          <cell r="E522">
            <v>36243</v>
          </cell>
        </row>
        <row r="523">
          <cell r="A523" t="str">
            <v>TUM841</v>
          </cell>
          <cell r="B523" t="str">
            <v>Tubería PVC Unión Mecánica de 8" RDE 41 (100 PSI)</v>
          </cell>
          <cell r="C523" t="str">
            <v>m.</v>
          </cell>
          <cell r="D523">
            <v>51442</v>
          </cell>
          <cell r="E523">
            <v>61216</v>
          </cell>
        </row>
        <row r="524">
          <cell r="A524" t="str">
            <v>TUM1041</v>
          </cell>
          <cell r="B524" t="str">
            <v>Tubería PVC Unión Mecánica de 10" RDE 41 (100 PSI)</v>
          </cell>
          <cell r="C524" t="str">
            <v>m.</v>
          </cell>
          <cell r="D524">
            <v>80442</v>
          </cell>
          <cell r="E524">
            <v>95726</v>
          </cell>
        </row>
        <row r="525">
          <cell r="A525" t="str">
            <v>TUM1241</v>
          </cell>
          <cell r="B525" t="str">
            <v>Tubería PVC Unión Mecánica de 12" RDE 41 (100 PSI)</v>
          </cell>
          <cell r="C525" t="str">
            <v>m.</v>
          </cell>
          <cell r="D525">
            <v>113926</v>
          </cell>
          <cell r="E525">
            <v>135572</v>
          </cell>
        </row>
        <row r="526">
          <cell r="A526" t="str">
            <v>TUM1441</v>
          </cell>
          <cell r="B526" t="str">
            <v>Tubería PVC Unión Mecánica de 14" RDE 41 (100 PSI)</v>
          </cell>
          <cell r="C526" t="str">
            <v>m.</v>
          </cell>
          <cell r="D526">
            <v>143872</v>
          </cell>
          <cell r="E526">
            <v>171208</v>
          </cell>
        </row>
        <row r="527">
          <cell r="A527" t="str">
            <v>TUM1641</v>
          </cell>
          <cell r="B527" t="str">
            <v>Tubería PVC Unión Mecánica de 16" RDE 41 (100 PSI)</v>
          </cell>
          <cell r="C527" t="str">
            <v>m.</v>
          </cell>
          <cell r="D527">
            <v>193678</v>
          </cell>
          <cell r="E527">
            <v>230477</v>
          </cell>
        </row>
        <row r="528">
          <cell r="A528" t="str">
            <v>TUM1841</v>
          </cell>
          <cell r="B528" t="str">
            <v>Tubería PVC Unión Mecánica de 18" RDE 41 (100 PSI)</v>
          </cell>
          <cell r="C528" t="str">
            <v>m.</v>
          </cell>
          <cell r="D528">
            <v>251969</v>
          </cell>
          <cell r="E528">
            <v>299843</v>
          </cell>
        </row>
        <row r="529">
          <cell r="A529" t="str">
            <v>TUM2041</v>
          </cell>
          <cell r="B529" t="str">
            <v>Tubería PVC Unión Mecánica de 20" RDE 41 (100 PSI)</v>
          </cell>
          <cell r="C529" t="str">
            <v>m.</v>
          </cell>
          <cell r="D529">
            <v>319744</v>
          </cell>
          <cell r="E529">
            <v>380495</v>
          </cell>
        </row>
        <row r="531">
          <cell r="B531" t="str">
            <v>Tubería PVC Orientada Unión Mecánica (SUPRAXIAL)</v>
          </cell>
          <cell r="C531" t="str">
            <v>200 PSI</v>
          </cell>
        </row>
        <row r="532">
          <cell r="A532" t="str">
            <v>TUMS4200</v>
          </cell>
          <cell r="B532" t="str">
            <v>Tubería PVC Orientada Unión Mecánica (SUPRAXIAL) de 4" 200 PSI</v>
          </cell>
          <cell r="C532" t="str">
            <v>m.</v>
          </cell>
          <cell r="D532">
            <v>25895</v>
          </cell>
          <cell r="E532">
            <v>30815</v>
          </cell>
        </row>
        <row r="533">
          <cell r="A533" t="str">
            <v>TUMS6200</v>
          </cell>
          <cell r="B533" t="str">
            <v>Tubería PVC Orientada Unión Mecánica (SUPRAXIAL) de 6" 200 PSI</v>
          </cell>
          <cell r="C533" t="str">
            <v>m.</v>
          </cell>
          <cell r="D533">
            <v>56542</v>
          </cell>
          <cell r="E533">
            <v>67285</v>
          </cell>
        </row>
        <row r="534">
          <cell r="A534" t="str">
            <v>TUMS8200</v>
          </cell>
          <cell r="B534" t="str">
            <v>Tubería PVC Orientada Unión Mecánica (SUPRAXIAL) de 8" 200 PSI</v>
          </cell>
          <cell r="C534" t="str">
            <v>m.</v>
          </cell>
          <cell r="D534">
            <v>95775</v>
          </cell>
          <cell r="E534">
            <v>113972</v>
          </cell>
        </row>
        <row r="535">
          <cell r="A535" t="str">
            <v>TUMS10200</v>
          </cell>
          <cell r="B535" t="str">
            <v>Tubería PVC Orientada Unión Mecánica (SUPRAXIAL) de 10" 200 PSI</v>
          </cell>
          <cell r="C535" t="str">
            <v>m.</v>
          </cell>
          <cell r="D535">
            <v>150770</v>
          </cell>
          <cell r="E535">
            <v>179416</v>
          </cell>
        </row>
        <row r="536">
          <cell r="A536" t="str">
            <v>TUMS12200</v>
          </cell>
          <cell r="B536" t="str">
            <v>Tubería PVC Orientada Unión Mecánica (SUPRAXIAL) de 12" 200 PSI</v>
          </cell>
          <cell r="C536" t="str">
            <v>m.</v>
          </cell>
          <cell r="D536">
            <v>210955</v>
          </cell>
          <cell r="E536">
            <v>251036</v>
          </cell>
        </row>
        <row r="537">
          <cell r="A537" t="str">
            <v>TUMS14200</v>
          </cell>
          <cell r="B537" t="str">
            <v>Tubería PVC Orientada Unión Mecánica (SUPRAXIAL) de 14" 200 PSI</v>
          </cell>
          <cell r="C537" t="str">
            <v>m.</v>
          </cell>
          <cell r="D537">
            <v>261610</v>
          </cell>
          <cell r="E537">
            <v>311316</v>
          </cell>
        </row>
        <row r="538">
          <cell r="A538" t="str">
            <v>TUMS16200</v>
          </cell>
          <cell r="B538" t="str">
            <v>Tubería PVC Orientada Unión Mecánica (SUPRAXIAL) de 16" 200 PSI</v>
          </cell>
          <cell r="C538" t="str">
            <v>m.</v>
          </cell>
          <cell r="D538">
            <v>343367</v>
          </cell>
          <cell r="E538">
            <v>408607</v>
          </cell>
        </row>
        <row r="540">
          <cell r="B540" t="str">
            <v>Tubería PVC Orientada Unión Mecánica (SUPRAXIAL)</v>
          </cell>
          <cell r="C540" t="str">
            <v>160 PSI</v>
          </cell>
        </row>
        <row r="541">
          <cell r="A541" t="str">
            <v>TUMS4160</v>
          </cell>
          <cell r="B541" t="str">
            <v>Tubería PVC Orientada Unión Mecánica (SUPRAXIAL) de 4" 160 PSI</v>
          </cell>
          <cell r="C541" t="str">
            <v>m.</v>
          </cell>
          <cell r="D541">
            <v>21619</v>
          </cell>
          <cell r="E541">
            <v>25727</v>
          </cell>
        </row>
        <row r="542">
          <cell r="A542" t="str">
            <v>TUMS6160</v>
          </cell>
          <cell r="B542" t="str">
            <v>Tubería PVC Orientada Unión Mecánica (SUPRAXIAL) de 6" 160 PSI</v>
          </cell>
          <cell r="C542" t="str">
            <v>m.</v>
          </cell>
          <cell r="D542">
            <v>46310</v>
          </cell>
          <cell r="E542">
            <v>55109</v>
          </cell>
        </row>
        <row r="543">
          <cell r="A543" t="str">
            <v>TUMS8160</v>
          </cell>
          <cell r="B543" t="str">
            <v>Tubería PVC Orientada Unión Mecánica (SUPRAXIAL) de 8" 160 PSI</v>
          </cell>
          <cell r="C543" t="str">
            <v>m.</v>
          </cell>
          <cell r="D543">
            <v>78784</v>
          </cell>
          <cell r="E543">
            <v>93753</v>
          </cell>
        </row>
        <row r="544">
          <cell r="A544" t="str">
            <v>TUMS10160</v>
          </cell>
          <cell r="B544" t="str">
            <v>Tubería PVC Orientada Unión Mecánica (SUPRAXIAL) de 10" 160 PSI</v>
          </cell>
          <cell r="C544" t="str">
            <v>m.</v>
          </cell>
          <cell r="D544">
            <v>122628</v>
          </cell>
          <cell r="E544">
            <v>145927</v>
          </cell>
        </row>
        <row r="545">
          <cell r="A545" t="str">
            <v>TUMS12160</v>
          </cell>
          <cell r="B545" t="str">
            <v>Tubería PVC Orientada Unión Mecánica (SUPRAXIAL) de 12" 160 PSI</v>
          </cell>
          <cell r="C545" t="str">
            <v>m.</v>
          </cell>
          <cell r="D545">
            <v>172863</v>
          </cell>
          <cell r="E545">
            <v>205707</v>
          </cell>
        </row>
        <row r="546">
          <cell r="A546" t="str">
            <v>TUMS14160</v>
          </cell>
          <cell r="B546" t="str">
            <v>Tubería PVC Orientada Unión Mecánica (SUPRAXIAL) de 14" 160 PSI</v>
          </cell>
          <cell r="C546" t="str">
            <v>m.</v>
          </cell>
          <cell r="D546">
            <v>215086</v>
          </cell>
          <cell r="E546">
            <v>255952</v>
          </cell>
        </row>
        <row r="547">
          <cell r="A547" t="str">
            <v>TUMS16160</v>
          </cell>
          <cell r="B547" t="str">
            <v>Tubería PVC Orientada Unión Mecánica (SUPRAXIAL) de 16" 160 PSI</v>
          </cell>
          <cell r="C547" t="str">
            <v>m.</v>
          </cell>
          <cell r="D547">
            <v>285373</v>
          </cell>
          <cell r="E547">
            <v>339594</v>
          </cell>
        </row>
        <row r="549">
          <cell r="A549" t="str">
            <v>ALTA PRESION</v>
          </cell>
          <cell r="B549" t="str">
            <v>Tubería PVC Presión E.L.</v>
          </cell>
          <cell r="C549" t="str">
            <v>RDE 11 (400 PSI)</v>
          </cell>
        </row>
        <row r="550">
          <cell r="A550" t="str">
            <v>TAP311</v>
          </cell>
          <cell r="B550" t="str">
            <v>Tubería PVC Presión E.L. de 3" RDE 11 (400 PSI)</v>
          </cell>
          <cell r="C550" t="str">
            <v>m.</v>
          </cell>
          <cell r="D550">
            <v>40110</v>
          </cell>
          <cell r="E550">
            <v>47731</v>
          </cell>
        </row>
        <row r="551">
          <cell r="A551" t="str">
            <v>TAP411</v>
          </cell>
          <cell r="B551" t="str">
            <v>Tubería PVC Presión E.L. de 4" RDE 11 (400 PSI)</v>
          </cell>
          <cell r="C551" t="str">
            <v>m.</v>
          </cell>
          <cell r="D551">
            <v>66715</v>
          </cell>
          <cell r="E551">
            <v>79391</v>
          </cell>
        </row>
        <row r="552">
          <cell r="A552" t="str">
            <v>TAP611</v>
          </cell>
          <cell r="B552" t="str">
            <v>Tubería PVC Presión E.L. de 6" RDE 11 (400 PSI)</v>
          </cell>
          <cell r="C552" t="str">
            <v>m.</v>
          </cell>
          <cell r="D552">
            <v>144547</v>
          </cell>
          <cell r="E552">
            <v>172011</v>
          </cell>
        </row>
        <row r="553">
          <cell r="A553" t="str">
            <v>TAP811</v>
          </cell>
          <cell r="B553" t="str">
            <v>Tubería PVC Presión E.L. de 8" RDE 11 (400 PSI)</v>
          </cell>
          <cell r="C553" t="str">
            <v>m.</v>
          </cell>
          <cell r="D553">
            <v>242998</v>
          </cell>
          <cell r="E553">
            <v>289168</v>
          </cell>
        </row>
        <row r="555">
          <cell r="A555" t="str">
            <v>ACCESORIOS UNIÓN MECÁNICA</v>
          </cell>
        </row>
        <row r="556">
          <cell r="B556" t="str">
            <v xml:space="preserve">Codo PVC Gran Radio </v>
          </cell>
        </row>
        <row r="557">
          <cell r="A557" t="str">
            <v>CGR290</v>
          </cell>
          <cell r="B557" t="str">
            <v xml:space="preserve">Codo PVC Gran Radio  de 2 x 90 </v>
          </cell>
          <cell r="C557" t="str">
            <v>Und.</v>
          </cell>
          <cell r="D557">
            <v>0</v>
          </cell>
          <cell r="E557">
            <v>0</v>
          </cell>
        </row>
        <row r="558">
          <cell r="A558" t="str">
            <v>CGR2-1/290</v>
          </cell>
          <cell r="B558" t="str">
            <v xml:space="preserve">Codo PVC Gran Radio  de 2 1/2 x 90 </v>
          </cell>
          <cell r="C558" t="str">
            <v>Und.</v>
          </cell>
          <cell r="D558">
            <v>0</v>
          </cell>
          <cell r="E558">
            <v>0</v>
          </cell>
        </row>
        <row r="559">
          <cell r="A559" t="str">
            <v>CGR390</v>
          </cell>
          <cell r="B559" t="str">
            <v xml:space="preserve">Codo PVC Gran Radio  de 3 x 90 </v>
          </cell>
          <cell r="C559" t="str">
            <v>Und.</v>
          </cell>
          <cell r="D559">
            <v>0</v>
          </cell>
          <cell r="E559">
            <v>0</v>
          </cell>
        </row>
        <row r="560">
          <cell r="A560" t="str">
            <v>CGR490</v>
          </cell>
          <cell r="B560" t="str">
            <v xml:space="preserve">Codo PVC Gran Radio  de 4 x 90 </v>
          </cell>
          <cell r="C560" t="str">
            <v>Und.</v>
          </cell>
          <cell r="D560">
            <v>0</v>
          </cell>
          <cell r="E560">
            <v>0</v>
          </cell>
        </row>
        <row r="561">
          <cell r="A561" t="str">
            <v>CGR690</v>
          </cell>
          <cell r="B561" t="str">
            <v xml:space="preserve">Codo PVC Gran Radio  de 6 x 90 </v>
          </cell>
          <cell r="C561" t="str">
            <v>Und.</v>
          </cell>
          <cell r="D561">
            <v>257638</v>
          </cell>
          <cell r="E561">
            <v>306589</v>
          </cell>
        </row>
        <row r="562">
          <cell r="A562" t="str">
            <v>CGR890</v>
          </cell>
          <cell r="B562" t="str">
            <v xml:space="preserve">Codo PVC Gran Radio  de 8 x 90 </v>
          </cell>
          <cell r="C562" t="str">
            <v>Und.</v>
          </cell>
          <cell r="D562">
            <v>611480</v>
          </cell>
          <cell r="E562">
            <v>727661</v>
          </cell>
        </row>
        <row r="563">
          <cell r="A563" t="str">
            <v>CGR1090</v>
          </cell>
          <cell r="B563" t="str">
            <v xml:space="preserve">Codo PVC Gran Radio  de 10 x 90 </v>
          </cell>
          <cell r="C563" t="str">
            <v>Und.</v>
          </cell>
          <cell r="D563">
            <v>0</v>
          </cell>
          <cell r="E563">
            <v>0</v>
          </cell>
        </row>
        <row r="564">
          <cell r="A564" t="str">
            <v>CGR1290</v>
          </cell>
          <cell r="B564" t="str">
            <v xml:space="preserve">Codo PVC Gran Radio  de 12 x 90 </v>
          </cell>
          <cell r="C564" t="str">
            <v>Und.</v>
          </cell>
          <cell r="D564">
            <v>0</v>
          </cell>
          <cell r="E564">
            <v>0</v>
          </cell>
        </row>
        <row r="565">
          <cell r="A565" t="str">
            <v>CGR1490</v>
          </cell>
          <cell r="B565" t="str">
            <v xml:space="preserve">Codo PVC Gran Radio  de 14 x 90 </v>
          </cell>
          <cell r="C565" t="str">
            <v>Und.</v>
          </cell>
          <cell r="D565">
            <v>0</v>
          </cell>
          <cell r="E565">
            <v>0</v>
          </cell>
        </row>
        <row r="566">
          <cell r="A566" t="str">
            <v>CGR245</v>
          </cell>
          <cell r="B566" t="str">
            <v xml:space="preserve">Codo PVC Gran Radio  de 2 x 45 </v>
          </cell>
          <cell r="C566" t="str">
            <v>Und.</v>
          </cell>
          <cell r="D566">
            <v>0</v>
          </cell>
          <cell r="E566">
            <v>0</v>
          </cell>
        </row>
        <row r="567">
          <cell r="A567" t="str">
            <v>CGR2-1/245</v>
          </cell>
          <cell r="B567" t="str">
            <v xml:space="preserve">Codo PVC Gran Radio  de 2 1/2 x 45 </v>
          </cell>
          <cell r="C567" t="str">
            <v>Und.</v>
          </cell>
          <cell r="D567">
            <v>0</v>
          </cell>
          <cell r="E567">
            <v>0</v>
          </cell>
        </row>
        <row r="568">
          <cell r="A568" t="str">
            <v>CGR345</v>
          </cell>
          <cell r="B568" t="str">
            <v xml:space="preserve">Codo PVC Gran Radio  de 3 x 45 </v>
          </cell>
          <cell r="C568" t="str">
            <v>Und.</v>
          </cell>
          <cell r="D568">
            <v>0</v>
          </cell>
          <cell r="E568">
            <v>0</v>
          </cell>
        </row>
        <row r="569">
          <cell r="A569" t="str">
            <v>CGR445</v>
          </cell>
          <cell r="B569" t="str">
            <v xml:space="preserve">Codo PVC Gran Radio  de 4 x 45 </v>
          </cell>
          <cell r="C569" t="str">
            <v>Und.</v>
          </cell>
          <cell r="D569">
            <v>0</v>
          </cell>
          <cell r="E569">
            <v>0</v>
          </cell>
        </row>
        <row r="570">
          <cell r="A570" t="str">
            <v>CGR645</v>
          </cell>
          <cell r="B570" t="str">
            <v xml:space="preserve">Codo PVC Gran Radio  de 6 x 45 </v>
          </cell>
          <cell r="C570" t="str">
            <v>Und.</v>
          </cell>
          <cell r="D570">
            <v>187026</v>
          </cell>
          <cell r="E570">
            <v>222561</v>
          </cell>
        </row>
        <row r="571">
          <cell r="A571" t="str">
            <v>CGR845</v>
          </cell>
          <cell r="B571" t="str">
            <v xml:space="preserve">Codo PVC Gran Radio  de 8 x 45 </v>
          </cell>
          <cell r="C571" t="str">
            <v>Und.</v>
          </cell>
          <cell r="D571">
            <v>406186</v>
          </cell>
          <cell r="E571">
            <v>483361</v>
          </cell>
        </row>
        <row r="572">
          <cell r="A572" t="str">
            <v>CGR1045</v>
          </cell>
          <cell r="B572" t="str">
            <v xml:space="preserve">Codo PVC Gran Radio  de 10 x 45 </v>
          </cell>
          <cell r="C572" t="str">
            <v>Und.</v>
          </cell>
          <cell r="D572">
            <v>0</v>
          </cell>
          <cell r="E572">
            <v>0</v>
          </cell>
        </row>
        <row r="573">
          <cell r="A573" t="str">
            <v>CGR1245</v>
          </cell>
          <cell r="B573" t="str">
            <v xml:space="preserve">Codo PVC Gran Radio  de 12 x 45 </v>
          </cell>
          <cell r="C573" t="str">
            <v>Und.</v>
          </cell>
          <cell r="D573">
            <v>0</v>
          </cell>
          <cell r="E573">
            <v>0</v>
          </cell>
        </row>
        <row r="574">
          <cell r="A574" t="str">
            <v>CGR1445</v>
          </cell>
          <cell r="B574" t="str">
            <v xml:space="preserve">Codo PVC Gran Radio  de 14 x 45 </v>
          </cell>
          <cell r="C574" t="str">
            <v>Und.</v>
          </cell>
          <cell r="D574">
            <v>0</v>
          </cell>
          <cell r="E574">
            <v>0</v>
          </cell>
        </row>
        <row r="575">
          <cell r="A575" t="str">
            <v>CGR222.5</v>
          </cell>
          <cell r="B575" t="str">
            <v xml:space="preserve">Codo PVC Gran Radio  de 2 x 22,5 </v>
          </cell>
          <cell r="C575" t="str">
            <v>Und.</v>
          </cell>
          <cell r="D575">
            <v>0</v>
          </cell>
          <cell r="E575">
            <v>0</v>
          </cell>
        </row>
        <row r="576">
          <cell r="A576" t="str">
            <v>CGR2-1/222.5</v>
          </cell>
          <cell r="B576" t="str">
            <v xml:space="preserve">Codo PVC Gran Radio  de 2 1/2 x 22,5 </v>
          </cell>
          <cell r="C576" t="str">
            <v>Und.</v>
          </cell>
          <cell r="D576">
            <v>0</v>
          </cell>
          <cell r="E576">
            <v>0</v>
          </cell>
        </row>
        <row r="577">
          <cell r="A577" t="str">
            <v>CGR322.5</v>
          </cell>
          <cell r="B577" t="str">
            <v xml:space="preserve">Codo PVC Gran Radio  de 3 x 22,5 </v>
          </cell>
          <cell r="C577" t="str">
            <v>Und.</v>
          </cell>
          <cell r="D577">
            <v>0</v>
          </cell>
          <cell r="E577">
            <v>0</v>
          </cell>
        </row>
        <row r="578">
          <cell r="A578" t="str">
            <v>CGR422.5</v>
          </cell>
          <cell r="B578" t="str">
            <v xml:space="preserve">Codo PVC Gran Radio  de 4 x 22,5 </v>
          </cell>
          <cell r="C578" t="str">
            <v>Und.</v>
          </cell>
          <cell r="D578">
            <v>0</v>
          </cell>
          <cell r="E578">
            <v>0</v>
          </cell>
        </row>
        <row r="579">
          <cell r="A579" t="str">
            <v>CGR622.5</v>
          </cell>
          <cell r="B579" t="str">
            <v xml:space="preserve">Codo PVC Gran Radio  de 6 x 22,5 </v>
          </cell>
          <cell r="C579" t="str">
            <v>Und.</v>
          </cell>
          <cell r="D579">
            <v>149362</v>
          </cell>
          <cell r="E579">
            <v>177741</v>
          </cell>
        </row>
        <row r="580">
          <cell r="A580" t="str">
            <v>CGR822.5</v>
          </cell>
          <cell r="B580" t="str">
            <v xml:space="preserve">Codo PVC Gran Radio  de 8 x 22,5 </v>
          </cell>
          <cell r="C580" t="str">
            <v>Und.</v>
          </cell>
          <cell r="D580">
            <v>316029</v>
          </cell>
          <cell r="E580">
            <v>376075</v>
          </cell>
        </row>
        <row r="581">
          <cell r="A581" t="str">
            <v>CGR1022.5</v>
          </cell>
          <cell r="B581" t="str">
            <v xml:space="preserve">Codo PVC Gran Radio  de 10 x 22,5 </v>
          </cell>
          <cell r="C581" t="str">
            <v>Und.</v>
          </cell>
          <cell r="D581">
            <v>0</v>
          </cell>
          <cell r="E581">
            <v>0</v>
          </cell>
        </row>
        <row r="582">
          <cell r="A582" t="str">
            <v>CGR1222.5</v>
          </cell>
          <cell r="B582" t="str">
            <v xml:space="preserve">Codo PVC Gran Radio  de 12 x 22,5 </v>
          </cell>
          <cell r="C582" t="str">
            <v>Und.</v>
          </cell>
          <cell r="D582">
            <v>0</v>
          </cell>
          <cell r="E582">
            <v>0</v>
          </cell>
        </row>
        <row r="583">
          <cell r="A583" t="str">
            <v>CGR1422.5</v>
          </cell>
          <cell r="B583" t="str">
            <v xml:space="preserve">Codo PVC Gran Radio  de 14 x 22,5 </v>
          </cell>
          <cell r="C583" t="str">
            <v>Und.</v>
          </cell>
          <cell r="D583">
            <v>0</v>
          </cell>
          <cell r="E583">
            <v>0</v>
          </cell>
        </row>
        <row r="584">
          <cell r="A584" t="str">
            <v>CGR211.25</v>
          </cell>
          <cell r="B584" t="str">
            <v xml:space="preserve">Codo PVC Gran Radio  de 2 x 11,25 </v>
          </cell>
          <cell r="C584" t="str">
            <v>Und.</v>
          </cell>
          <cell r="D584">
            <v>0</v>
          </cell>
          <cell r="E584">
            <v>0</v>
          </cell>
        </row>
        <row r="585">
          <cell r="A585" t="str">
            <v>CGR2-1/211.25</v>
          </cell>
          <cell r="B585" t="str">
            <v xml:space="preserve">Codo PVC Gran Radio  de 2 1/2 x 11,25 </v>
          </cell>
          <cell r="C585" t="str">
            <v>Und.</v>
          </cell>
          <cell r="D585">
            <v>0</v>
          </cell>
          <cell r="E585">
            <v>0</v>
          </cell>
        </row>
        <row r="586">
          <cell r="A586" t="str">
            <v>CGR311.25</v>
          </cell>
          <cell r="B586" t="str">
            <v xml:space="preserve">Codo PVC Gran Radio  de 3 x 11,25 </v>
          </cell>
          <cell r="C586" t="str">
            <v>Und.</v>
          </cell>
          <cell r="D586">
            <v>0</v>
          </cell>
          <cell r="E586">
            <v>0</v>
          </cell>
        </row>
        <row r="587">
          <cell r="A587" t="str">
            <v>CGR411.25</v>
          </cell>
          <cell r="B587" t="str">
            <v xml:space="preserve">Codo PVC Gran Radio  de 4 x 11,25 </v>
          </cell>
          <cell r="C587" t="str">
            <v>Und.</v>
          </cell>
          <cell r="D587">
            <v>0</v>
          </cell>
          <cell r="E587">
            <v>0</v>
          </cell>
        </row>
        <row r="588">
          <cell r="A588" t="str">
            <v>CGR611.25</v>
          </cell>
          <cell r="B588" t="str">
            <v xml:space="preserve">Codo PVC Gran Radio  de 6 x 11,25 </v>
          </cell>
          <cell r="C588" t="str">
            <v>Und.</v>
          </cell>
          <cell r="D588">
            <v>133556</v>
          </cell>
          <cell r="E588">
            <v>158932</v>
          </cell>
        </row>
        <row r="589">
          <cell r="A589" t="str">
            <v>CGR811.25</v>
          </cell>
          <cell r="B589" t="str">
            <v xml:space="preserve">Codo PVC Gran Radio  de 8 x 11,25 </v>
          </cell>
          <cell r="C589" t="str">
            <v>Und.</v>
          </cell>
          <cell r="D589">
            <v>271372</v>
          </cell>
          <cell r="E589">
            <v>322933</v>
          </cell>
        </row>
        <row r="590">
          <cell r="A590" t="str">
            <v>CGR1011.25</v>
          </cell>
          <cell r="B590" t="str">
            <v xml:space="preserve">Codo PVC Gran Radio  de 10 x 11,25 </v>
          </cell>
          <cell r="C590" t="str">
            <v>Und.</v>
          </cell>
          <cell r="D590">
            <v>0</v>
          </cell>
          <cell r="E590">
            <v>0</v>
          </cell>
        </row>
        <row r="591">
          <cell r="A591" t="str">
            <v>CGR1211.25</v>
          </cell>
          <cell r="B591" t="str">
            <v xml:space="preserve">Codo PVC Gran Radio  de 12 x 11,25 </v>
          </cell>
          <cell r="C591" t="str">
            <v>Und.</v>
          </cell>
          <cell r="D591">
            <v>0</v>
          </cell>
          <cell r="E591">
            <v>0</v>
          </cell>
        </row>
        <row r="592">
          <cell r="A592" t="str">
            <v>CGR1411.25</v>
          </cell>
          <cell r="B592" t="str">
            <v xml:space="preserve">Codo PVC Gran Radio  de 14 x 11,25 </v>
          </cell>
          <cell r="C592" t="str">
            <v>Und.</v>
          </cell>
          <cell r="D592">
            <v>0</v>
          </cell>
          <cell r="E592">
            <v>0</v>
          </cell>
        </row>
        <row r="593">
          <cell r="A593" t="str">
            <v>CGR86</v>
          </cell>
          <cell r="B593" t="str">
            <v xml:space="preserve">Codo PVC Gran Radio  de 8 x 6 </v>
          </cell>
          <cell r="C593" t="str">
            <v>Und.</v>
          </cell>
          <cell r="D593">
            <v>0</v>
          </cell>
          <cell r="E593">
            <v>0</v>
          </cell>
        </row>
        <row r="594">
          <cell r="A594" t="str">
            <v>CGR126</v>
          </cell>
          <cell r="B594" t="str">
            <v xml:space="preserve">Codo PVC Gran Radio  de 12 x 6 </v>
          </cell>
          <cell r="C594" t="str">
            <v>Und.</v>
          </cell>
          <cell r="D594">
            <v>0</v>
          </cell>
          <cell r="E594">
            <v>0</v>
          </cell>
        </row>
        <row r="596">
          <cell r="B596" t="str">
            <v>Collar de Derivación PVC</v>
          </cell>
        </row>
        <row r="597">
          <cell r="A597" t="str">
            <v>CD2*1/2</v>
          </cell>
          <cell r="B597" t="str">
            <v xml:space="preserve">Collar de Derivación PVC de 2 x 1/2 </v>
          </cell>
          <cell r="C597" t="str">
            <v>Und.</v>
          </cell>
          <cell r="D597">
            <v>5340</v>
          </cell>
          <cell r="E597">
            <v>6355</v>
          </cell>
        </row>
        <row r="598">
          <cell r="A598" t="str">
            <v>CD2*3/4</v>
          </cell>
          <cell r="B598" t="str">
            <v xml:space="preserve">Collar de Derivación PVC de 2 x 3/4 </v>
          </cell>
          <cell r="C598" t="str">
            <v>Und.</v>
          </cell>
          <cell r="D598">
            <v>5343</v>
          </cell>
          <cell r="E598">
            <v>6358</v>
          </cell>
        </row>
        <row r="599">
          <cell r="A599" t="str">
            <v>CD3*1/2</v>
          </cell>
          <cell r="B599" t="str">
            <v xml:space="preserve">Collar de Derivación PVC de 3 x 1/2 </v>
          </cell>
          <cell r="C599" t="str">
            <v>Und.</v>
          </cell>
          <cell r="D599">
            <v>9803</v>
          </cell>
          <cell r="E599">
            <v>11666</v>
          </cell>
        </row>
        <row r="600">
          <cell r="A600" t="str">
            <v>CD3*3/4</v>
          </cell>
          <cell r="B600" t="str">
            <v xml:space="preserve">Collar de Derivación PVC de 3 x 3/4 </v>
          </cell>
          <cell r="C600" t="str">
            <v>Und.</v>
          </cell>
          <cell r="D600">
            <v>10679</v>
          </cell>
          <cell r="E600">
            <v>12708</v>
          </cell>
        </row>
        <row r="601">
          <cell r="A601" t="str">
            <v>CD4*1/2</v>
          </cell>
          <cell r="B601" t="str">
            <v xml:space="preserve">Collar de Derivación PVC de 4 x 1/2 </v>
          </cell>
          <cell r="C601" t="str">
            <v>Und.</v>
          </cell>
          <cell r="D601">
            <v>12207</v>
          </cell>
          <cell r="E601">
            <v>14526</v>
          </cell>
        </row>
        <row r="602">
          <cell r="A602" t="str">
            <v>CD4*3/2</v>
          </cell>
          <cell r="B602" t="str">
            <v xml:space="preserve">Collar de Derivación PVC de 4 x 3/4 </v>
          </cell>
          <cell r="C602" t="str">
            <v>Und.</v>
          </cell>
          <cell r="D602">
            <v>13106</v>
          </cell>
          <cell r="E602">
            <v>15596</v>
          </cell>
        </row>
        <row r="603">
          <cell r="A603" t="str">
            <v>CD6*1/2</v>
          </cell>
          <cell r="B603" t="str">
            <v xml:space="preserve">Collar de Derivación PVC de 6 x 1/2 </v>
          </cell>
          <cell r="C603" t="str">
            <v>Und.</v>
          </cell>
          <cell r="D603">
            <v>15106</v>
          </cell>
          <cell r="E603">
            <v>17976</v>
          </cell>
        </row>
        <row r="604">
          <cell r="A604" t="str">
            <v>CD6*3/4</v>
          </cell>
          <cell r="B604" t="str">
            <v xml:space="preserve">Collar de Derivación PVC de 6 x 3/4 </v>
          </cell>
          <cell r="C604" t="str">
            <v>Und.</v>
          </cell>
          <cell r="D604">
            <v>15374</v>
          </cell>
          <cell r="E604">
            <v>18295</v>
          </cell>
        </row>
        <row r="606">
          <cell r="B606" t="str">
            <v>Unión Mecánica PVC Presión Campana</v>
          </cell>
        </row>
        <row r="607">
          <cell r="A607" t="str">
            <v>UM2</v>
          </cell>
          <cell r="B607" t="str">
            <v xml:space="preserve">Unión Mecánica PVC Presión Campana de 2" </v>
          </cell>
          <cell r="C607" t="str">
            <v>Und.</v>
          </cell>
          <cell r="D607">
            <v>15462</v>
          </cell>
          <cell r="E607">
            <v>18400</v>
          </cell>
        </row>
        <row r="608">
          <cell r="A608" t="str">
            <v>UM2-1/2</v>
          </cell>
          <cell r="B608" t="str">
            <v xml:space="preserve">Unión Mecánica PVC Presión Campana de 2 1/2' </v>
          </cell>
          <cell r="C608" t="str">
            <v>Und.</v>
          </cell>
          <cell r="D608">
            <v>20156</v>
          </cell>
          <cell r="E608">
            <v>23986</v>
          </cell>
        </row>
        <row r="609">
          <cell r="A609" t="str">
            <v>UM3</v>
          </cell>
          <cell r="B609" t="str">
            <v xml:space="preserve">Unión Mecánica PVC Presión Campana de 3" </v>
          </cell>
          <cell r="C609" t="str">
            <v>Und.</v>
          </cell>
          <cell r="D609">
            <v>26499</v>
          </cell>
          <cell r="E609">
            <v>31534</v>
          </cell>
        </row>
        <row r="610">
          <cell r="A610" t="str">
            <v>UM4</v>
          </cell>
          <cell r="B610" t="str">
            <v xml:space="preserve">Unión Mecánica PVC Presión Campana de 4" </v>
          </cell>
          <cell r="C610" t="str">
            <v>Und.</v>
          </cell>
          <cell r="D610">
            <v>43090</v>
          </cell>
          <cell r="E610">
            <v>51277</v>
          </cell>
        </row>
        <row r="611">
          <cell r="A611" t="str">
            <v>UM6</v>
          </cell>
          <cell r="B611" t="str">
            <v xml:space="preserve">Unión Mecánica PVC Presión Campana de 6" </v>
          </cell>
          <cell r="C611" t="str">
            <v>Und.</v>
          </cell>
          <cell r="D611">
            <v>100613</v>
          </cell>
          <cell r="E611">
            <v>119729</v>
          </cell>
        </row>
        <row r="612">
          <cell r="A612" t="str">
            <v>UM8</v>
          </cell>
          <cell r="B612" t="str">
            <v xml:space="preserve">Unión Mecánica PVC Presión Campana de 8" </v>
          </cell>
          <cell r="C612" t="str">
            <v>Und.</v>
          </cell>
          <cell r="D612">
            <v>184850</v>
          </cell>
          <cell r="E612">
            <v>219972</v>
          </cell>
        </row>
        <row r="613">
          <cell r="A613" t="str">
            <v>UM10</v>
          </cell>
          <cell r="B613" t="str">
            <v xml:space="preserve">Unión Mecánica PVC Presión Campana de 10" </v>
          </cell>
          <cell r="C613" t="str">
            <v>Und.</v>
          </cell>
          <cell r="D613">
            <v>330270</v>
          </cell>
          <cell r="E613">
            <v>393021</v>
          </cell>
        </row>
        <row r="614">
          <cell r="A614" t="str">
            <v>UM12</v>
          </cell>
          <cell r="B614" t="str">
            <v xml:space="preserve">Unión Mecánica PVC Presión Campana de 12" </v>
          </cell>
          <cell r="C614" t="str">
            <v>Und.</v>
          </cell>
          <cell r="D614">
            <v>511844</v>
          </cell>
          <cell r="E614">
            <v>609094</v>
          </cell>
        </row>
        <row r="615">
          <cell r="A615" t="str">
            <v>UM14</v>
          </cell>
          <cell r="B615" t="str">
            <v xml:space="preserve">Unión Mecánica PVC Presión Campana de 14" </v>
          </cell>
          <cell r="C615" t="str">
            <v>Und.</v>
          </cell>
          <cell r="D615">
            <v>713694</v>
          </cell>
          <cell r="E615">
            <v>849296</v>
          </cell>
        </row>
        <row r="617">
          <cell r="B617" t="str">
            <v>Unión PVC de Reparación</v>
          </cell>
        </row>
        <row r="618">
          <cell r="A618" t="str">
            <v>UR2</v>
          </cell>
          <cell r="B618" t="str">
            <v xml:space="preserve">Unión PVC de Reparación de 2" </v>
          </cell>
          <cell r="C618" t="str">
            <v>Und.</v>
          </cell>
          <cell r="D618">
            <v>0</v>
          </cell>
          <cell r="E618">
            <v>0</v>
          </cell>
        </row>
        <row r="619">
          <cell r="A619" t="str">
            <v>UR2-1/2</v>
          </cell>
          <cell r="B619" t="str">
            <v xml:space="preserve">Unión PVC de Reparación de 2 1/2' </v>
          </cell>
          <cell r="C619" t="str">
            <v>Und.</v>
          </cell>
          <cell r="D619">
            <v>0</v>
          </cell>
          <cell r="E619">
            <v>0</v>
          </cell>
        </row>
        <row r="620">
          <cell r="A620" t="str">
            <v>UR3</v>
          </cell>
          <cell r="B620" t="str">
            <v xml:space="preserve">Unión PVC de Reparación de 3" </v>
          </cell>
          <cell r="C620" t="str">
            <v>Und.</v>
          </cell>
          <cell r="D620">
            <v>0</v>
          </cell>
          <cell r="E620">
            <v>0</v>
          </cell>
        </row>
        <row r="621">
          <cell r="A621" t="str">
            <v>UR4</v>
          </cell>
          <cell r="B621" t="str">
            <v xml:space="preserve">Unión PVC de Reparación de 4" </v>
          </cell>
          <cell r="C621" t="str">
            <v>Und.</v>
          </cell>
          <cell r="D621">
            <v>0</v>
          </cell>
          <cell r="E621">
            <v>0</v>
          </cell>
        </row>
        <row r="622">
          <cell r="A622" t="str">
            <v>UR6</v>
          </cell>
          <cell r="B622" t="str">
            <v xml:space="preserve">Unión PVC de Reparación de 6" </v>
          </cell>
          <cell r="C622" t="str">
            <v>Und.</v>
          </cell>
          <cell r="D622">
            <v>123466</v>
          </cell>
          <cell r="E622">
            <v>146925</v>
          </cell>
        </row>
        <row r="623">
          <cell r="A623" t="str">
            <v>UR8</v>
          </cell>
          <cell r="B623" t="str">
            <v xml:space="preserve">Unión PVC de Reparación de 8" </v>
          </cell>
          <cell r="C623" t="str">
            <v>Und.</v>
          </cell>
          <cell r="D623">
            <v>227012</v>
          </cell>
          <cell r="E623">
            <v>270144</v>
          </cell>
        </row>
        <row r="624">
          <cell r="A624" t="str">
            <v>UR10</v>
          </cell>
          <cell r="B624" t="str">
            <v xml:space="preserve">Unión PVC de Reparación de 10" </v>
          </cell>
          <cell r="C624" t="str">
            <v>Und.</v>
          </cell>
          <cell r="D624">
            <v>0</v>
          </cell>
          <cell r="E624">
            <v>0</v>
          </cell>
        </row>
        <row r="625">
          <cell r="A625" t="str">
            <v>UR12</v>
          </cell>
          <cell r="B625" t="str">
            <v xml:space="preserve">Unión PVC de Reparación de 12" </v>
          </cell>
          <cell r="C625" t="str">
            <v>Und.</v>
          </cell>
          <cell r="D625">
            <v>0</v>
          </cell>
          <cell r="E625">
            <v>0</v>
          </cell>
        </row>
        <row r="627">
          <cell r="A627" t="str">
            <v>TUBERÍA ALCANTARILLADOS</v>
          </cell>
        </row>
        <row r="628">
          <cell r="B628" t="str">
            <v>Tubería Corrugada Alcantarillado RS8</v>
          </cell>
        </row>
        <row r="629">
          <cell r="A629" t="str">
            <v>TA4</v>
          </cell>
          <cell r="B629" t="str">
            <v xml:space="preserve">Tubería Corrugada Alcantarillado RS8 de 110 mm </v>
          </cell>
          <cell r="C629" t="str">
            <v>m.</v>
          </cell>
          <cell r="D629">
            <v>13684</v>
          </cell>
          <cell r="E629">
            <v>16284</v>
          </cell>
          <cell r="F629">
            <v>50</v>
          </cell>
          <cell r="G629">
            <v>50</v>
          </cell>
        </row>
        <row r="630">
          <cell r="A630" t="str">
            <v>TA6</v>
          </cell>
          <cell r="B630" t="str">
            <v xml:space="preserve">Tubería Corrugada Alcantarillado RS8 de 160 mm </v>
          </cell>
          <cell r="C630" t="str">
            <v>m.</v>
          </cell>
          <cell r="D630">
            <v>26728</v>
          </cell>
          <cell r="E630">
            <v>31806</v>
          </cell>
          <cell r="F630">
            <v>50</v>
          </cell>
          <cell r="G630">
            <v>50</v>
          </cell>
        </row>
        <row r="631">
          <cell r="A631" t="str">
            <v>TA8</v>
          </cell>
          <cell r="B631" t="str">
            <v xml:space="preserve">Tubería Corrugada Alcantarillado RS8 de 200 mm </v>
          </cell>
          <cell r="C631" t="str">
            <v>m.</v>
          </cell>
          <cell r="D631">
            <v>36394</v>
          </cell>
          <cell r="E631">
            <v>43309</v>
          </cell>
          <cell r="F631">
            <v>50</v>
          </cell>
          <cell r="G631">
            <v>50</v>
          </cell>
        </row>
        <row r="632">
          <cell r="A632" t="str">
            <v>TA10</v>
          </cell>
          <cell r="B632" t="str">
            <v xml:space="preserve">Tubería Corrugada Alcantarillado RS8 de 250 mm </v>
          </cell>
          <cell r="C632" t="str">
            <v>m.</v>
          </cell>
          <cell r="D632">
            <v>53312</v>
          </cell>
          <cell r="E632">
            <v>63441</v>
          </cell>
          <cell r="F632">
            <v>50</v>
          </cell>
          <cell r="G632">
            <v>50</v>
          </cell>
        </row>
        <row r="633">
          <cell r="A633" t="str">
            <v>TA12</v>
          </cell>
          <cell r="B633" t="str">
            <v xml:space="preserve">Tubería Corrugada Alcantarillado RS8 de 315 mm </v>
          </cell>
          <cell r="C633" t="str">
            <v>m.</v>
          </cell>
          <cell r="D633">
            <v>78824</v>
          </cell>
          <cell r="E633">
            <v>93801</v>
          </cell>
          <cell r="F633">
            <v>50</v>
          </cell>
          <cell r="G633">
            <v>50</v>
          </cell>
        </row>
        <row r="634">
          <cell r="A634" t="str">
            <v>TA14</v>
          </cell>
          <cell r="B634" t="str">
            <v xml:space="preserve">Tubería Corrugada Alcantarillado RS8 de 355 mm </v>
          </cell>
          <cell r="C634" t="str">
            <v>m.</v>
          </cell>
          <cell r="D634">
            <v>112755</v>
          </cell>
          <cell r="E634">
            <v>134178</v>
          </cell>
          <cell r="F634">
            <v>50</v>
          </cell>
          <cell r="G634">
            <v>50</v>
          </cell>
        </row>
        <row r="635">
          <cell r="A635" t="str">
            <v>TA16</v>
          </cell>
          <cell r="B635" t="str">
            <v xml:space="preserve">Tubería Corrugada Alcantarillado RS8 de 400 mm </v>
          </cell>
          <cell r="C635" t="str">
            <v>m.</v>
          </cell>
          <cell r="D635">
            <v>138147</v>
          </cell>
          <cell r="E635">
            <v>164395</v>
          </cell>
          <cell r="F635">
            <v>50</v>
          </cell>
          <cell r="G635">
            <v>50</v>
          </cell>
        </row>
        <row r="636">
          <cell r="A636" t="str">
            <v>TA18</v>
          </cell>
          <cell r="B636" t="str">
            <v xml:space="preserve">Tubería Corrugada Alcantarillado RS8 de 450 mm </v>
          </cell>
          <cell r="C636" t="str">
            <v>m.</v>
          </cell>
          <cell r="D636">
            <v>178417</v>
          </cell>
          <cell r="E636">
            <v>212316</v>
          </cell>
          <cell r="F636">
            <v>50</v>
          </cell>
          <cell r="G636">
            <v>50</v>
          </cell>
        </row>
        <row r="637">
          <cell r="A637" t="str">
            <v>TA20</v>
          </cell>
          <cell r="B637" t="str">
            <v xml:space="preserve">Tubería Corrugada Alcantarillado RS8 de 500 mm </v>
          </cell>
          <cell r="C637" t="str">
            <v>m.</v>
          </cell>
          <cell r="D637">
            <v>232603</v>
          </cell>
          <cell r="E637">
            <v>276798</v>
          </cell>
          <cell r="F637">
            <v>50</v>
          </cell>
          <cell r="G637">
            <v>50</v>
          </cell>
        </row>
        <row r="640">
          <cell r="B640" t="str">
            <v>Tubería Alcantarillado Doble Pared</v>
          </cell>
        </row>
        <row r="641">
          <cell r="A641" t="str">
            <v>TA24</v>
          </cell>
          <cell r="B641" t="str">
            <v xml:space="preserve">Tubería Alcantarillado Doble Pared de 24" </v>
          </cell>
          <cell r="C641" t="str">
            <v>m.</v>
          </cell>
          <cell r="D641">
            <v>330304</v>
          </cell>
          <cell r="E641">
            <v>393062</v>
          </cell>
          <cell r="F641">
            <v>50</v>
          </cell>
          <cell r="G641">
            <v>50</v>
          </cell>
        </row>
        <row r="642">
          <cell r="A642" t="str">
            <v>TA27</v>
          </cell>
          <cell r="B642" t="str">
            <v xml:space="preserve">Tubería Alcantarillado Doble Pared de 27" </v>
          </cell>
          <cell r="C642" t="str">
            <v>m.</v>
          </cell>
          <cell r="D642">
            <v>378719</v>
          </cell>
          <cell r="E642">
            <v>450676</v>
          </cell>
          <cell r="F642">
            <v>50</v>
          </cell>
          <cell r="G642">
            <v>50</v>
          </cell>
        </row>
        <row r="643">
          <cell r="A643" t="str">
            <v>TA30</v>
          </cell>
          <cell r="B643" t="str">
            <v xml:space="preserve">Tubería Alcantarillado Doble Pared de 30" </v>
          </cell>
          <cell r="C643" t="str">
            <v>m.</v>
          </cell>
          <cell r="D643">
            <v>493382</v>
          </cell>
          <cell r="E643">
            <v>587125</v>
          </cell>
          <cell r="F643">
            <v>50</v>
          </cell>
          <cell r="G643">
            <v>50</v>
          </cell>
        </row>
        <row r="644">
          <cell r="A644" t="str">
            <v>TA33</v>
          </cell>
          <cell r="B644" t="str">
            <v xml:space="preserve">Tubería Alcantarillado Doble Pared de 33" </v>
          </cell>
          <cell r="C644" t="str">
            <v>m.</v>
          </cell>
          <cell r="D644">
            <v>611474</v>
          </cell>
          <cell r="E644">
            <v>727654</v>
          </cell>
          <cell r="F644">
            <v>50</v>
          </cell>
          <cell r="G644">
            <v>50</v>
          </cell>
        </row>
        <row r="645">
          <cell r="A645" t="str">
            <v>TA36</v>
          </cell>
          <cell r="B645" t="str">
            <v xml:space="preserve">Tubería Alcantarillado Doble Pared de 36" </v>
          </cell>
          <cell r="C645" t="str">
            <v>m.</v>
          </cell>
          <cell r="D645">
            <v>890305</v>
          </cell>
          <cell r="E645">
            <v>1059463</v>
          </cell>
          <cell r="F645">
            <v>50</v>
          </cell>
          <cell r="G645">
            <v>50</v>
          </cell>
        </row>
        <row r="646">
          <cell r="A646" t="str">
            <v>TA39</v>
          </cell>
          <cell r="B646" t="str">
            <v xml:space="preserve">Tubería Alcantarillado Doble Pared de 39" </v>
          </cell>
          <cell r="C646" t="str">
            <v>m.</v>
          </cell>
          <cell r="D646">
            <v>1225670</v>
          </cell>
          <cell r="E646">
            <v>1458547</v>
          </cell>
          <cell r="F646">
            <v>50</v>
          </cell>
          <cell r="G646">
            <v>50</v>
          </cell>
        </row>
        <row r="647">
          <cell r="A647" t="str">
            <v>TA42</v>
          </cell>
          <cell r="B647" t="str">
            <v xml:space="preserve">Tubería Alcantarillado Doble Pared de 42" </v>
          </cell>
          <cell r="C647" t="str">
            <v>m.</v>
          </cell>
          <cell r="D647">
            <v>1401507</v>
          </cell>
          <cell r="E647">
            <v>1667793</v>
          </cell>
          <cell r="F647">
            <v>50</v>
          </cell>
          <cell r="G647">
            <v>50</v>
          </cell>
        </row>
        <row r="649">
          <cell r="A649" t="str">
            <v>ACCESORIOS ALCANTARILLADOS</v>
          </cell>
        </row>
        <row r="650">
          <cell r="B650" t="str">
            <v>Codo Alcantarillado de 90°</v>
          </cell>
        </row>
        <row r="651">
          <cell r="A651" t="str">
            <v>CA490</v>
          </cell>
          <cell r="B651" t="str">
            <v xml:space="preserve">Codo Alcantarillado de 90° x 110 mm </v>
          </cell>
          <cell r="C651" t="str">
            <v>Und.</v>
          </cell>
          <cell r="D651">
            <v>27555</v>
          </cell>
          <cell r="E651">
            <v>32790</v>
          </cell>
        </row>
        <row r="652">
          <cell r="A652" t="str">
            <v>CA690</v>
          </cell>
          <cell r="B652" t="str">
            <v xml:space="preserve">Codo Alcantarillado de 90° x 160 mm </v>
          </cell>
          <cell r="C652" t="str">
            <v>Und.</v>
          </cell>
          <cell r="D652">
            <v>64707</v>
          </cell>
          <cell r="E652">
            <v>77001</v>
          </cell>
        </row>
        <row r="653">
          <cell r="A653" t="str">
            <v>CA890</v>
          </cell>
          <cell r="B653" t="str">
            <v xml:space="preserve">Codo Alcantarillado de 90° x 200 mm </v>
          </cell>
          <cell r="C653" t="str">
            <v>Und.</v>
          </cell>
          <cell r="D653">
            <v>97464</v>
          </cell>
          <cell r="E653">
            <v>115982</v>
          </cell>
        </row>
        <row r="654">
          <cell r="A654" t="str">
            <v>CA1090</v>
          </cell>
          <cell r="B654" t="str">
            <v xml:space="preserve">Codo Alcantarillado de 90° x 250 mm </v>
          </cell>
          <cell r="C654" t="str">
            <v>Und.</v>
          </cell>
          <cell r="D654">
            <v>186381</v>
          </cell>
          <cell r="E654">
            <v>221793</v>
          </cell>
        </row>
        <row r="655">
          <cell r="A655" t="str">
            <v>CA1290</v>
          </cell>
          <cell r="B655" t="str">
            <v xml:space="preserve">Codo Alcantarillado de 90° x 315 mm </v>
          </cell>
          <cell r="C655" t="str">
            <v>Und.</v>
          </cell>
          <cell r="D655">
            <v>285478</v>
          </cell>
          <cell r="E655">
            <v>339719</v>
          </cell>
        </row>
        <row r="656">
          <cell r="A656" t="str">
            <v>CA1490</v>
          </cell>
          <cell r="B656" t="str">
            <v xml:space="preserve">Codo Alcantarillado de 90° x 355 mm </v>
          </cell>
          <cell r="C656" t="str">
            <v>Und.</v>
          </cell>
          <cell r="D656">
            <v>698774</v>
          </cell>
          <cell r="E656">
            <v>831541</v>
          </cell>
        </row>
        <row r="657">
          <cell r="A657" t="str">
            <v>CA1690</v>
          </cell>
          <cell r="B657" t="str">
            <v xml:space="preserve">Codo Alcantarillado de 90° x 400 mm </v>
          </cell>
          <cell r="C657" t="str">
            <v>Und.</v>
          </cell>
          <cell r="D657">
            <v>1064470</v>
          </cell>
          <cell r="E657">
            <v>1266719</v>
          </cell>
        </row>
        <row r="658">
          <cell r="A658" t="str">
            <v>CA1890</v>
          </cell>
          <cell r="B658" t="str">
            <v xml:space="preserve">Codo Alcantarillado de 90° x 450 mm </v>
          </cell>
          <cell r="C658" t="str">
            <v>Und.</v>
          </cell>
          <cell r="D658">
            <v>1064470</v>
          </cell>
          <cell r="E658">
            <v>1266719</v>
          </cell>
        </row>
        <row r="660">
          <cell r="B660" t="str">
            <v>Codo Alcantarillado de 45°</v>
          </cell>
        </row>
        <row r="661">
          <cell r="A661" t="str">
            <v>CA445</v>
          </cell>
          <cell r="B661" t="str">
            <v xml:space="preserve">Codo Alcantarillado de 45° x 110 mm </v>
          </cell>
          <cell r="C661" t="str">
            <v>Und.</v>
          </cell>
          <cell r="D661">
            <v>16963.02</v>
          </cell>
          <cell r="E661">
            <v>20186</v>
          </cell>
        </row>
        <row r="662">
          <cell r="A662" t="str">
            <v>CA645</v>
          </cell>
          <cell r="B662" t="str">
            <v xml:space="preserve">Codo Alcantarillado de 45° x 160 mm </v>
          </cell>
          <cell r="C662" t="str">
            <v>Und.</v>
          </cell>
          <cell r="D662">
            <v>40673.730000000003</v>
          </cell>
          <cell r="E662">
            <v>48402</v>
          </cell>
        </row>
        <row r="663">
          <cell r="A663" t="str">
            <v>CA845</v>
          </cell>
          <cell r="B663" t="str">
            <v xml:space="preserve">Codo Alcantarillado de 45° x 200 mm </v>
          </cell>
          <cell r="C663" t="str">
            <v>Und.</v>
          </cell>
          <cell r="D663">
            <v>117079.47000000002</v>
          </cell>
          <cell r="E663">
            <v>139325</v>
          </cell>
        </row>
        <row r="664">
          <cell r="A664" t="str">
            <v>CA1045</v>
          </cell>
          <cell r="B664" t="str">
            <v xml:space="preserve">Codo Alcantarillado de 45° x 250 mm </v>
          </cell>
          <cell r="C664" t="str">
            <v>Und.</v>
          </cell>
          <cell r="D664">
            <v>226807.41000000003</v>
          </cell>
          <cell r="E664">
            <v>269901</v>
          </cell>
        </row>
        <row r="665">
          <cell r="A665" t="str">
            <v>CA1245</v>
          </cell>
          <cell r="B665" t="str">
            <v xml:space="preserve">Codo Alcantarillado de 45° x 315 mm </v>
          </cell>
          <cell r="C665" t="str">
            <v>Und.</v>
          </cell>
          <cell r="D665">
            <v>348568.86000000004</v>
          </cell>
          <cell r="E665">
            <v>414797</v>
          </cell>
        </row>
        <row r="666">
          <cell r="A666" t="str">
            <v>CA1445</v>
          </cell>
          <cell r="B666" t="str">
            <v xml:space="preserve">Codo Alcantarillado de 45° x 355 mm </v>
          </cell>
          <cell r="C666" t="str">
            <v>Und.</v>
          </cell>
          <cell r="D666">
            <v>683067.3600000001</v>
          </cell>
          <cell r="E666">
            <v>812850</v>
          </cell>
        </row>
        <row r="667">
          <cell r="A667" t="str">
            <v>CA1645</v>
          </cell>
          <cell r="B667" t="str">
            <v xml:space="preserve">Codo Alcantarillado de 45° x 400 mm </v>
          </cell>
          <cell r="C667" t="str">
            <v>Und.</v>
          </cell>
          <cell r="D667">
            <v>956294.97000000009</v>
          </cell>
          <cell r="E667">
            <v>1137991</v>
          </cell>
        </row>
        <row r="668">
          <cell r="A668" t="str">
            <v>CA1845</v>
          </cell>
          <cell r="B668" t="str">
            <v xml:space="preserve">Codo Alcantarillado de 45° x 450 mm </v>
          </cell>
          <cell r="C668" t="str">
            <v>Und.</v>
          </cell>
          <cell r="D668">
            <v>1338813.1800000002</v>
          </cell>
          <cell r="E668">
            <v>1593188</v>
          </cell>
        </row>
        <row r="670">
          <cell r="B670" t="str">
            <v>Silla Tee</v>
          </cell>
        </row>
        <row r="671">
          <cell r="A671" t="str">
            <v>ST64</v>
          </cell>
          <cell r="B671" t="str">
            <v xml:space="preserve">Silla Tee de 160x110 </v>
          </cell>
          <cell r="C671" t="str">
            <v>Und.</v>
          </cell>
          <cell r="D671">
            <v>46456</v>
          </cell>
          <cell r="E671">
            <v>55283</v>
          </cell>
        </row>
        <row r="672">
          <cell r="A672" t="str">
            <v>ST66</v>
          </cell>
          <cell r="B672" t="str">
            <v xml:space="preserve">Silla Tee de 160x160 </v>
          </cell>
          <cell r="C672" t="str">
            <v>Und.</v>
          </cell>
          <cell r="D672">
            <v>46457</v>
          </cell>
          <cell r="E672">
            <v>55284</v>
          </cell>
        </row>
        <row r="673">
          <cell r="A673" t="str">
            <v>ST84</v>
          </cell>
          <cell r="B673" t="str">
            <v xml:space="preserve">Silla Tee de 200x110 </v>
          </cell>
          <cell r="C673" t="str">
            <v>Und.</v>
          </cell>
          <cell r="D673">
            <v>56901</v>
          </cell>
          <cell r="E673">
            <v>67712</v>
          </cell>
        </row>
        <row r="674">
          <cell r="A674" t="str">
            <v>ST86</v>
          </cell>
          <cell r="B674" t="str">
            <v xml:space="preserve">Silla Tee de 200x160 </v>
          </cell>
          <cell r="C674" t="str">
            <v>Und.</v>
          </cell>
          <cell r="D674">
            <v>56901</v>
          </cell>
          <cell r="E674">
            <v>67712</v>
          </cell>
        </row>
        <row r="675">
          <cell r="A675" t="str">
            <v>ST104</v>
          </cell>
          <cell r="B675" t="str">
            <v xml:space="preserve">Silla Tee de 250x110 </v>
          </cell>
          <cell r="C675" t="str">
            <v>Und.</v>
          </cell>
          <cell r="D675">
            <v>65980</v>
          </cell>
          <cell r="E675">
            <v>78516</v>
          </cell>
        </row>
        <row r="676">
          <cell r="A676" t="str">
            <v>ST106</v>
          </cell>
          <cell r="B676" t="str">
            <v xml:space="preserve">Silla Tee de 250x160 </v>
          </cell>
          <cell r="C676" t="str">
            <v>Und.</v>
          </cell>
          <cell r="D676">
            <v>65980</v>
          </cell>
          <cell r="E676">
            <v>78516</v>
          </cell>
        </row>
        <row r="677">
          <cell r="A677" t="str">
            <v>ST108</v>
          </cell>
          <cell r="B677" t="str">
            <v xml:space="preserve">Silla Tee de 250x200 </v>
          </cell>
          <cell r="C677" t="str">
            <v>Und.</v>
          </cell>
          <cell r="D677">
            <v>84229</v>
          </cell>
          <cell r="E677">
            <v>100233</v>
          </cell>
        </row>
        <row r="678">
          <cell r="A678" t="str">
            <v>ST124</v>
          </cell>
          <cell r="B678" t="str">
            <v xml:space="preserve">Silla Tee de 315x110 </v>
          </cell>
          <cell r="C678" t="str">
            <v>Und.</v>
          </cell>
          <cell r="D678">
            <v>102292</v>
          </cell>
          <cell r="E678">
            <v>121727</v>
          </cell>
        </row>
        <row r="679">
          <cell r="A679" t="str">
            <v>ST126</v>
          </cell>
          <cell r="B679" t="str">
            <v xml:space="preserve">Silla Tee de 315x160 </v>
          </cell>
          <cell r="C679" t="str">
            <v>Und.</v>
          </cell>
          <cell r="D679">
            <v>102292</v>
          </cell>
          <cell r="E679">
            <v>121727</v>
          </cell>
        </row>
        <row r="680">
          <cell r="A680" t="str">
            <v>ST128</v>
          </cell>
          <cell r="B680" t="str">
            <v xml:space="preserve">Silla Tee de 315x200 </v>
          </cell>
          <cell r="C680" t="str">
            <v>Und.</v>
          </cell>
          <cell r="D680">
            <v>138284</v>
          </cell>
          <cell r="E680">
            <v>164558</v>
          </cell>
        </row>
        <row r="681">
          <cell r="A681" t="str">
            <v>ST1210</v>
          </cell>
          <cell r="B681" t="str">
            <v xml:space="preserve">Silla Tee de 315x250 </v>
          </cell>
          <cell r="C681" t="str">
            <v>Und.</v>
          </cell>
          <cell r="D681">
            <v>138284</v>
          </cell>
          <cell r="E681">
            <v>164558</v>
          </cell>
        </row>
        <row r="682">
          <cell r="A682" t="str">
            <v>ST144</v>
          </cell>
          <cell r="B682" t="str">
            <v xml:space="preserve">Silla Tee de 355x110 </v>
          </cell>
          <cell r="C682" t="str">
            <v>Und.</v>
          </cell>
          <cell r="D682">
            <v>138284</v>
          </cell>
          <cell r="E682">
            <v>164558</v>
          </cell>
        </row>
        <row r="683">
          <cell r="A683" t="str">
            <v>ST146</v>
          </cell>
          <cell r="B683" t="str">
            <v xml:space="preserve">Silla Tee de 355x160 </v>
          </cell>
          <cell r="C683" t="str">
            <v>Und.</v>
          </cell>
          <cell r="D683">
            <v>154004</v>
          </cell>
          <cell r="E683">
            <v>183265</v>
          </cell>
        </row>
        <row r="684">
          <cell r="A684" t="str">
            <v>ST148</v>
          </cell>
          <cell r="B684" t="str">
            <v xml:space="preserve">Silla Tee de 355x200 </v>
          </cell>
          <cell r="C684" t="str">
            <v>Und.</v>
          </cell>
          <cell r="D684">
            <v>154002</v>
          </cell>
          <cell r="E684">
            <v>183262</v>
          </cell>
        </row>
        <row r="685">
          <cell r="A685" t="str">
            <v>ST164</v>
          </cell>
          <cell r="B685" t="str">
            <v xml:space="preserve">Silla Tee de 400x110 </v>
          </cell>
          <cell r="C685" t="str">
            <v>Und.</v>
          </cell>
          <cell r="D685">
            <v>168858</v>
          </cell>
          <cell r="E685">
            <v>200941</v>
          </cell>
        </row>
        <row r="686">
          <cell r="A686" t="str">
            <v>ST166</v>
          </cell>
          <cell r="B686" t="str">
            <v xml:space="preserve">Silla Tee de 400x160 </v>
          </cell>
          <cell r="C686" t="str">
            <v>Und.</v>
          </cell>
          <cell r="D686">
            <v>168858</v>
          </cell>
          <cell r="E686">
            <v>200941</v>
          </cell>
        </row>
        <row r="687">
          <cell r="A687" t="str">
            <v>ST168</v>
          </cell>
          <cell r="B687" t="str">
            <v xml:space="preserve">Silla Tee de 400x200 </v>
          </cell>
          <cell r="C687" t="str">
            <v>Und.</v>
          </cell>
          <cell r="D687">
            <v>168858</v>
          </cell>
          <cell r="E687">
            <v>200941</v>
          </cell>
        </row>
        <row r="688">
          <cell r="A688" t="str">
            <v>ST1610</v>
          </cell>
          <cell r="B688" t="str">
            <v xml:space="preserve">Silla Tee de 400x250 </v>
          </cell>
          <cell r="C688" t="str">
            <v>Und.</v>
          </cell>
          <cell r="D688">
            <v>168858</v>
          </cell>
          <cell r="E688">
            <v>200941</v>
          </cell>
        </row>
        <row r="689">
          <cell r="A689" t="str">
            <v>ST186</v>
          </cell>
          <cell r="B689" t="str">
            <v xml:space="preserve">Silla Tee de 450x160 </v>
          </cell>
          <cell r="C689" t="str">
            <v>Und.</v>
          </cell>
          <cell r="D689">
            <v>180615</v>
          </cell>
          <cell r="E689">
            <v>214932</v>
          </cell>
        </row>
        <row r="690">
          <cell r="A690" t="str">
            <v>ST188</v>
          </cell>
          <cell r="B690" t="str">
            <v xml:space="preserve">Silla Tee de 450x200 </v>
          </cell>
          <cell r="C690" t="str">
            <v>Und.</v>
          </cell>
          <cell r="D690">
            <v>175561</v>
          </cell>
          <cell r="E690">
            <v>208918</v>
          </cell>
        </row>
        <row r="691">
          <cell r="A691" t="str">
            <v>ST206</v>
          </cell>
          <cell r="B691" t="str">
            <v xml:space="preserve">Silla Tee de 500x160 </v>
          </cell>
          <cell r="C691" t="str">
            <v>Und.</v>
          </cell>
          <cell r="D691">
            <v>275529</v>
          </cell>
          <cell r="E691">
            <v>327880</v>
          </cell>
        </row>
        <row r="692">
          <cell r="A692" t="str">
            <v>ST208</v>
          </cell>
          <cell r="B692" t="str">
            <v xml:space="preserve">Silla Tee de 500x200 </v>
          </cell>
          <cell r="C692" t="str">
            <v>Und.</v>
          </cell>
          <cell r="D692">
            <v>357930</v>
          </cell>
          <cell r="E692">
            <v>425937</v>
          </cell>
        </row>
        <row r="693">
          <cell r="A693" t="str">
            <v>ST246</v>
          </cell>
          <cell r="B693" t="str">
            <v xml:space="preserve">Silla Tee de 24"x160 </v>
          </cell>
          <cell r="C693" t="str">
            <v>Und.</v>
          </cell>
          <cell r="D693">
            <v>257629</v>
          </cell>
          <cell r="E693">
            <v>306579</v>
          </cell>
        </row>
        <row r="694">
          <cell r="A694" t="str">
            <v>ST248</v>
          </cell>
          <cell r="B694" t="str">
            <v xml:space="preserve">Silla Tee de 24"x200 </v>
          </cell>
          <cell r="C694" t="str">
            <v>Und.</v>
          </cell>
          <cell r="D694">
            <v>282087</v>
          </cell>
          <cell r="E694">
            <v>335684</v>
          </cell>
        </row>
        <row r="695">
          <cell r="A695" t="str">
            <v>ST276</v>
          </cell>
          <cell r="B695" t="str">
            <v xml:space="preserve">Silla Tee de 27"x160 </v>
          </cell>
          <cell r="C695" t="str">
            <v>Und.</v>
          </cell>
          <cell r="D695">
            <v>290056</v>
          </cell>
          <cell r="E695">
            <v>345167</v>
          </cell>
        </row>
        <row r="696">
          <cell r="A696" t="str">
            <v>ST278</v>
          </cell>
          <cell r="B696" t="str">
            <v xml:space="preserve">Silla Tee de 27"x200 </v>
          </cell>
          <cell r="C696" t="str">
            <v>Und.</v>
          </cell>
          <cell r="D696">
            <v>290056</v>
          </cell>
          <cell r="E696">
            <v>345167</v>
          </cell>
        </row>
        <row r="697">
          <cell r="A697" t="str">
            <v>ST306</v>
          </cell>
          <cell r="B697" t="str">
            <v xml:space="preserve">Silla Tee de 30"x160 </v>
          </cell>
          <cell r="C697" t="str">
            <v>Und.</v>
          </cell>
          <cell r="D697">
            <v>313261</v>
          </cell>
          <cell r="E697">
            <v>372781</v>
          </cell>
        </row>
        <row r="698">
          <cell r="A698" t="str">
            <v>ST308</v>
          </cell>
          <cell r="B698" t="str">
            <v xml:space="preserve">Silla Tee de 30"x200 </v>
          </cell>
          <cell r="C698" t="str">
            <v>Und.</v>
          </cell>
          <cell r="D698">
            <v>313261</v>
          </cell>
          <cell r="E698">
            <v>372781</v>
          </cell>
        </row>
        <row r="699">
          <cell r="A699" t="str">
            <v>ST336</v>
          </cell>
          <cell r="B699" t="str">
            <v xml:space="preserve">Silla Tee de 33"x160 </v>
          </cell>
          <cell r="C699" t="str">
            <v>Und.</v>
          </cell>
          <cell r="D699">
            <v>338321</v>
          </cell>
          <cell r="E699">
            <v>402602</v>
          </cell>
        </row>
        <row r="700">
          <cell r="A700" t="str">
            <v>ST338</v>
          </cell>
          <cell r="B700" t="str">
            <v xml:space="preserve">Silla Tee de 33"x200 </v>
          </cell>
          <cell r="C700" t="str">
            <v>Und.</v>
          </cell>
          <cell r="D700">
            <v>338321</v>
          </cell>
          <cell r="E700">
            <v>402602</v>
          </cell>
        </row>
        <row r="701">
          <cell r="A701" t="str">
            <v>ST366</v>
          </cell>
          <cell r="B701" t="str">
            <v xml:space="preserve">Silla Tee de 36"160 </v>
          </cell>
          <cell r="C701" t="str">
            <v>Und.</v>
          </cell>
          <cell r="D701">
            <v>365388</v>
          </cell>
          <cell r="E701">
            <v>434812</v>
          </cell>
        </row>
        <row r="702">
          <cell r="A702" t="str">
            <v>ST368</v>
          </cell>
          <cell r="B702" t="str">
            <v xml:space="preserve">Silla Tee de 36"x200 </v>
          </cell>
          <cell r="C702" t="str">
            <v>Und.</v>
          </cell>
          <cell r="D702">
            <v>365388</v>
          </cell>
          <cell r="E702">
            <v>434812</v>
          </cell>
        </row>
        <row r="703">
          <cell r="A703" t="str">
            <v>ST3610</v>
          </cell>
          <cell r="B703" t="str">
            <v xml:space="preserve">Silla Tee de 36"x250 </v>
          </cell>
          <cell r="C703" t="str">
            <v>Und.</v>
          </cell>
          <cell r="D703">
            <v>365388</v>
          </cell>
          <cell r="E703">
            <v>434812</v>
          </cell>
        </row>
        <row r="704">
          <cell r="A704" t="str">
            <v>ST3612</v>
          </cell>
          <cell r="B704" t="str">
            <v xml:space="preserve">Silla Tee de 36"x315 </v>
          </cell>
          <cell r="C704" t="str">
            <v>Und.</v>
          </cell>
          <cell r="D704">
            <v>365388</v>
          </cell>
          <cell r="E704">
            <v>434812</v>
          </cell>
        </row>
        <row r="706">
          <cell r="B706" t="str">
            <v>Silla Yee</v>
          </cell>
        </row>
        <row r="707">
          <cell r="A707" t="str">
            <v>SY64</v>
          </cell>
          <cell r="B707" t="str">
            <v xml:space="preserve">Silla Yee de 160x110 </v>
          </cell>
          <cell r="C707" t="str">
            <v>Und.</v>
          </cell>
          <cell r="D707">
            <v>56724.33</v>
          </cell>
          <cell r="E707">
            <v>67502</v>
          </cell>
        </row>
        <row r="708">
          <cell r="A708" t="str">
            <v>SY84</v>
          </cell>
          <cell r="B708" t="str">
            <v xml:space="preserve">Silla Yee de 200x110 </v>
          </cell>
          <cell r="C708" t="str">
            <v>Und.</v>
          </cell>
          <cell r="D708">
            <v>69477.12000000001</v>
          </cell>
          <cell r="E708">
            <v>82678</v>
          </cell>
        </row>
        <row r="709">
          <cell r="A709" t="str">
            <v>SY86</v>
          </cell>
          <cell r="B709" t="str">
            <v xml:space="preserve">Silla Yee de 200x160 </v>
          </cell>
          <cell r="C709" t="str">
            <v>Und.</v>
          </cell>
          <cell r="D709">
            <v>69477.12000000001</v>
          </cell>
          <cell r="E709">
            <v>82678</v>
          </cell>
        </row>
        <row r="710">
          <cell r="A710" t="str">
            <v>SY104</v>
          </cell>
          <cell r="B710" t="str">
            <v xml:space="preserve">Silla Yee de 250x110 </v>
          </cell>
          <cell r="C710" t="str">
            <v>Und.</v>
          </cell>
          <cell r="D710">
            <v>80561.58</v>
          </cell>
          <cell r="E710">
            <v>95868</v>
          </cell>
        </row>
        <row r="711">
          <cell r="A711" t="str">
            <v>SY106</v>
          </cell>
          <cell r="B711" t="str">
            <v xml:space="preserve">Silla Yee de 250x160 </v>
          </cell>
          <cell r="C711" t="str">
            <v>Und.</v>
          </cell>
          <cell r="D711">
            <v>80561.58</v>
          </cell>
          <cell r="E711">
            <v>95868</v>
          </cell>
        </row>
        <row r="712">
          <cell r="A712" t="str">
            <v>SY108</v>
          </cell>
          <cell r="B712" t="str">
            <v xml:space="preserve">Silla Yee de 250x200 </v>
          </cell>
          <cell r="C712" t="str">
            <v>Und.</v>
          </cell>
          <cell r="D712">
            <v>119467.08000000002</v>
          </cell>
          <cell r="E712">
            <v>142166</v>
          </cell>
        </row>
        <row r="713">
          <cell r="A713" t="str">
            <v>SY124</v>
          </cell>
          <cell r="B713" t="str">
            <v xml:space="preserve">Silla Yee de 315x110 </v>
          </cell>
          <cell r="C713" t="str">
            <v>Und.</v>
          </cell>
          <cell r="D713">
            <v>124899.42000000001</v>
          </cell>
          <cell r="E713">
            <v>148630</v>
          </cell>
        </row>
        <row r="714">
          <cell r="A714" t="str">
            <v>SY126</v>
          </cell>
          <cell r="B714" t="str">
            <v xml:space="preserve">Silla Yee de 315x160 </v>
          </cell>
          <cell r="C714" t="str">
            <v>Und.</v>
          </cell>
          <cell r="D714">
            <v>124731.81000000001</v>
          </cell>
          <cell r="E714">
            <v>148431</v>
          </cell>
        </row>
        <row r="715">
          <cell r="A715" t="str">
            <v>SY128</v>
          </cell>
          <cell r="B715" t="str">
            <v xml:space="preserve">Silla Yee de 315x200 </v>
          </cell>
          <cell r="C715" t="str">
            <v>Und.</v>
          </cell>
          <cell r="D715">
            <v>168845.43000000002</v>
          </cell>
          <cell r="E715">
            <v>200926</v>
          </cell>
        </row>
        <row r="716">
          <cell r="A716" t="str">
            <v>SY144</v>
          </cell>
          <cell r="B716" t="str">
            <v xml:space="preserve">Silla Yee de 355x110 </v>
          </cell>
          <cell r="C716" t="str">
            <v>Und.</v>
          </cell>
          <cell r="D716">
            <v>188039.55000000002</v>
          </cell>
          <cell r="E716">
            <v>223767</v>
          </cell>
        </row>
        <row r="717">
          <cell r="A717" t="str">
            <v>SY146</v>
          </cell>
          <cell r="B717" t="str">
            <v xml:space="preserve">Silla Yee de 355x160 </v>
          </cell>
          <cell r="C717" t="str">
            <v>Und.</v>
          </cell>
          <cell r="D717">
            <v>188039.55000000002</v>
          </cell>
          <cell r="E717">
            <v>223767</v>
          </cell>
        </row>
        <row r="718">
          <cell r="A718" t="str">
            <v>SY148</v>
          </cell>
          <cell r="B718" t="str">
            <v xml:space="preserve">Silla Yee de 355x200 </v>
          </cell>
          <cell r="C718" t="str">
            <v>Und.</v>
          </cell>
          <cell r="D718">
            <v>188035.11000000002</v>
          </cell>
          <cell r="E718">
            <v>223762</v>
          </cell>
        </row>
        <row r="719">
          <cell r="A719" t="str">
            <v>SY164</v>
          </cell>
          <cell r="B719" t="str">
            <v xml:space="preserve">Silla Yee de 400x110 </v>
          </cell>
          <cell r="C719" t="str">
            <v>Und.</v>
          </cell>
          <cell r="D719">
            <v>206176.95</v>
          </cell>
          <cell r="E719">
            <v>245351</v>
          </cell>
        </row>
        <row r="720">
          <cell r="A720" t="str">
            <v>SY166</v>
          </cell>
          <cell r="B720" t="str">
            <v xml:space="preserve">Silla Yee de 400x160 </v>
          </cell>
          <cell r="C720" t="str">
            <v>Und.</v>
          </cell>
          <cell r="D720">
            <v>206176.95</v>
          </cell>
          <cell r="E720">
            <v>245351</v>
          </cell>
        </row>
        <row r="721">
          <cell r="A721" t="str">
            <v>SY168</v>
          </cell>
          <cell r="B721" t="str">
            <v xml:space="preserve">Silla Yee de 400x200 </v>
          </cell>
          <cell r="C721" t="str">
            <v>Und.</v>
          </cell>
          <cell r="D721">
            <v>206178.06000000003</v>
          </cell>
          <cell r="E721">
            <v>245352</v>
          </cell>
        </row>
        <row r="722">
          <cell r="A722" t="str">
            <v>SY1610</v>
          </cell>
          <cell r="B722" t="str">
            <v xml:space="preserve">Silla Yee de 400x250 </v>
          </cell>
          <cell r="C722" t="str">
            <v>Und.</v>
          </cell>
          <cell r="D722">
            <v>206176.95</v>
          </cell>
          <cell r="E722">
            <v>245351</v>
          </cell>
        </row>
        <row r="723">
          <cell r="A723" t="str">
            <v>SY186</v>
          </cell>
          <cell r="B723" t="str">
            <v xml:space="preserve">Silla Yee de 450x160 </v>
          </cell>
          <cell r="C723" t="str">
            <v>Und.</v>
          </cell>
          <cell r="D723">
            <v>220531.47000000003</v>
          </cell>
          <cell r="E723">
            <v>262432</v>
          </cell>
        </row>
        <row r="724">
          <cell r="A724" t="str">
            <v>SY188</v>
          </cell>
          <cell r="B724" t="str">
            <v xml:space="preserve">Silla Yee de 450x200 </v>
          </cell>
          <cell r="C724" t="str">
            <v>Und.</v>
          </cell>
          <cell r="D724">
            <v>220537.02000000002</v>
          </cell>
          <cell r="E724">
            <v>262439</v>
          </cell>
        </row>
        <row r="725">
          <cell r="A725" t="str">
            <v>SY206</v>
          </cell>
          <cell r="B725" t="str">
            <v xml:space="preserve">Silla Yee de 500x160 </v>
          </cell>
          <cell r="C725" t="str">
            <v>Und.</v>
          </cell>
          <cell r="D725">
            <v>336421.02</v>
          </cell>
          <cell r="E725">
            <v>400341</v>
          </cell>
        </row>
        <row r="726">
          <cell r="A726" t="str">
            <v>SY208</v>
          </cell>
          <cell r="B726" t="str">
            <v xml:space="preserve">Silla Yee de 500x200 </v>
          </cell>
          <cell r="C726" t="str">
            <v>Und.</v>
          </cell>
          <cell r="D726">
            <v>336425.46</v>
          </cell>
          <cell r="E726">
            <v>400346</v>
          </cell>
        </row>
        <row r="727">
          <cell r="A727" t="str">
            <v>SY246</v>
          </cell>
          <cell r="B727" t="str">
            <v xml:space="preserve">Silla Yee de 24"x160 </v>
          </cell>
          <cell r="C727" t="str">
            <v>Und.</v>
          </cell>
          <cell r="D727">
            <v>226152</v>
          </cell>
          <cell r="E727">
            <v>269121</v>
          </cell>
        </row>
        <row r="728">
          <cell r="A728" t="str">
            <v>SY248</v>
          </cell>
          <cell r="B728" t="str">
            <v xml:space="preserve">Silla Yee de 24"x200 </v>
          </cell>
          <cell r="C728" t="str">
            <v>Und.</v>
          </cell>
          <cell r="D728">
            <v>279893</v>
          </cell>
          <cell r="E728">
            <v>333073</v>
          </cell>
        </row>
        <row r="729">
          <cell r="A729" t="str">
            <v>SY276</v>
          </cell>
          <cell r="B729" t="str">
            <v xml:space="preserve">Silla Yee de 27"x160 </v>
          </cell>
          <cell r="C729" t="str">
            <v>Und.</v>
          </cell>
          <cell r="D729">
            <v>280720</v>
          </cell>
          <cell r="E729">
            <v>334057</v>
          </cell>
        </row>
        <row r="730">
          <cell r="A730" t="str">
            <v>SY278</v>
          </cell>
          <cell r="B730" t="str">
            <v xml:space="preserve">Silla Yee de 27"x200 </v>
          </cell>
          <cell r="C730" t="str">
            <v>Und.</v>
          </cell>
          <cell r="D730">
            <v>281543</v>
          </cell>
          <cell r="E730">
            <v>335036</v>
          </cell>
        </row>
        <row r="731">
          <cell r="A731" t="str">
            <v>SY306</v>
          </cell>
          <cell r="B731" t="str">
            <v xml:space="preserve">Silla Yee de 30"x160 </v>
          </cell>
          <cell r="C731" t="str">
            <v>Und.</v>
          </cell>
          <cell r="D731">
            <v>293110</v>
          </cell>
          <cell r="E731">
            <v>348801</v>
          </cell>
        </row>
        <row r="732">
          <cell r="A732" t="str">
            <v>SY308</v>
          </cell>
          <cell r="B732" t="str">
            <v xml:space="preserve">Silla Yee de 30"x200 </v>
          </cell>
          <cell r="C732" t="str">
            <v>Und.</v>
          </cell>
          <cell r="D732">
            <v>446758</v>
          </cell>
          <cell r="E732">
            <v>531642</v>
          </cell>
        </row>
        <row r="733">
          <cell r="A733" t="str">
            <v>SY336</v>
          </cell>
          <cell r="B733" t="str">
            <v xml:space="preserve">Silla Yee de 33"x160 </v>
          </cell>
          <cell r="C733" t="str">
            <v>Und.</v>
          </cell>
          <cell r="D733">
            <v>305464</v>
          </cell>
          <cell r="E733">
            <v>363502</v>
          </cell>
        </row>
        <row r="734">
          <cell r="A734" t="str">
            <v>SY338</v>
          </cell>
          <cell r="B734" t="str">
            <v xml:space="preserve">Silla Yee de 33"x200 </v>
          </cell>
          <cell r="C734" t="str">
            <v>Und.</v>
          </cell>
          <cell r="D734">
            <v>314892</v>
          </cell>
          <cell r="E734">
            <v>374721</v>
          </cell>
        </row>
        <row r="735">
          <cell r="A735" t="str">
            <v>SY366</v>
          </cell>
          <cell r="B735" t="str">
            <v xml:space="preserve">Silla Yee de 36"160 </v>
          </cell>
          <cell r="C735" t="str">
            <v>Und.</v>
          </cell>
          <cell r="D735">
            <v>329895</v>
          </cell>
          <cell r="E735">
            <v>392575</v>
          </cell>
        </row>
        <row r="736">
          <cell r="A736" t="str">
            <v>SY368</v>
          </cell>
          <cell r="B736" t="str">
            <v xml:space="preserve">Silla Yee de 36"x200 </v>
          </cell>
          <cell r="C736" t="str">
            <v>Und.</v>
          </cell>
          <cell r="D736">
            <v>333785</v>
          </cell>
          <cell r="E736">
            <v>397204</v>
          </cell>
        </row>
        <row r="738">
          <cell r="B738" t="str">
            <v>Kit Silla Yee</v>
          </cell>
        </row>
        <row r="739">
          <cell r="A739" t="str">
            <v>KSY64</v>
          </cell>
          <cell r="B739" t="str">
            <v xml:space="preserve">Kit Silla Yee de 160x110 </v>
          </cell>
          <cell r="C739" t="str">
            <v>Und.</v>
          </cell>
          <cell r="D739">
            <v>87343.680000000008</v>
          </cell>
          <cell r="E739">
            <v>103939</v>
          </cell>
        </row>
        <row r="740">
          <cell r="A740" t="str">
            <v>KSY84</v>
          </cell>
          <cell r="B740" t="str">
            <v xml:space="preserve">Kit Silla Yee de 200x110 </v>
          </cell>
          <cell r="C740" t="str">
            <v>Und.</v>
          </cell>
          <cell r="D740">
            <v>100955.61000000002</v>
          </cell>
          <cell r="E740">
            <v>120137</v>
          </cell>
        </row>
        <row r="741">
          <cell r="A741" t="str">
            <v>KSY86</v>
          </cell>
          <cell r="B741" t="str">
            <v xml:space="preserve">Kit Silla Yee de 200x160 </v>
          </cell>
          <cell r="C741" t="str">
            <v>Und.</v>
          </cell>
          <cell r="D741">
            <v>100955.61000000002</v>
          </cell>
          <cell r="E741">
            <v>120137</v>
          </cell>
        </row>
        <row r="742">
          <cell r="A742" t="str">
            <v>KSY106</v>
          </cell>
          <cell r="B742" t="str">
            <v xml:space="preserve">Kit Silla Yee de 250x160 </v>
          </cell>
          <cell r="C742" t="str">
            <v>Und.</v>
          </cell>
          <cell r="D742">
            <v>114127.98000000001</v>
          </cell>
          <cell r="E742">
            <v>135812</v>
          </cell>
        </row>
        <row r="743">
          <cell r="A743" t="str">
            <v>KSY104</v>
          </cell>
          <cell r="B743" t="str">
            <v xml:space="preserve">Kit Silla Yee de 250x110 </v>
          </cell>
          <cell r="C743" t="str">
            <v>Und.</v>
          </cell>
          <cell r="D743">
            <v>114127.98000000001</v>
          </cell>
          <cell r="E743">
            <v>135812</v>
          </cell>
        </row>
        <row r="744">
          <cell r="A744" t="str">
            <v>KSY124</v>
          </cell>
          <cell r="B744" t="str">
            <v xml:space="preserve">Kit Silla Yee de 315x110 </v>
          </cell>
          <cell r="C744" t="str">
            <v>Und.</v>
          </cell>
          <cell r="D744">
            <v>171608.22</v>
          </cell>
          <cell r="E744">
            <v>204214</v>
          </cell>
        </row>
        <row r="745">
          <cell r="A745" t="str">
            <v>KSY126</v>
          </cell>
          <cell r="B745" t="str">
            <v xml:space="preserve">Kit Silla Yee de 315x160 </v>
          </cell>
          <cell r="C745" t="str">
            <v>Und.</v>
          </cell>
          <cell r="D745">
            <v>171608.22</v>
          </cell>
          <cell r="E745">
            <v>204214</v>
          </cell>
        </row>
        <row r="747">
          <cell r="A747" t="str">
            <v>TUBERIA Y ACCESORIOS PF+UAD</v>
          </cell>
        </row>
        <row r="748">
          <cell r="A748" t="str">
            <v>AMPF1/2</v>
          </cell>
          <cell r="B748" t="str">
            <v>Adaptador Macho Acometida PF+UAD de 1/2"</v>
          </cell>
          <cell r="C748" t="str">
            <v>Und.</v>
          </cell>
          <cell r="D748">
            <v>1582</v>
          </cell>
          <cell r="E748">
            <v>1883</v>
          </cell>
        </row>
        <row r="749">
          <cell r="A749" t="str">
            <v>AHPF1/2</v>
          </cell>
          <cell r="B749" t="str">
            <v>Adaptador Hembra Acometida PF+UAD de 1/2"</v>
          </cell>
          <cell r="C749" t="str">
            <v>Und.</v>
          </cell>
          <cell r="D749">
            <v>1616</v>
          </cell>
          <cell r="E749">
            <v>1923</v>
          </cell>
        </row>
        <row r="750">
          <cell r="A750" t="str">
            <v>UPF1/2</v>
          </cell>
          <cell r="B750" t="str">
            <v>Unión Acometida PF+UAD de 1/2"</v>
          </cell>
          <cell r="C750" t="str">
            <v>Und.</v>
          </cell>
          <cell r="D750">
            <v>2778</v>
          </cell>
          <cell r="E750">
            <v>3306</v>
          </cell>
        </row>
        <row r="751">
          <cell r="A751" t="str">
            <v>UPF3/4</v>
          </cell>
          <cell r="B751" t="str">
            <v>Unión Acometida PF+UAD de 3/4"</v>
          </cell>
          <cell r="C751" t="str">
            <v>Und.</v>
          </cell>
          <cell r="D751">
            <v>10515</v>
          </cell>
          <cell r="E751">
            <v>12513</v>
          </cell>
        </row>
        <row r="752">
          <cell r="A752" t="str">
            <v>TPF1/2</v>
          </cell>
          <cell r="B752" t="str">
            <v>Tubería Acometida Domiciliaria HDPE de 1/2"</v>
          </cell>
          <cell r="C752" t="str">
            <v>m.</v>
          </cell>
          <cell r="D752">
            <v>1607</v>
          </cell>
          <cell r="E752">
            <v>1912</v>
          </cell>
        </row>
        <row r="753">
          <cell r="A753" t="str">
            <v>TPF3/4</v>
          </cell>
          <cell r="B753" t="str">
            <v>Tubería Acometida Domiciliaria HDPE de 3/4"</v>
          </cell>
          <cell r="C753" t="str">
            <v>m.</v>
          </cell>
          <cell r="D753">
            <v>3161</v>
          </cell>
          <cell r="E753">
            <v>3762</v>
          </cell>
        </row>
        <row r="758">
          <cell r="A758" t="str">
            <v>ACCESORIOS PVC 1/2"</v>
          </cell>
        </row>
        <row r="759">
          <cell r="A759" t="str">
            <v>ACC1/2</v>
          </cell>
          <cell r="B759" t="str">
            <v>Accesorios PVC 1/2" (Codo, uniones, adaptadores)</v>
          </cell>
          <cell r="C759" t="str">
            <v>Und.</v>
          </cell>
          <cell r="D759">
            <v>600</v>
          </cell>
          <cell r="E759">
            <v>714</v>
          </cell>
        </row>
      </sheetData>
      <sheetData sheetId="2" refreshError="1">
        <row r="2">
          <cell r="B2" t="str">
            <v>DEPARTAMENTO DEL HUILA</v>
          </cell>
        </row>
        <row r="5">
          <cell r="A5" t="str">
            <v>"REHABILITACIÓN DE VÍAS URBANAS, INCLUYE REPOSICIÓN TRAMOS DE ALCANTARILLADO SANITARIO EN EL MUNICIPIO DE YAGUARÁ, HUILA"</v>
          </cell>
        </row>
        <row r="113">
          <cell r="A113" t="str">
            <v>__________________________________________</v>
          </cell>
        </row>
        <row r="114">
          <cell r="A114" t="str">
            <v>Ing. JHON FREDY GARCIA MENDEZ</v>
          </cell>
        </row>
        <row r="115">
          <cell r="A115" t="str">
            <v>M.P.  70268-326294 TLM.</v>
          </cell>
        </row>
        <row r="116">
          <cell r="A116" t="str">
            <v>CONSULTOR</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row r="3">
          <cell r="A3">
            <v>1</v>
          </cell>
          <cell r="B3">
            <v>2</v>
          </cell>
          <cell r="C3">
            <v>3</v>
          </cell>
          <cell r="D3">
            <v>4</v>
          </cell>
          <cell r="E3">
            <v>5</v>
          </cell>
          <cell r="F3">
            <v>6</v>
          </cell>
          <cell r="G3">
            <v>7</v>
          </cell>
          <cell r="H3">
            <v>8</v>
          </cell>
          <cell r="I3">
            <v>9</v>
          </cell>
          <cell r="J3">
            <v>10</v>
          </cell>
          <cell r="K3">
            <v>11</v>
          </cell>
          <cell r="L3">
            <v>12</v>
          </cell>
          <cell r="M3">
            <v>13</v>
          </cell>
          <cell r="N3">
            <v>14</v>
          </cell>
          <cell r="O3">
            <v>15</v>
          </cell>
        </row>
        <row r="4">
          <cell r="A4" t="str">
            <v>CÓDIGO</v>
          </cell>
          <cell r="B4" t="str">
            <v>TIPO DE CUADRILLA</v>
          </cell>
          <cell r="C4" t="str">
            <v>OCUPACION</v>
          </cell>
          <cell r="D4" t="str">
            <v>CANT/. SALARIOS</v>
          </cell>
          <cell r="E4" t="str">
            <v>JORNAL</v>
          </cell>
          <cell r="F4" t="str">
            <v>CANTIDAD</v>
          </cell>
          <cell r="G4" t="str">
            <v>V/PARCIAL</v>
          </cell>
          <cell r="H4" t="str">
            <v>VR/. PARCIAL CUADRILLA</v>
          </cell>
          <cell r="I4" t="str">
            <v>FACTOR PRESTACIONAL (%)</v>
          </cell>
          <cell r="J4" t="str">
            <v xml:space="preserve">PRESTACIONES </v>
          </cell>
          <cell r="K4" t="str">
            <v>VR/.TOTAL PRESTACIONES</v>
          </cell>
          <cell r="L4" t="str">
            <v>VR/. JORNAL CUADRILLA</v>
          </cell>
          <cell r="M4" t="str">
            <v>UNIDAD</v>
          </cell>
          <cell r="N4" t="str">
            <v>VR/. HORA TRABAJADOR</v>
          </cell>
          <cell r="O4" t="str">
            <v>VR/. HORA CUADRILLA</v>
          </cell>
        </row>
        <row r="5">
          <cell r="A5" t="str">
            <v>A</v>
          </cell>
          <cell r="B5" t="str">
            <v>Ayudante</v>
          </cell>
          <cell r="C5" t="str">
            <v>AYUDANTE</v>
          </cell>
          <cell r="D5" t="str">
            <v>1.2 S.M.L.V.</v>
          </cell>
          <cell r="E5">
            <v>34190.046666666669</v>
          </cell>
          <cell r="F5">
            <v>1</v>
          </cell>
          <cell r="G5">
            <v>34190.046666666669</v>
          </cell>
          <cell r="H5">
            <v>34190</v>
          </cell>
          <cell r="I5">
            <v>0.84960000000000002</v>
          </cell>
          <cell r="J5">
            <v>29047.863648000002</v>
          </cell>
          <cell r="K5">
            <v>29048</v>
          </cell>
          <cell r="L5">
            <v>63238</v>
          </cell>
          <cell r="M5" t="str">
            <v>HC</v>
          </cell>
          <cell r="N5">
            <v>7905</v>
          </cell>
          <cell r="O5">
            <v>7905</v>
          </cell>
        </row>
        <row r="6">
          <cell r="A6" t="str">
            <v>2A</v>
          </cell>
          <cell r="B6" t="str">
            <v>2 Ayudantes</v>
          </cell>
          <cell r="C6" t="str">
            <v>AYUDANTE</v>
          </cell>
          <cell r="D6" t="str">
            <v>1.2 S.M.L.V.</v>
          </cell>
          <cell r="E6">
            <v>34190.046666666669</v>
          </cell>
          <cell r="F6">
            <v>2</v>
          </cell>
          <cell r="G6">
            <v>68380.093333333338</v>
          </cell>
          <cell r="H6">
            <v>68380</v>
          </cell>
          <cell r="I6">
            <v>0.84960000000000002</v>
          </cell>
          <cell r="J6">
            <v>58095.727296000005</v>
          </cell>
          <cell r="K6">
            <v>58096</v>
          </cell>
          <cell r="L6">
            <v>126476</v>
          </cell>
          <cell r="M6" t="str">
            <v>HC</v>
          </cell>
          <cell r="N6">
            <v>7905</v>
          </cell>
          <cell r="O6">
            <v>15810</v>
          </cell>
        </row>
        <row r="7">
          <cell r="A7" t="str">
            <v>AA</v>
          </cell>
          <cell r="B7" t="str">
            <v>Cuadrilla AA: Albañilería. (1 Of. + 1 Ayud.).</v>
          </cell>
          <cell r="C7" t="str">
            <v>OFICIAL</v>
          </cell>
          <cell r="D7" t="str">
            <v>1.5 S.M.L.V.</v>
          </cell>
          <cell r="E7">
            <v>42002.466666666667</v>
          </cell>
          <cell r="F7">
            <v>1</v>
          </cell>
          <cell r="G7">
            <v>42002.466666666667</v>
          </cell>
          <cell r="H7">
            <v>76193</v>
          </cell>
          <cell r="I7">
            <v>0.83950000000000002</v>
          </cell>
          <cell r="J7">
            <v>35261.070766666671</v>
          </cell>
          <cell r="K7">
            <v>64309</v>
          </cell>
          <cell r="L7">
            <v>140502</v>
          </cell>
          <cell r="M7" t="str">
            <v>HC</v>
          </cell>
          <cell r="N7">
            <v>9658</v>
          </cell>
          <cell r="O7">
            <v>17563</v>
          </cell>
        </row>
        <row r="8">
          <cell r="C8" t="str">
            <v>AYUDANTE</v>
          </cell>
          <cell r="D8" t="str">
            <v>1.2 S.M.L.V.</v>
          </cell>
          <cell r="E8">
            <v>34190.046666666669</v>
          </cell>
          <cell r="F8">
            <v>1</v>
          </cell>
          <cell r="G8">
            <v>34190.046666666669</v>
          </cell>
          <cell r="I8">
            <v>0.84960000000000002</v>
          </cell>
          <cell r="J8">
            <v>29047.863648000002</v>
          </cell>
          <cell r="N8">
            <v>7905</v>
          </cell>
        </row>
        <row r="9">
          <cell r="A9" t="str">
            <v>BB</v>
          </cell>
          <cell r="B9" t="str">
            <v>Cuadrilla BB: Instalaciones básicas. (1 Of. + 1 Ayud.).</v>
          </cell>
          <cell r="C9" t="str">
            <v>OFICIAL</v>
          </cell>
          <cell r="D9" t="str">
            <v>2.0 S.M.L.V.</v>
          </cell>
          <cell r="E9">
            <v>55023.166666666664</v>
          </cell>
          <cell r="F9">
            <v>1</v>
          </cell>
          <cell r="G9">
            <v>55023.166666666664</v>
          </cell>
          <cell r="H9">
            <v>89213</v>
          </cell>
          <cell r="I9">
            <v>0.82909999999999995</v>
          </cell>
          <cell r="J9">
            <v>45619.707483333332</v>
          </cell>
          <cell r="K9">
            <v>74668</v>
          </cell>
          <cell r="L9">
            <v>163881</v>
          </cell>
          <cell r="M9" t="str">
            <v>HC</v>
          </cell>
          <cell r="N9">
            <v>12580</v>
          </cell>
          <cell r="O9">
            <v>20485</v>
          </cell>
        </row>
        <row r="10">
          <cell r="C10" t="str">
            <v>AYUDANTE</v>
          </cell>
          <cell r="D10" t="str">
            <v>1.2 S.M.L.V.</v>
          </cell>
          <cell r="E10">
            <v>34190.046666666669</v>
          </cell>
          <cell r="F10">
            <v>1</v>
          </cell>
          <cell r="G10">
            <v>34190.046666666669</v>
          </cell>
          <cell r="I10">
            <v>0.84960000000000002</v>
          </cell>
          <cell r="J10">
            <v>29047.863648000002</v>
          </cell>
          <cell r="N10">
            <v>7905</v>
          </cell>
        </row>
        <row r="11">
          <cell r="A11" t="str">
            <v>CC</v>
          </cell>
          <cell r="B11" t="str">
            <v>Cuadrilla CC: Pinturas.(1 Of.Pint.+ 1 Estuc. + 1 Ayud.).</v>
          </cell>
          <cell r="C11" t="str">
            <v>OFICIAL DE PINTURA</v>
          </cell>
          <cell r="D11" t="str">
            <v>2.5 S.M.L.V.</v>
          </cell>
          <cell r="E11">
            <v>65103.5</v>
          </cell>
          <cell r="F11">
            <v>1</v>
          </cell>
          <cell r="G11">
            <v>65103.5</v>
          </cell>
          <cell r="H11">
            <v>154317</v>
          </cell>
          <cell r="I11">
            <v>0.81069999999999998</v>
          </cell>
          <cell r="J11">
            <v>52779.407449999999</v>
          </cell>
          <cell r="K11">
            <v>127447</v>
          </cell>
          <cell r="L11">
            <v>281764</v>
          </cell>
          <cell r="M11" t="str">
            <v>HC</v>
          </cell>
          <cell r="N11">
            <v>14735</v>
          </cell>
          <cell r="O11">
            <v>35221</v>
          </cell>
        </row>
        <row r="12">
          <cell r="C12" t="str">
            <v>ESTUCADOR</v>
          </cell>
          <cell r="D12" t="str">
            <v>1.5 S.M.L.V.</v>
          </cell>
          <cell r="E12">
            <v>55023.166666666664</v>
          </cell>
          <cell r="F12">
            <v>1</v>
          </cell>
          <cell r="G12">
            <v>55023.166666666664</v>
          </cell>
          <cell r="I12">
            <v>0.82909999999999995</v>
          </cell>
          <cell r="J12">
            <v>45619.707483333332</v>
          </cell>
          <cell r="N12">
            <v>12580</v>
          </cell>
        </row>
        <row r="13">
          <cell r="B13" t="str">
            <v>CUADRILLA T5</v>
          </cell>
          <cell r="C13" t="str">
            <v>AYUDANTE</v>
          </cell>
          <cell r="D13" t="str">
            <v>1.2 S.M.L.V.</v>
          </cell>
          <cell r="E13">
            <v>34190.046666666669</v>
          </cell>
          <cell r="F13">
            <v>1</v>
          </cell>
          <cell r="G13">
            <v>34190.046666666669</v>
          </cell>
          <cell r="I13">
            <v>0.84960000000000002</v>
          </cell>
          <cell r="J13">
            <v>29047.863648000002</v>
          </cell>
          <cell r="N13">
            <v>7905</v>
          </cell>
        </row>
        <row r="14">
          <cell r="A14" t="str">
            <v>DD</v>
          </cell>
          <cell r="B14" t="str">
            <v>Cuadrilla DD: Carpintería en madera. (1 Carp. + 1 Ayud.).</v>
          </cell>
          <cell r="C14" t="str">
            <v>CARPINTERO</v>
          </cell>
          <cell r="D14" t="str">
            <v>2.5 S.M.L.V.</v>
          </cell>
          <cell r="E14">
            <v>65103.5</v>
          </cell>
          <cell r="F14">
            <v>1</v>
          </cell>
          <cell r="G14">
            <v>65103.5</v>
          </cell>
          <cell r="H14">
            <v>107106</v>
          </cell>
          <cell r="I14">
            <v>0.81069999999999998</v>
          </cell>
          <cell r="J14">
            <v>52779.407449999999</v>
          </cell>
          <cell r="K14">
            <v>88040</v>
          </cell>
          <cell r="L14">
            <v>195146</v>
          </cell>
          <cell r="M14" t="str">
            <v>HC</v>
          </cell>
          <cell r="N14">
            <v>14735</v>
          </cell>
          <cell r="O14">
            <v>24393</v>
          </cell>
        </row>
        <row r="15">
          <cell r="B15" t="str">
            <v>CUADRILLA T6</v>
          </cell>
          <cell r="C15" t="str">
            <v>AYUDANTE</v>
          </cell>
          <cell r="D15" t="str">
            <v>1.5 S.M.L.V.</v>
          </cell>
          <cell r="E15">
            <v>42002.466666666667</v>
          </cell>
          <cell r="F15">
            <v>1</v>
          </cell>
          <cell r="G15">
            <v>42002.466666666667</v>
          </cell>
          <cell r="I15">
            <v>0.83950000000000002</v>
          </cell>
          <cell r="J15">
            <v>35261.070766666671</v>
          </cell>
          <cell r="N15">
            <v>9658</v>
          </cell>
        </row>
        <row r="16">
          <cell r="A16" t="str">
            <v>EE</v>
          </cell>
          <cell r="B16" t="str">
            <v>Cuadrilla EE: Cableado estructurado.(1 Of. Instal.).</v>
          </cell>
          <cell r="C16" t="str">
            <v>OFICIAL INSTALACIÓN</v>
          </cell>
          <cell r="D16" t="str">
            <v>2.5 S.M.L.V.</v>
          </cell>
          <cell r="E16">
            <v>65103.5</v>
          </cell>
          <cell r="F16">
            <v>2</v>
          </cell>
          <cell r="G16">
            <v>130207</v>
          </cell>
          <cell r="H16">
            <v>130207</v>
          </cell>
          <cell r="I16">
            <v>0.81069999999999998</v>
          </cell>
          <cell r="J16">
            <v>105558.8149</v>
          </cell>
          <cell r="K16">
            <v>105559</v>
          </cell>
          <cell r="L16">
            <v>235766</v>
          </cell>
          <cell r="M16" t="str">
            <v>HC</v>
          </cell>
          <cell r="N16">
            <v>14735</v>
          </cell>
          <cell r="O16">
            <v>29471</v>
          </cell>
        </row>
        <row r="17">
          <cell r="A17" t="str">
            <v>FF</v>
          </cell>
          <cell r="B17" t="str">
            <v>Cuadrilla FF: Eléctricas. (0.3 Encar. + 1 Of. + 1 Ayud.).</v>
          </cell>
          <cell r="C17" t="str">
            <v>ENCARGADO DE OBRA</v>
          </cell>
          <cell r="D17" t="str">
            <v>3.0 S.M.L.V.</v>
          </cell>
          <cell r="E17">
            <v>78124.2</v>
          </cell>
          <cell r="F17">
            <v>0.3</v>
          </cell>
          <cell r="G17">
            <v>23437.26</v>
          </cell>
          <cell r="H17">
            <v>120463</v>
          </cell>
          <cell r="I17">
            <v>0.80820000000000003</v>
          </cell>
          <cell r="J17">
            <v>18941.993532</v>
          </cell>
          <cell r="K17">
            <v>99823</v>
          </cell>
          <cell r="L17">
            <v>220286</v>
          </cell>
          <cell r="M17" t="str">
            <v>HC</v>
          </cell>
          <cell r="N17">
            <v>17658</v>
          </cell>
          <cell r="O17">
            <v>27536</v>
          </cell>
        </row>
        <row r="18">
          <cell r="C18" t="str">
            <v>OFICIAL</v>
          </cell>
          <cell r="D18" t="str">
            <v>2.0 S.M.L.V.</v>
          </cell>
          <cell r="E18">
            <v>55023.166666666664</v>
          </cell>
          <cell r="F18">
            <v>1</v>
          </cell>
          <cell r="G18">
            <v>55023.166666666664</v>
          </cell>
          <cell r="I18">
            <v>0.82909999999999995</v>
          </cell>
          <cell r="J18">
            <v>45619.707483333332</v>
          </cell>
          <cell r="N18">
            <v>12580</v>
          </cell>
        </row>
        <row r="19">
          <cell r="C19" t="str">
            <v>AYUDANTE</v>
          </cell>
          <cell r="D19" t="str">
            <v>1.5 S.M.L.V.</v>
          </cell>
          <cell r="E19">
            <v>42002.466666666667</v>
          </cell>
          <cell r="F19">
            <v>1</v>
          </cell>
          <cell r="G19">
            <v>42002.466666666667</v>
          </cell>
          <cell r="I19">
            <v>0.83950000000000002</v>
          </cell>
          <cell r="J19">
            <v>35261.070766666671</v>
          </cell>
          <cell r="N19">
            <v>9658</v>
          </cell>
        </row>
        <row r="20">
          <cell r="A20" t="str">
            <v>FF1</v>
          </cell>
          <cell r="B20" t="str">
            <v>Cuadrilla FF1: Eléctricas especializadas. (0.6 Encar. + 2 Of. + 1 Ayud).</v>
          </cell>
          <cell r="C20" t="str">
            <v>ENCARGADO DE OBRA</v>
          </cell>
          <cell r="D20" t="str">
            <v>3.0 S.M.L.V.</v>
          </cell>
          <cell r="E20">
            <v>78124.2</v>
          </cell>
          <cell r="F20">
            <v>0.6</v>
          </cell>
          <cell r="G20">
            <v>46874.52</v>
          </cell>
          <cell r="H20">
            <v>219084</v>
          </cell>
          <cell r="I20">
            <v>0.80820000000000003</v>
          </cell>
          <cell r="J20">
            <v>37883.987064000001</v>
          </cell>
          <cell r="K20">
            <v>178704</v>
          </cell>
          <cell r="L20">
            <v>397788</v>
          </cell>
          <cell r="M20" t="str">
            <v>HC</v>
          </cell>
          <cell r="N20">
            <v>17658</v>
          </cell>
          <cell r="O20">
            <v>49724</v>
          </cell>
        </row>
        <row r="21">
          <cell r="C21" t="str">
            <v>OFICIAL</v>
          </cell>
          <cell r="D21" t="str">
            <v>2.5 S.M.L.V.</v>
          </cell>
          <cell r="E21">
            <v>65103.5</v>
          </cell>
          <cell r="F21">
            <v>2</v>
          </cell>
          <cell r="G21">
            <v>130207</v>
          </cell>
          <cell r="I21">
            <v>0.81069999999999998</v>
          </cell>
          <cell r="J21">
            <v>105558.8149</v>
          </cell>
          <cell r="N21">
            <v>14735</v>
          </cell>
        </row>
        <row r="22">
          <cell r="C22" t="str">
            <v>AYUDANTE</v>
          </cell>
          <cell r="D22" t="str">
            <v>1.5 S.M.L.V.</v>
          </cell>
          <cell r="E22">
            <v>42002.466666666667</v>
          </cell>
          <cell r="F22">
            <v>1</v>
          </cell>
          <cell r="G22">
            <v>42002.466666666667</v>
          </cell>
          <cell r="I22">
            <v>0.83950000000000002</v>
          </cell>
          <cell r="J22">
            <v>35261.070766666671</v>
          </cell>
          <cell r="N22">
            <v>9658</v>
          </cell>
        </row>
        <row r="23">
          <cell r="A23" t="str">
            <v>GG</v>
          </cell>
          <cell r="B23" t="str">
            <v>Cuadrilla GG: Drywall. (1 Of.Acab. + 1 Of.2 + 1 Ayud.).</v>
          </cell>
          <cell r="C23" t="str">
            <v>OFICIAL DE ACABADOS 1</v>
          </cell>
          <cell r="D23" t="str">
            <v>2.0 S.M.L.V.</v>
          </cell>
          <cell r="E23">
            <v>55023.166666666664</v>
          </cell>
          <cell r="F23">
            <v>1</v>
          </cell>
          <cell r="G23">
            <v>55023.166666666664</v>
          </cell>
          <cell r="H23">
            <v>131216</v>
          </cell>
          <cell r="I23">
            <v>0.82909999999999995</v>
          </cell>
          <cell r="J23">
            <v>45619.707483333332</v>
          </cell>
          <cell r="K23">
            <v>109929</v>
          </cell>
          <cell r="L23">
            <v>241145</v>
          </cell>
          <cell r="M23" t="str">
            <v>HC</v>
          </cell>
          <cell r="N23">
            <v>12580</v>
          </cell>
          <cell r="O23">
            <v>30143</v>
          </cell>
        </row>
        <row r="24">
          <cell r="C24" t="str">
            <v>OFICIAL 2</v>
          </cell>
          <cell r="D24" t="str">
            <v>1.5 S.M.L.V.</v>
          </cell>
          <cell r="E24">
            <v>42002.466666666667</v>
          </cell>
          <cell r="F24">
            <v>1</v>
          </cell>
          <cell r="G24">
            <v>42002.466666666667</v>
          </cell>
          <cell r="I24">
            <v>0.83950000000000002</v>
          </cell>
          <cell r="J24">
            <v>35261.070766666671</v>
          </cell>
          <cell r="N24">
            <v>9658</v>
          </cell>
        </row>
        <row r="25">
          <cell r="C25" t="str">
            <v>AYUDANTE</v>
          </cell>
          <cell r="D25" t="str">
            <v>1.2 S.M.L.V.</v>
          </cell>
          <cell r="E25">
            <v>34190.046666666669</v>
          </cell>
          <cell r="F25">
            <v>1</v>
          </cell>
          <cell r="G25">
            <v>34190.046666666669</v>
          </cell>
          <cell r="I25">
            <v>0.84960000000000002</v>
          </cell>
          <cell r="J25">
            <v>29047.863648000002</v>
          </cell>
          <cell r="N25">
            <v>7905</v>
          </cell>
        </row>
        <row r="26">
          <cell r="A26" t="str">
            <v>HH</v>
          </cell>
          <cell r="B26" t="str">
            <v>Cuadrilla HH: Metálicas. (1 Sold. + 1 Of. + 1 Ayud.).</v>
          </cell>
          <cell r="C26" t="str">
            <v>SOLDADOR</v>
          </cell>
          <cell r="D26" t="str">
            <v>2.5 S.M.L.V.</v>
          </cell>
          <cell r="E26">
            <v>65103.5</v>
          </cell>
          <cell r="F26">
            <v>1</v>
          </cell>
          <cell r="G26">
            <v>65103.5</v>
          </cell>
          <cell r="H26">
            <v>141296</v>
          </cell>
          <cell r="I26">
            <v>0.81069999999999998</v>
          </cell>
          <cell r="J26">
            <v>52779.407449999999</v>
          </cell>
          <cell r="K26">
            <v>117088</v>
          </cell>
          <cell r="L26">
            <v>258384</v>
          </cell>
          <cell r="M26" t="str">
            <v>HC</v>
          </cell>
          <cell r="N26">
            <v>14735</v>
          </cell>
          <cell r="O26">
            <v>32298</v>
          </cell>
        </row>
        <row r="27">
          <cell r="C27" t="str">
            <v>OFICIAL</v>
          </cell>
          <cell r="D27" t="str">
            <v>1.5 S.M.L.V.</v>
          </cell>
          <cell r="E27">
            <v>42002.466666666667</v>
          </cell>
          <cell r="F27">
            <v>1</v>
          </cell>
          <cell r="G27">
            <v>42002.466666666667</v>
          </cell>
          <cell r="I27">
            <v>0.83950000000000002</v>
          </cell>
          <cell r="J27">
            <v>35261.070766666671</v>
          </cell>
          <cell r="N27">
            <v>9658</v>
          </cell>
        </row>
        <row r="28">
          <cell r="C28" t="str">
            <v>AYUDANTE</v>
          </cell>
          <cell r="D28" t="str">
            <v>1.2 S.M.L.V.</v>
          </cell>
          <cell r="E28">
            <v>34190.046666666669</v>
          </cell>
          <cell r="F28">
            <v>1</v>
          </cell>
          <cell r="G28">
            <v>34190.046666666669</v>
          </cell>
          <cell r="I28">
            <v>0.84960000000000002</v>
          </cell>
          <cell r="J28">
            <v>29047.863648000002</v>
          </cell>
          <cell r="N28">
            <v>7905</v>
          </cell>
        </row>
        <row r="29">
          <cell r="A29" t="str">
            <v>II</v>
          </cell>
          <cell r="B29" t="str">
            <v>Cuadrilla II: Topografía. (1 Top. + 1 Aux.Top.+ 1 Cade.).</v>
          </cell>
          <cell r="C29" t="str">
            <v>TOPÓGRAFO</v>
          </cell>
          <cell r="D29" t="str">
            <v>4.0 S.M.L.V.</v>
          </cell>
          <cell r="E29">
            <v>104165.6</v>
          </cell>
          <cell r="F29">
            <v>1</v>
          </cell>
          <cell r="G29">
            <v>104165.6</v>
          </cell>
          <cell r="H29">
            <v>247393</v>
          </cell>
          <cell r="I29">
            <v>0.80500000000000005</v>
          </cell>
          <cell r="J29">
            <v>83853.308000000005</v>
          </cell>
          <cell r="K29">
            <v>199773</v>
          </cell>
          <cell r="L29">
            <v>447166</v>
          </cell>
          <cell r="M29" t="str">
            <v>HC</v>
          </cell>
          <cell r="N29">
            <v>23502</v>
          </cell>
          <cell r="O29">
            <v>55896</v>
          </cell>
        </row>
        <row r="30">
          <cell r="C30" t="str">
            <v>AUX. DE TOPOGRAFÍA</v>
          </cell>
          <cell r="D30" t="str">
            <v>3.0 S.M.L.V.</v>
          </cell>
          <cell r="E30">
            <v>78124.2</v>
          </cell>
          <cell r="F30">
            <v>1</v>
          </cell>
          <cell r="G30">
            <v>78124.2</v>
          </cell>
          <cell r="I30">
            <v>0.80820000000000003</v>
          </cell>
          <cell r="J30">
            <v>63139.978439999999</v>
          </cell>
          <cell r="N30">
            <v>17658</v>
          </cell>
        </row>
        <row r="31">
          <cell r="C31" t="str">
            <v>CADENERO</v>
          </cell>
          <cell r="D31" t="str">
            <v>2.5 S.M.L.V.</v>
          </cell>
          <cell r="E31">
            <v>65103.5</v>
          </cell>
          <cell r="F31">
            <v>1</v>
          </cell>
          <cell r="G31">
            <v>65103.5</v>
          </cell>
          <cell r="I31">
            <v>0.81069999999999998</v>
          </cell>
          <cell r="J31">
            <v>52779.407449999999</v>
          </cell>
          <cell r="N31">
            <v>14735</v>
          </cell>
        </row>
        <row r="32">
          <cell r="A32" t="str">
            <v>JJ</v>
          </cell>
          <cell r="B32" t="str">
            <v>Cuadrilla JJ: Red contra incendios. (1 Jef. + 1 Of.1 + 1 Of.2 + 1 Ayud. ).</v>
          </cell>
          <cell r="C32" t="str">
            <v>JEFE DE OBRA</v>
          </cell>
          <cell r="D32" t="str">
            <v>3.0  S.M.L.V.</v>
          </cell>
          <cell r="E32">
            <v>78124.2</v>
          </cell>
          <cell r="F32">
            <v>1</v>
          </cell>
          <cell r="G32">
            <v>78124.2</v>
          </cell>
          <cell r="H32">
            <v>240253</v>
          </cell>
          <cell r="I32">
            <v>0.80820000000000003</v>
          </cell>
          <cell r="J32">
            <v>63139.978439999999</v>
          </cell>
          <cell r="K32">
            <v>196800</v>
          </cell>
          <cell r="L32">
            <v>437053</v>
          </cell>
          <cell r="M32" t="str">
            <v>HC</v>
          </cell>
          <cell r="N32">
            <v>17658</v>
          </cell>
          <cell r="O32">
            <v>54632</v>
          </cell>
        </row>
        <row r="33">
          <cell r="C33" t="str">
            <v>OFICIAL 1</v>
          </cell>
          <cell r="D33" t="str">
            <v>2.5  S.M.L.V.</v>
          </cell>
          <cell r="E33">
            <v>65103.5</v>
          </cell>
          <cell r="F33">
            <v>1</v>
          </cell>
          <cell r="G33">
            <v>65103.5</v>
          </cell>
          <cell r="I33">
            <v>0.81069999999999998</v>
          </cell>
          <cell r="J33">
            <v>52779.407449999999</v>
          </cell>
          <cell r="N33">
            <v>14735</v>
          </cell>
        </row>
        <row r="34">
          <cell r="C34" t="str">
            <v>OFICIAL 2</v>
          </cell>
          <cell r="D34" t="str">
            <v>2.0  S.M.L.V.</v>
          </cell>
          <cell r="E34">
            <v>55023.166666666664</v>
          </cell>
          <cell r="F34">
            <v>1</v>
          </cell>
          <cell r="G34">
            <v>55023.166666666664</v>
          </cell>
          <cell r="I34">
            <v>0.82909999999999995</v>
          </cell>
          <cell r="J34">
            <v>45619.707483333332</v>
          </cell>
          <cell r="N34">
            <v>12580</v>
          </cell>
        </row>
        <row r="35">
          <cell r="C35" t="str">
            <v>AYUDANTE</v>
          </cell>
          <cell r="D35" t="str">
            <v>1.5  S.M.L.V.</v>
          </cell>
          <cell r="E35">
            <v>42002.466666666667</v>
          </cell>
          <cell r="F35">
            <v>1</v>
          </cell>
          <cell r="G35">
            <v>42002.466666666667</v>
          </cell>
          <cell r="I35">
            <v>0.83950000000000002</v>
          </cell>
          <cell r="J35">
            <v>35261.070766666671</v>
          </cell>
          <cell r="N35">
            <v>9658</v>
          </cell>
        </row>
        <row r="36">
          <cell r="A36" t="str">
            <v>KK</v>
          </cell>
          <cell r="B36" t="str">
            <v>Cuadrilla KK: Aseo. (2 Ayudantes).</v>
          </cell>
          <cell r="C36" t="str">
            <v>AYUDANTE</v>
          </cell>
          <cell r="D36" t="str">
            <v>1.2  S.M.L.V.</v>
          </cell>
          <cell r="E36">
            <v>34190.046666666669</v>
          </cell>
          <cell r="F36">
            <v>2</v>
          </cell>
          <cell r="G36">
            <v>68380.093333333338</v>
          </cell>
          <cell r="H36">
            <v>68380</v>
          </cell>
          <cell r="I36">
            <v>0.84960000000000002</v>
          </cell>
          <cell r="J36">
            <v>58095.727296000005</v>
          </cell>
          <cell r="K36">
            <v>58096</v>
          </cell>
          <cell r="L36">
            <v>126476</v>
          </cell>
          <cell r="M36" t="str">
            <v>HC</v>
          </cell>
          <cell r="N36">
            <v>7905</v>
          </cell>
          <cell r="O36">
            <v>15810</v>
          </cell>
        </row>
        <row r="37">
          <cell r="A37" t="str">
            <v>LL</v>
          </cell>
          <cell r="B37" t="str">
            <v>Cuadrilla LL: Mezclas. (1 Of. + 3 Ayud.).</v>
          </cell>
          <cell r="C37" t="str">
            <v>OFICIAL</v>
          </cell>
          <cell r="D37" t="str">
            <v>2.0 S.M.L.V.</v>
          </cell>
          <cell r="E37">
            <v>55023.166666666664</v>
          </cell>
          <cell r="F37">
            <v>1</v>
          </cell>
          <cell r="G37">
            <v>55023.166666666664</v>
          </cell>
          <cell r="H37">
            <v>157593</v>
          </cell>
          <cell r="I37">
            <v>0.82909999999999995</v>
          </cell>
          <cell r="J37">
            <v>45619.707483333332</v>
          </cell>
          <cell r="K37">
            <v>132763</v>
          </cell>
          <cell r="L37">
            <v>290356</v>
          </cell>
          <cell r="M37" t="str">
            <v>HC</v>
          </cell>
          <cell r="N37">
            <v>12580</v>
          </cell>
          <cell r="O37">
            <v>36295</v>
          </cell>
        </row>
        <row r="38">
          <cell r="C38" t="str">
            <v>AYUDANTE</v>
          </cell>
          <cell r="D38" t="str">
            <v>1.2 S.M.L.V.</v>
          </cell>
          <cell r="E38">
            <v>34190.046666666669</v>
          </cell>
          <cell r="F38">
            <v>3</v>
          </cell>
          <cell r="G38">
            <v>102570.14000000001</v>
          </cell>
          <cell r="I38">
            <v>0.84960000000000002</v>
          </cell>
          <cell r="J38">
            <v>87143.59094400001</v>
          </cell>
          <cell r="N38">
            <v>7905</v>
          </cell>
        </row>
        <row r="39">
          <cell r="A39" t="str">
            <v>MM</v>
          </cell>
          <cell r="B39" t="str">
            <v>Cuadrilla MM: Pavimentos. (1 Of.Pav.+ 1 Rastr. + 4 Ayud.).</v>
          </cell>
          <cell r="C39" t="str">
            <v>OFICIAL PAVIMENTO</v>
          </cell>
          <cell r="D39" t="str">
            <v>3.0 S.M.L.V.</v>
          </cell>
          <cell r="E39">
            <v>78124.2</v>
          </cell>
          <cell r="F39">
            <v>1</v>
          </cell>
          <cell r="G39">
            <v>78124.2</v>
          </cell>
          <cell r="H39">
            <v>301157</v>
          </cell>
          <cell r="I39">
            <v>0.80820000000000003</v>
          </cell>
          <cell r="J39">
            <v>63139.978439999999</v>
          </cell>
          <cell r="K39">
            <v>249804</v>
          </cell>
          <cell r="L39">
            <v>550961</v>
          </cell>
          <cell r="M39" t="str">
            <v>HC</v>
          </cell>
          <cell r="N39">
            <v>17658</v>
          </cell>
          <cell r="O39">
            <v>68870</v>
          </cell>
        </row>
        <row r="40">
          <cell r="C40" t="str">
            <v>RASTRILLERO</v>
          </cell>
          <cell r="D40" t="str">
            <v>2.0 S.M.L.V.</v>
          </cell>
          <cell r="E40">
            <v>55023.166666666664</v>
          </cell>
          <cell r="F40">
            <v>1</v>
          </cell>
          <cell r="G40">
            <v>55023.166666666664</v>
          </cell>
          <cell r="I40">
            <v>0.82909999999999995</v>
          </cell>
          <cell r="J40">
            <v>45619.707483333332</v>
          </cell>
          <cell r="N40">
            <v>12580</v>
          </cell>
        </row>
        <row r="41">
          <cell r="C41" t="str">
            <v>AYUDANTE</v>
          </cell>
          <cell r="D41" t="str">
            <v>1.5 S.M.L.V.</v>
          </cell>
          <cell r="E41">
            <v>42002.466666666667</v>
          </cell>
          <cell r="F41">
            <v>4</v>
          </cell>
          <cell r="G41">
            <v>168009.86666666667</v>
          </cell>
          <cell r="I41">
            <v>0.83950000000000002</v>
          </cell>
          <cell r="J41">
            <v>141044.28306666669</v>
          </cell>
          <cell r="N41">
            <v>9658</v>
          </cell>
        </row>
        <row r="42">
          <cell r="A42" t="str">
            <v>NN</v>
          </cell>
          <cell r="B42" t="str">
            <v>Cuadrilla NN: Instalaciones hidrosanitarias. (1 Of.Insta.+ 2 Ayud.).</v>
          </cell>
          <cell r="C42" t="str">
            <v>OFICIAL INSTALADOR</v>
          </cell>
          <cell r="D42" t="str">
            <v>2.5 S.M.L.V.</v>
          </cell>
          <cell r="E42">
            <v>65103.5</v>
          </cell>
          <cell r="F42">
            <v>1</v>
          </cell>
          <cell r="G42">
            <v>65103.5</v>
          </cell>
          <cell r="H42">
            <v>191111</v>
          </cell>
          <cell r="I42">
            <v>0.81069999999999998</v>
          </cell>
          <cell r="J42">
            <v>52779.407449999999</v>
          </cell>
          <cell r="K42">
            <v>158563</v>
          </cell>
          <cell r="L42">
            <v>349674</v>
          </cell>
          <cell r="M42" t="str">
            <v>HC</v>
          </cell>
          <cell r="N42">
            <v>14735</v>
          </cell>
          <cell r="O42">
            <v>43709</v>
          </cell>
        </row>
        <row r="43">
          <cell r="C43" t="str">
            <v>AYUDANTE</v>
          </cell>
          <cell r="D43" t="str">
            <v>1.5 S.M.L.V.</v>
          </cell>
          <cell r="E43">
            <v>42002.466666666667</v>
          </cell>
          <cell r="F43">
            <v>3</v>
          </cell>
          <cell r="G43">
            <v>126007.4</v>
          </cell>
          <cell r="I43">
            <v>0.83950000000000002</v>
          </cell>
          <cell r="J43">
            <v>105783.2123</v>
          </cell>
          <cell r="N43">
            <v>9658</v>
          </cell>
        </row>
        <row r="44">
          <cell r="A44" t="str">
            <v>OO</v>
          </cell>
          <cell r="B44" t="str">
            <v xml:space="preserve">Operador de maquinaria pesada. </v>
          </cell>
          <cell r="C44" t="str">
            <v>OPERADOR</v>
          </cell>
          <cell r="D44" t="str">
            <v>3.0 S.M.L.V.</v>
          </cell>
          <cell r="E44">
            <v>78124.2</v>
          </cell>
          <cell r="F44">
            <v>1</v>
          </cell>
          <cell r="G44">
            <v>78124.2</v>
          </cell>
          <cell r="H44">
            <v>78124</v>
          </cell>
          <cell r="I44">
            <v>0.80820000000000003</v>
          </cell>
          <cell r="J44">
            <v>63139.978439999999</v>
          </cell>
          <cell r="K44">
            <v>63140</v>
          </cell>
          <cell r="L44">
            <v>141264</v>
          </cell>
          <cell r="M44" t="str">
            <v>HC</v>
          </cell>
          <cell r="N44">
            <v>17658</v>
          </cell>
          <cell r="O44">
            <v>17658</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
      <sheetName val="INSUMOS"/>
      <sheetName val="AIU"/>
      <sheetName val="PAGA"/>
      <sheetName val="PMT"/>
      <sheetName val="F. MULT"/>
      <sheetName val="INTERVENTORIA"/>
      <sheetName val="SMMV"/>
      <sheetName val="FACTOR PRESTACIONAL"/>
      <sheetName val="CUADRILLAS"/>
      <sheetName val="BASICOS"/>
      <sheetName val="APU-Modelo"/>
      <sheetName val="PRESUPUESTO"/>
      <sheetName val="M.CANTIDADES"/>
      <sheetName val="1.1.1A"/>
      <sheetName val="1.2.1 A"/>
      <sheetName val="1.2.2 A"/>
      <sheetName val="1.3.1 A"/>
      <sheetName val="1.4.1 A"/>
      <sheetName val="1.4.2 A"/>
      <sheetName val="1.5.1 A"/>
      <sheetName val="1.6.1 A"/>
      <sheetName val="2.1.1 E"/>
      <sheetName val="2.2.1 E"/>
      <sheetName val="2.2.2 E "/>
      <sheetName val="2.2.3 E"/>
      <sheetName val="2.3.1 E"/>
      <sheetName val="2.3.2 E"/>
      <sheetName val="2.3.3 E "/>
      <sheetName val="2.4.1 E"/>
      <sheetName val="2.4.2 E "/>
      <sheetName val="2.5.1 E"/>
      <sheetName val="2.5.2 A"/>
      <sheetName val="1.1.2"/>
      <sheetName val="1.1.3"/>
      <sheetName val="1.2.2"/>
      <sheetName val="1.2.3"/>
      <sheetName val="1.3.1"/>
      <sheetName val="1.4.1"/>
      <sheetName val="1.4.2"/>
      <sheetName val="1.4.4"/>
      <sheetName val="1.4.5"/>
      <sheetName val="1.5.1"/>
      <sheetName val="1.5.2"/>
      <sheetName val="1.5.3"/>
      <sheetName val="1.5.4"/>
      <sheetName val="1.6.1"/>
      <sheetName val="2.2.2 A"/>
      <sheetName val="2.2.3 A "/>
      <sheetName val="2.2.4 A"/>
      <sheetName val="2.2.5 A"/>
      <sheetName val="2.3.3 A"/>
      <sheetName val="2.4.1 A"/>
      <sheetName val="2.4.2 A"/>
      <sheetName val="2.4.3 A"/>
      <sheetName val="2.4.4 A"/>
      <sheetName val="2.4.5 A"/>
      <sheetName val="2.4.6 A"/>
      <sheetName val="2.4.7 A"/>
      <sheetName val="2.6.1 A"/>
      <sheetName val="Hoja1"/>
    </sheetNames>
    <sheetDataSet>
      <sheetData sheetId="0" refreshError="1"/>
      <sheetData sheetId="1" refreshError="1">
        <row r="2">
          <cell r="A2" t="str">
            <v>EQUIPOS Y HERRAMIENTAS</v>
          </cell>
        </row>
        <row r="4">
          <cell r="A4" t="str">
            <v>CÓDIGO</v>
          </cell>
          <cell r="B4" t="str">
            <v>DESCRIPCIÓN</v>
          </cell>
          <cell r="C4" t="str">
            <v>UNIDAD</v>
          </cell>
          <cell r="D4" t="str">
            <v>VALOR $</v>
          </cell>
          <cell r="E4" t="str">
            <v>FECHA</v>
          </cell>
        </row>
        <row r="5">
          <cell r="A5" t="str">
            <v>CAN</v>
          </cell>
          <cell r="B5" t="str">
            <v>Apisonador tipo canguro</v>
          </cell>
          <cell r="C5" t="str">
            <v>Dia</v>
          </cell>
          <cell r="D5">
            <v>95693</v>
          </cell>
        </row>
        <row r="6">
          <cell r="A6" t="str">
            <v>RANA</v>
          </cell>
          <cell r="B6" t="str">
            <v>Apisonador tipo rana</v>
          </cell>
          <cell r="C6" t="str">
            <v>Dia</v>
          </cell>
          <cell r="D6">
            <v>63796</v>
          </cell>
        </row>
        <row r="7">
          <cell r="A7" t="str">
            <v>CGR</v>
          </cell>
          <cell r="B7" t="str">
            <v>Camión grua</v>
          </cell>
          <cell r="C7" t="str">
            <v>Dia</v>
          </cell>
          <cell r="D7">
            <v>318978</v>
          </cell>
        </row>
        <row r="8">
          <cell r="A8" t="str">
            <v>CAM</v>
          </cell>
          <cell r="B8" t="str">
            <v>Camioneta transporte menor</v>
          </cell>
          <cell r="C8" t="str">
            <v>Viaje</v>
          </cell>
          <cell r="D8">
            <v>31898</v>
          </cell>
        </row>
        <row r="9">
          <cell r="A9" t="str">
            <v>COR</v>
          </cell>
          <cell r="B9" t="str">
            <v>Cortadora de disco diamante</v>
          </cell>
          <cell r="C9" t="str">
            <v>Día</v>
          </cell>
          <cell r="D9">
            <v>65000</v>
          </cell>
        </row>
        <row r="10">
          <cell r="A10" t="str">
            <v>COM</v>
          </cell>
          <cell r="B10" t="str">
            <v>Equipo compresor 120 HP y martillo neumático</v>
          </cell>
          <cell r="C10" t="str">
            <v>Hora</v>
          </cell>
          <cell r="D10">
            <v>95000</v>
          </cell>
        </row>
        <row r="11">
          <cell r="A11" t="str">
            <v>TOP</v>
          </cell>
          <cell r="B11" t="str">
            <v>Equipo de topografía.</v>
          </cell>
          <cell r="C11" t="str">
            <v>Día</v>
          </cell>
          <cell r="D11">
            <v>160000</v>
          </cell>
        </row>
        <row r="12">
          <cell r="A12" t="str">
            <v>DIF</v>
          </cell>
          <cell r="B12" t="str">
            <v>Equipo diferencial para 500kg</v>
          </cell>
          <cell r="C12" t="str">
            <v>Día</v>
          </cell>
          <cell r="D12">
            <v>94189</v>
          </cell>
        </row>
        <row r="13">
          <cell r="A13" t="str">
            <v>FORPZ</v>
          </cell>
          <cell r="B13" t="str">
            <v>Formaleta metálica para pozo</v>
          </cell>
          <cell r="C13" t="str">
            <v>Día</v>
          </cell>
          <cell r="D13">
            <v>80000</v>
          </cell>
        </row>
        <row r="14">
          <cell r="A14" t="str">
            <v>FORPV</v>
          </cell>
          <cell r="B14" t="str">
            <v>Formaleta maestra para pavimentos</v>
          </cell>
          <cell r="C14" t="str">
            <v>Día</v>
          </cell>
          <cell r="D14">
            <v>25000</v>
          </cell>
        </row>
        <row r="15">
          <cell r="A15" t="str">
            <v>HM5</v>
          </cell>
          <cell r="B15" t="str">
            <v>Herramienta Menor (5% de la mano de obra).</v>
          </cell>
          <cell r="C15" t="str">
            <v>%</v>
          </cell>
          <cell r="D15">
            <v>0.05</v>
          </cell>
        </row>
        <row r="16">
          <cell r="A16" t="str">
            <v>HM3</v>
          </cell>
          <cell r="B16" t="str">
            <v>Herramienta Menor (3% de la mano de obra).</v>
          </cell>
          <cell r="C16" t="str">
            <v>%</v>
          </cell>
          <cell r="D16">
            <v>0.03</v>
          </cell>
        </row>
        <row r="17">
          <cell r="A17" t="str">
            <v>HM10</v>
          </cell>
          <cell r="B17" t="str">
            <v>Herramienta Menor (10% de la mano de obra).</v>
          </cell>
          <cell r="C17" t="str">
            <v>%</v>
          </cell>
          <cell r="D17">
            <v>0.1</v>
          </cell>
        </row>
        <row r="18">
          <cell r="A18" t="str">
            <v>MEZ</v>
          </cell>
          <cell r="B18" t="str">
            <v>Mezcladora mecánica (1.0 bultos)</v>
          </cell>
          <cell r="C18" t="str">
            <v>Dia</v>
          </cell>
          <cell r="D18">
            <v>80000</v>
          </cell>
        </row>
        <row r="19">
          <cell r="A19" t="str">
            <v>MOT</v>
          </cell>
          <cell r="B19" t="str">
            <v>Motobomba 3" Autocebante Diesel</v>
          </cell>
          <cell r="C19" t="str">
            <v>Dia</v>
          </cell>
          <cell r="D19">
            <v>41000</v>
          </cell>
        </row>
        <row r="20">
          <cell r="A20" t="str">
            <v>MOS</v>
          </cell>
          <cell r="B20" t="str">
            <v>Motosierra</v>
          </cell>
          <cell r="C20" t="str">
            <v>Dia</v>
          </cell>
          <cell r="D20">
            <v>53000</v>
          </cell>
        </row>
        <row r="21">
          <cell r="A21" t="str">
            <v>RETROLL</v>
          </cell>
          <cell r="B21" t="str">
            <v>Retroexcavadora de llanta</v>
          </cell>
          <cell r="C21" t="str">
            <v>Hora</v>
          </cell>
          <cell r="D21">
            <v>130000</v>
          </cell>
        </row>
        <row r="22">
          <cell r="A22" t="str">
            <v>RETROOR</v>
          </cell>
          <cell r="B22" t="str">
            <v>Retroexcavadora de oruga</v>
          </cell>
          <cell r="C22" t="str">
            <v>Hora</v>
          </cell>
          <cell r="D22">
            <v>180000</v>
          </cell>
        </row>
        <row r="23">
          <cell r="A23" t="str">
            <v>VIB</v>
          </cell>
          <cell r="B23" t="str">
            <v>Vibrocompactador 10Ton</v>
          </cell>
          <cell r="C23" t="str">
            <v>Hora</v>
          </cell>
          <cell r="D23">
            <v>110000</v>
          </cell>
        </row>
        <row r="24">
          <cell r="A24" t="str">
            <v>VOL</v>
          </cell>
          <cell r="B24" t="str">
            <v>Volqueta de 5M3</v>
          </cell>
          <cell r="C24" t="str">
            <v>Hora</v>
          </cell>
          <cell r="D24">
            <v>63000</v>
          </cell>
        </row>
        <row r="25">
          <cell r="A25" t="str">
            <v>MOTO</v>
          </cell>
          <cell r="B25" t="str">
            <v>Motoniveladora</v>
          </cell>
          <cell r="C25" t="str">
            <v>Hora</v>
          </cell>
          <cell r="D25">
            <v>140000</v>
          </cell>
        </row>
        <row r="26">
          <cell r="A26" t="str">
            <v>EPH</v>
          </cell>
          <cell r="B26" t="str">
            <v>Equipo Compresor para Prueba Hidrostática</v>
          </cell>
          <cell r="C26" t="str">
            <v>Día</v>
          </cell>
          <cell r="D26">
            <v>695549</v>
          </cell>
        </row>
        <row r="27">
          <cell r="A27" t="str">
            <v>CTI</v>
          </cell>
          <cell r="B27" t="str">
            <v>Carro tanque irrigador de emulsion asfaltica</v>
          </cell>
          <cell r="C27" t="str">
            <v>Hora</v>
          </cell>
          <cell r="D27">
            <v>60000</v>
          </cell>
        </row>
        <row r="28">
          <cell r="A28" t="str">
            <v>TAL</v>
          </cell>
          <cell r="B28" t="str">
            <v>Taladro 1/2" Percutor Alámbrico (madera y metal)</v>
          </cell>
          <cell r="C28" t="str">
            <v>Día</v>
          </cell>
          <cell r="D28">
            <v>28800</v>
          </cell>
        </row>
        <row r="29">
          <cell r="A29" t="str">
            <v>VIBRO</v>
          </cell>
          <cell r="B29" t="str">
            <v>Vibrador de mezcla</v>
          </cell>
          <cell r="C29" t="str">
            <v>Día</v>
          </cell>
          <cell r="D29">
            <v>55000</v>
          </cell>
        </row>
        <row r="30">
          <cell r="A30" t="str">
            <v>COMPP</v>
          </cell>
          <cell r="B30" t="str">
            <v>Equipo compresor (barrido y soplado)</v>
          </cell>
          <cell r="C30" t="str">
            <v>Día</v>
          </cell>
          <cell r="D30">
            <v>80000</v>
          </cell>
        </row>
        <row r="31">
          <cell r="A31" t="str">
            <v>SOL</v>
          </cell>
          <cell r="B31" t="str">
            <v>Equipo de soldadura</v>
          </cell>
          <cell r="C31" t="str">
            <v>Día</v>
          </cell>
          <cell r="D31">
            <v>125000</v>
          </cell>
        </row>
        <row r="32">
          <cell r="A32" t="str">
            <v>CTA</v>
          </cell>
          <cell r="B32" t="str">
            <v>Carrotanque de agua</v>
          </cell>
          <cell r="C32" t="str">
            <v>Viaje</v>
          </cell>
          <cell r="D32">
            <v>362265</v>
          </cell>
        </row>
        <row r="40">
          <cell r="A40" t="str">
            <v>MATERIAL DE PLAYA - PRESTAMO</v>
          </cell>
        </row>
        <row r="41">
          <cell r="A41" t="str">
            <v>AGUA</v>
          </cell>
          <cell r="B41" t="str">
            <v>Agua</v>
          </cell>
          <cell r="C41" t="str">
            <v>Lt</v>
          </cell>
          <cell r="E41">
            <v>17</v>
          </cell>
        </row>
        <row r="42">
          <cell r="A42" t="str">
            <v>AF</v>
          </cell>
          <cell r="B42" t="str">
            <v>Arena fina de río.</v>
          </cell>
          <cell r="C42" t="str">
            <v>m3</v>
          </cell>
          <cell r="D42">
            <v>55000</v>
          </cell>
          <cell r="E42">
            <v>65450</v>
          </cell>
          <cell r="F42">
            <v>28</v>
          </cell>
          <cell r="G42">
            <v>1500</v>
          </cell>
        </row>
        <row r="43">
          <cell r="A43" t="str">
            <v>AGR</v>
          </cell>
          <cell r="B43" t="str">
            <v>Arena triturada de planta, pasante 3/8"</v>
          </cell>
          <cell r="C43" t="str">
            <v>m3</v>
          </cell>
          <cell r="D43">
            <v>55000</v>
          </cell>
          <cell r="E43">
            <v>65450</v>
          </cell>
          <cell r="F43">
            <v>28</v>
          </cell>
          <cell r="G43">
            <v>1500</v>
          </cell>
        </row>
        <row r="44">
          <cell r="A44" t="str">
            <v>AM</v>
          </cell>
          <cell r="B44" t="str">
            <v>Mixto (50% arena + 50% gravilla).</v>
          </cell>
          <cell r="C44" t="str">
            <v>m3</v>
          </cell>
          <cell r="D44">
            <v>55000</v>
          </cell>
          <cell r="E44">
            <v>65450</v>
          </cell>
          <cell r="F44">
            <v>28</v>
          </cell>
          <cell r="G44">
            <v>1500</v>
          </cell>
        </row>
        <row r="45">
          <cell r="A45" t="str">
            <v>GRA1/2</v>
          </cell>
          <cell r="B45" t="str">
            <v>Gravilla triturada de Ø1/2".</v>
          </cell>
          <cell r="C45" t="str">
            <v>m3</v>
          </cell>
          <cell r="D45">
            <v>75000</v>
          </cell>
          <cell r="E45">
            <v>89250</v>
          </cell>
          <cell r="F45">
            <v>28</v>
          </cell>
          <cell r="G45">
            <v>1500</v>
          </cell>
        </row>
        <row r="46">
          <cell r="A46" t="str">
            <v>GRA3/4</v>
          </cell>
          <cell r="B46" t="str">
            <v>Gravilla triturada de Ø3/4".</v>
          </cell>
          <cell r="C46" t="str">
            <v>m3</v>
          </cell>
          <cell r="D46">
            <v>75000</v>
          </cell>
          <cell r="E46">
            <v>89250</v>
          </cell>
          <cell r="F46">
            <v>28</v>
          </cell>
          <cell r="G46">
            <v>1500</v>
          </cell>
        </row>
        <row r="47">
          <cell r="A47" t="str">
            <v>REC</v>
          </cell>
          <cell r="B47" t="str">
            <v>Recebo granular seleccionado IP&lt;10%.</v>
          </cell>
          <cell r="C47" t="str">
            <v>m3</v>
          </cell>
          <cell r="D47">
            <v>31000</v>
          </cell>
          <cell r="E47">
            <v>36890</v>
          </cell>
          <cell r="F47">
            <v>28</v>
          </cell>
          <cell r="G47">
            <v>1500</v>
          </cell>
        </row>
        <row r="48">
          <cell r="A48" t="str">
            <v>SBG</v>
          </cell>
          <cell r="B48" t="str">
            <v xml:space="preserve">Sub-base granular - IP&lt;6% </v>
          </cell>
          <cell r="C48" t="str">
            <v>m3</v>
          </cell>
          <cell r="D48">
            <v>50000</v>
          </cell>
          <cell r="E48">
            <v>59500</v>
          </cell>
          <cell r="F48">
            <v>28</v>
          </cell>
          <cell r="G48">
            <v>1500</v>
          </cell>
        </row>
        <row r="49">
          <cell r="A49" t="str">
            <v>BG</v>
          </cell>
          <cell r="B49" t="str">
            <v>Base granular IP&lt;3%.</v>
          </cell>
          <cell r="C49" t="str">
            <v>m3</v>
          </cell>
          <cell r="D49">
            <v>55000</v>
          </cell>
          <cell r="E49">
            <v>65450</v>
          </cell>
          <cell r="F49">
            <v>28</v>
          </cell>
          <cell r="G49">
            <v>1500</v>
          </cell>
        </row>
        <row r="50">
          <cell r="A50" t="str">
            <v>PIEDR</v>
          </cell>
          <cell r="B50" t="str">
            <v>Piedra de Río Media Zonga</v>
          </cell>
          <cell r="C50" t="str">
            <v>m3</v>
          </cell>
          <cell r="D50">
            <v>60000</v>
          </cell>
          <cell r="E50">
            <v>71400</v>
          </cell>
          <cell r="F50">
            <v>28</v>
          </cell>
          <cell r="G50">
            <v>1500</v>
          </cell>
        </row>
        <row r="53">
          <cell r="A53" t="str">
            <v>VARIOS</v>
          </cell>
        </row>
        <row r="54">
          <cell r="A54" t="str">
            <v>ESC</v>
          </cell>
          <cell r="B54" t="str">
            <v>Escombros</v>
          </cell>
          <cell r="C54" t="str">
            <v>m3</v>
          </cell>
          <cell r="F54">
            <v>2</v>
          </cell>
          <cell r="G54">
            <v>1500</v>
          </cell>
        </row>
        <row r="55">
          <cell r="A55" t="str">
            <v>ACPM</v>
          </cell>
          <cell r="B55" t="str">
            <v>Combustible tipo ACPM</v>
          </cell>
          <cell r="C55" t="str">
            <v>gal</v>
          </cell>
          <cell r="E55">
            <v>9580</v>
          </cell>
        </row>
        <row r="56">
          <cell r="A56" t="str">
            <v>FE</v>
          </cell>
          <cell r="B56" t="str">
            <v>Acero  de refuerzo, suministro, corte, figurado y amarre, de 60000 psi.</v>
          </cell>
          <cell r="C56" t="str">
            <v>kg</v>
          </cell>
          <cell r="E56">
            <v>5013</v>
          </cell>
        </row>
        <row r="58">
          <cell r="A58" t="str">
            <v>PRODUCCIÓN - CONCRETOS Y MORTEROS</v>
          </cell>
        </row>
        <row r="59">
          <cell r="A59" t="str">
            <v>C1500</v>
          </cell>
          <cell r="B59" t="str">
            <v>Concreto de 105 Kg/cm2 (1500 PSI)</v>
          </cell>
          <cell r="C59" t="str">
            <v>m3</v>
          </cell>
          <cell r="E59">
            <v>382301</v>
          </cell>
        </row>
        <row r="60">
          <cell r="A60" t="str">
            <v>C2000</v>
          </cell>
          <cell r="B60" t="str">
            <v>Concreto de 140 Kg/cm2 (2000 PSI)</v>
          </cell>
          <cell r="C60" t="str">
            <v>m3</v>
          </cell>
          <cell r="E60">
            <v>407890</v>
          </cell>
        </row>
        <row r="61">
          <cell r="A61" t="str">
            <v>C2500</v>
          </cell>
          <cell r="B61" t="str">
            <v>Concreto de 175 Kg/cm2 (2500 PSI)</v>
          </cell>
          <cell r="C61" t="str">
            <v>m3</v>
          </cell>
          <cell r="E61">
            <v>432170</v>
          </cell>
        </row>
        <row r="62">
          <cell r="A62" t="str">
            <v>C3000</v>
          </cell>
          <cell r="B62" t="str">
            <v>Concreto de 210 Kg/cm2 (3000 PSI)</v>
          </cell>
          <cell r="C62" t="str">
            <v>m3</v>
          </cell>
          <cell r="E62">
            <v>458948</v>
          </cell>
        </row>
        <row r="63">
          <cell r="A63" t="str">
            <v>C3500</v>
          </cell>
          <cell r="B63" t="str">
            <v>Concreto de 250 Kg/cm2 (3500 PSI)</v>
          </cell>
          <cell r="C63" t="str">
            <v>m3</v>
          </cell>
          <cell r="E63">
            <v>494056</v>
          </cell>
        </row>
        <row r="64">
          <cell r="A64" t="str">
            <v>C4000</v>
          </cell>
          <cell r="B64" t="str">
            <v>Concreto de 280 Kg/cm2 (4000 PSI)</v>
          </cell>
          <cell r="C64" t="str">
            <v>m3</v>
          </cell>
          <cell r="E64">
            <v>513526</v>
          </cell>
        </row>
        <row r="65">
          <cell r="A65" t="str">
            <v>MR38</v>
          </cell>
          <cell r="B65" t="str">
            <v>Concreto hidráulico premezclado MR 38</v>
          </cell>
          <cell r="C65" t="str">
            <v>m3</v>
          </cell>
          <cell r="E65">
            <v>534000</v>
          </cell>
          <cell r="F65">
            <v>28</v>
          </cell>
          <cell r="G65">
            <v>1500</v>
          </cell>
        </row>
        <row r="66">
          <cell r="A66" t="str">
            <v>MR41</v>
          </cell>
          <cell r="B66" t="str">
            <v>Concreto hidráulico premezclado MR 41</v>
          </cell>
          <cell r="C66" t="str">
            <v>m3</v>
          </cell>
          <cell r="E66">
            <v>554300</v>
          </cell>
          <cell r="F66">
            <v>28</v>
          </cell>
          <cell r="G66">
            <v>1500</v>
          </cell>
        </row>
        <row r="67">
          <cell r="A67" t="str">
            <v>M12</v>
          </cell>
          <cell r="B67" t="str">
            <v>Mortero 1:2</v>
          </cell>
          <cell r="C67" t="str">
            <v>m3</v>
          </cell>
          <cell r="E67">
            <v>562683</v>
          </cell>
        </row>
        <row r="68">
          <cell r="A68" t="str">
            <v>M13</v>
          </cell>
          <cell r="B68" t="str">
            <v>Mortero 1:3</v>
          </cell>
          <cell r="C68" t="str">
            <v>m3</v>
          </cell>
          <cell r="E68">
            <v>474163</v>
          </cell>
        </row>
        <row r="69">
          <cell r="A69" t="str">
            <v>M13I</v>
          </cell>
          <cell r="B69" t="str">
            <v>Mortero 1:3 - Impermeabilizado</v>
          </cell>
          <cell r="C69" t="str">
            <v>m3</v>
          </cell>
          <cell r="E69">
            <v>604548</v>
          </cell>
        </row>
        <row r="70">
          <cell r="A70" t="str">
            <v>M14</v>
          </cell>
          <cell r="B70" t="str">
            <v>Mortero 1:4</v>
          </cell>
          <cell r="C70" t="str">
            <v>m3</v>
          </cell>
          <cell r="E70">
            <v>422934</v>
          </cell>
        </row>
        <row r="71">
          <cell r="A71" t="str">
            <v>M14I</v>
          </cell>
          <cell r="B71" t="str">
            <v>Mortero 1:4 - Impermeabilizado</v>
          </cell>
          <cell r="C71" t="str">
            <v>m3</v>
          </cell>
          <cell r="E71">
            <v>553319</v>
          </cell>
        </row>
        <row r="72">
          <cell r="A72" t="str">
            <v>M15</v>
          </cell>
          <cell r="B72" t="str">
            <v>Mortero 1:5</v>
          </cell>
          <cell r="C72" t="str">
            <v>m3</v>
          </cell>
          <cell r="E72">
            <v>386348</v>
          </cell>
        </row>
        <row r="73">
          <cell r="A73" t="str">
            <v>M16</v>
          </cell>
          <cell r="B73" t="str">
            <v>Mortero 1:6</v>
          </cell>
          <cell r="C73" t="str">
            <v>m3</v>
          </cell>
          <cell r="E73">
            <v>359331</v>
          </cell>
        </row>
        <row r="76">
          <cell r="A76" t="str">
            <v xml:space="preserve">ADITIVOS PARA EL CONCRETO </v>
          </cell>
        </row>
        <row r="77">
          <cell r="A77" t="str">
            <v>ACEL</v>
          </cell>
          <cell r="B77" t="str">
            <v>Acelerante de fraguado</v>
          </cell>
          <cell r="C77" t="str">
            <v>kg</v>
          </cell>
          <cell r="D77">
            <v>8500</v>
          </cell>
          <cell r="E77">
            <v>10115</v>
          </cell>
        </row>
        <row r="78">
          <cell r="A78" t="str">
            <v>IMP</v>
          </cell>
          <cell r="B78" t="str">
            <v>Impermeabilizante para morteros.</v>
          </cell>
          <cell r="C78" t="str">
            <v>kg</v>
          </cell>
          <cell r="E78">
            <v>11940</v>
          </cell>
        </row>
        <row r="79">
          <cell r="A79" t="str">
            <v>ADH</v>
          </cell>
          <cell r="B79" t="str">
            <v>Adhesivo  Ramset Red</v>
          </cell>
          <cell r="C79" t="str">
            <v>fl oz</v>
          </cell>
          <cell r="E79">
            <v>3950</v>
          </cell>
        </row>
        <row r="80">
          <cell r="A80" t="str">
            <v>IMPER</v>
          </cell>
          <cell r="B80" t="str">
            <v>Impermeabilizante para concretos, plastocrete o silimar.</v>
          </cell>
          <cell r="C80" t="str">
            <v>kg</v>
          </cell>
          <cell r="E80">
            <v>49805</v>
          </cell>
        </row>
        <row r="81">
          <cell r="A81" t="str">
            <v>ANTI</v>
          </cell>
          <cell r="B81" t="str">
            <v>Antisol</v>
          </cell>
          <cell r="C81" t="str">
            <v>kg</v>
          </cell>
          <cell r="E81">
            <v>5250</v>
          </cell>
        </row>
        <row r="82">
          <cell r="A82" t="str">
            <v>SIKAR</v>
          </cell>
          <cell r="B82" t="str">
            <v>Sika ROD 6 mm</v>
          </cell>
          <cell r="C82" t="str">
            <v>m</v>
          </cell>
          <cell r="E82">
            <v>780</v>
          </cell>
        </row>
        <row r="83">
          <cell r="A83" t="str">
            <v>SELLA</v>
          </cell>
          <cell r="B83" t="str">
            <v>Sellador de poliuretano autonivelante</v>
          </cell>
          <cell r="C83" t="str">
            <v>gl</v>
          </cell>
          <cell r="E83">
            <v>125000</v>
          </cell>
        </row>
        <row r="87">
          <cell r="A87" t="str">
            <v>FERRETERÍA</v>
          </cell>
        </row>
        <row r="88">
          <cell r="A88" t="str">
            <v>H60</v>
          </cell>
          <cell r="B88" t="str">
            <v>Acero de refuerzo de 60.000psi</v>
          </cell>
          <cell r="C88" t="str">
            <v>Kg.</v>
          </cell>
          <cell r="D88">
            <v>2500</v>
          </cell>
          <cell r="E88">
            <v>2975</v>
          </cell>
          <cell r="F88">
            <v>28</v>
          </cell>
          <cell r="G88">
            <v>1500</v>
          </cell>
        </row>
        <row r="89">
          <cell r="A89" t="str">
            <v>HN</v>
          </cell>
          <cell r="B89" t="str">
            <v>Alambre cal. 18</v>
          </cell>
          <cell r="C89" t="str">
            <v>Kg.</v>
          </cell>
          <cell r="D89">
            <v>4000</v>
          </cell>
          <cell r="E89">
            <v>4760</v>
          </cell>
        </row>
        <row r="90">
          <cell r="A90" t="str">
            <v>HN12</v>
          </cell>
          <cell r="B90" t="str">
            <v>Alambre cal 12</v>
          </cell>
          <cell r="C90" t="str">
            <v>Kg.</v>
          </cell>
          <cell r="D90">
            <v>4500</v>
          </cell>
          <cell r="E90">
            <v>5355</v>
          </cell>
        </row>
        <row r="91">
          <cell r="A91" t="str">
            <v>A15</v>
          </cell>
          <cell r="B91" t="str">
            <v>Angulo de 1 1/2"x1 1/2"x1/4"</v>
          </cell>
          <cell r="C91" t="str">
            <v>ML</v>
          </cell>
          <cell r="D91">
            <v>12000</v>
          </cell>
          <cell r="E91">
            <v>14280</v>
          </cell>
        </row>
        <row r="92">
          <cell r="B92" t="str">
            <v>Angulo de 1 1/2"x1 1/2"x1/4"</v>
          </cell>
          <cell r="E92">
            <v>0</v>
          </cell>
        </row>
        <row r="93">
          <cell r="A93" t="str">
            <v>A4</v>
          </cell>
          <cell r="B93" t="str">
            <v xml:space="preserve">Ángulo de 4 1/4" </v>
          </cell>
          <cell r="C93" t="str">
            <v>ML</v>
          </cell>
          <cell r="D93">
            <v>21640</v>
          </cell>
          <cell r="E93">
            <v>25752</v>
          </cell>
        </row>
        <row r="94">
          <cell r="A94" t="str">
            <v>A3</v>
          </cell>
          <cell r="B94" t="str">
            <v xml:space="preserve">Ángulo de 3 1/4" </v>
          </cell>
          <cell r="C94" t="str">
            <v>ML</v>
          </cell>
          <cell r="D94">
            <v>19362.641979999997</v>
          </cell>
          <cell r="E94">
            <v>23042</v>
          </cell>
        </row>
        <row r="95">
          <cell r="A95" t="str">
            <v>CEM</v>
          </cell>
          <cell r="B95" t="str">
            <v>Cemento gris tipo Portland.</v>
          </cell>
          <cell r="C95" t="str">
            <v>Kg.</v>
          </cell>
          <cell r="D95">
            <v>545</v>
          </cell>
          <cell r="E95">
            <v>649</v>
          </cell>
        </row>
        <row r="96">
          <cell r="A96" t="str">
            <v>CS</v>
          </cell>
          <cell r="B96" t="str">
            <v>Cinta señalización (Rollo por 500ml)</v>
          </cell>
          <cell r="C96" t="str">
            <v>UND</v>
          </cell>
          <cell r="D96">
            <v>31380</v>
          </cell>
          <cell r="E96">
            <v>37342</v>
          </cell>
        </row>
        <row r="97">
          <cell r="A97" t="str">
            <v>CT</v>
          </cell>
          <cell r="B97" t="str">
            <v>Cinta teflón</v>
          </cell>
          <cell r="C97" t="str">
            <v>UND</v>
          </cell>
          <cell r="D97">
            <v>1255.2</v>
          </cell>
          <cell r="E97">
            <v>1494</v>
          </cell>
        </row>
        <row r="98">
          <cell r="A98" t="str">
            <v>SoLi</v>
          </cell>
          <cell r="B98" t="str">
            <v>Soldadura PVC y Limpiador PVC</v>
          </cell>
          <cell r="C98" t="str">
            <v>Glo</v>
          </cell>
          <cell r="D98">
            <v>1710.1033080000002</v>
          </cell>
          <cell r="E98">
            <v>2035</v>
          </cell>
        </row>
        <row r="99">
          <cell r="A99" t="str">
            <v>VARIOS</v>
          </cell>
          <cell r="B99" t="str">
            <v>Elementos menores varios</v>
          </cell>
          <cell r="C99" t="str">
            <v>Glo</v>
          </cell>
          <cell r="D99">
            <v>20000</v>
          </cell>
          <cell r="E99">
            <v>23800</v>
          </cell>
        </row>
        <row r="100">
          <cell r="A100" t="str">
            <v>EASF</v>
          </cell>
          <cell r="B100" t="str">
            <v>Emulsión asfáltica/ Liga</v>
          </cell>
          <cell r="C100" t="str">
            <v>Gal</v>
          </cell>
          <cell r="D100">
            <v>11970.723156</v>
          </cell>
          <cell r="E100">
            <v>14245</v>
          </cell>
        </row>
        <row r="101">
          <cell r="A101" t="str">
            <v>MM</v>
          </cell>
          <cell r="B101" t="str">
            <v>Marca Metálica para Huella</v>
          </cell>
          <cell r="C101" t="str">
            <v>UND</v>
          </cell>
          <cell r="D101">
            <v>28501.721799999999</v>
          </cell>
          <cell r="E101">
            <v>33917</v>
          </cell>
        </row>
        <row r="102">
          <cell r="A102" t="str">
            <v>FM</v>
          </cell>
          <cell r="B102" t="str">
            <v>Madera para formaleta</v>
          </cell>
          <cell r="C102" t="str">
            <v>M2</v>
          </cell>
          <cell r="D102">
            <v>25000</v>
          </cell>
          <cell r="E102">
            <v>29750</v>
          </cell>
        </row>
        <row r="103">
          <cell r="A103" t="str">
            <v>MALG</v>
          </cell>
          <cell r="B103" t="str">
            <v>Malla para gavión cal 12 tipo invias, 10 x 10</v>
          </cell>
          <cell r="C103" t="str">
            <v>Unid</v>
          </cell>
          <cell r="D103">
            <v>56000</v>
          </cell>
          <cell r="E103">
            <v>66640</v>
          </cell>
        </row>
        <row r="104">
          <cell r="A104" t="str">
            <v>MASF</v>
          </cell>
          <cell r="B104" t="str">
            <v xml:space="preserve">Mezcla asfáltica tipo MDC-2 </v>
          </cell>
          <cell r="C104" t="str">
            <v>M3</v>
          </cell>
          <cell r="D104">
            <v>396743.96745600004</v>
          </cell>
          <cell r="E104">
            <v>472125</v>
          </cell>
        </row>
        <row r="105">
          <cell r="A105" t="str">
            <v>PASO</v>
          </cell>
          <cell r="B105" t="str">
            <v>Paso para escalera en hierro de 5/8" (Incluye anticorrosivo)</v>
          </cell>
          <cell r="C105" t="str">
            <v>UND</v>
          </cell>
          <cell r="D105">
            <v>14250.8609</v>
          </cell>
          <cell r="E105">
            <v>16959</v>
          </cell>
        </row>
        <row r="106">
          <cell r="A106" t="str">
            <v>PLAT15</v>
          </cell>
          <cell r="B106" t="str">
            <v>Platina de 1 1/2"x1/8</v>
          </cell>
          <cell r="C106" t="str">
            <v>ML</v>
          </cell>
          <cell r="D106">
            <v>6954.420119200001</v>
          </cell>
          <cell r="E106">
            <v>8276</v>
          </cell>
        </row>
        <row r="107">
          <cell r="A107" t="str">
            <v>PUNT</v>
          </cell>
          <cell r="B107" t="str">
            <v>Puntilla variada</v>
          </cell>
          <cell r="C107" t="str">
            <v>Lb</v>
          </cell>
          <cell r="D107">
            <v>2000</v>
          </cell>
          <cell r="E107">
            <v>2380</v>
          </cell>
        </row>
        <row r="108">
          <cell r="A108" t="str">
            <v>REJ1</v>
          </cell>
          <cell r="B108" t="str">
            <v>Rejilla de 1,0mx0,40, con marco en ángulo de 1-1/2"x3/16" y perciana en lámina de 2"x1/8 con separación de 1", reforzada longitudinalmente con 1 varilla 7/8", incluye (visagras tipo capsula, anticorrosivo y pintura de esmalte).</v>
          </cell>
          <cell r="C108" t="str">
            <v>UND</v>
          </cell>
          <cell r="E108">
            <v>0</v>
          </cell>
        </row>
        <row r="109">
          <cell r="A109" t="str">
            <v>REJ2</v>
          </cell>
          <cell r="B109" t="str">
            <v>Rejilla de 2,0mx0,40, con marco en ángulo de 1-1/2"x3/16" y perciana en lámina de 2"x1/8 con separación de 1", reforzada longitudinalmente con 1 varilla 7/8", incluye (visagras tipo capsula, anticorrosivo y pintura de esmalte).</v>
          </cell>
          <cell r="C109" t="str">
            <v>UND</v>
          </cell>
          <cell r="E109">
            <v>0</v>
          </cell>
        </row>
        <row r="110">
          <cell r="A110" t="str">
            <v>REJ3</v>
          </cell>
          <cell r="B110" t="str">
            <v>Rejilla de 3,0mx0,40, con marco en ángulo de 1-1/2"x3/16" y perciana en lámina de 2"x1/8 con separación de 1", reforzada longitudinalmente con 1 varilla 7/8", incluye (visagras tipo capsula, anticorrosivo y pintura de esmalte).</v>
          </cell>
          <cell r="C110" t="str">
            <v>UND</v>
          </cell>
          <cell r="E110">
            <v>0</v>
          </cell>
        </row>
        <row r="111">
          <cell r="A111" t="str">
            <v>REJ4</v>
          </cell>
          <cell r="B111" t="str">
            <v>Rejilla de 4,0mx0,40, con marco en ángulo de 1-1/2"x3/16" y perciana en lámina de 2"x1/8 con separación de 1", reforzada longitudinalmente con 1 varilla 7/8", incluye (visagras tipo capsula, anticorrosivo y pintura de esmalte).</v>
          </cell>
          <cell r="C111" t="str">
            <v>UND</v>
          </cell>
          <cell r="E111">
            <v>0</v>
          </cell>
        </row>
        <row r="112">
          <cell r="A112" t="str">
            <v>RSLA</v>
          </cell>
          <cell r="B112" t="str">
            <v>Autorización entrada relleno sanitario</v>
          </cell>
          <cell r="C112" t="str">
            <v>M3</v>
          </cell>
          <cell r="D112">
            <v>4560.2754880000002</v>
          </cell>
          <cell r="E112">
            <v>5427</v>
          </cell>
        </row>
        <row r="113">
          <cell r="A113" t="str">
            <v>TP</v>
          </cell>
          <cell r="B113" t="str">
            <v>Tapa en polipropileno para pozo, incluye aro en HF</v>
          </cell>
          <cell r="C113" t="str">
            <v>UND</v>
          </cell>
          <cell r="D113">
            <v>720000</v>
          </cell>
          <cell r="E113">
            <v>856800</v>
          </cell>
        </row>
        <row r="114">
          <cell r="A114" t="str">
            <v>CM</v>
          </cell>
          <cell r="B114" t="str">
            <v>Chapaleta metalica 16"</v>
          </cell>
          <cell r="C114" t="str">
            <v>UND</v>
          </cell>
          <cell r="D114">
            <v>4195453.4489600006</v>
          </cell>
          <cell r="E114">
            <v>4992590</v>
          </cell>
        </row>
        <row r="115">
          <cell r="A115" t="str">
            <v>ACCESORIOS METÁLICOS EN HD PARA ACUEDUCTO</v>
          </cell>
        </row>
        <row r="116">
          <cell r="A116" t="str">
            <v>THD6X3</v>
          </cell>
          <cell r="B116" t="str">
            <v>Tee H.D. ext. Liso para PVC 6x3"</v>
          </cell>
          <cell r="C116" t="str">
            <v>Und</v>
          </cell>
          <cell r="D116">
            <v>260000</v>
          </cell>
          <cell r="E116">
            <v>309400</v>
          </cell>
        </row>
        <row r="117">
          <cell r="A117" t="str">
            <v>THD6X4</v>
          </cell>
          <cell r="B117" t="str">
            <v>Tee H.D. ext. Liso para PVC 6x4"</v>
          </cell>
          <cell r="C117" t="str">
            <v>Und</v>
          </cell>
          <cell r="D117">
            <v>305000</v>
          </cell>
          <cell r="E117">
            <v>362950</v>
          </cell>
        </row>
        <row r="118">
          <cell r="A118" t="str">
            <v>THD6X6</v>
          </cell>
          <cell r="B118" t="str">
            <v>Tee H.D. ext. Liso para PVC 6x6"</v>
          </cell>
          <cell r="C118" t="str">
            <v>Und</v>
          </cell>
          <cell r="D118">
            <v>360000</v>
          </cell>
          <cell r="E118">
            <v>428400</v>
          </cell>
        </row>
        <row r="119">
          <cell r="A119" t="str">
            <v>RHD6X3</v>
          </cell>
          <cell r="B119" t="str">
            <v>Redución de 6X3"en hierro ductil (ASTM-A-536),extremo liso.</v>
          </cell>
          <cell r="C119" t="str">
            <v>Und</v>
          </cell>
          <cell r="D119">
            <v>135000</v>
          </cell>
          <cell r="E119">
            <v>160650</v>
          </cell>
        </row>
        <row r="120">
          <cell r="A120" t="str">
            <v>RHD6X4</v>
          </cell>
          <cell r="B120" t="str">
            <v>Redución de 6X4"en hierro ductil (ASTM-A-536),extremo liso.</v>
          </cell>
          <cell r="C120" t="str">
            <v>Und</v>
          </cell>
          <cell r="D120">
            <v>170000</v>
          </cell>
          <cell r="E120">
            <v>202300</v>
          </cell>
        </row>
        <row r="124">
          <cell r="A124" t="str">
            <v>URBANISMO</v>
          </cell>
        </row>
        <row r="125">
          <cell r="A125" t="str">
            <v>SAR</v>
          </cell>
          <cell r="B125" t="str">
            <v xml:space="preserve"> Sardinel Redondo prefabricado en concreto de 1,00 x 0,17 x 0,45 mts.</v>
          </cell>
          <cell r="C125" t="str">
            <v>und</v>
          </cell>
          <cell r="E125">
            <v>29500</v>
          </cell>
        </row>
        <row r="131">
          <cell r="A131" t="str">
            <v>DEMARCACIÓN VIAL</v>
          </cell>
        </row>
        <row r="132">
          <cell r="A132" t="str">
            <v>ER</v>
          </cell>
          <cell r="B132" t="str">
            <v>Esferas reflectivas</v>
          </cell>
          <cell r="C132" t="str">
            <v>kg</v>
          </cell>
          <cell r="E132">
            <v>3850</v>
          </cell>
        </row>
        <row r="133">
          <cell r="A133" t="str">
            <v>PINDE</v>
          </cell>
          <cell r="B133" t="str">
            <v>Pintura demarcación tipo tráfico</v>
          </cell>
          <cell r="C133" t="str">
            <v>gl</v>
          </cell>
          <cell r="E133">
            <v>85600</v>
          </cell>
        </row>
        <row r="134">
          <cell r="A134" t="str">
            <v>CD</v>
          </cell>
          <cell r="B134" t="str">
            <v>Cinta de demarcación Cal. 3 (Rollo 500mx0.10m)</v>
          </cell>
          <cell r="C134" t="str">
            <v>und</v>
          </cell>
          <cell r="E134">
            <v>52600</v>
          </cell>
        </row>
        <row r="135">
          <cell r="A135" t="str">
            <v>SVV</v>
          </cell>
          <cell r="B135" t="str">
            <v>Señal vial vertical regalmentaria</v>
          </cell>
          <cell r="C135" t="str">
            <v>und</v>
          </cell>
          <cell r="E135">
            <v>365900</v>
          </cell>
        </row>
        <row r="147">
          <cell r="A147" t="str">
            <v>ACCESORIOS METÁLICOS EN HF PARA ACUEDUCTO</v>
          </cell>
        </row>
        <row r="148">
          <cell r="A148" t="str">
            <v>PM8</v>
          </cell>
          <cell r="B148" t="str">
            <v>Pasamuro de Ø 8" en hierro ductil STM A-536, L: 60 cm. EB x EL</v>
          </cell>
          <cell r="C148" t="str">
            <v>Und.</v>
          </cell>
          <cell r="D148">
            <v>620000</v>
          </cell>
          <cell r="E148">
            <v>737800</v>
          </cell>
        </row>
        <row r="149">
          <cell r="A149" t="str">
            <v>PM6</v>
          </cell>
          <cell r="B149" t="str">
            <v>Pasamuro de Ø 6" en hierro ductil STM A-536, L: 60 cm. EB x EL</v>
          </cell>
          <cell r="C149" t="str">
            <v>Und.</v>
          </cell>
          <cell r="D149">
            <v>570000</v>
          </cell>
          <cell r="E149">
            <v>678300</v>
          </cell>
        </row>
        <row r="150">
          <cell r="A150" t="str">
            <v>VCLD</v>
          </cell>
          <cell r="B150" t="str">
            <v>Compuerta lateral antideslizante de 0.50 x 0.50 m, incluye: columna de maniobra , vastago , juego de tornillería.</v>
          </cell>
          <cell r="C150" t="str">
            <v>Und.</v>
          </cell>
          <cell r="D150">
            <v>5850000</v>
          </cell>
          <cell r="E150">
            <v>6961500</v>
          </cell>
        </row>
        <row r="151">
          <cell r="A151" t="str">
            <v>VCLD1</v>
          </cell>
          <cell r="B151" t="str">
            <v>Rueda de manejo de (6"-8")</v>
          </cell>
          <cell r="C151" t="str">
            <v>Und.</v>
          </cell>
          <cell r="D151">
            <v>135000</v>
          </cell>
          <cell r="E151">
            <v>160650</v>
          </cell>
        </row>
        <row r="152">
          <cell r="A152" t="str">
            <v>VCLD2</v>
          </cell>
          <cell r="B152" t="str">
            <v xml:space="preserve">Soporte guía vástago </v>
          </cell>
          <cell r="C152" t="str">
            <v>Und.</v>
          </cell>
          <cell r="D152">
            <v>433534.85</v>
          </cell>
          <cell r="E152">
            <v>515906</v>
          </cell>
        </row>
        <row r="153">
          <cell r="A153" t="str">
            <v>VCLD3</v>
          </cell>
          <cell r="B153" t="str">
            <v>Columna de maniobra</v>
          </cell>
          <cell r="C153" t="str">
            <v>Und.</v>
          </cell>
          <cell r="D153">
            <v>813435.25</v>
          </cell>
          <cell r="E153">
            <v>967988</v>
          </cell>
        </row>
        <row r="154">
          <cell r="A154" t="str">
            <v>CHD1022</v>
          </cell>
          <cell r="B154" t="str">
            <v>Codo 22-1/2°x10" en hierro nodular ASTM 536 clase 6422-1/2 Extremo junta hidráulica</v>
          </cell>
          <cell r="C154" t="str">
            <v>Und.</v>
          </cell>
          <cell r="D154">
            <v>788264.66399999999</v>
          </cell>
          <cell r="E154">
            <v>938035</v>
          </cell>
        </row>
        <row r="155">
          <cell r="A155" t="str">
            <v>CHD1222</v>
          </cell>
          <cell r="B155" t="str">
            <v>Codo 22-1/2°x12" en hierro nodular ASTM 536 clase 6422-1/2 Extremo junta hidráulica</v>
          </cell>
          <cell r="C155" t="str">
            <v>Und.</v>
          </cell>
          <cell r="D155">
            <v>1387606.3920000002</v>
          </cell>
          <cell r="E155">
            <v>1651252</v>
          </cell>
        </row>
        <row r="156">
          <cell r="A156" t="str">
            <v>CHD322</v>
          </cell>
          <cell r="B156" t="str">
            <v>Codo 3" x 22-1/2° en hierro nodular ASTM 536 clase 6422-1/2 Extremo junta hidráulica</v>
          </cell>
          <cell r="C156" t="str">
            <v>Und.</v>
          </cell>
          <cell r="D156">
            <v>117262.512</v>
          </cell>
          <cell r="E156">
            <v>139542</v>
          </cell>
        </row>
        <row r="157">
          <cell r="A157" t="str">
            <v>CHD422</v>
          </cell>
          <cell r="B157" t="str">
            <v>Codo 4" x 22-1/2° en hierro nodular ASTM 536 clase 6422-1/2 Extremo junta hidráulica</v>
          </cell>
          <cell r="C157" t="str">
            <v>Und.</v>
          </cell>
          <cell r="D157">
            <v>153744.18239999999</v>
          </cell>
          <cell r="E157">
            <v>182956</v>
          </cell>
        </row>
        <row r="158">
          <cell r="A158" t="str">
            <v>CHD622</v>
          </cell>
          <cell r="B158" t="str">
            <v>Codo 22-1/2°x6" en hierro nodular ASTM 536 clase 6422-1/2 Extremo junta hidráulica</v>
          </cell>
          <cell r="C158" t="str">
            <v>Und.</v>
          </cell>
          <cell r="D158">
            <v>295762.11359999998</v>
          </cell>
          <cell r="E158">
            <v>351957</v>
          </cell>
        </row>
        <row r="159">
          <cell r="A159" t="str">
            <v>CHD822</v>
          </cell>
          <cell r="B159" t="str">
            <v>Codo 22-1/2°x8" en hierro nodular ASTM 536 clase 6422-1/2 Extremo junta hidráulica</v>
          </cell>
          <cell r="C159" t="str">
            <v>Und.</v>
          </cell>
          <cell r="D159">
            <v>429962.54399999999</v>
          </cell>
          <cell r="E159">
            <v>511655</v>
          </cell>
        </row>
        <row r="160">
          <cell r="A160" t="str">
            <v>CHD1045</v>
          </cell>
          <cell r="B160" t="str">
            <v>Codo 45°x10" en hierro nodular ASTM 536 clase 6445 Extremo junta hidráulica</v>
          </cell>
          <cell r="C160" t="str">
            <v>Und.</v>
          </cell>
          <cell r="D160">
            <v>945917.59679999994</v>
          </cell>
          <cell r="E160">
            <v>1125642</v>
          </cell>
        </row>
        <row r="161">
          <cell r="A161" t="str">
            <v>CHD1245</v>
          </cell>
          <cell r="B161" t="str">
            <v>Codo 45°x12" en hierro nodular ASTM 536 clase 6445 Extremo junta hidráulica</v>
          </cell>
          <cell r="C161" t="str">
            <v>Und.</v>
          </cell>
          <cell r="D161">
            <v>1227347.6256000001</v>
          </cell>
          <cell r="E161">
            <v>1460544</v>
          </cell>
        </row>
        <row r="162">
          <cell r="A162" t="str">
            <v>CHD345</v>
          </cell>
          <cell r="B162" t="str">
            <v>Codo 3" x 45° en hierro nodular ASTM 536 clase 6445 Extremo junta hidráulica</v>
          </cell>
          <cell r="C162" t="str">
            <v>Und.</v>
          </cell>
          <cell r="D162">
            <v>126382.9296</v>
          </cell>
          <cell r="E162">
            <v>150396</v>
          </cell>
        </row>
        <row r="163">
          <cell r="A163" t="str">
            <v>CHD445</v>
          </cell>
          <cell r="B163" t="str">
            <v>Codo 4" x 45° en hierro nodular ASTM 536 clase 6445 Extremo junta hidráulica</v>
          </cell>
          <cell r="C163" t="str">
            <v>Und.</v>
          </cell>
          <cell r="D163">
            <v>126382.9296</v>
          </cell>
          <cell r="E163">
            <v>150396</v>
          </cell>
        </row>
        <row r="164">
          <cell r="A164" t="str">
            <v>CHD645</v>
          </cell>
          <cell r="B164" t="str">
            <v>Codo 45°x6" en hierro nodular ASTM 536 clase 6445 Extremo junta hidráulica</v>
          </cell>
          <cell r="C164" t="str">
            <v>Und.</v>
          </cell>
          <cell r="D164">
            <v>286641.696</v>
          </cell>
          <cell r="E164">
            <v>341104</v>
          </cell>
        </row>
        <row r="165">
          <cell r="A165" t="str">
            <v>CHD845</v>
          </cell>
          <cell r="B165" t="str">
            <v>Codo 45°x8" en hierro nodular ASTM 536 clase 6445 Extremo junta hidráulica</v>
          </cell>
          <cell r="C165" t="str">
            <v>Und.</v>
          </cell>
          <cell r="D165">
            <v>644943.81599999999</v>
          </cell>
          <cell r="E165">
            <v>767483</v>
          </cell>
        </row>
        <row r="166">
          <cell r="A166" t="str">
            <v>CHD1090</v>
          </cell>
          <cell r="B166" t="str">
            <v>Codo 90°x10" en hierro nodular ASTM 536 clase 6445 Extremo junta hidráulica</v>
          </cell>
          <cell r="C166" t="str">
            <v>Und.</v>
          </cell>
          <cell r="D166">
            <v>1117902.6143999998</v>
          </cell>
          <cell r="E166">
            <v>1330304</v>
          </cell>
        </row>
        <row r="167">
          <cell r="A167" t="str">
            <v>CHD1290</v>
          </cell>
          <cell r="B167" t="str">
            <v>Codo 90°x12" en hierro nodular ASTM 536 clase 6445 Extremo junta hidráulica</v>
          </cell>
          <cell r="C167" t="str">
            <v>Und.</v>
          </cell>
          <cell r="D167">
            <v>1335489.72</v>
          </cell>
          <cell r="E167">
            <v>1589233</v>
          </cell>
        </row>
        <row r="168">
          <cell r="A168" t="str">
            <v>CHD390</v>
          </cell>
          <cell r="B168" t="str">
            <v>Codo 3" x 90° en hierro nodular ASTM 536 clase 6445 E.L</v>
          </cell>
          <cell r="C168" t="str">
            <v>Und.</v>
          </cell>
          <cell r="D168">
            <v>118565.42879999999</v>
          </cell>
          <cell r="E168">
            <v>141093</v>
          </cell>
        </row>
        <row r="169">
          <cell r="A169" t="str">
            <v>CHD490</v>
          </cell>
          <cell r="B169" t="str">
            <v>Codo 4" x 90° en hierro nodular ASTM 536 clase 6445 E.L</v>
          </cell>
          <cell r="C169" t="str">
            <v>Und.</v>
          </cell>
          <cell r="D169">
            <v>122474.1792</v>
          </cell>
          <cell r="E169">
            <v>145744</v>
          </cell>
        </row>
        <row r="170">
          <cell r="A170" t="str">
            <v>CHD690</v>
          </cell>
          <cell r="B170" t="str">
            <v>Codo 90°x6" en hierro nodular ASTM 536 clase 6445 Extremo junta hidráulica</v>
          </cell>
          <cell r="C170" t="str">
            <v>Und.</v>
          </cell>
          <cell r="D170">
            <v>317911.69920000003</v>
          </cell>
          <cell r="E170">
            <v>378315</v>
          </cell>
        </row>
        <row r="171">
          <cell r="A171" t="str">
            <v>CHD890</v>
          </cell>
          <cell r="B171" t="str">
            <v>Codo 90°x8" en hierro nodular ASTM 536 clase 6445 Extremo junta hidráulica</v>
          </cell>
          <cell r="C171" t="str">
            <v>Und.</v>
          </cell>
          <cell r="D171">
            <v>601947.56160000002</v>
          </cell>
          <cell r="E171">
            <v>716318</v>
          </cell>
        </row>
        <row r="172">
          <cell r="A172" t="str">
            <v>CRHD10</v>
          </cell>
          <cell r="B172" t="str">
            <v>Cruz 10" en hierro nodular ASTM 536 clase 6445 Extremo junta hidráulica</v>
          </cell>
          <cell r="C172" t="str">
            <v>Und.</v>
          </cell>
          <cell r="D172">
            <v>1768058.0976000002</v>
          </cell>
          <cell r="E172">
            <v>2103989</v>
          </cell>
        </row>
        <row r="173">
          <cell r="A173" t="str">
            <v>CRHD12</v>
          </cell>
          <cell r="B173" t="str">
            <v>Cruz 12" en hierro nodular ASTM 536 clase 6445 Extremo junta hidráulica</v>
          </cell>
          <cell r="C173" t="str">
            <v>Und.</v>
          </cell>
          <cell r="D173">
            <v>2465118.5855999999</v>
          </cell>
          <cell r="E173">
            <v>2933491</v>
          </cell>
        </row>
        <row r="174">
          <cell r="A174" t="str">
            <v>CRHD3</v>
          </cell>
          <cell r="B174" t="str">
            <v>Cruz 3" en hierro nodular ASTM 536 clase 6445 Extremo junta hidráulica</v>
          </cell>
          <cell r="C174" t="str">
            <v>Und.</v>
          </cell>
          <cell r="D174">
            <v>158955.84960000002</v>
          </cell>
          <cell r="E174">
            <v>189157</v>
          </cell>
        </row>
        <row r="175">
          <cell r="A175" t="str">
            <v>CRHD4</v>
          </cell>
          <cell r="B175" t="str">
            <v>Cruz 4" en hierro nodular ASTM 536 clase 6445 Extremo junta hidráulica</v>
          </cell>
          <cell r="C175" t="str">
            <v>Und.</v>
          </cell>
          <cell r="D175">
            <v>242342.52480000001</v>
          </cell>
          <cell r="E175">
            <v>288388</v>
          </cell>
        </row>
        <row r="176">
          <cell r="A176" t="str">
            <v>CRHD6</v>
          </cell>
          <cell r="B176" t="str">
            <v>Cruz 6" en hierro nodular ASTM 536 clase 6445 Extremo junta hidráulica</v>
          </cell>
          <cell r="C176" t="str">
            <v>Und.</v>
          </cell>
          <cell r="D176">
            <v>519863.80319999997</v>
          </cell>
          <cell r="E176">
            <v>618638</v>
          </cell>
        </row>
        <row r="177">
          <cell r="A177" t="str">
            <v>CRHD63</v>
          </cell>
          <cell r="B177" t="str">
            <v>Cruz reducida de 6x3" en hierro nodular ASTM 536 clase 6445 Extremo junta hidráulica</v>
          </cell>
          <cell r="C177" t="str">
            <v>Und.</v>
          </cell>
          <cell r="D177">
            <v>320517.53279999999</v>
          </cell>
          <cell r="E177">
            <v>381416</v>
          </cell>
        </row>
        <row r="178">
          <cell r="A178" t="str">
            <v>CRHD8</v>
          </cell>
          <cell r="B178" t="str">
            <v>Cruz 8" en hierro nodular ASTM 536 clase 6445 Extremo junta hidráulica</v>
          </cell>
          <cell r="C178" t="str">
            <v>Und.</v>
          </cell>
          <cell r="D178">
            <v>962855.51520000002</v>
          </cell>
          <cell r="E178">
            <v>1145798</v>
          </cell>
        </row>
        <row r="179">
          <cell r="A179" t="str">
            <v>CRHD83</v>
          </cell>
          <cell r="B179" t="str">
            <v>Cruz 8X3" en hierro nodular ASTM 536 clase 6445 Extremo junta hidráulica</v>
          </cell>
          <cell r="C179" t="str">
            <v>Und.</v>
          </cell>
          <cell r="D179">
            <v>642200</v>
          </cell>
          <cell r="E179">
            <v>764218</v>
          </cell>
        </row>
        <row r="180">
          <cell r="A180" t="str">
            <v>HD3</v>
          </cell>
          <cell r="B180" t="str">
            <v>Hidrante tipo Milan de 3", de 200 psi de presión de trabajo, en hierro gris (Norma AWWA C-503 NTC 382), extremo junta hidráulica.</v>
          </cell>
          <cell r="C180" t="str">
            <v>Und.</v>
          </cell>
          <cell r="D180">
            <v>1734182.2608</v>
          </cell>
          <cell r="E180">
            <v>2063677</v>
          </cell>
        </row>
        <row r="181">
          <cell r="A181" t="str">
            <v>HD4</v>
          </cell>
          <cell r="B181" t="str">
            <v>Hidrante tipo Milan de 4", de 200 psi de presión de trabajo, en hierro gris (Norma AWWA C-503 NTC 382), extremo junta hidráulica.</v>
          </cell>
          <cell r="C181" t="str">
            <v>Und.</v>
          </cell>
          <cell r="D181">
            <v>2492479.8384000002</v>
          </cell>
          <cell r="E181">
            <v>2966051</v>
          </cell>
        </row>
        <row r="182">
          <cell r="A182" t="str">
            <v>HD6</v>
          </cell>
          <cell r="B182" t="str">
            <v>Hidrante tipo poste de 6", de 200 psi de presión de trabajo, en hierro gris (Norma AWWA C-503 NTC 382), extremo brida</v>
          </cell>
          <cell r="C182" t="str">
            <v>Und.</v>
          </cell>
          <cell r="D182">
            <v>2561534.4288000003</v>
          </cell>
          <cell r="E182">
            <v>3048226</v>
          </cell>
        </row>
        <row r="183">
          <cell r="A183" t="str">
            <v>RD43</v>
          </cell>
          <cell r="B183" t="str">
            <v>Reducción de 4"x3", extremo junta hidráulica.</v>
          </cell>
          <cell r="C183" t="str">
            <v>Und.</v>
          </cell>
          <cell r="D183">
            <v>100100</v>
          </cell>
          <cell r="E183">
            <v>119119</v>
          </cell>
        </row>
        <row r="184">
          <cell r="A184" t="str">
            <v>RD63</v>
          </cell>
          <cell r="B184" t="str">
            <v>Reducción de 6"x3", extremo junta hidráulica.</v>
          </cell>
          <cell r="C184" t="str">
            <v>Und.</v>
          </cell>
          <cell r="D184">
            <v>162500</v>
          </cell>
          <cell r="E184">
            <v>193375</v>
          </cell>
        </row>
        <row r="185">
          <cell r="A185" t="str">
            <v>RD64</v>
          </cell>
          <cell r="B185" t="str">
            <v>Reducción de 6"x4", extremo junta hidráulica.</v>
          </cell>
          <cell r="C185" t="str">
            <v>Und.</v>
          </cell>
          <cell r="D185">
            <v>197600</v>
          </cell>
          <cell r="E185">
            <v>235144</v>
          </cell>
        </row>
        <row r="186">
          <cell r="A186" t="str">
            <v>RD83</v>
          </cell>
          <cell r="B186" t="str">
            <v>Reducción de 8"x3", extremo junta hidráulica.</v>
          </cell>
          <cell r="C186" t="str">
            <v>Und.</v>
          </cell>
          <cell r="D186">
            <v>250900</v>
          </cell>
          <cell r="E186">
            <v>298571</v>
          </cell>
        </row>
        <row r="187">
          <cell r="A187" t="str">
            <v>RD84</v>
          </cell>
          <cell r="B187" t="str">
            <v>Reducción de 8"x4", extremo junta hidráulica.</v>
          </cell>
          <cell r="C187" t="str">
            <v>Und.</v>
          </cell>
          <cell r="D187">
            <v>295100</v>
          </cell>
          <cell r="E187">
            <v>351169</v>
          </cell>
        </row>
        <row r="188">
          <cell r="A188" t="str">
            <v>RD86</v>
          </cell>
          <cell r="B188" t="str">
            <v>Reducción de 8"x6", extremo junta hidráulica.</v>
          </cell>
          <cell r="C188" t="str">
            <v>Und.</v>
          </cell>
          <cell r="D188">
            <v>327600</v>
          </cell>
          <cell r="E188">
            <v>389844</v>
          </cell>
        </row>
        <row r="189">
          <cell r="A189" t="str">
            <v>RD106</v>
          </cell>
          <cell r="B189" t="str">
            <v>Reducción de 10"x6", extremo junta hidráulica.</v>
          </cell>
          <cell r="C189" t="str">
            <v>Und.</v>
          </cell>
          <cell r="D189">
            <v>523900</v>
          </cell>
          <cell r="E189">
            <v>623441</v>
          </cell>
        </row>
        <row r="190">
          <cell r="A190" t="str">
            <v>RD108</v>
          </cell>
          <cell r="B190" t="str">
            <v>Reducción de 10"x8", extremo junta hidráulica.</v>
          </cell>
          <cell r="C190" t="str">
            <v>Und.</v>
          </cell>
          <cell r="D190">
            <v>621400</v>
          </cell>
          <cell r="E190">
            <v>739466</v>
          </cell>
        </row>
        <row r="191">
          <cell r="A191" t="str">
            <v>RC12</v>
          </cell>
          <cell r="B191" t="str">
            <v>Registro de corte de 1/2" en cobre</v>
          </cell>
          <cell r="C191" t="str">
            <v>Und.</v>
          </cell>
          <cell r="D191">
            <v>14332.084800000001</v>
          </cell>
          <cell r="E191">
            <v>17055</v>
          </cell>
        </row>
        <row r="192">
          <cell r="A192" t="str">
            <v>RC18</v>
          </cell>
          <cell r="B192" t="str">
            <v>Registro de corte de 3/4" en cobre</v>
          </cell>
          <cell r="C192" t="str">
            <v>Und.</v>
          </cell>
          <cell r="D192">
            <v>26275.488800000003</v>
          </cell>
          <cell r="E192">
            <v>31268</v>
          </cell>
        </row>
        <row r="193">
          <cell r="A193" t="str">
            <v>RI12</v>
          </cell>
          <cell r="B193" t="str">
            <v>Registro de incorporación de 1/2" en cobre</v>
          </cell>
          <cell r="C193" t="str">
            <v>Und.</v>
          </cell>
          <cell r="D193">
            <v>14332.084800000001</v>
          </cell>
          <cell r="E193">
            <v>17055</v>
          </cell>
        </row>
        <row r="194">
          <cell r="A194" t="str">
            <v>RI18</v>
          </cell>
          <cell r="B194" t="str">
            <v>Registro de incorporación de 3/4" en cobre</v>
          </cell>
          <cell r="C194" t="str">
            <v>Und.</v>
          </cell>
          <cell r="D194">
            <v>26275.488800000003</v>
          </cell>
          <cell r="E194">
            <v>31268</v>
          </cell>
        </row>
        <row r="195">
          <cell r="A195" t="str">
            <v>TV</v>
          </cell>
          <cell r="B195" t="str">
            <v>Tapa válvula de 20cm x 20cm para tráfico pesado (En lámina de 3/8" y ángulo de 2x2x1/4, 2 Bisagras de Cápsula, anticorrosivo y pintura negra, resistente a la interperie)</v>
          </cell>
          <cell r="C195" t="str">
            <v>Und.</v>
          </cell>
          <cell r="D195">
            <v>97935.912800000006</v>
          </cell>
          <cell r="E195">
            <v>116544</v>
          </cell>
        </row>
        <row r="196">
          <cell r="A196" t="str">
            <v>TE10</v>
          </cell>
          <cell r="B196" t="str">
            <v>Tee en hierro ductil STM A-536, extremo junta hidráulica,  de 10"x10"x10"</v>
          </cell>
          <cell r="C196" t="str">
            <v>Und.</v>
          </cell>
          <cell r="D196">
            <v>1410516.0124000001</v>
          </cell>
          <cell r="E196">
            <v>1678514</v>
          </cell>
        </row>
        <row r="197">
          <cell r="A197" t="str">
            <v>TE103</v>
          </cell>
          <cell r="B197" t="str">
            <v>Tee en hierro ductil STM A-536, extremo junta hidráulica,  de 10"x3"x10"</v>
          </cell>
          <cell r="C197" t="str">
            <v>Und.</v>
          </cell>
          <cell r="D197">
            <v>875451.51320000004</v>
          </cell>
          <cell r="E197">
            <v>1041787</v>
          </cell>
        </row>
        <row r="198">
          <cell r="A198" t="str">
            <v>TE104</v>
          </cell>
          <cell r="B198" t="str">
            <v>Tee en hierro ductil STM A-536, extremo junta hidráulica,  de 10"x4"x10"</v>
          </cell>
          <cell r="C198" t="str">
            <v>Und.</v>
          </cell>
          <cell r="D198">
            <v>906504.36360000016</v>
          </cell>
          <cell r="E198">
            <v>1078740</v>
          </cell>
        </row>
        <row r="199">
          <cell r="A199" t="str">
            <v>TE106</v>
          </cell>
          <cell r="B199" t="str">
            <v>Tee en hierro ductil STM A-536, extremo junta hidráulica,  de 10"x6"x10"</v>
          </cell>
          <cell r="C199" t="str">
            <v>Und.</v>
          </cell>
          <cell r="D199">
            <v>954277.97960000008</v>
          </cell>
          <cell r="E199">
            <v>1135591</v>
          </cell>
        </row>
        <row r="200">
          <cell r="A200" t="str">
            <v>TE108</v>
          </cell>
          <cell r="B200" t="str">
            <v>Tee en hierro ductil STM A-536, extremo junta hidráulica,  de 10"x8"x10"</v>
          </cell>
          <cell r="C200" t="str">
            <v>Und.</v>
          </cell>
          <cell r="D200">
            <v>1113125.2528000001</v>
          </cell>
          <cell r="E200">
            <v>1324619</v>
          </cell>
        </row>
        <row r="201">
          <cell r="A201" t="str">
            <v>TE1210</v>
          </cell>
          <cell r="B201" t="str">
            <v>Tee en hierro ductil STM A-536, extremo junta hidráulica,  de 12"x10"x12"</v>
          </cell>
          <cell r="C201" t="str">
            <v>Und.</v>
          </cell>
          <cell r="D201">
            <v>2066208.8920000002</v>
          </cell>
          <cell r="E201">
            <v>2458789</v>
          </cell>
        </row>
        <row r="202">
          <cell r="A202" t="str">
            <v>TE12</v>
          </cell>
          <cell r="B202" t="str">
            <v>Tee en hierro ductil STM A-536, extremo junta hidráulica,  de 12"x12"x12"</v>
          </cell>
          <cell r="C202" t="str">
            <v>Und.</v>
          </cell>
          <cell r="D202">
            <v>2385097.7788000004</v>
          </cell>
          <cell r="E202">
            <v>2838266</v>
          </cell>
        </row>
        <row r="203">
          <cell r="A203" t="str">
            <v>TE123</v>
          </cell>
          <cell r="B203" t="str">
            <v>Tee en hierro ductil STM A-536, extremo junta hidráulica,  de 12"x3"x12"</v>
          </cell>
          <cell r="C203" t="str">
            <v>Und.</v>
          </cell>
          <cell r="D203">
            <v>1271972.5260000003</v>
          </cell>
          <cell r="E203">
            <v>1513647</v>
          </cell>
        </row>
        <row r="204">
          <cell r="A204" t="str">
            <v>TE124</v>
          </cell>
          <cell r="B204" t="str">
            <v>Tee en hierro ductil STM A-536, extremo junta hidráulica,  de 12"x4"x12"</v>
          </cell>
          <cell r="C204" t="str">
            <v>Und.</v>
          </cell>
          <cell r="D204">
            <v>1303025.3764000002</v>
          </cell>
          <cell r="E204">
            <v>1550600</v>
          </cell>
        </row>
        <row r="205">
          <cell r="A205" t="str">
            <v>TE126</v>
          </cell>
          <cell r="B205" t="str">
            <v>Tee en hierro ductil STM A-536, extremo junta hidráulica,  de 12"x6"x12"</v>
          </cell>
          <cell r="C205" t="str">
            <v>Und.</v>
          </cell>
          <cell r="D205">
            <v>1589667.0724000002</v>
          </cell>
          <cell r="E205">
            <v>1891704</v>
          </cell>
        </row>
        <row r="206">
          <cell r="A206" t="str">
            <v>TE128</v>
          </cell>
          <cell r="B206" t="str">
            <v>Tee en hierro ductil STM A-536, extremo junta hidráulica,  de 12"x8"x12"</v>
          </cell>
          <cell r="C206" t="str">
            <v>Und.</v>
          </cell>
          <cell r="D206">
            <v>1748514.3456000001</v>
          </cell>
          <cell r="E206">
            <v>2080732</v>
          </cell>
        </row>
        <row r="207">
          <cell r="A207" t="str">
            <v>TE2</v>
          </cell>
          <cell r="B207" t="str">
            <v>Tee en hierro ductil STM A-536, extremo junta hidráulica,  de 2"</v>
          </cell>
          <cell r="C207" t="str">
            <v>Und.</v>
          </cell>
          <cell r="D207">
            <v>72800</v>
          </cell>
          <cell r="E207">
            <v>86632</v>
          </cell>
        </row>
        <row r="208">
          <cell r="A208" t="str">
            <v>TE3</v>
          </cell>
          <cell r="B208" t="str">
            <v>Tee en hierro ductil STM A-536, extremo junta hidráulica,  de 3"</v>
          </cell>
          <cell r="C208" t="str">
            <v>Und.</v>
          </cell>
          <cell r="D208">
            <v>136500</v>
          </cell>
          <cell r="E208">
            <v>162435</v>
          </cell>
        </row>
        <row r="209">
          <cell r="A209" t="str">
            <v>TE32</v>
          </cell>
          <cell r="B209" t="str">
            <v>Tee en hierro ductil STM A-536, extremo junta hidráulica,  de 3X2"</v>
          </cell>
          <cell r="C209" t="str">
            <v>Und.</v>
          </cell>
          <cell r="D209">
            <v>92300</v>
          </cell>
          <cell r="E209">
            <v>109837</v>
          </cell>
        </row>
        <row r="210">
          <cell r="A210" t="str">
            <v>TE43</v>
          </cell>
          <cell r="B210" t="str">
            <v>Tee en hierro ductil STM A-536, extremo junta hidráulica,  de 4"x3"x4"</v>
          </cell>
          <cell r="C210" t="str">
            <v>Und.</v>
          </cell>
          <cell r="D210">
            <v>144300</v>
          </cell>
          <cell r="E210">
            <v>171717</v>
          </cell>
        </row>
        <row r="211">
          <cell r="A211" t="str">
            <v>TE4</v>
          </cell>
          <cell r="B211" t="str">
            <v>Tee en hierro ductil STM A-536, extremo junta hidráulica,  de 4"x4"x4"</v>
          </cell>
          <cell r="C211" t="str">
            <v>Und.</v>
          </cell>
          <cell r="D211">
            <v>179400</v>
          </cell>
          <cell r="E211">
            <v>213486</v>
          </cell>
        </row>
        <row r="212">
          <cell r="A212" t="str">
            <v>TE62</v>
          </cell>
          <cell r="B212" t="str">
            <v>Tee en hierro ductil STM A-536, extremo junta hidráulica,  de 6"x2"x6"</v>
          </cell>
          <cell r="C212" t="str">
            <v>Und.</v>
          </cell>
          <cell r="D212">
            <v>289000</v>
          </cell>
          <cell r="E212">
            <v>343910</v>
          </cell>
        </row>
        <row r="213">
          <cell r="A213" t="str">
            <v>TE63</v>
          </cell>
          <cell r="B213" t="str">
            <v>Tee en hierro ductil STM A-536, extremo junta hidráulica,  de 6"x3"x6"</v>
          </cell>
          <cell r="C213" t="str">
            <v>Und.</v>
          </cell>
          <cell r="D213">
            <v>306800</v>
          </cell>
          <cell r="E213">
            <v>365092</v>
          </cell>
        </row>
        <row r="214">
          <cell r="A214" t="str">
            <v>TE64</v>
          </cell>
          <cell r="B214" t="str">
            <v>Tee en hierro ductil STM A-536, extremo junta hidráulica,  de 6"x4"x6"</v>
          </cell>
          <cell r="C214" t="str">
            <v>Und.</v>
          </cell>
          <cell r="D214">
            <v>400000</v>
          </cell>
          <cell r="E214">
            <v>476000</v>
          </cell>
        </row>
        <row r="215">
          <cell r="A215" t="str">
            <v>TE6</v>
          </cell>
          <cell r="B215" t="str">
            <v>Tee en hierro ductil STM A-536, extremo junta hidráulica,  de 6"x6"x6"</v>
          </cell>
          <cell r="C215" t="str">
            <v>Und.</v>
          </cell>
          <cell r="D215">
            <v>449800</v>
          </cell>
          <cell r="E215">
            <v>535262</v>
          </cell>
        </row>
        <row r="216">
          <cell r="A216" t="str">
            <v>TE82</v>
          </cell>
          <cell r="B216" t="str">
            <v>Tee en hierro ductil STM A-536, extremo junta hidráulica,  de 8"x2"x8"</v>
          </cell>
          <cell r="C216" t="str">
            <v>Und.</v>
          </cell>
          <cell r="D216">
            <v>549900</v>
          </cell>
          <cell r="E216">
            <v>654381</v>
          </cell>
        </row>
        <row r="217">
          <cell r="A217" t="str">
            <v>TE83</v>
          </cell>
          <cell r="B217" t="str">
            <v>Tee en hierro ductil STM A-536, extremo junta hidráulica,  de 8"x3"x8"</v>
          </cell>
          <cell r="C217" t="str">
            <v>Und.</v>
          </cell>
          <cell r="D217">
            <v>630500</v>
          </cell>
          <cell r="E217">
            <v>750295</v>
          </cell>
        </row>
        <row r="218">
          <cell r="A218" t="str">
            <v>TE84</v>
          </cell>
          <cell r="B218" t="str">
            <v>Tee en hierro ductil STM A-536, extremo junta hidráulica,  de 8"x4"x8"</v>
          </cell>
          <cell r="C218" t="str">
            <v>Und.</v>
          </cell>
          <cell r="D218">
            <v>718900</v>
          </cell>
          <cell r="E218">
            <v>855491</v>
          </cell>
        </row>
        <row r="219">
          <cell r="A219" t="str">
            <v>TE86</v>
          </cell>
          <cell r="B219" t="str">
            <v>Tee en hierro ductil STM A-536, extremo junta hidráulica,  de 8"x6"x8"</v>
          </cell>
          <cell r="C219" t="str">
            <v>Und.</v>
          </cell>
          <cell r="D219">
            <v>755300</v>
          </cell>
          <cell r="E219">
            <v>898807</v>
          </cell>
        </row>
        <row r="220">
          <cell r="A220" t="str">
            <v>TE8</v>
          </cell>
          <cell r="B220" t="str">
            <v>Tee en hierro ductil STM A-536, extremo junta hidráulica,  de 8"x8"x8"</v>
          </cell>
          <cell r="C220" t="str">
            <v>Und.</v>
          </cell>
          <cell r="D220">
            <v>811200</v>
          </cell>
          <cell r="E220">
            <v>965328</v>
          </cell>
        </row>
        <row r="221">
          <cell r="A221" t="str">
            <v>TE110</v>
          </cell>
          <cell r="B221" t="str">
            <v>Tee en hierro ductil STM A-536, extremo junta hidráulica,  de 10"x10"x10"</v>
          </cell>
          <cell r="C221" t="str">
            <v>Und.</v>
          </cell>
          <cell r="D221">
            <v>1596400</v>
          </cell>
          <cell r="E221">
            <v>1899716</v>
          </cell>
        </row>
        <row r="222">
          <cell r="A222" t="str">
            <v>TE1212</v>
          </cell>
          <cell r="B222" t="str">
            <v>Tee en hierro ductil STM A-536, extremo junta hidráulica,  de 12"x12"x12"</v>
          </cell>
          <cell r="C222" t="str">
            <v>Und.</v>
          </cell>
          <cell r="D222">
            <v>2454000</v>
          </cell>
          <cell r="E222">
            <v>2920260</v>
          </cell>
        </row>
        <row r="223">
          <cell r="A223" t="str">
            <v>THD4</v>
          </cell>
          <cell r="B223" t="str">
            <v xml:space="preserve">Tuberia estandar HD DN 100 mm K9 </v>
          </cell>
          <cell r="C223" t="str">
            <v>ml</v>
          </cell>
          <cell r="D223">
            <v>0</v>
          </cell>
          <cell r="E223">
            <v>0</v>
          </cell>
        </row>
        <row r="224">
          <cell r="A224" t="str">
            <v>THD6</v>
          </cell>
          <cell r="B224" t="str">
            <v xml:space="preserve">Tuberia estandar HD DN 150 mm K9 </v>
          </cell>
          <cell r="C224" t="str">
            <v>ml</v>
          </cell>
          <cell r="D224">
            <v>0</v>
          </cell>
          <cell r="E224">
            <v>0</v>
          </cell>
        </row>
        <row r="225">
          <cell r="A225" t="str">
            <v>THD8</v>
          </cell>
          <cell r="B225" t="str">
            <v xml:space="preserve">Tuberia estandar HD DN 200 mm K9 </v>
          </cell>
          <cell r="C225" t="str">
            <v>ml</v>
          </cell>
          <cell r="D225">
            <v>0</v>
          </cell>
          <cell r="E225">
            <v>0</v>
          </cell>
        </row>
        <row r="226">
          <cell r="A226" t="str">
            <v>THD10</v>
          </cell>
          <cell r="B226" t="str">
            <v xml:space="preserve">Tuberia estandar HD DN 250 mm K8 </v>
          </cell>
          <cell r="C226" t="str">
            <v>ml</v>
          </cell>
          <cell r="D226">
            <v>0</v>
          </cell>
          <cell r="E226">
            <v>0</v>
          </cell>
        </row>
        <row r="227">
          <cell r="A227" t="str">
            <v>THD12</v>
          </cell>
          <cell r="B227" t="str">
            <v xml:space="preserve">Tuberia estandar HD DN 300 mm K7 </v>
          </cell>
          <cell r="C227" t="str">
            <v>ml</v>
          </cell>
          <cell r="D227">
            <v>0</v>
          </cell>
          <cell r="E227">
            <v>0</v>
          </cell>
        </row>
        <row r="228">
          <cell r="A228" t="str">
            <v>THD14</v>
          </cell>
          <cell r="B228" t="str">
            <v xml:space="preserve">Tuberia estandar HD DN 350 mm K7 </v>
          </cell>
          <cell r="C228" t="str">
            <v>ml</v>
          </cell>
          <cell r="D228">
            <v>0</v>
          </cell>
          <cell r="E228">
            <v>0</v>
          </cell>
        </row>
        <row r="229">
          <cell r="A229" t="str">
            <v>THD16</v>
          </cell>
          <cell r="B229" t="str">
            <v xml:space="preserve">Tuberia estandar HD DN 400 mm K7 </v>
          </cell>
          <cell r="C229" t="str">
            <v>ml</v>
          </cell>
          <cell r="D229">
            <v>0</v>
          </cell>
          <cell r="E229">
            <v>0</v>
          </cell>
        </row>
        <row r="230">
          <cell r="A230" t="str">
            <v>THD18</v>
          </cell>
          <cell r="B230" t="str">
            <v xml:space="preserve">Tuberia estandar HD DN 450 mm K7 </v>
          </cell>
          <cell r="C230" t="str">
            <v>ml</v>
          </cell>
          <cell r="D230">
            <v>0</v>
          </cell>
          <cell r="E230">
            <v>0</v>
          </cell>
        </row>
        <row r="231">
          <cell r="A231" t="str">
            <v>THD20</v>
          </cell>
          <cell r="B231" t="str">
            <v xml:space="preserve">Tuberia estandar HD DN 500 mm K7 </v>
          </cell>
          <cell r="C231" t="str">
            <v>ml</v>
          </cell>
          <cell r="D231">
            <v>0</v>
          </cell>
          <cell r="E231">
            <v>0</v>
          </cell>
        </row>
        <row r="232">
          <cell r="A232" t="str">
            <v>THD24</v>
          </cell>
          <cell r="B232" t="str">
            <v xml:space="preserve">Tuberia estandar HD DN 600 mm K7 </v>
          </cell>
          <cell r="C232" t="str">
            <v>ml</v>
          </cell>
          <cell r="D232">
            <v>0</v>
          </cell>
          <cell r="E232">
            <v>0</v>
          </cell>
        </row>
        <row r="233">
          <cell r="A233" t="str">
            <v>THD28</v>
          </cell>
          <cell r="B233" t="str">
            <v xml:space="preserve">Tuberia estandar HD DN 700 mm K7 </v>
          </cell>
          <cell r="C233" t="str">
            <v>ml</v>
          </cell>
          <cell r="D233">
            <v>0</v>
          </cell>
          <cell r="E233">
            <v>0</v>
          </cell>
        </row>
        <row r="234">
          <cell r="A234" t="str">
            <v>THD32</v>
          </cell>
          <cell r="B234" t="str">
            <v xml:space="preserve">Tuberia estandar HD DN 800 mm K7 </v>
          </cell>
          <cell r="C234" t="str">
            <v>ml</v>
          </cell>
          <cell r="D234">
            <v>0</v>
          </cell>
          <cell r="E234">
            <v>0</v>
          </cell>
        </row>
        <row r="235">
          <cell r="A235" t="str">
            <v>THD36</v>
          </cell>
          <cell r="B235" t="str">
            <v xml:space="preserve">Tuberia estandar HD DN 900 mm K7 </v>
          </cell>
          <cell r="C235" t="str">
            <v>ml</v>
          </cell>
          <cell r="D235">
            <v>0</v>
          </cell>
          <cell r="E235">
            <v>0</v>
          </cell>
        </row>
        <row r="236">
          <cell r="A236" t="str">
            <v>THD40</v>
          </cell>
          <cell r="B236" t="str">
            <v xml:space="preserve">Tuberia estandar HD DN 1000 mm K7 </v>
          </cell>
          <cell r="C236" t="str">
            <v>ml</v>
          </cell>
          <cell r="D236">
            <v>0</v>
          </cell>
          <cell r="E236">
            <v>0</v>
          </cell>
        </row>
        <row r="237">
          <cell r="A237" t="str">
            <v>UU10</v>
          </cell>
          <cell r="B237" t="str">
            <v>Unión universal de 10" en hierro ductil (ASTM-A-536).  R1</v>
          </cell>
          <cell r="C237" t="str">
            <v>Und.</v>
          </cell>
          <cell r="D237">
            <v>397800</v>
          </cell>
          <cell r="E237">
            <v>473382</v>
          </cell>
        </row>
        <row r="238">
          <cell r="A238" t="str">
            <v>UU12</v>
          </cell>
          <cell r="B238" t="str">
            <v>Unión universal de 12" en hierro ductil (ASTM-A-536).  R1</v>
          </cell>
          <cell r="C238" t="str">
            <v>Und.</v>
          </cell>
          <cell r="D238">
            <v>578500</v>
          </cell>
          <cell r="E238">
            <v>688415</v>
          </cell>
        </row>
        <row r="239">
          <cell r="A239" t="str">
            <v>UUH2</v>
          </cell>
          <cell r="B239" t="str">
            <v>Unión universal de 2" en hierro ductil (ASTM-A-536).  Acople para diferentes tuberías</v>
          </cell>
          <cell r="C239" t="str">
            <v>Und.</v>
          </cell>
          <cell r="D239">
            <v>102700</v>
          </cell>
          <cell r="E239">
            <v>122213</v>
          </cell>
        </row>
        <row r="240">
          <cell r="A240" t="str">
            <v>UUH3</v>
          </cell>
          <cell r="B240" t="str">
            <v>Unión universal de 3" en hierro ductil (ASTM-A-536).  Acople para diferentes tuberías</v>
          </cell>
          <cell r="C240" t="str">
            <v>Und.</v>
          </cell>
          <cell r="D240">
            <v>85000</v>
          </cell>
          <cell r="E240">
            <v>101150</v>
          </cell>
        </row>
        <row r="241">
          <cell r="A241" t="str">
            <v>UUH4</v>
          </cell>
          <cell r="B241" t="str">
            <v>Unión universal de 4" en hierro ductil (ASTM-A-536).  Acople para diferentes tuberías</v>
          </cell>
          <cell r="C241" t="str">
            <v>Und.</v>
          </cell>
          <cell r="D241">
            <v>95000</v>
          </cell>
          <cell r="E241">
            <v>113050</v>
          </cell>
        </row>
        <row r="242">
          <cell r="A242" t="str">
            <v>UUH6</v>
          </cell>
          <cell r="B242" t="str">
            <v>Unión universal de 6" en hierro ductil (ASTM-A-536).  Acople para diferentes tuberías</v>
          </cell>
          <cell r="C242" t="str">
            <v>Und.</v>
          </cell>
          <cell r="D242">
            <v>180000</v>
          </cell>
          <cell r="E242">
            <v>214200</v>
          </cell>
        </row>
        <row r="243">
          <cell r="A243" t="str">
            <v>UUH8</v>
          </cell>
          <cell r="B243" t="str">
            <v>Unión universal de 8" en hierro ductil (ASTM-A-536).  R1</v>
          </cell>
          <cell r="C243" t="str">
            <v>Und.</v>
          </cell>
          <cell r="D243">
            <v>235000</v>
          </cell>
          <cell r="E243">
            <v>279650</v>
          </cell>
        </row>
        <row r="244">
          <cell r="A244" t="str">
            <v>VCE2</v>
          </cell>
          <cell r="B244" t="str">
            <v>Válvula de compuerta elástica en hierro dúctil (ASTM-A-536) de 2", vástago no ascendente en acero inoxidable, presión de trabajo 250 psi. Extremo Brida.</v>
          </cell>
          <cell r="C244" t="str">
            <v>Und.</v>
          </cell>
          <cell r="D244">
            <v>358000</v>
          </cell>
          <cell r="E244">
            <v>426020</v>
          </cell>
        </row>
        <row r="245">
          <cell r="A245" t="str">
            <v>VCE3</v>
          </cell>
          <cell r="B245" t="str">
            <v>Válvula de compuerta elástica en hierro dúctil (ASTM-A-536) de 3", vástago no ascendente en acero inoxidable, presión de trabajo 250 psi. Extremo Liso Para PVC</v>
          </cell>
          <cell r="C245" t="str">
            <v>Und.</v>
          </cell>
          <cell r="D245">
            <v>400000</v>
          </cell>
          <cell r="E245">
            <v>476000</v>
          </cell>
        </row>
        <row r="246">
          <cell r="A246" t="str">
            <v>VCE4</v>
          </cell>
          <cell r="B246" t="str">
            <v>Válvula de compuerta elástica en hierro dúctil (ASTM-A-536) de 4", vástago no ascendente en acero inoxidable, presión de trabajo 250 psi. Extremo Liso para PVC</v>
          </cell>
          <cell r="C246" t="str">
            <v>Und.</v>
          </cell>
          <cell r="D246">
            <v>530000</v>
          </cell>
          <cell r="E246">
            <v>630700</v>
          </cell>
        </row>
        <row r="247">
          <cell r="A247" t="str">
            <v>VCE6</v>
          </cell>
          <cell r="B247" t="str">
            <v>Válvula de compuerta elástica en hierro dúctil (ASTM-A-536) de 6", vástago no ascendente en acero inoxidable, presión de trabajo 250 psi. Extremo Brida.</v>
          </cell>
          <cell r="C247" t="str">
            <v>Und.</v>
          </cell>
          <cell r="D247">
            <v>1025000</v>
          </cell>
          <cell r="E247">
            <v>1219750</v>
          </cell>
          <cell r="F247">
            <v>50</v>
          </cell>
          <cell r="G247">
            <v>1000</v>
          </cell>
        </row>
        <row r="248">
          <cell r="A248" t="str">
            <v>VCE8</v>
          </cell>
          <cell r="B248" t="str">
            <v>Válvula de compuerta elástica en hierro dúctil (ASTM-A-536) de 8", vástago no ascendente en acero inoxidable, presión de trabajo 250 psi. Extremo Brida.</v>
          </cell>
          <cell r="C248" t="str">
            <v>Und.</v>
          </cell>
          <cell r="D248">
            <v>1500000</v>
          </cell>
          <cell r="E248">
            <v>1785000</v>
          </cell>
          <cell r="F248">
            <v>50</v>
          </cell>
          <cell r="G248">
            <v>1000</v>
          </cell>
        </row>
        <row r="249">
          <cell r="A249" t="str">
            <v>VCE10</v>
          </cell>
          <cell r="B249" t="str">
            <v>Válvula de compuerta elástica en hierro dúctil (ASTM-A-536) de 10", vástago no ascendente en acero inoxidable, presión de trabajo 250 psi. Extremo Liso para PVC</v>
          </cell>
          <cell r="C249" t="str">
            <v>Und.</v>
          </cell>
          <cell r="D249">
            <v>3303000</v>
          </cell>
          <cell r="E249">
            <v>3930570</v>
          </cell>
        </row>
        <row r="250">
          <cell r="A250" t="str">
            <v>VCE12</v>
          </cell>
          <cell r="B250" t="str">
            <v>Válvula de compuerta elástica en hierro dúctil (ASTM-A-536) de 12", vástago no ascendente en acero inoxidable, presión de trabajo 250 psi. Extremo Liso para PVC</v>
          </cell>
          <cell r="C250" t="str">
            <v>Und.</v>
          </cell>
          <cell r="D250">
            <v>4130000</v>
          </cell>
          <cell r="E250">
            <v>4914700</v>
          </cell>
        </row>
        <row r="251">
          <cell r="A251" t="str">
            <v>VCL2</v>
          </cell>
          <cell r="B251" t="str">
            <v>Válvula de cierre lento tipo globo en hierro dúctil (ASTM-A-536) de 2". Extremo Brida para PVC</v>
          </cell>
          <cell r="C251" t="str">
            <v>Und.</v>
          </cell>
          <cell r="D251">
            <v>652800</v>
          </cell>
          <cell r="E251">
            <v>776832</v>
          </cell>
        </row>
        <row r="252">
          <cell r="A252" t="str">
            <v>VCL3</v>
          </cell>
          <cell r="B252" t="str">
            <v>Válvula de cierre lento tipo globo en hierro dúctil (ASTM-A-536) de 3". Extremo Brida para PVC</v>
          </cell>
          <cell r="C252" t="str">
            <v>Und.</v>
          </cell>
          <cell r="D252">
            <v>897600</v>
          </cell>
          <cell r="E252">
            <v>1068144</v>
          </cell>
        </row>
        <row r="253">
          <cell r="A253" t="str">
            <v>VVC2</v>
          </cell>
          <cell r="B253" t="str">
            <v>Válvula Ventosa doble cámara triple efecto multiple acción HD 2". Extremo Brida</v>
          </cell>
          <cell r="C253" t="str">
            <v>Und.</v>
          </cell>
          <cell r="D253">
            <v>780000</v>
          </cell>
          <cell r="E253">
            <v>928200</v>
          </cell>
        </row>
        <row r="254">
          <cell r="A254" t="str">
            <v>ACCESORIOS Y TUBERÍA PVC PRESIÓN - ACUEDUCTO</v>
          </cell>
        </row>
        <row r="255">
          <cell r="A255" t="str">
            <v>MATERIALES</v>
          </cell>
        </row>
        <row r="256">
          <cell r="A256" t="str">
            <v>COD</v>
          </cell>
          <cell r="B256" t="str">
            <v>DESCRIPCION</v>
          </cell>
          <cell r="C256" t="str">
            <v>UNIDAD</v>
          </cell>
          <cell r="D256" t="str">
            <v>Vr. Sin IVA</v>
          </cell>
          <cell r="E256" t="str">
            <v>Vr. Con IVA</v>
          </cell>
          <cell r="F256" t="str">
            <v>TRANSPORTE</v>
          </cell>
        </row>
        <row r="257">
          <cell r="E257">
            <v>0.19</v>
          </cell>
          <cell r="F257" t="str">
            <v>DIST/. (Km)</v>
          </cell>
          <cell r="G257" t="str">
            <v>TARIFA $/m3</v>
          </cell>
        </row>
        <row r="258">
          <cell r="A258" t="str">
            <v>TUBERÍA Y ACCESORIOS PVC PARA ACUEDUCTO Y RIEGO</v>
          </cell>
        </row>
        <row r="259">
          <cell r="A259" t="str">
            <v>TUBERÍA PRESIÓN EXTREMO LISO</v>
          </cell>
        </row>
        <row r="260">
          <cell r="A260" t="str">
            <v>TP1/29</v>
          </cell>
          <cell r="B260" t="str">
            <v>Tubería PVC Presión E.L. de 1/2" RDE 9</v>
          </cell>
          <cell r="C260" t="str">
            <v>m.</v>
          </cell>
          <cell r="D260">
            <v>2513</v>
          </cell>
          <cell r="E260">
            <v>2990</v>
          </cell>
        </row>
        <row r="261">
          <cell r="A261" t="str">
            <v>TP3/411</v>
          </cell>
          <cell r="B261" t="str">
            <v>Tubería PVC Presión E.L. de 3/4" RDE 11</v>
          </cell>
          <cell r="C261" t="str">
            <v>m.</v>
          </cell>
          <cell r="D261">
            <v>3347</v>
          </cell>
          <cell r="E261">
            <v>3983</v>
          </cell>
        </row>
        <row r="262">
          <cell r="A262" t="str">
            <v>TP1/213.5</v>
          </cell>
          <cell r="B262" t="str">
            <v>Tubería PVC Presión E.L. de 1/2" RDE 13.5</v>
          </cell>
          <cell r="C262" t="str">
            <v>m.</v>
          </cell>
          <cell r="D262">
            <v>1794</v>
          </cell>
          <cell r="E262">
            <v>2135</v>
          </cell>
        </row>
        <row r="263">
          <cell r="A263" t="str">
            <v>TP113.5</v>
          </cell>
          <cell r="B263" t="str">
            <v>Tubería PVC Presión E.L. de 1" RDE 13.5</v>
          </cell>
          <cell r="C263" t="str">
            <v>m.</v>
          </cell>
          <cell r="D263">
            <v>4517</v>
          </cell>
          <cell r="E263">
            <v>5375</v>
          </cell>
        </row>
        <row r="264">
          <cell r="A264" t="str">
            <v>TP3/421</v>
          </cell>
          <cell r="B264" t="str">
            <v>Tubería PVC Presión E.L. de 3/4" RDE 21</v>
          </cell>
          <cell r="C264" t="str">
            <v>m.</v>
          </cell>
          <cell r="D264">
            <v>2221</v>
          </cell>
          <cell r="E264">
            <v>2643</v>
          </cell>
        </row>
        <row r="265">
          <cell r="A265" t="str">
            <v>TP121</v>
          </cell>
          <cell r="B265" t="str">
            <v>Tubería PVC Presión E.L. de 1" RDE 21</v>
          </cell>
          <cell r="C265" t="str">
            <v>m.</v>
          </cell>
          <cell r="D265">
            <v>3118</v>
          </cell>
          <cell r="E265">
            <v>3710</v>
          </cell>
        </row>
        <row r="266">
          <cell r="A266" t="str">
            <v>TP1-1/421</v>
          </cell>
          <cell r="B266" t="str">
            <v>Tubería PVC Presión E.L. de 1-1/4" RDE 21</v>
          </cell>
          <cell r="C266" t="str">
            <v>m.</v>
          </cell>
          <cell r="D266">
            <v>5619</v>
          </cell>
          <cell r="E266">
            <v>6687</v>
          </cell>
        </row>
        <row r="267">
          <cell r="A267" t="str">
            <v>TP1-1/221</v>
          </cell>
          <cell r="B267" t="str">
            <v>Tubería PVC Presión E.L. de 1-1/2" RDE 21</v>
          </cell>
          <cell r="C267" t="str">
            <v>m.</v>
          </cell>
          <cell r="D267">
            <v>7337</v>
          </cell>
          <cell r="E267">
            <v>8731</v>
          </cell>
        </row>
        <row r="268">
          <cell r="A268" t="str">
            <v>TP221</v>
          </cell>
          <cell r="B268" t="str">
            <v>Tubería PVC Presión E.L. de 2" RDE 21</v>
          </cell>
          <cell r="C268" t="str">
            <v>m.</v>
          </cell>
          <cell r="D268">
            <v>11251</v>
          </cell>
          <cell r="E268">
            <v>13389</v>
          </cell>
        </row>
        <row r="269">
          <cell r="A269" t="str">
            <v>TP2-1/221</v>
          </cell>
          <cell r="B269" t="str">
            <v>Tubería PVC Presión E.L. de 2-1/2" RDE 21</v>
          </cell>
          <cell r="C269" t="str">
            <v>m.</v>
          </cell>
          <cell r="D269">
            <v>18233</v>
          </cell>
          <cell r="E269">
            <v>21697</v>
          </cell>
        </row>
        <row r="270">
          <cell r="A270" t="str">
            <v>TP321</v>
          </cell>
          <cell r="B270" t="str">
            <v>Tubería PVC Presión E.L. de 3" RDE 21</v>
          </cell>
          <cell r="C270" t="str">
            <v>m.</v>
          </cell>
          <cell r="D270">
            <v>24344</v>
          </cell>
          <cell r="E270">
            <v>28969</v>
          </cell>
        </row>
        <row r="271">
          <cell r="A271" t="str">
            <v>TP421</v>
          </cell>
          <cell r="B271" t="str">
            <v>Tubería PVC Presión E.L. de 4" RDE 21</v>
          </cell>
          <cell r="C271" t="str">
            <v>m.</v>
          </cell>
          <cell r="D271">
            <v>41523</v>
          </cell>
          <cell r="E271">
            <v>49412</v>
          </cell>
        </row>
        <row r="272">
          <cell r="A272" t="str">
            <v>TP226</v>
          </cell>
          <cell r="B272" t="str">
            <v>Tubería PVC Presión E.L. de 2" RDE 26</v>
          </cell>
          <cell r="C272" t="str">
            <v>m.</v>
          </cell>
          <cell r="D272">
            <v>9289</v>
          </cell>
          <cell r="E272">
            <v>11054</v>
          </cell>
        </row>
        <row r="273">
          <cell r="A273" t="str">
            <v>TP2-1/226</v>
          </cell>
          <cell r="B273" t="str">
            <v>Tubería PVC Presión E.L. de 2-1/2" RDE 26</v>
          </cell>
          <cell r="C273" t="str">
            <v>m.</v>
          </cell>
          <cell r="D273">
            <v>14073</v>
          </cell>
          <cell r="E273">
            <v>16747</v>
          </cell>
        </row>
        <row r="274">
          <cell r="A274" t="str">
            <v>TP326</v>
          </cell>
          <cell r="B274" t="str">
            <v>Tubería PVC Presión E.L. de 3" RDE 26</v>
          </cell>
          <cell r="C274" t="str">
            <v>m.</v>
          </cell>
          <cell r="D274">
            <v>19845</v>
          </cell>
          <cell r="E274">
            <v>23616</v>
          </cell>
        </row>
        <row r="275">
          <cell r="A275" t="str">
            <v>TP426</v>
          </cell>
          <cell r="B275" t="str">
            <v>Tubería PVC Presión E.L. de 4" RDE 26</v>
          </cell>
          <cell r="C275" t="str">
            <v>m.</v>
          </cell>
          <cell r="D275">
            <v>32979</v>
          </cell>
          <cell r="E275">
            <v>39245</v>
          </cell>
        </row>
        <row r="276">
          <cell r="A276" t="str">
            <v>TP332.5</v>
          </cell>
          <cell r="B276" t="str">
            <v>Tubería PVC Presión E.L. de 3" RDE 32.5</v>
          </cell>
          <cell r="C276" t="str">
            <v>m.</v>
          </cell>
          <cell r="D276">
            <v>16689</v>
          </cell>
          <cell r="E276">
            <v>19860</v>
          </cell>
        </row>
        <row r="277">
          <cell r="A277" t="str">
            <v>TP432.5</v>
          </cell>
          <cell r="B277" t="str">
            <v>Tubería PVC Presión E.L. de 4" RDE 32.5</v>
          </cell>
          <cell r="C277" t="str">
            <v>m.</v>
          </cell>
          <cell r="D277">
            <v>26454</v>
          </cell>
          <cell r="E277">
            <v>31480</v>
          </cell>
        </row>
        <row r="278">
          <cell r="A278" t="str">
            <v>TP441</v>
          </cell>
          <cell r="B278" t="str">
            <v>Tubería PVC Presión E.L. de 4" RDE 41</v>
          </cell>
          <cell r="C278" t="str">
            <v>m.</v>
          </cell>
          <cell r="D278">
            <v>22714</v>
          </cell>
          <cell r="E278">
            <v>27030</v>
          </cell>
        </row>
        <row r="280">
          <cell r="A280" t="str">
            <v>ACCESORIOS PRESION Liso - Roscado</v>
          </cell>
        </row>
        <row r="281">
          <cell r="B281" t="str">
            <v>Adaptador Hembra PVC</v>
          </cell>
        </row>
        <row r="282">
          <cell r="A282" t="str">
            <v>AH1/2*3/4</v>
          </cell>
          <cell r="B282" t="str">
            <v>Adaptador Hembra PVC de 1/2"x1/4"</v>
          </cell>
          <cell r="C282" t="str">
            <v>Und.</v>
          </cell>
          <cell r="D282">
            <v>585</v>
          </cell>
          <cell r="E282">
            <v>696</v>
          </cell>
        </row>
        <row r="283">
          <cell r="A283" t="str">
            <v>AH1/2*3/8</v>
          </cell>
          <cell r="B283" t="str">
            <v>Adaptador Hembra PVC de 1/2"x3/8"</v>
          </cell>
          <cell r="C283" t="str">
            <v>Und.</v>
          </cell>
          <cell r="D283">
            <v>1084</v>
          </cell>
          <cell r="E283">
            <v>1290</v>
          </cell>
        </row>
        <row r="284">
          <cell r="A284" t="str">
            <v>AH1/2</v>
          </cell>
          <cell r="B284" t="str">
            <v>Adaptador Hembra PVC de 1/2"</v>
          </cell>
          <cell r="C284" t="str">
            <v>Und.</v>
          </cell>
          <cell r="D284">
            <v>316</v>
          </cell>
          <cell r="E284">
            <v>376</v>
          </cell>
        </row>
        <row r="285">
          <cell r="A285" t="str">
            <v>AH3/4</v>
          </cell>
          <cell r="B285" t="str">
            <v>Adaptador Hembra PVC de 3/4"</v>
          </cell>
          <cell r="C285" t="str">
            <v>Und.</v>
          </cell>
          <cell r="D285">
            <v>572</v>
          </cell>
          <cell r="E285">
            <v>681</v>
          </cell>
        </row>
        <row r="286">
          <cell r="A286" t="str">
            <v>AH1</v>
          </cell>
          <cell r="B286" t="str">
            <v>Adaptador Hembra PVC de 1"</v>
          </cell>
          <cell r="C286" t="str">
            <v>Und.</v>
          </cell>
          <cell r="D286">
            <v>1275</v>
          </cell>
          <cell r="E286">
            <v>1517</v>
          </cell>
        </row>
        <row r="287">
          <cell r="A287" t="str">
            <v>AH1-1/4</v>
          </cell>
          <cell r="B287" t="str">
            <v>Adaptador Hembra PVC de 1 1/4"</v>
          </cell>
          <cell r="C287" t="str">
            <v>Und.</v>
          </cell>
          <cell r="D287">
            <v>2086</v>
          </cell>
          <cell r="E287">
            <v>2482</v>
          </cell>
        </row>
        <row r="288">
          <cell r="A288" t="str">
            <v>AH1-1/2</v>
          </cell>
          <cell r="B288" t="str">
            <v>Adaptador Hembra PVC de 1 1/2"</v>
          </cell>
          <cell r="C288" t="str">
            <v>Und.</v>
          </cell>
          <cell r="D288">
            <v>3529</v>
          </cell>
          <cell r="E288">
            <v>4200</v>
          </cell>
        </row>
        <row r="289">
          <cell r="A289" t="str">
            <v>AH2</v>
          </cell>
          <cell r="B289" t="str">
            <v>Adaptador Hembra PVC de 2"</v>
          </cell>
          <cell r="C289" t="str">
            <v>Und.</v>
          </cell>
          <cell r="D289">
            <v>6285</v>
          </cell>
          <cell r="E289">
            <v>7479</v>
          </cell>
        </row>
        <row r="290">
          <cell r="A290" t="str">
            <v>AH2-1/2</v>
          </cell>
          <cell r="B290" t="str">
            <v>Adaptador Hembra PVC de 2 1/2"</v>
          </cell>
          <cell r="C290" t="str">
            <v>Und.</v>
          </cell>
          <cell r="D290">
            <v>11699</v>
          </cell>
          <cell r="E290">
            <v>13922</v>
          </cell>
        </row>
        <row r="291">
          <cell r="A291" t="str">
            <v>AH3</v>
          </cell>
          <cell r="B291" t="str">
            <v>Adaptador Hembra PVC de 3"</v>
          </cell>
          <cell r="C291" t="str">
            <v>Und.</v>
          </cell>
          <cell r="D291">
            <v>18460</v>
          </cell>
          <cell r="E291">
            <v>21967</v>
          </cell>
        </row>
        <row r="292">
          <cell r="A292" t="str">
            <v>AH4</v>
          </cell>
          <cell r="B292" t="str">
            <v>Adaptador Hembra PVC de 4"</v>
          </cell>
          <cell r="C292" t="str">
            <v>Und.</v>
          </cell>
          <cell r="D292">
            <v>33351</v>
          </cell>
          <cell r="E292">
            <v>39688</v>
          </cell>
        </row>
        <row r="294">
          <cell r="B294" t="str">
            <v>Adaptador Macho PVC</v>
          </cell>
        </row>
        <row r="295">
          <cell r="A295" t="str">
            <v>AM1/2</v>
          </cell>
          <cell r="B295" t="str">
            <v>Adaptador Macho PVC de 1/2"</v>
          </cell>
          <cell r="C295" t="str">
            <v>Und.</v>
          </cell>
          <cell r="D295">
            <v>280</v>
          </cell>
          <cell r="E295">
            <v>333</v>
          </cell>
        </row>
        <row r="296">
          <cell r="A296" t="str">
            <v>AM3/4</v>
          </cell>
          <cell r="B296" t="str">
            <v>Adaptador Macho PVC de 3/4"</v>
          </cell>
          <cell r="C296" t="str">
            <v>Und.</v>
          </cell>
          <cell r="D296">
            <v>509</v>
          </cell>
          <cell r="E296">
            <v>606</v>
          </cell>
        </row>
        <row r="297">
          <cell r="A297" t="str">
            <v>AM1</v>
          </cell>
          <cell r="B297" t="str">
            <v>Adaptador Macho PVC de 1"</v>
          </cell>
          <cell r="C297" t="str">
            <v>Und.</v>
          </cell>
          <cell r="D297">
            <v>1066</v>
          </cell>
          <cell r="E297">
            <v>1269</v>
          </cell>
        </row>
        <row r="298">
          <cell r="A298" t="str">
            <v>AM1-1/4</v>
          </cell>
          <cell r="B298" t="str">
            <v>Adaptador Macho PVC de 1 1/4"</v>
          </cell>
          <cell r="C298" t="str">
            <v>Und.</v>
          </cell>
          <cell r="D298">
            <v>2244</v>
          </cell>
          <cell r="E298">
            <v>2670</v>
          </cell>
        </row>
        <row r="299">
          <cell r="A299" t="str">
            <v>AM1-1/2</v>
          </cell>
          <cell r="B299" t="str">
            <v>Adaptador Macho PVC de 1 1/2"</v>
          </cell>
          <cell r="C299" t="str">
            <v>Und.</v>
          </cell>
          <cell r="D299">
            <v>2630</v>
          </cell>
          <cell r="E299">
            <v>3130</v>
          </cell>
        </row>
        <row r="300">
          <cell r="A300" t="str">
            <v>AM2</v>
          </cell>
          <cell r="B300" t="str">
            <v>Adaptador Macho PVC de 2"</v>
          </cell>
          <cell r="C300" t="str">
            <v>Und.</v>
          </cell>
          <cell r="D300">
            <v>3756</v>
          </cell>
          <cell r="E300">
            <v>4470</v>
          </cell>
        </row>
        <row r="301">
          <cell r="A301" t="str">
            <v>AM2-1/2</v>
          </cell>
          <cell r="B301" t="str">
            <v>Adaptador Macho PVC de 2 1/2"</v>
          </cell>
          <cell r="C301" t="str">
            <v>Und.</v>
          </cell>
          <cell r="D301">
            <v>9773</v>
          </cell>
          <cell r="E301">
            <v>11630</v>
          </cell>
        </row>
        <row r="302">
          <cell r="A302" t="str">
            <v>AM3</v>
          </cell>
          <cell r="B302" t="str">
            <v>Adaptador Macho PVC de 3"</v>
          </cell>
          <cell r="C302" t="str">
            <v>Und.</v>
          </cell>
          <cell r="D302">
            <v>14765</v>
          </cell>
          <cell r="E302">
            <v>17570</v>
          </cell>
        </row>
        <row r="303">
          <cell r="A303" t="str">
            <v>AM4</v>
          </cell>
          <cell r="B303" t="str">
            <v>Adaptador Macho PVC de 4"</v>
          </cell>
          <cell r="C303" t="str">
            <v>Und.</v>
          </cell>
          <cell r="D303">
            <v>27177</v>
          </cell>
          <cell r="E303">
            <v>32341</v>
          </cell>
        </row>
        <row r="305">
          <cell r="B305" t="str">
            <v>Buje Roscado</v>
          </cell>
        </row>
        <row r="306">
          <cell r="A306" t="str">
            <v>BR1/2*1/4</v>
          </cell>
          <cell r="B306" t="str">
            <v>Buje Roscado de 1/2"x1/4"</v>
          </cell>
          <cell r="C306" t="str">
            <v>Und.</v>
          </cell>
          <cell r="D306">
            <v>736</v>
          </cell>
          <cell r="E306">
            <v>876</v>
          </cell>
        </row>
        <row r="307">
          <cell r="A307" t="str">
            <v>BR1/2*3/8</v>
          </cell>
          <cell r="B307" t="str">
            <v>Buje Roscado de 1/2"x3/8"</v>
          </cell>
          <cell r="C307" t="str">
            <v>Und.</v>
          </cell>
          <cell r="D307">
            <v>733</v>
          </cell>
          <cell r="E307">
            <v>872</v>
          </cell>
        </row>
        <row r="308">
          <cell r="A308" t="str">
            <v>BR3/4*1/2</v>
          </cell>
          <cell r="B308" t="str">
            <v>Buje Roscado de 3/4"x1/2"</v>
          </cell>
          <cell r="C308" t="str">
            <v>Und.</v>
          </cell>
          <cell r="D308">
            <v>921</v>
          </cell>
          <cell r="E308">
            <v>1096</v>
          </cell>
        </row>
        <row r="309">
          <cell r="A309" t="str">
            <v>BR1*1/2</v>
          </cell>
          <cell r="B309" t="str">
            <v>Buje Roscado de 1"x1/2"</v>
          </cell>
          <cell r="C309" t="str">
            <v>Und.</v>
          </cell>
          <cell r="D309">
            <v>1606</v>
          </cell>
          <cell r="E309">
            <v>1911</v>
          </cell>
        </row>
        <row r="310">
          <cell r="A310" t="str">
            <v>BR1*3/4</v>
          </cell>
          <cell r="B310" t="str">
            <v>Buje Roscado de 1"x3/4"</v>
          </cell>
          <cell r="C310" t="str">
            <v>Und.</v>
          </cell>
          <cell r="D310">
            <v>1606</v>
          </cell>
          <cell r="E310">
            <v>1911</v>
          </cell>
        </row>
        <row r="311">
          <cell r="A311" t="str">
            <v>BR1-1/4*1/2</v>
          </cell>
          <cell r="B311" t="str">
            <v>Buje Roscado de 1 1/4"x1/2"</v>
          </cell>
          <cell r="C311" t="str">
            <v>Und.</v>
          </cell>
          <cell r="D311">
            <v>2695</v>
          </cell>
          <cell r="E311">
            <v>3207</v>
          </cell>
        </row>
        <row r="312">
          <cell r="A312" t="str">
            <v>BR1-1/4*3/4</v>
          </cell>
          <cell r="B312" t="str">
            <v>Buje Roscado de 1 1/4"x3/4"</v>
          </cell>
          <cell r="C312" t="str">
            <v>Und.</v>
          </cell>
          <cell r="D312">
            <v>2695</v>
          </cell>
          <cell r="E312">
            <v>3207</v>
          </cell>
        </row>
        <row r="313">
          <cell r="A313" t="str">
            <v>BR1-1/4*1</v>
          </cell>
          <cell r="B313" t="str">
            <v>Buje Roscado de 1 1/4"x1"</v>
          </cell>
          <cell r="C313" t="str">
            <v>Und.</v>
          </cell>
          <cell r="D313">
            <v>2695</v>
          </cell>
          <cell r="E313">
            <v>3207</v>
          </cell>
        </row>
        <row r="314">
          <cell r="A314" t="str">
            <v>BR1-1/2*1-1/2</v>
          </cell>
          <cell r="B314" t="str">
            <v>Buje Roscado de 1 1/2"x1 1/2"</v>
          </cell>
          <cell r="C314" t="str">
            <v>Und.</v>
          </cell>
          <cell r="D314">
            <v>3214</v>
          </cell>
          <cell r="E314">
            <v>3825</v>
          </cell>
        </row>
        <row r="315">
          <cell r="A315" t="str">
            <v>BR1-1/2*1-3/4</v>
          </cell>
          <cell r="B315" t="str">
            <v>Buje Roscado de 1 1/2"x1 3/4"</v>
          </cell>
          <cell r="C315" t="str">
            <v>Und.</v>
          </cell>
          <cell r="D315">
            <v>3214</v>
          </cell>
          <cell r="E315">
            <v>3825</v>
          </cell>
        </row>
        <row r="316">
          <cell r="A316" t="str">
            <v>BR1-1/2*1</v>
          </cell>
          <cell r="B316" t="str">
            <v>Buje Roscado de 1 1/2"x1"</v>
          </cell>
          <cell r="C316" t="str">
            <v>Und.</v>
          </cell>
          <cell r="D316">
            <v>3214</v>
          </cell>
          <cell r="E316">
            <v>3825</v>
          </cell>
        </row>
        <row r="317">
          <cell r="A317" t="str">
            <v>BR1-1/2*1-1/4</v>
          </cell>
          <cell r="B317" t="str">
            <v>Buje Roscado de 1 1/2x1 1/4"</v>
          </cell>
          <cell r="C317" t="str">
            <v>Und.</v>
          </cell>
          <cell r="D317">
            <v>3214</v>
          </cell>
          <cell r="E317">
            <v>3825</v>
          </cell>
        </row>
        <row r="318">
          <cell r="A318" t="str">
            <v>BR2*3/4</v>
          </cell>
          <cell r="B318" t="str">
            <v>Buje Roscado de 2"x3/4"</v>
          </cell>
          <cell r="C318" t="str">
            <v>Und.</v>
          </cell>
          <cell r="D318">
            <v>5171</v>
          </cell>
          <cell r="E318">
            <v>6153</v>
          </cell>
        </row>
        <row r="319">
          <cell r="A319" t="str">
            <v>BR2*1</v>
          </cell>
          <cell r="B319" t="str">
            <v>Buje Roscado de 2"x1"</v>
          </cell>
          <cell r="C319" t="str">
            <v>Und.</v>
          </cell>
          <cell r="D319">
            <v>5171</v>
          </cell>
          <cell r="E319">
            <v>6153</v>
          </cell>
        </row>
        <row r="320">
          <cell r="A320" t="str">
            <v>BR2*1-1/4</v>
          </cell>
          <cell r="B320" t="str">
            <v>Buje Roscado de 2"x1 1/4"</v>
          </cell>
          <cell r="C320" t="str">
            <v>Und.</v>
          </cell>
          <cell r="D320">
            <v>5171</v>
          </cell>
          <cell r="E320">
            <v>6153</v>
          </cell>
        </row>
        <row r="321">
          <cell r="A321" t="str">
            <v>BR2*1-1/2</v>
          </cell>
          <cell r="B321" t="str">
            <v>Buje Roscado de 2"x1 1/2"</v>
          </cell>
          <cell r="C321" t="str">
            <v>Und.</v>
          </cell>
          <cell r="D321">
            <v>5168</v>
          </cell>
          <cell r="E321">
            <v>6150</v>
          </cell>
        </row>
        <row r="322">
          <cell r="A322" t="str">
            <v>BR2-1/2*1</v>
          </cell>
          <cell r="B322" t="str">
            <v>Buje Roscado de 2 1/2"x1"</v>
          </cell>
          <cell r="C322" t="str">
            <v>Und.</v>
          </cell>
          <cell r="D322">
            <v>3795</v>
          </cell>
          <cell r="E322">
            <v>4516</v>
          </cell>
        </row>
        <row r="323">
          <cell r="A323" t="str">
            <v>BR2-1/2*2</v>
          </cell>
          <cell r="B323" t="str">
            <v>Buje Roscado de 2 1/2"x2"</v>
          </cell>
          <cell r="C323" t="str">
            <v>Und.</v>
          </cell>
          <cell r="D323">
            <v>5180</v>
          </cell>
          <cell r="E323">
            <v>6164</v>
          </cell>
        </row>
        <row r="324">
          <cell r="A324" t="str">
            <v>BR3*2</v>
          </cell>
          <cell r="B324" t="str">
            <v>Buje Roscado de 3"x2"</v>
          </cell>
          <cell r="C324" t="str">
            <v>Und.</v>
          </cell>
          <cell r="D324">
            <v>22717</v>
          </cell>
          <cell r="E324">
            <v>27033</v>
          </cell>
        </row>
        <row r="325">
          <cell r="A325" t="str">
            <v>BR4*2-1/2</v>
          </cell>
          <cell r="B325" t="str">
            <v>Buje Roscado de 4"x2 1/2"</v>
          </cell>
          <cell r="C325" t="str">
            <v>Und.</v>
          </cell>
          <cell r="D325">
            <v>16672</v>
          </cell>
          <cell r="E325">
            <v>19840</v>
          </cell>
        </row>
        <row r="327">
          <cell r="B327" t="str">
            <v>Buje Soldado</v>
          </cell>
        </row>
        <row r="328">
          <cell r="A328" t="str">
            <v>BS3/4*1/2</v>
          </cell>
          <cell r="B328" t="str">
            <v>Buje Soldado de 3/4 x 1/2</v>
          </cell>
          <cell r="C328" t="str">
            <v>Und.</v>
          </cell>
          <cell r="D328">
            <v>394</v>
          </cell>
          <cell r="E328">
            <v>469</v>
          </cell>
        </row>
        <row r="329">
          <cell r="A329" t="str">
            <v>BS1*1/2</v>
          </cell>
          <cell r="B329" t="str">
            <v>Buje Soldado de 1 x 1/2</v>
          </cell>
          <cell r="C329" t="str">
            <v>Und.</v>
          </cell>
          <cell r="D329">
            <v>787</v>
          </cell>
          <cell r="E329">
            <v>937</v>
          </cell>
        </row>
        <row r="330">
          <cell r="A330" t="str">
            <v>BS1*3/4</v>
          </cell>
          <cell r="B330" t="str">
            <v>Buje Soldado de 1 x 3/4</v>
          </cell>
          <cell r="C330" t="str">
            <v>Und.</v>
          </cell>
          <cell r="D330">
            <v>787</v>
          </cell>
          <cell r="E330">
            <v>937</v>
          </cell>
        </row>
        <row r="331">
          <cell r="A331" t="str">
            <v>BS1-1/4*1/2</v>
          </cell>
          <cell r="B331" t="str">
            <v>Buje Soldado de 1 1/4 x 1/2</v>
          </cell>
          <cell r="C331" t="str">
            <v>Und.</v>
          </cell>
          <cell r="D331">
            <v>1513</v>
          </cell>
          <cell r="E331">
            <v>1800</v>
          </cell>
        </row>
        <row r="332">
          <cell r="A332" t="str">
            <v>BS1-1/4*3/4</v>
          </cell>
          <cell r="B332" t="str">
            <v>Buje Soldado de 1 1/4 x 3/4</v>
          </cell>
          <cell r="C332" t="str">
            <v>Und.</v>
          </cell>
          <cell r="D332">
            <v>1513</v>
          </cell>
          <cell r="E332">
            <v>1800</v>
          </cell>
        </row>
        <row r="333">
          <cell r="A333" t="str">
            <v>BS1-1/4*1</v>
          </cell>
          <cell r="B333" t="str">
            <v>Buje Soldado de 1 1/4 x 1</v>
          </cell>
          <cell r="C333" t="str">
            <v>Und.</v>
          </cell>
          <cell r="D333">
            <v>1513</v>
          </cell>
          <cell r="E333">
            <v>1800</v>
          </cell>
        </row>
        <row r="334">
          <cell r="A334" t="str">
            <v>BS1-1/2*1/2</v>
          </cell>
          <cell r="B334" t="str">
            <v>Buje Soldado de 1 1/2 x 1/2</v>
          </cell>
          <cell r="C334" t="str">
            <v>Und.</v>
          </cell>
          <cell r="D334">
            <v>2336</v>
          </cell>
          <cell r="E334">
            <v>2780</v>
          </cell>
        </row>
        <row r="335">
          <cell r="A335" t="str">
            <v>BS1-1/2*3/4</v>
          </cell>
          <cell r="B335" t="str">
            <v>Buje Soldado de 1 1/2 x 3/4</v>
          </cell>
          <cell r="C335" t="str">
            <v>Und.</v>
          </cell>
          <cell r="D335">
            <v>2336</v>
          </cell>
          <cell r="E335">
            <v>2780</v>
          </cell>
        </row>
        <row r="336">
          <cell r="A336" t="str">
            <v>BS1-1*2 x 1</v>
          </cell>
          <cell r="B336" t="str">
            <v>Buje Soldado de 1 1/2 x 1</v>
          </cell>
          <cell r="C336" t="str">
            <v>Und.</v>
          </cell>
          <cell r="D336">
            <v>2336</v>
          </cell>
          <cell r="E336">
            <v>2780</v>
          </cell>
        </row>
        <row r="337">
          <cell r="A337" t="str">
            <v>BS1-1/2 x 1*1/4</v>
          </cell>
          <cell r="B337" t="str">
            <v>Buje Soldado de 1 1/2 x 1 1/4</v>
          </cell>
          <cell r="C337" t="str">
            <v>Und.</v>
          </cell>
          <cell r="D337">
            <v>2336</v>
          </cell>
          <cell r="E337">
            <v>2780</v>
          </cell>
        </row>
        <row r="338">
          <cell r="A338" t="str">
            <v>BS2*1/2</v>
          </cell>
          <cell r="B338" t="str">
            <v>Buje Soldado de 2 x 1/2</v>
          </cell>
          <cell r="C338" t="str">
            <v>Und.</v>
          </cell>
          <cell r="D338">
            <v>3573</v>
          </cell>
          <cell r="E338">
            <v>4252</v>
          </cell>
        </row>
        <row r="339">
          <cell r="A339" t="str">
            <v>BS2*3/4</v>
          </cell>
          <cell r="B339" t="str">
            <v>Buje Soldado de 2 x 3/4</v>
          </cell>
          <cell r="C339" t="str">
            <v>Und.</v>
          </cell>
          <cell r="D339">
            <v>3573</v>
          </cell>
          <cell r="E339">
            <v>4252</v>
          </cell>
        </row>
        <row r="340">
          <cell r="A340" t="str">
            <v>BS2*1</v>
          </cell>
          <cell r="B340" t="str">
            <v>Buje Soldado de 2 x 1</v>
          </cell>
          <cell r="C340" t="str">
            <v>Und.</v>
          </cell>
          <cell r="D340">
            <v>3573</v>
          </cell>
          <cell r="E340">
            <v>4252</v>
          </cell>
        </row>
        <row r="341">
          <cell r="A341" t="str">
            <v>BS2*1-1/4</v>
          </cell>
          <cell r="B341" t="str">
            <v>Buje Soldado de 2 x 1 1/4</v>
          </cell>
          <cell r="C341" t="str">
            <v>Und.</v>
          </cell>
          <cell r="D341">
            <v>3573</v>
          </cell>
          <cell r="E341">
            <v>4252</v>
          </cell>
        </row>
        <row r="342">
          <cell r="A342" t="str">
            <v>BS2*1-1/2</v>
          </cell>
          <cell r="B342" t="str">
            <v>Buje Soldado de 2 x 1 1/2</v>
          </cell>
          <cell r="C342" t="str">
            <v>Und.</v>
          </cell>
          <cell r="D342">
            <v>3573</v>
          </cell>
          <cell r="E342">
            <v>4252</v>
          </cell>
        </row>
        <row r="343">
          <cell r="A343" t="str">
            <v>BS2-1/2*1-1/2</v>
          </cell>
          <cell r="B343" t="str">
            <v>Buje Soldado de 2 1/2 x 1 1/2</v>
          </cell>
          <cell r="C343" t="str">
            <v>Und.</v>
          </cell>
          <cell r="D343">
            <v>8965</v>
          </cell>
          <cell r="E343">
            <v>10668</v>
          </cell>
        </row>
        <row r="344">
          <cell r="A344" t="str">
            <v>BS2-1/2*2</v>
          </cell>
          <cell r="B344" t="str">
            <v>Buje Soldado de 2 1/2 x 2</v>
          </cell>
          <cell r="C344" t="str">
            <v>Und.</v>
          </cell>
          <cell r="D344">
            <v>8420</v>
          </cell>
          <cell r="E344">
            <v>10020</v>
          </cell>
        </row>
        <row r="345">
          <cell r="A345" t="str">
            <v>BS3*1-1/2</v>
          </cell>
          <cell r="B345" t="str">
            <v>Buje Soldado de 3 x 11/2</v>
          </cell>
          <cell r="C345" t="str">
            <v>Und.</v>
          </cell>
          <cell r="D345">
            <v>10406</v>
          </cell>
          <cell r="E345">
            <v>12383</v>
          </cell>
        </row>
        <row r="346">
          <cell r="A346" t="str">
            <v>BS3*2</v>
          </cell>
          <cell r="B346" t="str">
            <v>Buje Soldado de 3 x 2</v>
          </cell>
          <cell r="C346" t="str">
            <v>Und.</v>
          </cell>
          <cell r="D346">
            <v>12862</v>
          </cell>
          <cell r="E346">
            <v>15306</v>
          </cell>
        </row>
        <row r="347">
          <cell r="A347" t="str">
            <v>BS3*2-1/2</v>
          </cell>
          <cell r="B347" t="str">
            <v>Buje Soldado de 3 x 2 1/2</v>
          </cell>
          <cell r="C347" t="str">
            <v>Und.</v>
          </cell>
          <cell r="D347">
            <v>12862</v>
          </cell>
          <cell r="E347">
            <v>15306</v>
          </cell>
        </row>
        <row r="348">
          <cell r="A348" t="str">
            <v>BS4*2</v>
          </cell>
          <cell r="B348" t="str">
            <v>Buje Soldado de 4 x 2</v>
          </cell>
          <cell r="C348" t="str">
            <v>Und.</v>
          </cell>
          <cell r="D348">
            <v>20299</v>
          </cell>
          <cell r="E348">
            <v>24156</v>
          </cell>
        </row>
        <row r="349">
          <cell r="A349" t="str">
            <v>BS4*1-1/2</v>
          </cell>
          <cell r="B349" t="str">
            <v>Buje Soldado de 4 x 2 1/2</v>
          </cell>
          <cell r="C349" t="str">
            <v>Und.</v>
          </cell>
          <cell r="D349">
            <v>20299</v>
          </cell>
          <cell r="E349">
            <v>24156</v>
          </cell>
        </row>
        <row r="350">
          <cell r="A350" t="str">
            <v>BS4*3</v>
          </cell>
          <cell r="B350" t="str">
            <v>Buje Soldado de 4 x 3</v>
          </cell>
          <cell r="C350" t="str">
            <v>Und.</v>
          </cell>
          <cell r="D350">
            <v>20299</v>
          </cell>
          <cell r="E350">
            <v>24156</v>
          </cell>
        </row>
        <row r="351">
          <cell r="A351" t="str">
            <v>BS6*4</v>
          </cell>
          <cell r="B351" t="str">
            <v>Buje Soldado de 6 x 4</v>
          </cell>
          <cell r="C351" t="str">
            <v>Und.</v>
          </cell>
          <cell r="D351">
            <v>46193</v>
          </cell>
          <cell r="E351">
            <v>54970</v>
          </cell>
        </row>
        <row r="353">
          <cell r="B353" t="str">
            <v>Codo PVC soldado de 90° x</v>
          </cell>
        </row>
        <row r="354">
          <cell r="A354" t="str">
            <v>C90*1/2</v>
          </cell>
          <cell r="B354" t="str">
            <v>Codo PVC soldado de 90° x 1/2</v>
          </cell>
          <cell r="C354" t="str">
            <v>Und.</v>
          </cell>
          <cell r="D354">
            <v>407</v>
          </cell>
          <cell r="E354">
            <v>484</v>
          </cell>
        </row>
        <row r="355">
          <cell r="A355" t="str">
            <v>C90*3/4</v>
          </cell>
          <cell r="B355" t="str">
            <v>Codo PVC soldado de 90° x 3/4</v>
          </cell>
          <cell r="C355" t="str">
            <v>Und.</v>
          </cell>
          <cell r="D355">
            <v>653</v>
          </cell>
          <cell r="E355">
            <v>777</v>
          </cell>
        </row>
        <row r="356">
          <cell r="A356" t="str">
            <v>C90*1</v>
          </cell>
          <cell r="B356" t="str">
            <v>Codo PVC soldado de 90° x 1</v>
          </cell>
          <cell r="C356" t="str">
            <v>Und.</v>
          </cell>
          <cell r="D356">
            <v>1278</v>
          </cell>
          <cell r="E356">
            <v>1521</v>
          </cell>
        </row>
        <row r="357">
          <cell r="A357" t="str">
            <v>C90*1-1/4</v>
          </cell>
          <cell r="B357" t="str">
            <v>Codo PVC soldado de 90° x 1 1/4</v>
          </cell>
          <cell r="C357" t="str">
            <v>Und.</v>
          </cell>
          <cell r="D357">
            <v>2458</v>
          </cell>
          <cell r="E357">
            <v>2925</v>
          </cell>
        </row>
        <row r="358">
          <cell r="A358" t="str">
            <v>C90*1-1/2</v>
          </cell>
          <cell r="B358" t="str">
            <v>Codo PVC soldado de 90° x 1 1/2</v>
          </cell>
          <cell r="C358" t="str">
            <v>Und.</v>
          </cell>
          <cell r="D358">
            <v>4589</v>
          </cell>
          <cell r="E358">
            <v>5461</v>
          </cell>
        </row>
        <row r="359">
          <cell r="A359" t="str">
            <v>C90*2</v>
          </cell>
          <cell r="B359" t="str">
            <v>Codo PVC soldado de 90° x 2</v>
          </cell>
          <cell r="C359" t="str">
            <v>Und.</v>
          </cell>
          <cell r="D359">
            <v>7524</v>
          </cell>
          <cell r="E359">
            <v>8954</v>
          </cell>
        </row>
        <row r="360">
          <cell r="A360" t="str">
            <v>C90*2-1/2</v>
          </cell>
          <cell r="B360" t="str">
            <v>Codo PVC soldado de 90° x 2 1/2</v>
          </cell>
          <cell r="C360" t="str">
            <v>Und.</v>
          </cell>
          <cell r="D360">
            <v>21669</v>
          </cell>
          <cell r="E360">
            <v>25786</v>
          </cell>
        </row>
        <row r="361">
          <cell r="A361" t="str">
            <v>C90*3</v>
          </cell>
          <cell r="B361" t="str">
            <v>Codo PVC soldado de 90° x 3</v>
          </cell>
          <cell r="C361" t="str">
            <v>Und.</v>
          </cell>
          <cell r="D361">
            <v>28043</v>
          </cell>
          <cell r="E361">
            <v>33371</v>
          </cell>
        </row>
        <row r="362">
          <cell r="A362" t="str">
            <v>C90*4</v>
          </cell>
          <cell r="B362" t="str">
            <v>Codo PVC soldado de 90° x 4</v>
          </cell>
          <cell r="C362" t="str">
            <v>Und.</v>
          </cell>
          <cell r="D362">
            <v>60836</v>
          </cell>
          <cell r="E362">
            <v>72395</v>
          </cell>
        </row>
        <row r="363">
          <cell r="A363" t="str">
            <v>C90*6</v>
          </cell>
          <cell r="B363" t="str">
            <v>Codo PVC soldado de 90° x 6</v>
          </cell>
          <cell r="C363" t="str">
            <v>Und.</v>
          </cell>
          <cell r="D363">
            <v>97624</v>
          </cell>
          <cell r="E363">
            <v>116173</v>
          </cell>
        </row>
        <row r="365">
          <cell r="B365" t="str">
            <v>Codo PVC roscado-soldado de 90° x</v>
          </cell>
        </row>
        <row r="366">
          <cell r="A366" t="str">
            <v>CRS90*1/2</v>
          </cell>
          <cell r="B366" t="str">
            <v>Codo PVC roscado-soldado de 90° x 1/2"</v>
          </cell>
          <cell r="C366" t="str">
            <v>Und.</v>
          </cell>
          <cell r="D366">
            <v>1014</v>
          </cell>
          <cell r="E366">
            <v>1207</v>
          </cell>
        </row>
        <row r="368">
          <cell r="B368" t="str">
            <v>Codo PVC soldado de 45° x</v>
          </cell>
        </row>
        <row r="369">
          <cell r="A369" t="str">
            <v>C45*1/2</v>
          </cell>
          <cell r="B369" t="str">
            <v>Codo PVC soldado de 45° x 1/2"</v>
          </cell>
          <cell r="C369" t="str">
            <v>Und.</v>
          </cell>
          <cell r="D369">
            <v>673</v>
          </cell>
          <cell r="E369">
            <v>801</v>
          </cell>
        </row>
        <row r="370">
          <cell r="A370" t="str">
            <v>C45*3/4</v>
          </cell>
          <cell r="B370" t="str">
            <v>Codo PVC soldado de 45° x 3/4"</v>
          </cell>
          <cell r="C370" t="str">
            <v>Und.</v>
          </cell>
          <cell r="D370">
            <v>1078</v>
          </cell>
          <cell r="E370">
            <v>1283</v>
          </cell>
        </row>
        <row r="371">
          <cell r="A371" t="str">
            <v>C45*1</v>
          </cell>
          <cell r="B371" t="str">
            <v>Codo PVC soldado de 45° x 1"</v>
          </cell>
          <cell r="C371" t="str">
            <v>Und.</v>
          </cell>
          <cell r="D371">
            <v>2055</v>
          </cell>
          <cell r="E371">
            <v>2445</v>
          </cell>
        </row>
        <row r="372">
          <cell r="A372" t="str">
            <v>C45*1-1/4</v>
          </cell>
          <cell r="B372" t="str">
            <v>Codo PVC soldado de 45° x 1 1/4"</v>
          </cell>
          <cell r="C372" t="str">
            <v>Und.</v>
          </cell>
          <cell r="D372">
            <v>3716</v>
          </cell>
          <cell r="E372">
            <v>4422</v>
          </cell>
        </row>
        <row r="373">
          <cell r="A373" t="str">
            <v>C45*1-1/2</v>
          </cell>
          <cell r="B373" t="str">
            <v>Codo PVC soldado de 45° x 1 1/2"</v>
          </cell>
          <cell r="C373" t="str">
            <v>Und.</v>
          </cell>
          <cell r="D373">
            <v>4983</v>
          </cell>
          <cell r="E373">
            <v>5930</v>
          </cell>
        </row>
        <row r="374">
          <cell r="A374" t="str">
            <v>C45* 2</v>
          </cell>
          <cell r="B374" t="str">
            <v>Codo PVC soldado de 45° x 2"</v>
          </cell>
          <cell r="C374" t="str">
            <v>Und.</v>
          </cell>
          <cell r="D374">
            <v>8244</v>
          </cell>
          <cell r="E374">
            <v>9810</v>
          </cell>
        </row>
        <row r="375">
          <cell r="A375" t="str">
            <v>C45*2-1/2</v>
          </cell>
          <cell r="B375" t="str">
            <v>Codo PVC soldado de 45° x 2 1/2"</v>
          </cell>
          <cell r="C375" t="str">
            <v>Und.</v>
          </cell>
          <cell r="D375">
            <v>23239</v>
          </cell>
          <cell r="E375">
            <v>27654</v>
          </cell>
        </row>
        <row r="376">
          <cell r="A376" t="str">
            <v>C45*3</v>
          </cell>
          <cell r="B376" t="str">
            <v>Codo PVC soldado de 45° x 3"</v>
          </cell>
          <cell r="C376" t="str">
            <v>Und.</v>
          </cell>
          <cell r="D376">
            <v>26541</v>
          </cell>
          <cell r="E376">
            <v>31584</v>
          </cell>
        </row>
        <row r="377">
          <cell r="A377" t="str">
            <v>C45*4</v>
          </cell>
          <cell r="B377" t="str">
            <v>Codo PVC soldado de 45° x 4"</v>
          </cell>
          <cell r="C377" t="str">
            <v>Und.</v>
          </cell>
          <cell r="D377">
            <v>56466</v>
          </cell>
          <cell r="E377">
            <v>67195</v>
          </cell>
        </row>
        <row r="379">
          <cell r="B379" t="str">
            <v>Tapón Roscado PVC</v>
          </cell>
        </row>
        <row r="380">
          <cell r="A380" t="str">
            <v>TR1/2</v>
          </cell>
          <cell r="B380" t="str">
            <v>Tapón Roscado PVC de 1/2"</v>
          </cell>
          <cell r="C380" t="str">
            <v>Und.</v>
          </cell>
          <cell r="D380">
            <v>317</v>
          </cell>
          <cell r="E380">
            <v>377</v>
          </cell>
        </row>
        <row r="381">
          <cell r="A381" t="str">
            <v>TR3/4</v>
          </cell>
          <cell r="B381" t="str">
            <v>Tapón Roscado PVC de 3/4"</v>
          </cell>
          <cell r="C381" t="str">
            <v>Und.</v>
          </cell>
          <cell r="D381">
            <v>934</v>
          </cell>
          <cell r="E381">
            <v>1111</v>
          </cell>
        </row>
        <row r="382">
          <cell r="A382" t="str">
            <v>TR1</v>
          </cell>
          <cell r="B382" t="str">
            <v>Tapón Roscado PVC de 1"</v>
          </cell>
          <cell r="C382" t="str">
            <v>Und.</v>
          </cell>
          <cell r="D382">
            <v>1330</v>
          </cell>
          <cell r="E382">
            <v>1583</v>
          </cell>
        </row>
        <row r="383">
          <cell r="A383" t="str">
            <v>TR1-1/4</v>
          </cell>
          <cell r="B383" t="str">
            <v>Tapón Roscado PVC de 1 1/4"</v>
          </cell>
          <cell r="C383" t="str">
            <v>Und.</v>
          </cell>
          <cell r="D383">
            <v>2355</v>
          </cell>
          <cell r="E383">
            <v>2802</v>
          </cell>
        </row>
        <row r="384">
          <cell r="A384" t="str">
            <v>TR1-1/2</v>
          </cell>
          <cell r="B384" t="str">
            <v>Tapón Roscado PVC de 1 1/2"</v>
          </cell>
          <cell r="C384" t="str">
            <v>Und.</v>
          </cell>
          <cell r="D384">
            <v>3117</v>
          </cell>
          <cell r="E384">
            <v>3709</v>
          </cell>
        </row>
        <row r="385">
          <cell r="A385" t="str">
            <v>TR2</v>
          </cell>
          <cell r="B385" t="str">
            <v>Tapón Roscado PVC de 2"</v>
          </cell>
          <cell r="C385" t="str">
            <v>Und.</v>
          </cell>
          <cell r="D385">
            <v>5097</v>
          </cell>
          <cell r="E385">
            <v>6065</v>
          </cell>
        </row>
        <row r="386">
          <cell r="A386" t="str">
            <v>TR2-1/2</v>
          </cell>
          <cell r="B386" t="str">
            <v>Tapón Roscado PVC de 2 1/2"</v>
          </cell>
          <cell r="C386" t="str">
            <v>Und.</v>
          </cell>
          <cell r="D386">
            <v>11750</v>
          </cell>
          <cell r="E386">
            <v>13983</v>
          </cell>
        </row>
        <row r="387">
          <cell r="A387" t="str">
            <v>TR3</v>
          </cell>
          <cell r="B387" t="str">
            <v>Tapón Roscado PVC de 3"</v>
          </cell>
          <cell r="C387" t="str">
            <v>Und.</v>
          </cell>
          <cell r="D387">
            <v>18694</v>
          </cell>
          <cell r="E387">
            <v>22246</v>
          </cell>
        </row>
        <row r="388">
          <cell r="A388" t="str">
            <v>TR4</v>
          </cell>
          <cell r="B388" t="str">
            <v>Tapón Roscado PVC de 4"</v>
          </cell>
          <cell r="C388" t="str">
            <v>Und.</v>
          </cell>
          <cell r="D388">
            <v>34530</v>
          </cell>
          <cell r="E388">
            <v>41091</v>
          </cell>
        </row>
        <row r="390">
          <cell r="B390" t="str">
            <v>Tapón Soldado PVC</v>
          </cell>
        </row>
        <row r="391">
          <cell r="A391" t="str">
            <v>TSOL1/2</v>
          </cell>
          <cell r="B391" t="str">
            <v>Tapón Soldado PVC de 1/2"</v>
          </cell>
          <cell r="C391" t="str">
            <v>Und.</v>
          </cell>
          <cell r="D391">
            <v>232</v>
          </cell>
          <cell r="E391">
            <v>276</v>
          </cell>
        </row>
        <row r="392">
          <cell r="A392" t="str">
            <v>TSOL3/4</v>
          </cell>
          <cell r="B392" t="str">
            <v>Tapón Soldado PVC de 3/4"</v>
          </cell>
          <cell r="C392" t="str">
            <v>Und.</v>
          </cell>
          <cell r="D392">
            <v>465</v>
          </cell>
          <cell r="E392">
            <v>553</v>
          </cell>
        </row>
        <row r="393">
          <cell r="A393" t="str">
            <v>TSOL1</v>
          </cell>
          <cell r="B393" t="str">
            <v>Tapón Soldado PVC de 1"</v>
          </cell>
          <cell r="C393" t="str">
            <v>Und.</v>
          </cell>
          <cell r="D393">
            <v>782</v>
          </cell>
          <cell r="E393">
            <v>931</v>
          </cell>
        </row>
        <row r="394">
          <cell r="A394" t="str">
            <v>TSOL1-1/4</v>
          </cell>
          <cell r="B394" t="str">
            <v>Tapón Soldado PVC de 1 1/4"</v>
          </cell>
          <cell r="C394" t="str">
            <v>Und.</v>
          </cell>
          <cell r="D394">
            <v>1885</v>
          </cell>
          <cell r="E394">
            <v>2243</v>
          </cell>
        </row>
        <row r="395">
          <cell r="A395" t="str">
            <v>TSOL1-1/2</v>
          </cell>
          <cell r="B395" t="str">
            <v>Tapón Soldado PVC de 1 1/2"</v>
          </cell>
          <cell r="C395" t="str">
            <v>Und.</v>
          </cell>
          <cell r="D395">
            <v>2454</v>
          </cell>
          <cell r="E395">
            <v>2920</v>
          </cell>
        </row>
        <row r="396">
          <cell r="A396" t="str">
            <v>TSOL2</v>
          </cell>
          <cell r="B396" t="str">
            <v>Tapón Soldado PVC de 2"</v>
          </cell>
          <cell r="C396" t="str">
            <v>Und.</v>
          </cell>
          <cell r="D396">
            <v>3900</v>
          </cell>
          <cell r="E396">
            <v>4641</v>
          </cell>
        </row>
        <row r="397">
          <cell r="A397" t="str">
            <v>TSOL2-1/2</v>
          </cell>
          <cell r="B397" t="str">
            <v>Tapón Soldado PVC de 2 1/2"</v>
          </cell>
          <cell r="C397" t="str">
            <v>Und.</v>
          </cell>
          <cell r="D397">
            <v>9183</v>
          </cell>
          <cell r="E397">
            <v>10928</v>
          </cell>
        </row>
        <row r="398">
          <cell r="A398" t="str">
            <v>TSOL3</v>
          </cell>
          <cell r="B398" t="str">
            <v>Tapón Soldado PVC de 3"</v>
          </cell>
          <cell r="C398" t="str">
            <v>Und.</v>
          </cell>
          <cell r="D398">
            <v>14917</v>
          </cell>
          <cell r="E398">
            <v>17751</v>
          </cell>
        </row>
        <row r="399">
          <cell r="A399" t="str">
            <v>TSOL4</v>
          </cell>
          <cell r="B399" t="str">
            <v>Tapón Soldado PVC de 4"</v>
          </cell>
          <cell r="C399" t="str">
            <v>Und.</v>
          </cell>
          <cell r="D399">
            <v>27124</v>
          </cell>
          <cell r="E399">
            <v>32278</v>
          </cell>
        </row>
        <row r="401">
          <cell r="B401" t="str">
            <v>Tee Soldada PVC</v>
          </cell>
        </row>
        <row r="402">
          <cell r="A402" t="str">
            <v>T1/2</v>
          </cell>
          <cell r="B402" t="str">
            <v>Tee Soldada PVC de 1/2"</v>
          </cell>
          <cell r="C402" t="str">
            <v>Und.</v>
          </cell>
          <cell r="D402">
            <v>538</v>
          </cell>
          <cell r="E402">
            <v>640</v>
          </cell>
        </row>
        <row r="403">
          <cell r="A403" t="str">
            <v>T3/4</v>
          </cell>
          <cell r="B403" t="str">
            <v>Tee Soldada PVC de 3/4"</v>
          </cell>
          <cell r="C403" t="str">
            <v>Und.</v>
          </cell>
          <cell r="D403">
            <v>910</v>
          </cell>
          <cell r="E403">
            <v>1083</v>
          </cell>
        </row>
        <row r="404">
          <cell r="A404" t="str">
            <v>T1</v>
          </cell>
          <cell r="B404" t="str">
            <v>Tee Soldada PVC de 1"</v>
          </cell>
          <cell r="C404" t="str">
            <v>Und.</v>
          </cell>
          <cell r="D404">
            <v>1780</v>
          </cell>
          <cell r="E404">
            <v>2118</v>
          </cell>
        </row>
        <row r="405">
          <cell r="A405" t="str">
            <v>T1-1/4</v>
          </cell>
          <cell r="B405" t="str">
            <v>Tee Soldada PVC de 1 1/4"</v>
          </cell>
          <cell r="C405" t="str">
            <v>Und.</v>
          </cell>
          <cell r="D405">
            <v>4597</v>
          </cell>
          <cell r="E405">
            <v>5470</v>
          </cell>
        </row>
        <row r="406">
          <cell r="A406" t="str">
            <v>T1-1/2</v>
          </cell>
          <cell r="B406" t="str">
            <v>Tee Soldada PVC de 1 1/2"</v>
          </cell>
          <cell r="C406" t="str">
            <v>Und.</v>
          </cell>
          <cell r="D406">
            <v>6036</v>
          </cell>
          <cell r="E406">
            <v>7183</v>
          </cell>
        </row>
        <row r="407">
          <cell r="A407" t="str">
            <v>T2</v>
          </cell>
          <cell r="B407" t="str">
            <v>Tee Soldada PVC de 2"</v>
          </cell>
          <cell r="C407" t="str">
            <v>Und.</v>
          </cell>
          <cell r="D407">
            <v>9614</v>
          </cell>
          <cell r="E407">
            <v>11441</v>
          </cell>
        </row>
        <row r="408">
          <cell r="A408" t="str">
            <v>T2-1/2</v>
          </cell>
          <cell r="B408" t="str">
            <v>Tee Soldada PVC de 2 1/2"</v>
          </cell>
          <cell r="C408" t="str">
            <v>Und.</v>
          </cell>
          <cell r="D408">
            <v>22805</v>
          </cell>
          <cell r="E408">
            <v>27138</v>
          </cell>
        </row>
        <row r="409">
          <cell r="A409" t="str">
            <v>T3</v>
          </cell>
          <cell r="B409" t="str">
            <v>Tee Soldada PVC de 3"</v>
          </cell>
          <cell r="C409" t="str">
            <v>Und.</v>
          </cell>
          <cell r="D409">
            <v>36274</v>
          </cell>
          <cell r="E409">
            <v>43166</v>
          </cell>
        </row>
        <row r="410">
          <cell r="A410" t="str">
            <v>T4</v>
          </cell>
          <cell r="B410" t="str">
            <v>Tee Soldada PVC de 4"</v>
          </cell>
          <cell r="C410" t="str">
            <v>Und.</v>
          </cell>
          <cell r="D410">
            <v>79157</v>
          </cell>
          <cell r="E410">
            <v>94197</v>
          </cell>
        </row>
        <row r="411">
          <cell r="A411" t="str">
            <v>T6</v>
          </cell>
          <cell r="B411" t="str">
            <v>Tee Soldada PVC de 6"</v>
          </cell>
          <cell r="C411" t="str">
            <v>Und.</v>
          </cell>
          <cell r="D411">
            <v>153416</v>
          </cell>
          <cell r="E411">
            <v>182565</v>
          </cell>
        </row>
        <row r="413">
          <cell r="B413" t="str">
            <v>Unión Soldada PVC</v>
          </cell>
        </row>
        <row r="414">
          <cell r="A414" t="str">
            <v>U1/2</v>
          </cell>
          <cell r="B414" t="str">
            <v>Unión Soldada PVC de 1/2"</v>
          </cell>
          <cell r="C414" t="str">
            <v>Und.</v>
          </cell>
          <cell r="D414">
            <v>260</v>
          </cell>
          <cell r="E414">
            <v>309</v>
          </cell>
        </row>
        <row r="415">
          <cell r="A415" t="str">
            <v>U3/4</v>
          </cell>
          <cell r="B415" t="str">
            <v>Unión Soldada PVC de 3/4"</v>
          </cell>
          <cell r="C415" t="str">
            <v>Und.</v>
          </cell>
          <cell r="D415">
            <v>411</v>
          </cell>
          <cell r="E415">
            <v>489</v>
          </cell>
        </row>
        <row r="416">
          <cell r="A416" t="str">
            <v>U1</v>
          </cell>
          <cell r="B416" t="str">
            <v>Unión Soldada PVC de 1"</v>
          </cell>
          <cell r="C416" t="str">
            <v>Und.</v>
          </cell>
          <cell r="D416">
            <v>673</v>
          </cell>
          <cell r="E416">
            <v>801</v>
          </cell>
        </row>
        <row r="417">
          <cell r="A417" t="str">
            <v>U1-1/4</v>
          </cell>
          <cell r="B417" t="str">
            <v>Unión Soldada PVC de 1 1/4"</v>
          </cell>
          <cell r="C417" t="str">
            <v>Und.</v>
          </cell>
          <cell r="D417">
            <v>1235</v>
          </cell>
          <cell r="E417">
            <v>1470</v>
          </cell>
        </row>
        <row r="418">
          <cell r="A418" t="str">
            <v>U1-1/2</v>
          </cell>
          <cell r="B418" t="str">
            <v>Unión Soldada PVC de 1 1/2"</v>
          </cell>
          <cell r="C418" t="str">
            <v>Und.</v>
          </cell>
          <cell r="D418">
            <v>1688</v>
          </cell>
          <cell r="E418">
            <v>2009</v>
          </cell>
        </row>
        <row r="419">
          <cell r="A419" t="str">
            <v>U2</v>
          </cell>
          <cell r="B419" t="str">
            <v>Unión Soldada PVC de 2"</v>
          </cell>
          <cell r="C419" t="str">
            <v>Und.</v>
          </cell>
          <cell r="D419">
            <v>2767</v>
          </cell>
          <cell r="E419">
            <v>3293</v>
          </cell>
        </row>
        <row r="420">
          <cell r="A420" t="str">
            <v>U2-1/2</v>
          </cell>
          <cell r="B420" t="str">
            <v>Unión Soldada PVC de 2 1/2"</v>
          </cell>
          <cell r="C420" t="str">
            <v>Und.</v>
          </cell>
          <cell r="D420">
            <v>10953</v>
          </cell>
          <cell r="E420">
            <v>13034</v>
          </cell>
        </row>
        <row r="421">
          <cell r="A421" t="str">
            <v>U3</v>
          </cell>
          <cell r="B421" t="str">
            <v>Unión Soldada PVC de 3"</v>
          </cell>
          <cell r="C421" t="str">
            <v>Und.</v>
          </cell>
          <cell r="D421">
            <v>13557</v>
          </cell>
          <cell r="E421">
            <v>16133</v>
          </cell>
        </row>
        <row r="422">
          <cell r="A422" t="str">
            <v>U4</v>
          </cell>
          <cell r="B422" t="str">
            <v>Unión Soldada PVC de 4"</v>
          </cell>
          <cell r="C422" t="str">
            <v>Und.</v>
          </cell>
          <cell r="D422">
            <v>29471</v>
          </cell>
          <cell r="E422">
            <v>35070</v>
          </cell>
        </row>
        <row r="424">
          <cell r="B424" t="str">
            <v>Unión Universal PVC</v>
          </cell>
        </row>
        <row r="425">
          <cell r="A425" t="str">
            <v>UU1/2</v>
          </cell>
          <cell r="B425" t="str">
            <v>Unión Universal PVC de 1/2"</v>
          </cell>
          <cell r="C425" t="str">
            <v>Und.</v>
          </cell>
          <cell r="D425">
            <v>2272</v>
          </cell>
          <cell r="E425">
            <v>2704</v>
          </cell>
        </row>
        <row r="426">
          <cell r="A426" t="str">
            <v>UU3/4</v>
          </cell>
          <cell r="B426" t="str">
            <v>Unión Universal PVC de 3/4"</v>
          </cell>
          <cell r="C426" t="str">
            <v>Und.</v>
          </cell>
          <cell r="D426">
            <v>4027</v>
          </cell>
          <cell r="E426">
            <v>4792</v>
          </cell>
        </row>
        <row r="427">
          <cell r="A427" t="str">
            <v>UU1</v>
          </cell>
          <cell r="B427" t="str">
            <v>Unión Universal PVC de 1"</v>
          </cell>
          <cell r="C427" t="str">
            <v>Und.</v>
          </cell>
          <cell r="D427">
            <v>6090</v>
          </cell>
          <cell r="E427">
            <v>7247</v>
          </cell>
        </row>
        <row r="428">
          <cell r="A428" t="str">
            <v>UU1-1/4</v>
          </cell>
          <cell r="B428" t="str">
            <v>Unión Universal PVC de 1 1/4"</v>
          </cell>
          <cell r="C428" t="str">
            <v>Und.</v>
          </cell>
          <cell r="D428">
            <v>10996</v>
          </cell>
          <cell r="E428">
            <v>13085</v>
          </cell>
        </row>
        <row r="429">
          <cell r="A429" t="str">
            <v>UU1-1/2</v>
          </cell>
          <cell r="B429" t="str">
            <v>Unión Universal PVC de 1 1/2"</v>
          </cell>
          <cell r="C429" t="str">
            <v>Und.</v>
          </cell>
          <cell r="D429">
            <v>18865</v>
          </cell>
          <cell r="E429">
            <v>22449</v>
          </cell>
        </row>
        <row r="430">
          <cell r="A430" t="str">
            <v>UU2</v>
          </cell>
          <cell r="B430" t="str">
            <v>Unión Universal PVC de 2"</v>
          </cell>
          <cell r="C430" t="str">
            <v>Und.</v>
          </cell>
          <cell r="D430">
            <v>24125</v>
          </cell>
          <cell r="E430">
            <v>28709</v>
          </cell>
        </row>
        <row r="432">
          <cell r="B432" t="str">
            <v>Válvula de Bola PVC</v>
          </cell>
        </row>
        <row r="433">
          <cell r="A433" t="str">
            <v>VB1/2</v>
          </cell>
          <cell r="B433" t="str">
            <v>Válvula de Bola PVC de 1/2"</v>
          </cell>
          <cell r="C433" t="str">
            <v>Und.</v>
          </cell>
          <cell r="D433">
            <v>3539</v>
          </cell>
          <cell r="E433">
            <v>4211</v>
          </cell>
        </row>
        <row r="434">
          <cell r="A434" t="str">
            <v>VB3/4</v>
          </cell>
          <cell r="B434" t="str">
            <v>Válvula de Bola PVC de 3/4"</v>
          </cell>
          <cell r="C434" t="str">
            <v>Und.</v>
          </cell>
          <cell r="D434">
            <v>6262</v>
          </cell>
          <cell r="E434">
            <v>7452</v>
          </cell>
        </row>
        <row r="435">
          <cell r="A435" t="str">
            <v>VB1</v>
          </cell>
          <cell r="B435" t="str">
            <v>Válvula de Bola PVC de 1"</v>
          </cell>
          <cell r="C435" t="str">
            <v>Und.</v>
          </cell>
          <cell r="D435">
            <v>8077</v>
          </cell>
          <cell r="E435">
            <v>9612</v>
          </cell>
        </row>
        <row r="437">
          <cell r="B437" t="str">
            <v>Tubería PVC Sanitaria Aguas Lluvias</v>
          </cell>
        </row>
        <row r="438">
          <cell r="A438" t="str">
            <v>ALL1-1/2</v>
          </cell>
          <cell r="B438" t="str">
            <v>Tubería PVC Sanitaria Aguas Lluvias de 1 1/2"</v>
          </cell>
          <cell r="C438" t="str">
            <v>m.</v>
          </cell>
          <cell r="D438">
            <v>6306</v>
          </cell>
          <cell r="E438">
            <v>7504</v>
          </cell>
        </row>
        <row r="439">
          <cell r="A439" t="str">
            <v>ALL2</v>
          </cell>
          <cell r="B439" t="str">
            <v>Tubería PVC Sanitaria Aguas Lluvias de 2"</v>
          </cell>
          <cell r="C439" t="str">
            <v>m.</v>
          </cell>
          <cell r="D439">
            <v>7818</v>
          </cell>
          <cell r="E439">
            <v>9303</v>
          </cell>
        </row>
        <row r="440">
          <cell r="A440" t="str">
            <v>ALL3</v>
          </cell>
          <cell r="B440" t="str">
            <v>Tubería PVC Sanitaria Aguas Lluvias de 3"</v>
          </cell>
          <cell r="C440" t="str">
            <v>m.</v>
          </cell>
          <cell r="D440">
            <v>11677</v>
          </cell>
          <cell r="E440">
            <v>13896</v>
          </cell>
        </row>
        <row r="441">
          <cell r="A441" t="str">
            <v>ALL4</v>
          </cell>
          <cell r="B441" t="str">
            <v>Tubería PVC Sanitaria Aguas Lluvias de 4"</v>
          </cell>
          <cell r="C441" t="str">
            <v>m.</v>
          </cell>
          <cell r="D441">
            <v>16273</v>
          </cell>
          <cell r="E441">
            <v>19365</v>
          </cell>
        </row>
        <row r="442">
          <cell r="A442" t="str">
            <v>ALL6</v>
          </cell>
          <cell r="B442" t="str">
            <v>Tubería PVC Sanitaria Aguas Lluvias de 6"</v>
          </cell>
          <cell r="C442" t="str">
            <v>m.</v>
          </cell>
          <cell r="D442">
            <v>34461</v>
          </cell>
          <cell r="E442">
            <v>41009</v>
          </cell>
        </row>
        <row r="443">
          <cell r="A443" t="str">
            <v>ALL8</v>
          </cell>
          <cell r="B443" t="str">
            <v>Tubería PVC Sanitaria Aguas Lluvias de 8"</v>
          </cell>
          <cell r="C443" t="str">
            <v>m.</v>
          </cell>
          <cell r="D443">
            <v>61995</v>
          </cell>
          <cell r="E443">
            <v>73774</v>
          </cell>
        </row>
        <row r="444">
          <cell r="A444" t="str">
            <v>ALL10</v>
          </cell>
          <cell r="B444" t="str">
            <v>Tubería PVC Sanitaria Aguas Lluvias de 10"</v>
          </cell>
          <cell r="C444" t="str">
            <v>m.</v>
          </cell>
          <cell r="D444">
            <v>96711</v>
          </cell>
          <cell r="E444">
            <v>115086</v>
          </cell>
        </row>
        <row r="446">
          <cell r="B446" t="str">
            <v>Soldadura PVC</v>
          </cell>
        </row>
        <row r="447">
          <cell r="A447" t="str">
            <v>SOL1/4</v>
          </cell>
          <cell r="B447" t="str">
            <v>Soldadura PVC x 1/4 gal</v>
          </cell>
          <cell r="C447" t="str">
            <v>Gal.</v>
          </cell>
          <cell r="D447">
            <v>75216.930000000008</v>
          </cell>
          <cell r="E447">
            <v>89508</v>
          </cell>
        </row>
        <row r="448">
          <cell r="A448" t="str">
            <v>SOL1/8</v>
          </cell>
          <cell r="B448" t="str">
            <v>Soldadura PVC x 1/8 gal</v>
          </cell>
          <cell r="C448" t="str">
            <v>Gal.</v>
          </cell>
          <cell r="D448">
            <v>38867.760000000002</v>
          </cell>
          <cell r="E448">
            <v>46253</v>
          </cell>
        </row>
        <row r="449">
          <cell r="A449" t="str">
            <v>SOL1/16</v>
          </cell>
          <cell r="B449" t="str">
            <v>Soldadura PVC x 1/16 gal</v>
          </cell>
          <cell r="C449" t="str">
            <v>Gal.</v>
          </cell>
          <cell r="D449">
            <v>24027.06</v>
          </cell>
          <cell r="E449">
            <v>28592</v>
          </cell>
        </row>
        <row r="450">
          <cell r="A450" t="str">
            <v>SOL1/32</v>
          </cell>
          <cell r="B450" t="str">
            <v>Soldadura PVC x 1/32 gal</v>
          </cell>
          <cell r="C450" t="str">
            <v>Gal.</v>
          </cell>
          <cell r="D450">
            <v>14321.220000000001</v>
          </cell>
          <cell r="E450">
            <v>17042</v>
          </cell>
        </row>
        <row r="451">
          <cell r="A451" t="str">
            <v>SOL1/64</v>
          </cell>
          <cell r="B451" t="str">
            <v>Soldadura PVC x 1/64 gal</v>
          </cell>
          <cell r="C451" t="str">
            <v>Gal.</v>
          </cell>
          <cell r="D451">
            <v>8366.0700000000015</v>
          </cell>
          <cell r="E451">
            <v>9956</v>
          </cell>
        </row>
        <row r="452">
          <cell r="A452" t="str">
            <v>SOL1/168</v>
          </cell>
          <cell r="B452" t="str">
            <v>Soldadura PVC x 1/168 gal</v>
          </cell>
          <cell r="C452" t="str">
            <v>Gal.</v>
          </cell>
          <cell r="D452">
            <v>4269.0600000000004</v>
          </cell>
          <cell r="E452">
            <v>5080</v>
          </cell>
        </row>
        <row r="454">
          <cell r="B454" t="str">
            <v>Lubricante PVC</v>
          </cell>
        </row>
        <row r="455">
          <cell r="A455" t="str">
            <v>LUB</v>
          </cell>
          <cell r="B455" t="str">
            <v>Lubricante PVC x 500 gr.</v>
          </cell>
          <cell r="C455" t="str">
            <v>gr.</v>
          </cell>
          <cell r="D455">
            <v>17140.620000000003</v>
          </cell>
          <cell r="E455">
            <v>20397</v>
          </cell>
        </row>
        <row r="457">
          <cell r="B457" t="str">
            <v>Limpiador PVC</v>
          </cell>
        </row>
        <row r="458">
          <cell r="A458" t="str">
            <v>LIM1/4</v>
          </cell>
          <cell r="B458" t="str">
            <v>Limpiador PVC x 1/4.</v>
          </cell>
          <cell r="C458" t="str">
            <v>Gal.</v>
          </cell>
          <cell r="D458">
            <v>43159.08660000001</v>
          </cell>
          <cell r="E458">
            <v>51359</v>
          </cell>
        </row>
        <row r="459">
          <cell r="A459" t="str">
            <v>LIM12</v>
          </cell>
          <cell r="B459" t="str">
            <v>Limpiador PVC x 12 onzas</v>
          </cell>
          <cell r="C459" t="str">
            <v>Oz.</v>
          </cell>
          <cell r="D459">
            <v>23444.654100000003</v>
          </cell>
          <cell r="E459">
            <v>27899</v>
          </cell>
        </row>
        <row r="460">
          <cell r="A460" t="str">
            <v>LIM1/32</v>
          </cell>
          <cell r="B460" t="str">
            <v>Limpiador PVC x 1/32.</v>
          </cell>
          <cell r="C460" t="str">
            <v>Gal.</v>
          </cell>
          <cell r="D460">
            <v>7521.2046</v>
          </cell>
          <cell r="E460">
            <v>8950</v>
          </cell>
        </row>
        <row r="461">
          <cell r="A461" t="str">
            <v>LIM1/64</v>
          </cell>
          <cell r="B461" t="str">
            <v>Limpiador PVC x 1/64.</v>
          </cell>
          <cell r="C461" t="str">
            <v>Gal.</v>
          </cell>
          <cell r="D461">
            <v>4082.9019000000003</v>
          </cell>
          <cell r="E461">
            <v>4859</v>
          </cell>
        </row>
        <row r="462">
          <cell r="A462" t="str">
            <v>LIM1/168</v>
          </cell>
          <cell r="B462" t="str">
            <v>Limpiador PVC x 1/168.</v>
          </cell>
          <cell r="C462" t="str">
            <v>Gal.</v>
          </cell>
          <cell r="D462">
            <v>2847.8604</v>
          </cell>
          <cell r="E462">
            <v>3389</v>
          </cell>
        </row>
        <row r="464">
          <cell r="A464" t="str">
            <v>TUBERÍA PVC UNIÓN MECÁNICA</v>
          </cell>
        </row>
        <row r="465">
          <cell r="B465" t="str">
            <v>Tubería PVC Unión Mecánica</v>
          </cell>
          <cell r="C465" t="str">
            <v>RDE 13.5 (315 PSI)</v>
          </cell>
        </row>
        <row r="466">
          <cell r="A466" t="str">
            <v>TUM213.5</v>
          </cell>
          <cell r="B466" t="str">
            <v>Tubería PVC Unión Mecánica de 2" RDE 13.5 (315 PSI)</v>
          </cell>
          <cell r="C466" t="str">
            <v>m.</v>
          </cell>
          <cell r="D466">
            <v>13270</v>
          </cell>
          <cell r="E466">
            <v>15791</v>
          </cell>
        </row>
        <row r="467">
          <cell r="A467" t="str">
            <v>TUM313.5</v>
          </cell>
          <cell r="B467" t="str">
            <v>Tubería PVC Unión Mecánica de 3" RDE 13.5 (315 PSI)</v>
          </cell>
          <cell r="C467" t="str">
            <v>m.</v>
          </cell>
          <cell r="D467">
            <v>29281</v>
          </cell>
          <cell r="E467">
            <v>34844</v>
          </cell>
        </row>
        <row r="468">
          <cell r="A468" t="str">
            <v>TUM413.5</v>
          </cell>
          <cell r="B468" t="str">
            <v>Tubería PVC Unión Mecánica de 4" RDE 13.5 (315 PSI)</v>
          </cell>
          <cell r="C468" t="str">
            <v>m.</v>
          </cell>
          <cell r="D468">
            <v>46797</v>
          </cell>
          <cell r="E468">
            <v>55688</v>
          </cell>
        </row>
        <row r="469">
          <cell r="A469" t="str">
            <v>TUM613.5</v>
          </cell>
          <cell r="B469" t="str">
            <v>Tubería PVC Unión Mecánica de 6" RDE 13.5 (315 PSI)</v>
          </cell>
          <cell r="C469" t="str">
            <v>m.</v>
          </cell>
          <cell r="D469">
            <v>113532</v>
          </cell>
          <cell r="E469">
            <v>135103</v>
          </cell>
        </row>
        <row r="470">
          <cell r="A470" t="str">
            <v>TUM813.5</v>
          </cell>
          <cell r="B470" t="str">
            <v>Tubería PVC Unión Mecánica de 8" RDE 13.5 (315 PSI)</v>
          </cell>
          <cell r="C470" t="str">
            <v>m.</v>
          </cell>
          <cell r="D470">
            <v>192406</v>
          </cell>
          <cell r="E470">
            <v>228963</v>
          </cell>
        </row>
        <row r="471">
          <cell r="A471" t="str">
            <v>TUM1013.5</v>
          </cell>
          <cell r="B471" t="str">
            <v>Tubería PVC Unión Mecánica de 10" RDE 13.5 (315 PSI)</v>
          </cell>
          <cell r="C471" t="str">
            <v>m.</v>
          </cell>
          <cell r="D471">
            <v>285183</v>
          </cell>
          <cell r="E471">
            <v>339368</v>
          </cell>
        </row>
        <row r="472">
          <cell r="A472" t="str">
            <v>TUM1213.5</v>
          </cell>
          <cell r="B472" t="str">
            <v>Tubería PVC Unión Mecánica de 12" RDE 13.5 (315 PSI)</v>
          </cell>
          <cell r="C472" t="str">
            <v>m.</v>
          </cell>
          <cell r="D472">
            <v>403006</v>
          </cell>
          <cell r="E472">
            <v>479577</v>
          </cell>
        </row>
        <row r="473">
          <cell r="A473" t="str">
            <v>TUM1413.5</v>
          </cell>
          <cell r="B473" t="str">
            <v>Tubería PVC Unión Mecánica de 14" RDE 13.5 (315 PSI)</v>
          </cell>
          <cell r="C473" t="str">
            <v>m.</v>
          </cell>
          <cell r="D473">
            <v>476237</v>
          </cell>
          <cell r="E473">
            <v>566722</v>
          </cell>
        </row>
        <row r="475">
          <cell r="B475" t="str">
            <v>Tubería PVC Unión Mecánica</v>
          </cell>
          <cell r="C475" t="str">
            <v>RDE 21 (200 PSI)</v>
          </cell>
        </row>
        <row r="476">
          <cell r="A476" t="str">
            <v>TUM221</v>
          </cell>
          <cell r="B476" t="str">
            <v>Tubería PVC Unión Mecánica de 2" RDE 21 (200 PSI)</v>
          </cell>
          <cell r="C476" t="str">
            <v>m.</v>
          </cell>
          <cell r="D476">
            <v>7100</v>
          </cell>
          <cell r="E476">
            <v>8449</v>
          </cell>
        </row>
        <row r="477">
          <cell r="A477" t="str">
            <v>TUM2-1/221</v>
          </cell>
          <cell r="B477" t="str">
            <v>Tubería PVC Unión Mecánica de 2 1/2" RDE 21 (200 PSI)</v>
          </cell>
          <cell r="C477" t="str">
            <v>m.</v>
          </cell>
          <cell r="D477">
            <v>10414</v>
          </cell>
          <cell r="E477">
            <v>12393</v>
          </cell>
        </row>
        <row r="478">
          <cell r="A478" t="str">
            <v>TUM321</v>
          </cell>
          <cell r="B478" t="str">
            <v>Tubería PVC Unión Mecánica de 3" RDE 21 (200 PSI)</v>
          </cell>
          <cell r="C478" t="str">
            <v>m.</v>
          </cell>
          <cell r="D478">
            <v>15538</v>
          </cell>
          <cell r="E478">
            <v>18490</v>
          </cell>
        </row>
        <row r="479">
          <cell r="A479" t="str">
            <v>TUM421</v>
          </cell>
          <cell r="B479" t="str">
            <v>Tubería PVC Unión Mecánica de 4" RDE 21 (200 PSI)</v>
          </cell>
          <cell r="C479" t="str">
            <v>m.</v>
          </cell>
          <cell r="D479">
            <v>25636</v>
          </cell>
          <cell r="E479">
            <v>30507</v>
          </cell>
          <cell r="F479">
            <v>153</v>
          </cell>
          <cell r="G479">
            <v>50</v>
          </cell>
        </row>
        <row r="480">
          <cell r="A480" t="str">
            <v>TUM621</v>
          </cell>
          <cell r="B480" t="str">
            <v>Tubería PVC Unión Mecánica de 6" RDE 21 (200 PSI)</v>
          </cell>
          <cell r="C480" t="str">
            <v>m.</v>
          </cell>
          <cell r="D480">
            <v>55977</v>
          </cell>
          <cell r="E480">
            <v>66613</v>
          </cell>
          <cell r="F480">
            <v>153</v>
          </cell>
          <cell r="G480">
            <v>50</v>
          </cell>
        </row>
        <row r="481">
          <cell r="A481" t="str">
            <v>TUM821</v>
          </cell>
          <cell r="B481" t="str">
            <v>Tubería PVC Unión Mecánica de 8" RDE 21 (200 PSI)</v>
          </cell>
          <cell r="C481" t="str">
            <v>m.</v>
          </cell>
          <cell r="D481">
            <v>94817</v>
          </cell>
          <cell r="E481">
            <v>112832</v>
          </cell>
          <cell r="F481">
            <v>153</v>
          </cell>
          <cell r="G481">
            <v>50</v>
          </cell>
        </row>
        <row r="482">
          <cell r="A482" t="str">
            <v>TUM1021</v>
          </cell>
          <cell r="B482" t="str">
            <v>Tubería PVC Unión Mecánica de 10" RDE 21 (200 PSI)</v>
          </cell>
          <cell r="C482" t="str">
            <v>m.</v>
          </cell>
          <cell r="D482">
            <v>149262</v>
          </cell>
          <cell r="E482">
            <v>177622</v>
          </cell>
        </row>
        <row r="483">
          <cell r="A483" t="str">
            <v>TUM1221</v>
          </cell>
          <cell r="B483" t="str">
            <v>Tubería PVC Unión Mecánica de 12" RDE 21 (200 PSI)</v>
          </cell>
          <cell r="C483" t="str">
            <v>m.</v>
          </cell>
          <cell r="D483">
            <v>208846</v>
          </cell>
          <cell r="E483">
            <v>248527</v>
          </cell>
        </row>
        <row r="484">
          <cell r="A484" t="str">
            <v>TUM1421</v>
          </cell>
          <cell r="B484" t="str">
            <v>Tubería PVC Unión Mecánica de 14" RDE 21 (200 PSI)</v>
          </cell>
          <cell r="C484" t="str">
            <v>m.</v>
          </cell>
          <cell r="D484">
            <v>258994</v>
          </cell>
          <cell r="E484">
            <v>308203</v>
          </cell>
        </row>
        <row r="485">
          <cell r="A485" t="str">
            <v>TUM1621</v>
          </cell>
          <cell r="B485" t="str">
            <v>Tubería PVC Unión Mecánica de 16" RDE 21 (200 PSI)</v>
          </cell>
          <cell r="C485" t="str">
            <v>m.</v>
          </cell>
          <cell r="D485">
            <v>339934</v>
          </cell>
          <cell r="E485">
            <v>404521</v>
          </cell>
        </row>
        <row r="486">
          <cell r="A486" t="str">
            <v>TUM1821</v>
          </cell>
          <cell r="B486" t="str">
            <v>Tubería PVC Unión Mecánica de 18" RDE 21 (200 PSI)</v>
          </cell>
          <cell r="C486" t="str">
            <v>m.</v>
          </cell>
          <cell r="D486">
            <v>436285</v>
          </cell>
          <cell r="E486">
            <v>519179</v>
          </cell>
        </row>
        <row r="487">
          <cell r="A487" t="str">
            <v>TUM2021</v>
          </cell>
          <cell r="B487" t="str">
            <v>Tubería PVC Unión Mecánica de 20" RDE 21 (200 PSI)</v>
          </cell>
          <cell r="C487" t="str">
            <v>m.</v>
          </cell>
          <cell r="D487">
            <v>543596</v>
          </cell>
          <cell r="E487">
            <v>646879</v>
          </cell>
        </row>
        <row r="488">
          <cell r="A488" t="str">
            <v>TUM2421</v>
          </cell>
          <cell r="B488" t="str">
            <v>Tubería PVC Unión Mecánica de 24" RDE 21 (200 PSI)</v>
          </cell>
          <cell r="C488" t="str">
            <v>m.</v>
          </cell>
          <cell r="D488">
            <v>876110</v>
          </cell>
          <cell r="E488">
            <v>1042571</v>
          </cell>
        </row>
        <row r="490">
          <cell r="B490" t="str">
            <v>Tubería PVC Unión Mecánica</v>
          </cell>
          <cell r="C490" t="str">
            <v>RDE 26 (160 PSI)</v>
          </cell>
        </row>
        <row r="491">
          <cell r="A491" t="str">
            <v>TUM226</v>
          </cell>
          <cell r="B491" t="str">
            <v>Tubería PVC Unión Mecánica de 2" RDE 26 (160 PSI)</v>
          </cell>
          <cell r="C491" t="str">
            <v>m.</v>
          </cell>
          <cell r="D491">
            <v>5950</v>
          </cell>
          <cell r="E491">
            <v>7081</v>
          </cell>
        </row>
        <row r="492">
          <cell r="A492" t="str">
            <v>TUM2-1/226</v>
          </cell>
          <cell r="B492" t="str">
            <v>Tubería PVC Unión Mecánica de 2 1/2" RDE 26 (160 PSI)</v>
          </cell>
          <cell r="C492" t="str">
            <v>m.</v>
          </cell>
          <cell r="D492">
            <v>8785</v>
          </cell>
          <cell r="E492">
            <v>10454</v>
          </cell>
        </row>
        <row r="493">
          <cell r="A493" t="str">
            <v>TUM326</v>
          </cell>
          <cell r="B493" t="str">
            <v>Tubería PVC Unión Mecánica de 3" RDE 26 (160 PSI)</v>
          </cell>
          <cell r="C493" t="str">
            <v>m.</v>
          </cell>
          <cell r="D493">
            <v>13089</v>
          </cell>
          <cell r="E493">
            <v>15576</v>
          </cell>
        </row>
        <row r="494">
          <cell r="A494" t="str">
            <v>TUM426</v>
          </cell>
          <cell r="B494" t="str">
            <v>Tubería PVC Unión Mecánica de 4" RDE 26 (160 PSI)</v>
          </cell>
          <cell r="C494" t="str">
            <v>m.</v>
          </cell>
          <cell r="D494">
            <v>21619</v>
          </cell>
          <cell r="E494">
            <v>25727</v>
          </cell>
        </row>
        <row r="495">
          <cell r="A495" t="str">
            <v>TUM626</v>
          </cell>
          <cell r="B495" t="str">
            <v>Tubería PVC Unión Mecánica de 6" RDE 26 (160 PSI)</v>
          </cell>
          <cell r="C495" t="str">
            <v>m.</v>
          </cell>
          <cell r="D495">
            <v>46310</v>
          </cell>
          <cell r="E495">
            <v>55109</v>
          </cell>
        </row>
        <row r="496">
          <cell r="A496" t="str">
            <v>TUM826</v>
          </cell>
          <cell r="B496" t="str">
            <v>Tubería PVC Unión Mecánica de 8" RDE 26 (160 PSI)</v>
          </cell>
          <cell r="C496" t="str">
            <v>m.</v>
          </cell>
          <cell r="D496">
            <v>78783</v>
          </cell>
          <cell r="E496">
            <v>93752</v>
          </cell>
        </row>
        <row r="497">
          <cell r="A497" t="str">
            <v>TUM1026</v>
          </cell>
          <cell r="B497" t="str">
            <v>Tubería PVC Unión Mecánica de 10" RDE 26 (160 PSI)</v>
          </cell>
          <cell r="C497" t="str">
            <v>m.</v>
          </cell>
          <cell r="D497">
            <v>122628</v>
          </cell>
          <cell r="E497">
            <v>145927</v>
          </cell>
        </row>
        <row r="498">
          <cell r="A498" t="str">
            <v>TUM1226</v>
          </cell>
          <cell r="B498" t="str">
            <v>Tubería PVC Unión Mecánica de 12" RDE 26 (160 PSI)</v>
          </cell>
          <cell r="C498" t="str">
            <v>m.</v>
          </cell>
          <cell r="D498">
            <v>172863</v>
          </cell>
          <cell r="E498">
            <v>205707</v>
          </cell>
        </row>
        <row r="499">
          <cell r="A499" t="str">
            <v>TUM1426</v>
          </cell>
          <cell r="B499" t="str">
            <v>Tubería PVC Unión Mecánica de 14" RDE 26 (160 PSI)</v>
          </cell>
          <cell r="C499" t="str">
            <v>m.</v>
          </cell>
          <cell r="D499">
            <v>215086</v>
          </cell>
          <cell r="E499">
            <v>255952</v>
          </cell>
        </row>
        <row r="500">
          <cell r="A500" t="str">
            <v>TUM1626</v>
          </cell>
          <cell r="B500" t="str">
            <v>Tubería PVC Unión Mecánica de 16" RDE 26 (160 PSI)</v>
          </cell>
          <cell r="C500" t="str">
            <v>m.</v>
          </cell>
          <cell r="D500">
            <v>285373</v>
          </cell>
          <cell r="E500">
            <v>339594</v>
          </cell>
        </row>
        <row r="501">
          <cell r="A501" t="str">
            <v>TUM1826</v>
          </cell>
          <cell r="B501" t="str">
            <v>Tubería PVC Unión Mecánica de 18" RDE 26 (160 PSI)</v>
          </cell>
          <cell r="C501" t="str">
            <v>m.</v>
          </cell>
          <cell r="D501">
            <v>365790</v>
          </cell>
          <cell r="E501">
            <v>435290</v>
          </cell>
        </row>
        <row r="502">
          <cell r="A502" t="str">
            <v>TUM2026</v>
          </cell>
          <cell r="B502" t="str">
            <v>Tubería PVC Unión Mecánica de 20" RDE 26 (160 PSI)</v>
          </cell>
          <cell r="C502" t="str">
            <v>m.</v>
          </cell>
          <cell r="D502">
            <v>471290</v>
          </cell>
          <cell r="E502">
            <v>560835</v>
          </cell>
        </row>
        <row r="504">
          <cell r="B504" t="str">
            <v>Tubería PVC Unión Mecánica</v>
          </cell>
          <cell r="C504" t="str">
            <v>RDE 32.5 (125 PSI)</v>
          </cell>
        </row>
        <row r="505">
          <cell r="A505" t="str">
            <v>TUM232.5</v>
          </cell>
          <cell r="B505" t="str">
            <v>Tubería PVC Unión Mecánica de 2" RDE 32.5 (125 PSI)</v>
          </cell>
          <cell r="C505" t="str">
            <v>m.</v>
          </cell>
          <cell r="D505">
            <v>4840</v>
          </cell>
          <cell r="E505">
            <v>5760</v>
          </cell>
        </row>
        <row r="506">
          <cell r="A506" t="str">
            <v>TUM332.5</v>
          </cell>
          <cell r="B506" t="str">
            <v>Tubería PVC Unión Mecánica de 3" RDE 32.5 (125 PSI)</v>
          </cell>
          <cell r="C506" t="str">
            <v>m.</v>
          </cell>
          <cell r="D506">
            <v>10515</v>
          </cell>
          <cell r="E506">
            <v>12513</v>
          </cell>
        </row>
        <row r="507">
          <cell r="A507" t="str">
            <v>TUM432.5</v>
          </cell>
          <cell r="B507" t="str">
            <v>Tubería PVC Unión Mecánica de 4" RDE 32.5 (125 PSI)</v>
          </cell>
          <cell r="C507" t="str">
            <v>m.</v>
          </cell>
          <cell r="D507">
            <v>17334</v>
          </cell>
          <cell r="E507">
            <v>20627</v>
          </cell>
        </row>
        <row r="508">
          <cell r="A508" t="str">
            <v>TUM632.5</v>
          </cell>
          <cell r="B508" t="str">
            <v>Tubería PVC Unión Mecánica de 6" RDE 32.5 (125 PSI)</v>
          </cell>
          <cell r="C508" t="str">
            <v>m.</v>
          </cell>
          <cell r="D508">
            <v>37784</v>
          </cell>
          <cell r="E508">
            <v>44963</v>
          </cell>
        </row>
        <row r="509">
          <cell r="A509" t="str">
            <v>TUM832.5</v>
          </cell>
          <cell r="B509" t="str">
            <v>Tubería PVC Unión Mecánica de 8" RDE 32.5 (125 PSI)</v>
          </cell>
          <cell r="C509" t="str">
            <v>m.</v>
          </cell>
          <cell r="D509">
            <v>64292</v>
          </cell>
          <cell r="E509">
            <v>76507</v>
          </cell>
        </row>
        <row r="510">
          <cell r="A510" t="str">
            <v>TUM1032.5</v>
          </cell>
          <cell r="B510" t="str">
            <v>Tubería PVC Unión Mecánica de 10" RDE 32.5 (125 PSI)</v>
          </cell>
          <cell r="C510" t="str">
            <v>m.</v>
          </cell>
          <cell r="D510">
            <v>100497</v>
          </cell>
          <cell r="E510">
            <v>119591</v>
          </cell>
        </row>
        <row r="511">
          <cell r="A511" t="str">
            <v>TUM1232.5</v>
          </cell>
          <cell r="B511" t="str">
            <v>Tubería PVC Unión Mecánica de 12" RDE 32.5 (125 PSI)</v>
          </cell>
          <cell r="C511" t="str">
            <v>m.</v>
          </cell>
          <cell r="D511">
            <v>141574</v>
          </cell>
          <cell r="E511">
            <v>168473</v>
          </cell>
        </row>
        <row r="512">
          <cell r="A512" t="str">
            <v>TUM1432.5</v>
          </cell>
          <cell r="B512" t="str">
            <v>Tubería PVC Unión Mecánica de 14" RDE 32.5 (125 PSI)</v>
          </cell>
          <cell r="C512" t="str">
            <v>m.</v>
          </cell>
          <cell r="D512">
            <v>175275</v>
          </cell>
          <cell r="E512">
            <v>208577</v>
          </cell>
        </row>
        <row r="513">
          <cell r="A513" t="str">
            <v>TUM1632.5</v>
          </cell>
          <cell r="B513" t="str">
            <v>Tubería PVC Unión Mecánica de 16" RDE 32.5 (125 PSI)</v>
          </cell>
          <cell r="C513" t="str">
            <v>m.</v>
          </cell>
          <cell r="D513">
            <v>233100</v>
          </cell>
          <cell r="E513">
            <v>277389</v>
          </cell>
        </row>
        <row r="514">
          <cell r="A514" t="str">
            <v>TUM1832.5</v>
          </cell>
          <cell r="B514" t="str">
            <v>Tubería PVC Unión Mecánica de 18" RDE 32.5 (125 PSI)</v>
          </cell>
          <cell r="C514" t="str">
            <v>m.</v>
          </cell>
          <cell r="D514">
            <v>295549</v>
          </cell>
          <cell r="E514">
            <v>351703</v>
          </cell>
        </row>
        <row r="515">
          <cell r="A515" t="str">
            <v>TUM2032.5</v>
          </cell>
          <cell r="B515" t="str">
            <v>Tubería PVC Unión Mecánica de 20" RDE 32.5 (125 PSI)</v>
          </cell>
          <cell r="C515" t="str">
            <v>m.</v>
          </cell>
          <cell r="D515">
            <v>387131</v>
          </cell>
          <cell r="E515">
            <v>460686</v>
          </cell>
        </row>
        <row r="516">
          <cell r="A516" t="str">
            <v>TUM2432.5</v>
          </cell>
          <cell r="B516" t="str">
            <v>Tubería PVC Unión Mecánica de 24" RDE 32.5 (125 PSI)</v>
          </cell>
          <cell r="C516" t="str">
            <v>m.</v>
          </cell>
          <cell r="D516">
            <v>554928</v>
          </cell>
          <cell r="E516">
            <v>660364</v>
          </cell>
        </row>
        <row r="518">
          <cell r="B518" t="str">
            <v>Tubería PVC Unión Mecánica</v>
          </cell>
          <cell r="C518" t="str">
            <v>RDE 41 (100 PSI)</v>
          </cell>
        </row>
        <row r="519">
          <cell r="A519" t="str">
            <v>TUM241</v>
          </cell>
          <cell r="B519" t="str">
            <v>Tubería PVC Unión Mecánica de 2" RDE 41 (100 PSI)</v>
          </cell>
          <cell r="C519" t="str">
            <v>m.</v>
          </cell>
          <cell r="D519">
            <v>4119</v>
          </cell>
          <cell r="E519">
            <v>4902</v>
          </cell>
        </row>
        <row r="520">
          <cell r="A520" t="str">
            <v>TUM341</v>
          </cell>
          <cell r="B520" t="str">
            <v>Tubería PVC Unión Mecánica de 3" RDE 41 (100 PSI)</v>
          </cell>
          <cell r="C520" t="str">
            <v>m.</v>
          </cell>
          <cell r="D520">
            <v>8534</v>
          </cell>
          <cell r="E520">
            <v>10155</v>
          </cell>
        </row>
        <row r="521">
          <cell r="A521" t="str">
            <v>TUM441</v>
          </cell>
          <cell r="B521" t="str">
            <v>Tubería PVC Unión Mecánica de 4" RDE 41 (100 PSI)</v>
          </cell>
          <cell r="C521" t="str">
            <v>m.</v>
          </cell>
          <cell r="D521">
            <v>14366</v>
          </cell>
          <cell r="E521">
            <v>17096</v>
          </cell>
        </row>
        <row r="522">
          <cell r="A522" t="str">
            <v>TUM641</v>
          </cell>
          <cell r="B522" t="str">
            <v>Tubería PVC Unión Mecánica de 6" RDE 41 (100 PSI)</v>
          </cell>
          <cell r="C522" t="str">
            <v>m.</v>
          </cell>
          <cell r="D522">
            <v>30456</v>
          </cell>
          <cell r="E522">
            <v>36243</v>
          </cell>
        </row>
        <row r="523">
          <cell r="A523" t="str">
            <v>TUM841</v>
          </cell>
          <cell r="B523" t="str">
            <v>Tubería PVC Unión Mecánica de 8" RDE 41 (100 PSI)</v>
          </cell>
          <cell r="C523" t="str">
            <v>m.</v>
          </cell>
          <cell r="D523">
            <v>51442</v>
          </cell>
          <cell r="E523">
            <v>61216</v>
          </cell>
        </row>
        <row r="524">
          <cell r="A524" t="str">
            <v>TUM1041</v>
          </cell>
          <cell r="B524" t="str">
            <v>Tubería PVC Unión Mecánica de 10" RDE 41 (100 PSI)</v>
          </cell>
          <cell r="C524" t="str">
            <v>m.</v>
          </cell>
          <cell r="D524">
            <v>80442</v>
          </cell>
          <cell r="E524">
            <v>95726</v>
          </cell>
        </row>
        <row r="525">
          <cell r="A525" t="str">
            <v>TUM1241</v>
          </cell>
          <cell r="B525" t="str">
            <v>Tubería PVC Unión Mecánica de 12" RDE 41 (100 PSI)</v>
          </cell>
          <cell r="C525" t="str">
            <v>m.</v>
          </cell>
          <cell r="D525">
            <v>113926</v>
          </cell>
          <cell r="E525">
            <v>135572</v>
          </cell>
        </row>
        <row r="526">
          <cell r="A526" t="str">
            <v>TUM1441</v>
          </cell>
          <cell r="B526" t="str">
            <v>Tubería PVC Unión Mecánica de 14" RDE 41 (100 PSI)</v>
          </cell>
          <cell r="C526" t="str">
            <v>m.</v>
          </cell>
          <cell r="D526">
            <v>143872</v>
          </cell>
          <cell r="E526">
            <v>171208</v>
          </cell>
        </row>
        <row r="527">
          <cell r="A527" t="str">
            <v>TUM1641</v>
          </cell>
          <cell r="B527" t="str">
            <v>Tubería PVC Unión Mecánica de 16" RDE 41 (100 PSI)</v>
          </cell>
          <cell r="C527" t="str">
            <v>m.</v>
          </cell>
          <cell r="D527">
            <v>193678</v>
          </cell>
          <cell r="E527">
            <v>230477</v>
          </cell>
        </row>
        <row r="528">
          <cell r="A528" t="str">
            <v>TUM1841</v>
          </cell>
          <cell r="B528" t="str">
            <v>Tubería PVC Unión Mecánica de 18" RDE 41 (100 PSI)</v>
          </cell>
          <cell r="C528" t="str">
            <v>m.</v>
          </cell>
          <cell r="D528">
            <v>251969</v>
          </cell>
          <cell r="E528">
            <v>299843</v>
          </cell>
        </row>
        <row r="529">
          <cell r="A529" t="str">
            <v>TUM2041</v>
          </cell>
          <cell r="B529" t="str">
            <v>Tubería PVC Unión Mecánica de 20" RDE 41 (100 PSI)</v>
          </cell>
          <cell r="C529" t="str">
            <v>m.</v>
          </cell>
          <cell r="D529">
            <v>319744</v>
          </cell>
          <cell r="E529">
            <v>380495</v>
          </cell>
        </row>
        <row r="531">
          <cell r="B531" t="str">
            <v>Tubería PVC Orientada Unión Mecánica (SUPRAXIAL)</v>
          </cell>
          <cell r="C531" t="str">
            <v>200 PSI</v>
          </cell>
        </row>
        <row r="532">
          <cell r="A532" t="str">
            <v>TUMS4200</v>
          </cell>
          <cell r="B532" t="str">
            <v>Tubería PVC Orientada Unión Mecánica (SUPRAXIAL) de 4" 200 PSI</v>
          </cell>
          <cell r="C532" t="str">
            <v>m.</v>
          </cell>
          <cell r="D532">
            <v>25895</v>
          </cell>
          <cell r="E532">
            <v>30815</v>
          </cell>
        </row>
        <row r="533">
          <cell r="A533" t="str">
            <v>TUMS6200</v>
          </cell>
          <cell r="B533" t="str">
            <v>Tubería PVC Orientada Unión Mecánica (SUPRAXIAL) de 6" 200 PSI</v>
          </cell>
          <cell r="C533" t="str">
            <v>m.</v>
          </cell>
          <cell r="D533">
            <v>56542</v>
          </cell>
          <cell r="E533">
            <v>67285</v>
          </cell>
        </row>
        <row r="534">
          <cell r="A534" t="str">
            <v>TUMS8200</v>
          </cell>
          <cell r="B534" t="str">
            <v>Tubería PVC Orientada Unión Mecánica (SUPRAXIAL) de 8" 200 PSI</v>
          </cell>
          <cell r="C534" t="str">
            <v>m.</v>
          </cell>
          <cell r="D534">
            <v>95775</v>
          </cell>
          <cell r="E534">
            <v>113972</v>
          </cell>
        </row>
        <row r="535">
          <cell r="A535" t="str">
            <v>TUMS10200</v>
          </cell>
          <cell r="B535" t="str">
            <v>Tubería PVC Orientada Unión Mecánica (SUPRAXIAL) de 10" 200 PSI</v>
          </cell>
          <cell r="C535" t="str">
            <v>m.</v>
          </cell>
          <cell r="D535">
            <v>150770</v>
          </cell>
          <cell r="E535">
            <v>179416</v>
          </cell>
        </row>
        <row r="536">
          <cell r="A536" t="str">
            <v>TUMS12200</v>
          </cell>
          <cell r="B536" t="str">
            <v>Tubería PVC Orientada Unión Mecánica (SUPRAXIAL) de 12" 200 PSI</v>
          </cell>
          <cell r="C536" t="str">
            <v>m.</v>
          </cell>
          <cell r="D536">
            <v>210955</v>
          </cell>
          <cell r="E536">
            <v>251036</v>
          </cell>
        </row>
        <row r="537">
          <cell r="A537" t="str">
            <v>TUMS14200</v>
          </cell>
          <cell r="B537" t="str">
            <v>Tubería PVC Orientada Unión Mecánica (SUPRAXIAL) de 14" 200 PSI</v>
          </cell>
          <cell r="C537" t="str">
            <v>m.</v>
          </cell>
          <cell r="D537">
            <v>261610</v>
          </cell>
          <cell r="E537">
            <v>311316</v>
          </cell>
        </row>
        <row r="538">
          <cell r="A538" t="str">
            <v>TUMS16200</v>
          </cell>
          <cell r="B538" t="str">
            <v>Tubería PVC Orientada Unión Mecánica (SUPRAXIAL) de 16" 200 PSI</v>
          </cell>
          <cell r="C538" t="str">
            <v>m.</v>
          </cell>
          <cell r="D538">
            <v>343367</v>
          </cell>
          <cell r="E538">
            <v>408607</v>
          </cell>
        </row>
        <row r="540">
          <cell r="B540" t="str">
            <v>Tubería PVC Orientada Unión Mecánica (SUPRAXIAL)</v>
          </cell>
          <cell r="C540" t="str">
            <v>160 PSI</v>
          </cell>
        </row>
        <row r="541">
          <cell r="A541" t="str">
            <v>TUMS4160</v>
          </cell>
          <cell r="B541" t="str">
            <v>Tubería PVC Orientada Unión Mecánica (SUPRAXIAL) de 4" 160 PSI</v>
          </cell>
          <cell r="C541" t="str">
            <v>m.</v>
          </cell>
          <cell r="D541">
            <v>21619</v>
          </cell>
          <cell r="E541">
            <v>25727</v>
          </cell>
        </row>
        <row r="542">
          <cell r="A542" t="str">
            <v>TUMS6160</v>
          </cell>
          <cell r="B542" t="str">
            <v>Tubería PVC Orientada Unión Mecánica (SUPRAXIAL) de 6" 160 PSI</v>
          </cell>
          <cell r="C542" t="str">
            <v>m.</v>
          </cell>
          <cell r="D542">
            <v>46310</v>
          </cell>
          <cell r="E542">
            <v>55109</v>
          </cell>
        </row>
        <row r="543">
          <cell r="A543" t="str">
            <v>TUMS8160</v>
          </cell>
          <cell r="B543" t="str">
            <v>Tubería PVC Orientada Unión Mecánica (SUPRAXIAL) de 8" 160 PSI</v>
          </cell>
          <cell r="C543" t="str">
            <v>m.</v>
          </cell>
          <cell r="D543">
            <v>78784</v>
          </cell>
          <cell r="E543">
            <v>93753</v>
          </cell>
        </row>
        <row r="544">
          <cell r="A544" t="str">
            <v>TUMS10160</v>
          </cell>
          <cell r="B544" t="str">
            <v>Tubería PVC Orientada Unión Mecánica (SUPRAXIAL) de 10" 160 PSI</v>
          </cell>
          <cell r="C544" t="str">
            <v>m.</v>
          </cell>
          <cell r="D544">
            <v>122628</v>
          </cell>
          <cell r="E544">
            <v>145927</v>
          </cell>
        </row>
        <row r="545">
          <cell r="A545" t="str">
            <v>TUMS12160</v>
          </cell>
          <cell r="B545" t="str">
            <v>Tubería PVC Orientada Unión Mecánica (SUPRAXIAL) de 12" 160 PSI</v>
          </cell>
          <cell r="C545" t="str">
            <v>m.</v>
          </cell>
          <cell r="D545">
            <v>172863</v>
          </cell>
          <cell r="E545">
            <v>205707</v>
          </cell>
        </row>
        <row r="546">
          <cell r="A546" t="str">
            <v>TUMS14160</v>
          </cell>
          <cell r="B546" t="str">
            <v>Tubería PVC Orientada Unión Mecánica (SUPRAXIAL) de 14" 160 PSI</v>
          </cell>
          <cell r="C546" t="str">
            <v>m.</v>
          </cell>
          <cell r="D546">
            <v>215086</v>
          </cell>
          <cell r="E546">
            <v>255952</v>
          </cell>
        </row>
        <row r="547">
          <cell r="A547" t="str">
            <v>TUMS16160</v>
          </cell>
          <cell r="B547" t="str">
            <v>Tubería PVC Orientada Unión Mecánica (SUPRAXIAL) de 16" 160 PSI</v>
          </cell>
          <cell r="C547" t="str">
            <v>m.</v>
          </cell>
          <cell r="D547">
            <v>285373</v>
          </cell>
          <cell r="E547">
            <v>339594</v>
          </cell>
        </row>
        <row r="549">
          <cell r="A549" t="str">
            <v>ALTA PRESION</v>
          </cell>
          <cell r="B549" t="str">
            <v>Tubería PVC Presión E.L.</v>
          </cell>
          <cell r="C549" t="str">
            <v>RDE 11 (400 PSI)</v>
          </cell>
        </row>
        <row r="550">
          <cell r="A550" t="str">
            <v>TAP311</v>
          </cell>
          <cell r="B550" t="str">
            <v>Tubería PVC Presión E.L. de 3" RDE 11 (400 PSI)</v>
          </cell>
          <cell r="C550" t="str">
            <v>m.</v>
          </cell>
          <cell r="D550">
            <v>40110</v>
          </cell>
          <cell r="E550">
            <v>47731</v>
          </cell>
        </row>
        <row r="551">
          <cell r="A551" t="str">
            <v>TAP411</v>
          </cell>
          <cell r="B551" t="str">
            <v>Tubería PVC Presión E.L. de 4" RDE 11 (400 PSI)</v>
          </cell>
          <cell r="C551" t="str">
            <v>m.</v>
          </cell>
          <cell r="D551">
            <v>66715</v>
          </cell>
          <cell r="E551">
            <v>79391</v>
          </cell>
        </row>
        <row r="552">
          <cell r="A552" t="str">
            <v>TAP611</v>
          </cell>
          <cell r="B552" t="str">
            <v>Tubería PVC Presión E.L. de 6" RDE 11 (400 PSI)</v>
          </cell>
          <cell r="C552" t="str">
            <v>m.</v>
          </cell>
          <cell r="D552">
            <v>144547</v>
          </cell>
          <cell r="E552">
            <v>172011</v>
          </cell>
        </row>
        <row r="553">
          <cell r="A553" t="str">
            <v>TAP811</v>
          </cell>
          <cell r="B553" t="str">
            <v>Tubería PVC Presión E.L. de 8" RDE 11 (400 PSI)</v>
          </cell>
          <cell r="C553" t="str">
            <v>m.</v>
          </cell>
          <cell r="D553">
            <v>242998</v>
          </cell>
          <cell r="E553">
            <v>289168</v>
          </cell>
        </row>
        <row r="555">
          <cell r="A555" t="str">
            <v>ACCESORIOS UNIÓN MECÁNICA</v>
          </cell>
        </row>
        <row r="556">
          <cell r="B556" t="str">
            <v xml:space="preserve">Codo PVC Gran Radio </v>
          </cell>
        </row>
        <row r="557">
          <cell r="A557" t="str">
            <v>CGR290</v>
          </cell>
          <cell r="B557" t="str">
            <v xml:space="preserve">Codo PVC Gran Radio  de 2 x 90 </v>
          </cell>
          <cell r="C557" t="str">
            <v>Und.</v>
          </cell>
          <cell r="D557">
            <v>0</v>
          </cell>
          <cell r="E557">
            <v>0</v>
          </cell>
        </row>
        <row r="558">
          <cell r="A558" t="str">
            <v>CGR2-1/290</v>
          </cell>
          <cell r="B558" t="str">
            <v xml:space="preserve">Codo PVC Gran Radio  de 2 1/2 x 90 </v>
          </cell>
          <cell r="C558" t="str">
            <v>Und.</v>
          </cell>
          <cell r="D558">
            <v>0</v>
          </cell>
          <cell r="E558">
            <v>0</v>
          </cell>
        </row>
        <row r="559">
          <cell r="A559" t="str">
            <v>CGR390</v>
          </cell>
          <cell r="B559" t="str">
            <v xml:space="preserve">Codo PVC Gran Radio  de 3 x 90 </v>
          </cell>
          <cell r="C559" t="str">
            <v>Und.</v>
          </cell>
          <cell r="D559">
            <v>0</v>
          </cell>
          <cell r="E559">
            <v>0</v>
          </cell>
        </row>
        <row r="560">
          <cell r="A560" t="str">
            <v>CGR490</v>
          </cell>
          <cell r="B560" t="str">
            <v xml:space="preserve">Codo PVC Gran Radio  de 4 x 90 </v>
          </cell>
          <cell r="C560" t="str">
            <v>Und.</v>
          </cell>
          <cell r="D560">
            <v>0</v>
          </cell>
          <cell r="E560">
            <v>0</v>
          </cell>
        </row>
        <row r="561">
          <cell r="A561" t="str">
            <v>CGR690</v>
          </cell>
          <cell r="B561" t="str">
            <v xml:space="preserve">Codo PVC Gran Radio  de 6 x 90 </v>
          </cell>
          <cell r="C561" t="str">
            <v>Und.</v>
          </cell>
          <cell r="D561">
            <v>257638</v>
          </cell>
          <cell r="E561">
            <v>306589</v>
          </cell>
        </row>
        <row r="562">
          <cell r="A562" t="str">
            <v>CGR890</v>
          </cell>
          <cell r="B562" t="str">
            <v xml:space="preserve">Codo PVC Gran Radio  de 8 x 90 </v>
          </cell>
          <cell r="C562" t="str">
            <v>Und.</v>
          </cell>
          <cell r="D562">
            <v>611480</v>
          </cell>
          <cell r="E562">
            <v>727661</v>
          </cell>
        </row>
        <row r="563">
          <cell r="A563" t="str">
            <v>CGR1090</v>
          </cell>
          <cell r="B563" t="str">
            <v xml:space="preserve">Codo PVC Gran Radio  de 10 x 90 </v>
          </cell>
          <cell r="C563" t="str">
            <v>Und.</v>
          </cell>
          <cell r="D563">
            <v>0</v>
          </cell>
          <cell r="E563">
            <v>0</v>
          </cell>
        </row>
        <row r="564">
          <cell r="A564" t="str">
            <v>CGR1290</v>
          </cell>
          <cell r="B564" t="str">
            <v xml:space="preserve">Codo PVC Gran Radio  de 12 x 90 </v>
          </cell>
          <cell r="C564" t="str">
            <v>Und.</v>
          </cell>
          <cell r="D564">
            <v>0</v>
          </cell>
          <cell r="E564">
            <v>0</v>
          </cell>
        </row>
        <row r="565">
          <cell r="A565" t="str">
            <v>CGR1490</v>
          </cell>
          <cell r="B565" t="str">
            <v xml:space="preserve">Codo PVC Gran Radio  de 14 x 90 </v>
          </cell>
          <cell r="C565" t="str">
            <v>Und.</v>
          </cell>
          <cell r="D565">
            <v>0</v>
          </cell>
          <cell r="E565">
            <v>0</v>
          </cell>
        </row>
        <row r="566">
          <cell r="A566" t="str">
            <v>CGR245</v>
          </cell>
          <cell r="B566" t="str">
            <v xml:space="preserve">Codo PVC Gran Radio  de 2 x 45 </v>
          </cell>
          <cell r="C566" t="str">
            <v>Und.</v>
          </cell>
          <cell r="D566">
            <v>0</v>
          </cell>
          <cell r="E566">
            <v>0</v>
          </cell>
        </row>
        <row r="567">
          <cell r="A567" t="str">
            <v>CGR2-1/245</v>
          </cell>
          <cell r="B567" t="str">
            <v xml:space="preserve">Codo PVC Gran Radio  de 2 1/2 x 45 </v>
          </cell>
          <cell r="C567" t="str">
            <v>Und.</v>
          </cell>
          <cell r="D567">
            <v>0</v>
          </cell>
          <cell r="E567">
            <v>0</v>
          </cell>
        </row>
        <row r="568">
          <cell r="A568" t="str">
            <v>CGR345</v>
          </cell>
          <cell r="B568" t="str">
            <v xml:space="preserve">Codo PVC Gran Radio  de 3 x 45 </v>
          </cell>
          <cell r="C568" t="str">
            <v>Und.</v>
          </cell>
          <cell r="D568">
            <v>0</v>
          </cell>
          <cell r="E568">
            <v>0</v>
          </cell>
        </row>
        <row r="569">
          <cell r="A569" t="str">
            <v>CGR445</v>
          </cell>
          <cell r="B569" t="str">
            <v xml:space="preserve">Codo PVC Gran Radio  de 4 x 45 </v>
          </cell>
          <cell r="C569" t="str">
            <v>Und.</v>
          </cell>
          <cell r="D569">
            <v>0</v>
          </cell>
          <cell r="E569">
            <v>0</v>
          </cell>
        </row>
        <row r="570">
          <cell r="A570" t="str">
            <v>CGR645</v>
          </cell>
          <cell r="B570" t="str">
            <v xml:space="preserve">Codo PVC Gran Radio  de 6 x 45 </v>
          </cell>
          <cell r="C570" t="str">
            <v>Und.</v>
          </cell>
          <cell r="D570">
            <v>187026</v>
          </cell>
          <cell r="E570">
            <v>222561</v>
          </cell>
        </row>
        <row r="571">
          <cell r="A571" t="str">
            <v>CGR845</v>
          </cell>
          <cell r="B571" t="str">
            <v xml:space="preserve">Codo PVC Gran Radio  de 8 x 45 </v>
          </cell>
          <cell r="C571" t="str">
            <v>Und.</v>
          </cell>
          <cell r="D571">
            <v>406186</v>
          </cell>
          <cell r="E571">
            <v>483361</v>
          </cell>
        </row>
        <row r="572">
          <cell r="A572" t="str">
            <v>CGR1045</v>
          </cell>
          <cell r="B572" t="str">
            <v xml:space="preserve">Codo PVC Gran Radio  de 10 x 45 </v>
          </cell>
          <cell r="C572" t="str">
            <v>Und.</v>
          </cell>
          <cell r="D572">
            <v>0</v>
          </cell>
          <cell r="E572">
            <v>0</v>
          </cell>
        </row>
        <row r="573">
          <cell r="A573" t="str">
            <v>CGR1245</v>
          </cell>
          <cell r="B573" t="str">
            <v xml:space="preserve">Codo PVC Gran Radio  de 12 x 45 </v>
          </cell>
          <cell r="C573" t="str">
            <v>Und.</v>
          </cell>
          <cell r="D573">
            <v>0</v>
          </cell>
          <cell r="E573">
            <v>0</v>
          </cell>
        </row>
        <row r="574">
          <cell r="A574" t="str">
            <v>CGR1445</v>
          </cell>
          <cell r="B574" t="str">
            <v xml:space="preserve">Codo PVC Gran Radio  de 14 x 45 </v>
          </cell>
          <cell r="C574" t="str">
            <v>Und.</v>
          </cell>
          <cell r="D574">
            <v>0</v>
          </cell>
          <cell r="E574">
            <v>0</v>
          </cell>
        </row>
        <row r="575">
          <cell r="A575" t="str">
            <v>CGR222.5</v>
          </cell>
          <cell r="B575" t="str">
            <v xml:space="preserve">Codo PVC Gran Radio  de 2 x 22,5 </v>
          </cell>
          <cell r="C575" t="str">
            <v>Und.</v>
          </cell>
          <cell r="D575">
            <v>0</v>
          </cell>
          <cell r="E575">
            <v>0</v>
          </cell>
        </row>
        <row r="576">
          <cell r="A576" t="str">
            <v>CGR2-1/222.5</v>
          </cell>
          <cell r="B576" t="str">
            <v xml:space="preserve">Codo PVC Gran Radio  de 2 1/2 x 22,5 </v>
          </cell>
          <cell r="C576" t="str">
            <v>Und.</v>
          </cell>
          <cell r="D576">
            <v>0</v>
          </cell>
          <cell r="E576">
            <v>0</v>
          </cell>
        </row>
        <row r="577">
          <cell r="A577" t="str">
            <v>CGR322.5</v>
          </cell>
          <cell r="B577" t="str">
            <v xml:space="preserve">Codo PVC Gran Radio  de 3 x 22,5 </v>
          </cell>
          <cell r="C577" t="str">
            <v>Und.</v>
          </cell>
          <cell r="D577">
            <v>0</v>
          </cell>
          <cell r="E577">
            <v>0</v>
          </cell>
        </row>
        <row r="578">
          <cell r="A578" t="str">
            <v>CGR422.5</v>
          </cell>
          <cell r="B578" t="str">
            <v xml:space="preserve">Codo PVC Gran Radio  de 4 x 22,5 </v>
          </cell>
          <cell r="C578" t="str">
            <v>Und.</v>
          </cell>
          <cell r="D578">
            <v>0</v>
          </cell>
          <cell r="E578">
            <v>0</v>
          </cell>
        </row>
        <row r="579">
          <cell r="A579" t="str">
            <v>CGR622.5</v>
          </cell>
          <cell r="B579" t="str">
            <v xml:space="preserve">Codo PVC Gran Radio  de 6 x 22,5 </v>
          </cell>
          <cell r="C579" t="str">
            <v>Und.</v>
          </cell>
          <cell r="D579">
            <v>149362</v>
          </cell>
          <cell r="E579">
            <v>177741</v>
          </cell>
        </row>
        <row r="580">
          <cell r="A580" t="str">
            <v>CGR822.5</v>
          </cell>
          <cell r="B580" t="str">
            <v xml:space="preserve">Codo PVC Gran Radio  de 8 x 22,5 </v>
          </cell>
          <cell r="C580" t="str">
            <v>Und.</v>
          </cell>
          <cell r="D580">
            <v>316029</v>
          </cell>
          <cell r="E580">
            <v>376075</v>
          </cell>
        </row>
        <row r="581">
          <cell r="A581" t="str">
            <v>CGR1022.5</v>
          </cell>
          <cell r="B581" t="str">
            <v xml:space="preserve">Codo PVC Gran Radio  de 10 x 22,5 </v>
          </cell>
          <cell r="C581" t="str">
            <v>Und.</v>
          </cell>
          <cell r="D581">
            <v>0</v>
          </cell>
          <cell r="E581">
            <v>0</v>
          </cell>
        </row>
        <row r="582">
          <cell r="A582" t="str">
            <v>CGR1222.5</v>
          </cell>
          <cell r="B582" t="str">
            <v xml:space="preserve">Codo PVC Gran Radio  de 12 x 22,5 </v>
          </cell>
          <cell r="C582" t="str">
            <v>Und.</v>
          </cell>
          <cell r="D582">
            <v>0</v>
          </cell>
          <cell r="E582">
            <v>0</v>
          </cell>
        </row>
        <row r="583">
          <cell r="A583" t="str">
            <v>CGR1422.5</v>
          </cell>
          <cell r="B583" t="str">
            <v xml:space="preserve">Codo PVC Gran Radio  de 14 x 22,5 </v>
          </cell>
          <cell r="C583" t="str">
            <v>Und.</v>
          </cell>
          <cell r="D583">
            <v>0</v>
          </cell>
          <cell r="E583">
            <v>0</v>
          </cell>
        </row>
        <row r="584">
          <cell r="A584" t="str">
            <v>CGR211.25</v>
          </cell>
          <cell r="B584" t="str">
            <v xml:space="preserve">Codo PVC Gran Radio  de 2 x 11,25 </v>
          </cell>
          <cell r="C584" t="str">
            <v>Und.</v>
          </cell>
          <cell r="D584">
            <v>0</v>
          </cell>
          <cell r="E584">
            <v>0</v>
          </cell>
        </row>
        <row r="585">
          <cell r="A585" t="str">
            <v>CGR2-1/211.25</v>
          </cell>
          <cell r="B585" t="str">
            <v xml:space="preserve">Codo PVC Gran Radio  de 2 1/2 x 11,25 </v>
          </cell>
          <cell r="C585" t="str">
            <v>Und.</v>
          </cell>
          <cell r="D585">
            <v>0</v>
          </cell>
          <cell r="E585">
            <v>0</v>
          </cell>
        </row>
        <row r="586">
          <cell r="A586" t="str">
            <v>CGR311.25</v>
          </cell>
          <cell r="B586" t="str">
            <v xml:space="preserve">Codo PVC Gran Radio  de 3 x 11,25 </v>
          </cell>
          <cell r="C586" t="str">
            <v>Und.</v>
          </cell>
          <cell r="D586">
            <v>0</v>
          </cell>
          <cell r="E586">
            <v>0</v>
          </cell>
        </row>
        <row r="587">
          <cell r="A587" t="str">
            <v>CGR411.25</v>
          </cell>
          <cell r="B587" t="str">
            <v xml:space="preserve">Codo PVC Gran Radio  de 4 x 11,25 </v>
          </cell>
          <cell r="C587" t="str">
            <v>Und.</v>
          </cell>
          <cell r="D587">
            <v>0</v>
          </cell>
          <cell r="E587">
            <v>0</v>
          </cell>
        </row>
        <row r="588">
          <cell r="A588" t="str">
            <v>CGR611.25</v>
          </cell>
          <cell r="B588" t="str">
            <v xml:space="preserve">Codo PVC Gran Radio  de 6 x 11,25 </v>
          </cell>
          <cell r="C588" t="str">
            <v>Und.</v>
          </cell>
          <cell r="D588">
            <v>133556</v>
          </cell>
          <cell r="E588">
            <v>158932</v>
          </cell>
        </row>
        <row r="589">
          <cell r="A589" t="str">
            <v>CGR811.25</v>
          </cell>
          <cell r="B589" t="str">
            <v xml:space="preserve">Codo PVC Gran Radio  de 8 x 11,25 </v>
          </cell>
          <cell r="C589" t="str">
            <v>Und.</v>
          </cell>
          <cell r="D589">
            <v>271372</v>
          </cell>
          <cell r="E589">
            <v>322933</v>
          </cell>
        </row>
        <row r="590">
          <cell r="A590" t="str">
            <v>CGR1011.25</v>
          </cell>
          <cell r="B590" t="str">
            <v xml:space="preserve">Codo PVC Gran Radio  de 10 x 11,25 </v>
          </cell>
          <cell r="C590" t="str">
            <v>Und.</v>
          </cell>
          <cell r="D590">
            <v>0</v>
          </cell>
          <cell r="E590">
            <v>0</v>
          </cell>
        </row>
        <row r="591">
          <cell r="A591" t="str">
            <v>CGR1211.25</v>
          </cell>
          <cell r="B591" t="str">
            <v xml:space="preserve">Codo PVC Gran Radio  de 12 x 11,25 </v>
          </cell>
          <cell r="C591" t="str">
            <v>Und.</v>
          </cell>
          <cell r="D591">
            <v>0</v>
          </cell>
          <cell r="E591">
            <v>0</v>
          </cell>
        </row>
        <row r="592">
          <cell r="A592" t="str">
            <v>CGR1411.25</v>
          </cell>
          <cell r="B592" t="str">
            <v xml:space="preserve">Codo PVC Gran Radio  de 14 x 11,25 </v>
          </cell>
          <cell r="C592" t="str">
            <v>Und.</v>
          </cell>
          <cell r="D592">
            <v>0</v>
          </cell>
          <cell r="E592">
            <v>0</v>
          </cell>
        </row>
        <row r="593">
          <cell r="A593" t="str">
            <v>CGR86</v>
          </cell>
          <cell r="B593" t="str">
            <v xml:space="preserve">Codo PVC Gran Radio  de 8 x 6 </v>
          </cell>
          <cell r="C593" t="str">
            <v>Und.</v>
          </cell>
          <cell r="D593">
            <v>0</v>
          </cell>
          <cell r="E593">
            <v>0</v>
          </cell>
        </row>
        <row r="594">
          <cell r="A594" t="str">
            <v>CGR126</v>
          </cell>
          <cell r="B594" t="str">
            <v xml:space="preserve">Codo PVC Gran Radio  de 12 x 6 </v>
          </cell>
          <cell r="C594" t="str">
            <v>Und.</v>
          </cell>
          <cell r="D594">
            <v>0</v>
          </cell>
          <cell r="E594">
            <v>0</v>
          </cell>
        </row>
        <row r="596">
          <cell r="B596" t="str">
            <v>Collar de Derivación PVC</v>
          </cell>
        </row>
        <row r="597">
          <cell r="A597" t="str">
            <v>CD2*1/2</v>
          </cell>
          <cell r="B597" t="str">
            <v xml:space="preserve">Collar de Derivación PVC de 2 x 1/2 </v>
          </cell>
          <cell r="C597" t="str">
            <v>Und.</v>
          </cell>
          <cell r="D597">
            <v>5340</v>
          </cell>
          <cell r="E597">
            <v>6355</v>
          </cell>
        </row>
        <row r="598">
          <cell r="A598" t="str">
            <v>CD2*3/4</v>
          </cell>
          <cell r="B598" t="str">
            <v xml:space="preserve">Collar de Derivación PVC de 2 x 3/4 </v>
          </cell>
          <cell r="C598" t="str">
            <v>Und.</v>
          </cell>
          <cell r="D598">
            <v>5343</v>
          </cell>
          <cell r="E598">
            <v>6358</v>
          </cell>
        </row>
        <row r="599">
          <cell r="A599" t="str">
            <v>CD3*1/2</v>
          </cell>
          <cell r="B599" t="str">
            <v xml:space="preserve">Collar de Derivación PVC de 3 x 1/2 </v>
          </cell>
          <cell r="C599" t="str">
            <v>Und.</v>
          </cell>
          <cell r="D599">
            <v>9803</v>
          </cell>
          <cell r="E599">
            <v>11666</v>
          </cell>
        </row>
        <row r="600">
          <cell r="A600" t="str">
            <v>CD3*3/4</v>
          </cell>
          <cell r="B600" t="str">
            <v xml:space="preserve">Collar de Derivación PVC de 3 x 3/4 </v>
          </cell>
          <cell r="C600" t="str">
            <v>Und.</v>
          </cell>
          <cell r="D600">
            <v>10679</v>
          </cell>
          <cell r="E600">
            <v>12708</v>
          </cell>
        </row>
        <row r="601">
          <cell r="A601" t="str">
            <v>CD4*1/2</v>
          </cell>
          <cell r="B601" t="str">
            <v xml:space="preserve">Collar de Derivación PVC de 4 x 1/2 </v>
          </cell>
          <cell r="C601" t="str">
            <v>Und.</v>
          </cell>
          <cell r="D601">
            <v>12207</v>
          </cell>
          <cell r="E601">
            <v>14526</v>
          </cell>
        </row>
        <row r="602">
          <cell r="A602" t="str">
            <v>CD4*3/2</v>
          </cell>
          <cell r="B602" t="str">
            <v xml:space="preserve">Collar de Derivación PVC de 4 x 3/4 </v>
          </cell>
          <cell r="C602" t="str">
            <v>Und.</v>
          </cell>
          <cell r="D602">
            <v>13106</v>
          </cell>
          <cell r="E602">
            <v>15596</v>
          </cell>
        </row>
        <row r="603">
          <cell r="A603" t="str">
            <v>CD6*1/2</v>
          </cell>
          <cell r="B603" t="str">
            <v xml:space="preserve">Collar de Derivación PVC de 6 x 1/2 </v>
          </cell>
          <cell r="C603" t="str">
            <v>Und.</v>
          </cell>
          <cell r="D603">
            <v>15106</v>
          </cell>
          <cell r="E603">
            <v>17976</v>
          </cell>
        </row>
        <row r="604">
          <cell r="A604" t="str">
            <v>CD6*3/4</v>
          </cell>
          <cell r="B604" t="str">
            <v xml:space="preserve">Collar de Derivación PVC de 6 x 3/4 </v>
          </cell>
          <cell r="C604" t="str">
            <v>Und.</v>
          </cell>
          <cell r="D604">
            <v>15374</v>
          </cell>
          <cell r="E604">
            <v>18295</v>
          </cell>
        </row>
        <row r="606">
          <cell r="B606" t="str">
            <v>Unión Mecánica PVC Presión Campana</v>
          </cell>
        </row>
        <row r="607">
          <cell r="A607" t="str">
            <v>UM2</v>
          </cell>
          <cell r="B607" t="str">
            <v xml:space="preserve">Unión Mecánica PVC Presión Campana de 2" </v>
          </cell>
          <cell r="C607" t="str">
            <v>Und.</v>
          </cell>
          <cell r="D607">
            <v>15462</v>
          </cell>
          <cell r="E607">
            <v>18400</v>
          </cell>
        </row>
        <row r="608">
          <cell r="A608" t="str">
            <v>UM2-1/2</v>
          </cell>
          <cell r="B608" t="str">
            <v xml:space="preserve">Unión Mecánica PVC Presión Campana de 2 1/2' </v>
          </cell>
          <cell r="C608" t="str">
            <v>Und.</v>
          </cell>
          <cell r="D608">
            <v>20156</v>
          </cell>
          <cell r="E608">
            <v>23986</v>
          </cell>
        </row>
        <row r="609">
          <cell r="A609" t="str">
            <v>UM3</v>
          </cell>
          <cell r="B609" t="str">
            <v xml:space="preserve">Unión Mecánica PVC Presión Campana de 3" </v>
          </cell>
          <cell r="C609" t="str">
            <v>Und.</v>
          </cell>
          <cell r="D609">
            <v>26499</v>
          </cell>
          <cell r="E609">
            <v>31534</v>
          </cell>
        </row>
        <row r="610">
          <cell r="A610" t="str">
            <v>UM4</v>
          </cell>
          <cell r="B610" t="str">
            <v xml:space="preserve">Unión Mecánica PVC Presión Campana de 4" </v>
          </cell>
          <cell r="C610" t="str">
            <v>Und.</v>
          </cell>
          <cell r="D610">
            <v>43090</v>
          </cell>
          <cell r="E610">
            <v>51277</v>
          </cell>
        </row>
        <row r="611">
          <cell r="A611" t="str">
            <v>UM6</v>
          </cell>
          <cell r="B611" t="str">
            <v xml:space="preserve">Unión Mecánica PVC Presión Campana de 6" </v>
          </cell>
          <cell r="C611" t="str">
            <v>Und.</v>
          </cell>
          <cell r="D611">
            <v>100613</v>
          </cell>
          <cell r="E611">
            <v>119729</v>
          </cell>
        </row>
        <row r="612">
          <cell r="A612" t="str">
            <v>UM8</v>
          </cell>
          <cell r="B612" t="str">
            <v xml:space="preserve">Unión Mecánica PVC Presión Campana de 8" </v>
          </cell>
          <cell r="C612" t="str">
            <v>Und.</v>
          </cell>
          <cell r="D612">
            <v>184850</v>
          </cell>
          <cell r="E612">
            <v>219972</v>
          </cell>
        </row>
        <row r="613">
          <cell r="A613" t="str">
            <v>UM10</v>
          </cell>
          <cell r="B613" t="str">
            <v xml:space="preserve">Unión Mecánica PVC Presión Campana de 10" </v>
          </cell>
          <cell r="C613" t="str">
            <v>Und.</v>
          </cell>
          <cell r="D613">
            <v>330270</v>
          </cell>
          <cell r="E613">
            <v>393021</v>
          </cell>
        </row>
        <row r="614">
          <cell r="A614" t="str">
            <v>UM12</v>
          </cell>
          <cell r="B614" t="str">
            <v xml:space="preserve">Unión Mecánica PVC Presión Campana de 12" </v>
          </cell>
          <cell r="C614" t="str">
            <v>Und.</v>
          </cell>
          <cell r="D614">
            <v>511844</v>
          </cell>
          <cell r="E614">
            <v>609094</v>
          </cell>
        </row>
        <row r="615">
          <cell r="A615" t="str">
            <v>UM14</v>
          </cell>
          <cell r="B615" t="str">
            <v xml:space="preserve">Unión Mecánica PVC Presión Campana de 14" </v>
          </cell>
          <cell r="C615" t="str">
            <v>Und.</v>
          </cell>
          <cell r="D615">
            <v>713694</v>
          </cell>
          <cell r="E615">
            <v>849296</v>
          </cell>
        </row>
        <row r="617">
          <cell r="B617" t="str">
            <v>Unión PVC de Reparación</v>
          </cell>
        </row>
        <row r="618">
          <cell r="A618" t="str">
            <v>UR2</v>
          </cell>
          <cell r="B618" t="str">
            <v xml:space="preserve">Unión PVC de Reparación de 2" </v>
          </cell>
          <cell r="C618" t="str">
            <v>Und.</v>
          </cell>
          <cell r="D618">
            <v>0</v>
          </cell>
          <cell r="E618">
            <v>0</v>
          </cell>
        </row>
        <row r="619">
          <cell r="A619" t="str">
            <v>UR2-1/2</v>
          </cell>
          <cell r="B619" t="str">
            <v xml:space="preserve">Unión PVC de Reparación de 2 1/2' </v>
          </cell>
          <cell r="C619" t="str">
            <v>Und.</v>
          </cell>
          <cell r="D619">
            <v>0</v>
          </cell>
          <cell r="E619">
            <v>0</v>
          </cell>
        </row>
        <row r="620">
          <cell r="A620" t="str">
            <v>UR3</v>
          </cell>
          <cell r="B620" t="str">
            <v xml:space="preserve">Unión PVC de Reparación de 3" </v>
          </cell>
          <cell r="C620" t="str">
            <v>Und.</v>
          </cell>
          <cell r="D620">
            <v>0</v>
          </cell>
          <cell r="E620">
            <v>0</v>
          </cell>
        </row>
        <row r="621">
          <cell r="A621" t="str">
            <v>UR4</v>
          </cell>
          <cell r="B621" t="str">
            <v xml:space="preserve">Unión PVC de Reparación de 4" </v>
          </cell>
          <cell r="C621" t="str">
            <v>Und.</v>
          </cell>
          <cell r="D621">
            <v>0</v>
          </cell>
          <cell r="E621">
            <v>0</v>
          </cell>
        </row>
        <row r="622">
          <cell r="A622" t="str">
            <v>UR6</v>
          </cell>
          <cell r="B622" t="str">
            <v xml:space="preserve">Unión PVC de Reparación de 6" </v>
          </cell>
          <cell r="C622" t="str">
            <v>Und.</v>
          </cell>
          <cell r="D622">
            <v>123466</v>
          </cell>
          <cell r="E622">
            <v>146925</v>
          </cell>
        </row>
        <row r="623">
          <cell r="A623" t="str">
            <v>UR8</v>
          </cell>
          <cell r="B623" t="str">
            <v xml:space="preserve">Unión PVC de Reparación de 8" </v>
          </cell>
          <cell r="C623" t="str">
            <v>Und.</v>
          </cell>
          <cell r="D623">
            <v>227012</v>
          </cell>
          <cell r="E623">
            <v>270144</v>
          </cell>
        </row>
        <row r="624">
          <cell r="A624" t="str">
            <v>UR10</v>
          </cell>
          <cell r="B624" t="str">
            <v xml:space="preserve">Unión PVC de Reparación de 10" </v>
          </cell>
          <cell r="C624" t="str">
            <v>Und.</v>
          </cell>
          <cell r="D624">
            <v>0</v>
          </cell>
          <cell r="E624">
            <v>0</v>
          </cell>
        </row>
        <row r="625">
          <cell r="A625" t="str">
            <v>UR12</v>
          </cell>
          <cell r="B625" t="str">
            <v xml:space="preserve">Unión PVC de Reparación de 12" </v>
          </cell>
          <cell r="C625" t="str">
            <v>Und.</v>
          </cell>
          <cell r="D625">
            <v>0</v>
          </cell>
          <cell r="E625">
            <v>0</v>
          </cell>
        </row>
        <row r="627">
          <cell r="A627" t="str">
            <v>TUBERÍA ALCANTARILLADOS</v>
          </cell>
        </row>
        <row r="628">
          <cell r="B628" t="str">
            <v>Tubería Corrugada Alcantarillado RS8</v>
          </cell>
        </row>
        <row r="629">
          <cell r="A629" t="str">
            <v>TA4</v>
          </cell>
          <cell r="B629" t="str">
            <v xml:space="preserve">Tubería Corrugada Alcantarillado RS8 de 110 mm </v>
          </cell>
          <cell r="C629" t="str">
            <v>m.</v>
          </cell>
          <cell r="D629">
            <v>13684</v>
          </cell>
          <cell r="E629">
            <v>16284</v>
          </cell>
          <cell r="F629">
            <v>28</v>
          </cell>
          <cell r="G629">
            <v>1500</v>
          </cell>
        </row>
        <row r="630">
          <cell r="A630" t="str">
            <v>TA6</v>
          </cell>
          <cell r="B630" t="str">
            <v xml:space="preserve">Tubería Corrugada Alcantarillado RS8 de 160 mm </v>
          </cell>
          <cell r="C630" t="str">
            <v>m.</v>
          </cell>
          <cell r="D630">
            <v>26728</v>
          </cell>
          <cell r="E630">
            <v>31806</v>
          </cell>
          <cell r="F630">
            <v>28</v>
          </cell>
          <cell r="G630">
            <v>1500</v>
          </cell>
        </row>
        <row r="631">
          <cell r="A631" t="str">
            <v>TA8</v>
          </cell>
          <cell r="B631" t="str">
            <v xml:space="preserve">Tubería Corrugada Alcantarillado RS8 de 200 mm </v>
          </cell>
          <cell r="C631" t="str">
            <v>m.</v>
          </cell>
          <cell r="D631">
            <v>36394</v>
          </cell>
          <cell r="E631">
            <v>43309</v>
          </cell>
          <cell r="F631">
            <v>28</v>
          </cell>
          <cell r="G631">
            <v>1500</v>
          </cell>
        </row>
        <row r="632">
          <cell r="A632" t="str">
            <v>TA10</v>
          </cell>
          <cell r="B632" t="str">
            <v xml:space="preserve">Tubería Corrugada Alcantarillado RS8 de 250 mm </v>
          </cell>
          <cell r="C632" t="str">
            <v>m.</v>
          </cell>
          <cell r="D632">
            <v>53312</v>
          </cell>
          <cell r="E632">
            <v>63441</v>
          </cell>
          <cell r="F632">
            <v>28</v>
          </cell>
          <cell r="G632">
            <v>1500</v>
          </cell>
        </row>
        <row r="633">
          <cell r="A633" t="str">
            <v>TA12</v>
          </cell>
          <cell r="B633" t="str">
            <v xml:space="preserve">Tubería Corrugada Alcantarillado RS8 de 315 mm </v>
          </cell>
          <cell r="C633" t="str">
            <v>m.</v>
          </cell>
          <cell r="D633">
            <v>78824</v>
          </cell>
          <cell r="E633">
            <v>93801</v>
          </cell>
          <cell r="F633">
            <v>28</v>
          </cell>
          <cell r="G633">
            <v>1500</v>
          </cell>
        </row>
        <row r="634">
          <cell r="A634" t="str">
            <v>TA14</v>
          </cell>
          <cell r="B634" t="str">
            <v xml:space="preserve">Tubería Corrugada Alcantarillado RS8 de 355 mm </v>
          </cell>
          <cell r="C634" t="str">
            <v>m.</v>
          </cell>
          <cell r="D634">
            <v>112755</v>
          </cell>
          <cell r="E634">
            <v>134178</v>
          </cell>
          <cell r="F634">
            <v>28</v>
          </cell>
          <cell r="G634">
            <v>1500</v>
          </cell>
        </row>
        <row r="635">
          <cell r="A635" t="str">
            <v>TA16</v>
          </cell>
          <cell r="B635" t="str">
            <v xml:space="preserve">Tubería Corrugada Alcantarillado RS8 de 400 mm </v>
          </cell>
          <cell r="C635" t="str">
            <v>m.</v>
          </cell>
          <cell r="D635">
            <v>138147</v>
          </cell>
          <cell r="E635">
            <v>164395</v>
          </cell>
          <cell r="F635">
            <v>28</v>
          </cell>
          <cell r="G635">
            <v>1500</v>
          </cell>
        </row>
        <row r="636">
          <cell r="A636" t="str">
            <v>TA18</v>
          </cell>
          <cell r="B636" t="str">
            <v xml:space="preserve">Tubería Corrugada Alcantarillado RS8 de 450 mm </v>
          </cell>
          <cell r="C636" t="str">
            <v>m.</v>
          </cell>
          <cell r="D636">
            <v>178417</v>
          </cell>
          <cell r="E636">
            <v>212316</v>
          </cell>
          <cell r="F636">
            <v>28</v>
          </cell>
          <cell r="G636">
            <v>1500</v>
          </cell>
        </row>
        <row r="637">
          <cell r="A637" t="str">
            <v>TA20</v>
          </cell>
          <cell r="B637" t="str">
            <v xml:space="preserve">Tubería Corrugada Alcantarillado RS8 de 500 mm </v>
          </cell>
          <cell r="C637" t="str">
            <v>m.</v>
          </cell>
          <cell r="D637">
            <v>232603</v>
          </cell>
          <cell r="E637">
            <v>276798</v>
          </cell>
          <cell r="F637">
            <v>28</v>
          </cell>
          <cell r="G637">
            <v>1500</v>
          </cell>
        </row>
        <row r="640">
          <cell r="B640" t="str">
            <v>Tubería Alcantarillado Doble Pared</v>
          </cell>
        </row>
        <row r="641">
          <cell r="A641" t="str">
            <v>TA24</v>
          </cell>
          <cell r="B641" t="str">
            <v xml:space="preserve">Tubería Alcantarillado Doble Pared de 24" </v>
          </cell>
          <cell r="C641" t="str">
            <v>m.</v>
          </cell>
          <cell r="D641">
            <v>330304</v>
          </cell>
          <cell r="E641">
            <v>393062</v>
          </cell>
          <cell r="F641">
            <v>28</v>
          </cell>
          <cell r="G641">
            <v>1500</v>
          </cell>
        </row>
        <row r="642">
          <cell r="A642" t="str">
            <v>TA27</v>
          </cell>
          <cell r="B642" t="str">
            <v xml:space="preserve">Tubería Alcantarillado Doble Pared de 27" </v>
          </cell>
          <cell r="C642" t="str">
            <v>m.</v>
          </cell>
          <cell r="D642">
            <v>378719</v>
          </cell>
          <cell r="E642">
            <v>450676</v>
          </cell>
          <cell r="F642">
            <v>28</v>
          </cell>
          <cell r="G642">
            <v>1500</v>
          </cell>
        </row>
        <row r="643">
          <cell r="A643" t="str">
            <v>TA30</v>
          </cell>
          <cell r="B643" t="str">
            <v xml:space="preserve">Tubería Alcantarillado Doble Pared de 30" </v>
          </cell>
          <cell r="C643" t="str">
            <v>m.</v>
          </cell>
          <cell r="D643">
            <v>493382</v>
          </cell>
          <cell r="E643">
            <v>587125</v>
          </cell>
          <cell r="F643">
            <v>28</v>
          </cell>
          <cell r="G643">
            <v>1500</v>
          </cell>
        </row>
        <row r="644">
          <cell r="A644" t="str">
            <v>TA33</v>
          </cell>
          <cell r="B644" t="str">
            <v xml:space="preserve">Tubería Alcantarillado Doble Pared de 33" </v>
          </cell>
          <cell r="C644" t="str">
            <v>m.</v>
          </cell>
          <cell r="D644">
            <v>611474</v>
          </cell>
          <cell r="E644">
            <v>727654</v>
          </cell>
          <cell r="F644">
            <v>28</v>
          </cell>
          <cell r="G644">
            <v>1500</v>
          </cell>
        </row>
        <row r="645">
          <cell r="A645" t="str">
            <v>TA36</v>
          </cell>
          <cell r="B645" t="str">
            <v xml:space="preserve">Tubería Alcantarillado Doble Pared de 36" </v>
          </cell>
          <cell r="C645" t="str">
            <v>m.</v>
          </cell>
          <cell r="D645">
            <v>890305</v>
          </cell>
          <cell r="E645">
            <v>1059463</v>
          </cell>
          <cell r="F645">
            <v>28</v>
          </cell>
          <cell r="G645">
            <v>1500</v>
          </cell>
        </row>
        <row r="646">
          <cell r="A646" t="str">
            <v>TA39</v>
          </cell>
          <cell r="B646" t="str">
            <v xml:space="preserve">Tubería Alcantarillado Doble Pared de 39" </v>
          </cell>
          <cell r="C646" t="str">
            <v>m.</v>
          </cell>
          <cell r="D646">
            <v>1225670</v>
          </cell>
          <cell r="E646">
            <v>1458547</v>
          </cell>
          <cell r="F646">
            <v>28</v>
          </cell>
          <cell r="G646">
            <v>1500</v>
          </cell>
        </row>
        <row r="647">
          <cell r="A647" t="str">
            <v>TA42</v>
          </cell>
          <cell r="B647" t="str">
            <v xml:space="preserve">Tubería Alcantarillado Doble Pared de 42" </v>
          </cell>
          <cell r="C647" t="str">
            <v>m.</v>
          </cell>
          <cell r="D647">
            <v>1401507</v>
          </cell>
          <cell r="E647">
            <v>1667793</v>
          </cell>
          <cell r="F647">
            <v>28</v>
          </cell>
          <cell r="G647">
            <v>1500</v>
          </cell>
        </row>
        <row r="649">
          <cell r="A649" t="str">
            <v>ACCESORIOS ALCANTARILLADOS</v>
          </cell>
        </row>
        <row r="650">
          <cell r="B650" t="str">
            <v>Codo Alcantarillado de 90°</v>
          </cell>
        </row>
        <row r="651">
          <cell r="A651" t="str">
            <v>CA490</v>
          </cell>
          <cell r="B651" t="str">
            <v xml:space="preserve">Codo Alcantarillado de 90° x 110 mm </v>
          </cell>
          <cell r="C651" t="str">
            <v>Und.</v>
          </cell>
          <cell r="D651">
            <v>27555</v>
          </cell>
          <cell r="E651">
            <v>32790</v>
          </cell>
        </row>
        <row r="652">
          <cell r="A652" t="str">
            <v>CA690</v>
          </cell>
          <cell r="B652" t="str">
            <v xml:space="preserve">Codo Alcantarillado de 90° x 160 mm </v>
          </cell>
          <cell r="C652" t="str">
            <v>Und.</v>
          </cell>
          <cell r="D652">
            <v>64707</v>
          </cell>
          <cell r="E652">
            <v>77001</v>
          </cell>
        </row>
        <row r="653">
          <cell r="A653" t="str">
            <v>CA890</v>
          </cell>
          <cell r="B653" t="str">
            <v xml:space="preserve">Codo Alcantarillado de 90° x 200 mm </v>
          </cell>
          <cell r="C653" t="str">
            <v>Und.</v>
          </cell>
          <cell r="D653">
            <v>97464</v>
          </cell>
          <cell r="E653">
            <v>115982</v>
          </cell>
        </row>
        <row r="654">
          <cell r="A654" t="str">
            <v>CA1090</v>
          </cell>
          <cell r="B654" t="str">
            <v xml:space="preserve">Codo Alcantarillado de 90° x 250 mm </v>
          </cell>
          <cell r="C654" t="str">
            <v>Und.</v>
          </cell>
          <cell r="D654">
            <v>186381</v>
          </cell>
          <cell r="E654">
            <v>221793</v>
          </cell>
        </row>
        <row r="655">
          <cell r="A655" t="str">
            <v>CA1290</v>
          </cell>
          <cell r="B655" t="str">
            <v xml:space="preserve">Codo Alcantarillado de 90° x 315 mm </v>
          </cell>
          <cell r="C655" t="str">
            <v>Und.</v>
          </cell>
          <cell r="D655">
            <v>285478</v>
          </cell>
          <cell r="E655">
            <v>339719</v>
          </cell>
        </row>
        <row r="656">
          <cell r="A656" t="str">
            <v>CA1490</v>
          </cell>
          <cell r="B656" t="str">
            <v xml:space="preserve">Codo Alcantarillado de 90° x 355 mm </v>
          </cell>
          <cell r="C656" t="str">
            <v>Und.</v>
          </cell>
          <cell r="D656">
            <v>698774</v>
          </cell>
          <cell r="E656">
            <v>831541</v>
          </cell>
        </row>
        <row r="657">
          <cell r="A657" t="str">
            <v>CA1690</v>
          </cell>
          <cell r="B657" t="str">
            <v xml:space="preserve">Codo Alcantarillado de 90° x 400 mm </v>
          </cell>
          <cell r="C657" t="str">
            <v>Und.</v>
          </cell>
          <cell r="D657">
            <v>1064470</v>
          </cell>
          <cell r="E657">
            <v>1266719</v>
          </cell>
        </row>
        <row r="658">
          <cell r="A658" t="str">
            <v>CA1890</v>
          </cell>
          <cell r="B658" t="str">
            <v xml:space="preserve">Codo Alcantarillado de 90° x 450 mm </v>
          </cell>
          <cell r="C658" t="str">
            <v>Und.</v>
          </cell>
          <cell r="D658">
            <v>1064470</v>
          </cell>
          <cell r="E658">
            <v>1266719</v>
          </cell>
        </row>
        <row r="660">
          <cell r="B660" t="str">
            <v>Codo Alcantarillado de 45°</v>
          </cell>
        </row>
        <row r="661">
          <cell r="A661" t="str">
            <v>CA445</v>
          </cell>
          <cell r="B661" t="str">
            <v xml:space="preserve">Codo Alcantarillado de 45° x 110 mm </v>
          </cell>
          <cell r="C661" t="str">
            <v>Und.</v>
          </cell>
          <cell r="D661">
            <v>16963.02</v>
          </cell>
          <cell r="E661">
            <v>20186</v>
          </cell>
        </row>
        <row r="662">
          <cell r="A662" t="str">
            <v>CA645</v>
          </cell>
          <cell r="B662" t="str">
            <v xml:space="preserve">Codo Alcantarillado de 45° x 160 mm </v>
          </cell>
          <cell r="C662" t="str">
            <v>Und.</v>
          </cell>
          <cell r="D662">
            <v>40673.730000000003</v>
          </cell>
          <cell r="E662">
            <v>48402</v>
          </cell>
        </row>
        <row r="663">
          <cell r="A663" t="str">
            <v>CA845</v>
          </cell>
          <cell r="B663" t="str">
            <v xml:space="preserve">Codo Alcantarillado de 45° x 200 mm </v>
          </cell>
          <cell r="C663" t="str">
            <v>Und.</v>
          </cell>
          <cell r="D663">
            <v>117079.47000000002</v>
          </cell>
          <cell r="E663">
            <v>139325</v>
          </cell>
        </row>
        <row r="664">
          <cell r="A664" t="str">
            <v>CA1045</v>
          </cell>
          <cell r="B664" t="str">
            <v xml:space="preserve">Codo Alcantarillado de 45° x 250 mm </v>
          </cell>
          <cell r="C664" t="str">
            <v>Und.</v>
          </cell>
          <cell r="D664">
            <v>226807.41000000003</v>
          </cell>
          <cell r="E664">
            <v>269901</v>
          </cell>
        </row>
        <row r="665">
          <cell r="A665" t="str">
            <v>CA1245</v>
          </cell>
          <cell r="B665" t="str">
            <v xml:space="preserve">Codo Alcantarillado de 45° x 315 mm </v>
          </cell>
          <cell r="C665" t="str">
            <v>Und.</v>
          </cell>
          <cell r="D665">
            <v>348568.86000000004</v>
          </cell>
          <cell r="E665">
            <v>414797</v>
          </cell>
        </row>
        <row r="666">
          <cell r="A666" t="str">
            <v>CA1445</v>
          </cell>
          <cell r="B666" t="str">
            <v xml:space="preserve">Codo Alcantarillado de 45° x 355 mm </v>
          </cell>
          <cell r="C666" t="str">
            <v>Und.</v>
          </cell>
          <cell r="D666">
            <v>683067.3600000001</v>
          </cell>
          <cell r="E666">
            <v>812850</v>
          </cell>
        </row>
        <row r="667">
          <cell r="A667" t="str">
            <v>CA1645</v>
          </cell>
          <cell r="B667" t="str">
            <v xml:space="preserve">Codo Alcantarillado de 45° x 400 mm </v>
          </cell>
          <cell r="C667" t="str">
            <v>Und.</v>
          </cell>
          <cell r="D667">
            <v>956294.97000000009</v>
          </cell>
          <cell r="E667">
            <v>1137991</v>
          </cell>
        </row>
        <row r="668">
          <cell r="A668" t="str">
            <v>CA1845</v>
          </cell>
          <cell r="B668" t="str">
            <v xml:space="preserve">Codo Alcantarillado de 45° x 450 mm </v>
          </cell>
          <cell r="C668" t="str">
            <v>Und.</v>
          </cell>
          <cell r="D668">
            <v>1338813.1800000002</v>
          </cell>
          <cell r="E668">
            <v>1593188</v>
          </cell>
        </row>
        <row r="670">
          <cell r="B670" t="str">
            <v>Silla Tee</v>
          </cell>
        </row>
        <row r="671">
          <cell r="A671" t="str">
            <v>ST64</v>
          </cell>
          <cell r="B671" t="str">
            <v xml:space="preserve">Silla Tee de 160x110 </v>
          </cell>
          <cell r="C671" t="str">
            <v>Und.</v>
          </cell>
          <cell r="D671">
            <v>46456</v>
          </cell>
          <cell r="E671">
            <v>55283</v>
          </cell>
        </row>
        <row r="672">
          <cell r="A672" t="str">
            <v>ST66</v>
          </cell>
          <cell r="B672" t="str">
            <v xml:space="preserve">Silla Tee de 160x160 </v>
          </cell>
          <cell r="C672" t="str">
            <v>Und.</v>
          </cell>
          <cell r="D672">
            <v>46457</v>
          </cell>
          <cell r="E672">
            <v>55284</v>
          </cell>
        </row>
        <row r="673">
          <cell r="A673" t="str">
            <v>ST84</v>
          </cell>
          <cell r="B673" t="str">
            <v xml:space="preserve">Silla Tee de 200x110 </v>
          </cell>
          <cell r="C673" t="str">
            <v>Und.</v>
          </cell>
          <cell r="D673">
            <v>56901</v>
          </cell>
          <cell r="E673">
            <v>67712</v>
          </cell>
        </row>
        <row r="674">
          <cell r="A674" t="str">
            <v>ST86</v>
          </cell>
          <cell r="B674" t="str">
            <v xml:space="preserve">Silla Tee de 200x160 </v>
          </cell>
          <cell r="C674" t="str">
            <v>Und.</v>
          </cell>
          <cell r="D674">
            <v>56901</v>
          </cell>
          <cell r="E674">
            <v>67712</v>
          </cell>
        </row>
        <row r="675">
          <cell r="A675" t="str">
            <v>ST104</v>
          </cell>
          <cell r="B675" t="str">
            <v xml:space="preserve">Silla Tee de 250x110 </v>
          </cell>
          <cell r="C675" t="str">
            <v>Und.</v>
          </cell>
          <cell r="D675">
            <v>65980</v>
          </cell>
          <cell r="E675">
            <v>78516</v>
          </cell>
        </row>
        <row r="676">
          <cell r="A676" t="str">
            <v>ST106</v>
          </cell>
          <cell r="B676" t="str">
            <v xml:space="preserve">Silla Tee de 250x160 </v>
          </cell>
          <cell r="C676" t="str">
            <v>Und.</v>
          </cell>
          <cell r="D676">
            <v>65980</v>
          </cell>
          <cell r="E676">
            <v>78516</v>
          </cell>
        </row>
        <row r="677">
          <cell r="A677" t="str">
            <v>ST108</v>
          </cell>
          <cell r="B677" t="str">
            <v xml:space="preserve">Silla Tee de 250x200 </v>
          </cell>
          <cell r="C677" t="str">
            <v>Und.</v>
          </cell>
          <cell r="D677">
            <v>84229</v>
          </cell>
          <cell r="E677">
            <v>100233</v>
          </cell>
        </row>
        <row r="678">
          <cell r="A678" t="str">
            <v>ST124</v>
          </cell>
          <cell r="B678" t="str">
            <v xml:space="preserve">Silla Tee de 315x110 </v>
          </cell>
          <cell r="C678" t="str">
            <v>Und.</v>
          </cell>
          <cell r="D678">
            <v>102292</v>
          </cell>
          <cell r="E678">
            <v>121727</v>
          </cell>
        </row>
        <row r="679">
          <cell r="A679" t="str">
            <v>ST126</v>
          </cell>
          <cell r="B679" t="str">
            <v xml:space="preserve">Silla Tee de 315x160 </v>
          </cell>
          <cell r="C679" t="str">
            <v>Und.</v>
          </cell>
          <cell r="D679">
            <v>102292</v>
          </cell>
          <cell r="E679">
            <v>121727</v>
          </cell>
        </row>
        <row r="680">
          <cell r="A680" t="str">
            <v>ST128</v>
          </cell>
          <cell r="B680" t="str">
            <v xml:space="preserve">Silla Tee de 315x200 </v>
          </cell>
          <cell r="C680" t="str">
            <v>Und.</v>
          </cell>
          <cell r="D680">
            <v>138284</v>
          </cell>
          <cell r="E680">
            <v>164558</v>
          </cell>
        </row>
        <row r="681">
          <cell r="A681" t="str">
            <v>ST1210</v>
          </cell>
          <cell r="B681" t="str">
            <v xml:space="preserve">Silla Tee de 315x250 </v>
          </cell>
          <cell r="C681" t="str">
            <v>Und.</v>
          </cell>
          <cell r="D681">
            <v>138284</v>
          </cell>
          <cell r="E681">
            <v>164558</v>
          </cell>
        </row>
        <row r="682">
          <cell r="A682" t="str">
            <v>ST144</v>
          </cell>
          <cell r="B682" t="str">
            <v xml:space="preserve">Silla Tee de 355x110 </v>
          </cell>
          <cell r="C682" t="str">
            <v>Und.</v>
          </cell>
          <cell r="D682">
            <v>138284</v>
          </cell>
          <cell r="E682">
            <v>164558</v>
          </cell>
        </row>
        <row r="683">
          <cell r="A683" t="str">
            <v>ST146</v>
          </cell>
          <cell r="B683" t="str">
            <v xml:space="preserve">Silla Tee de 355x160 </v>
          </cell>
          <cell r="C683" t="str">
            <v>Und.</v>
          </cell>
          <cell r="D683">
            <v>154004</v>
          </cell>
          <cell r="E683">
            <v>183265</v>
          </cell>
        </row>
        <row r="684">
          <cell r="A684" t="str">
            <v>ST148</v>
          </cell>
          <cell r="B684" t="str">
            <v xml:space="preserve">Silla Tee de 355x200 </v>
          </cell>
          <cell r="C684" t="str">
            <v>Und.</v>
          </cell>
          <cell r="D684">
            <v>154002</v>
          </cell>
          <cell r="E684">
            <v>183262</v>
          </cell>
        </row>
        <row r="685">
          <cell r="A685" t="str">
            <v>ST164</v>
          </cell>
          <cell r="B685" t="str">
            <v xml:space="preserve">Silla Tee de 400x110 </v>
          </cell>
          <cell r="C685" t="str">
            <v>Und.</v>
          </cell>
          <cell r="D685">
            <v>168858</v>
          </cell>
          <cell r="E685">
            <v>200941</v>
          </cell>
        </row>
        <row r="686">
          <cell r="A686" t="str">
            <v>ST166</v>
          </cell>
          <cell r="B686" t="str">
            <v xml:space="preserve">Silla Tee de 400x160 </v>
          </cell>
          <cell r="C686" t="str">
            <v>Und.</v>
          </cell>
          <cell r="D686">
            <v>168858</v>
          </cell>
          <cell r="E686">
            <v>200941</v>
          </cell>
        </row>
        <row r="687">
          <cell r="A687" t="str">
            <v>ST168</v>
          </cell>
          <cell r="B687" t="str">
            <v xml:space="preserve">Silla Tee de 400x200 </v>
          </cell>
          <cell r="C687" t="str">
            <v>Und.</v>
          </cell>
          <cell r="D687">
            <v>168858</v>
          </cell>
          <cell r="E687">
            <v>200941</v>
          </cell>
        </row>
        <row r="688">
          <cell r="A688" t="str">
            <v>ST1610</v>
          </cell>
          <cell r="B688" t="str">
            <v xml:space="preserve">Silla Tee de 400x250 </v>
          </cell>
          <cell r="C688" t="str">
            <v>Und.</v>
          </cell>
          <cell r="D688">
            <v>168858</v>
          </cell>
          <cell r="E688">
            <v>200941</v>
          </cell>
        </row>
        <row r="689">
          <cell r="A689" t="str">
            <v>ST186</v>
          </cell>
          <cell r="B689" t="str">
            <v xml:space="preserve">Silla Tee de 450x160 </v>
          </cell>
          <cell r="C689" t="str">
            <v>Und.</v>
          </cell>
          <cell r="D689">
            <v>180615</v>
          </cell>
          <cell r="E689">
            <v>214932</v>
          </cell>
        </row>
        <row r="690">
          <cell r="A690" t="str">
            <v>ST188</v>
          </cell>
          <cell r="B690" t="str">
            <v xml:space="preserve">Silla Tee de 450x200 </v>
          </cell>
          <cell r="C690" t="str">
            <v>Und.</v>
          </cell>
          <cell r="D690">
            <v>175561</v>
          </cell>
          <cell r="E690">
            <v>208918</v>
          </cell>
        </row>
        <row r="691">
          <cell r="A691" t="str">
            <v>ST206</v>
          </cell>
          <cell r="B691" t="str">
            <v xml:space="preserve">Silla Tee de 500x160 </v>
          </cell>
          <cell r="C691" t="str">
            <v>Und.</v>
          </cell>
          <cell r="D691">
            <v>275529</v>
          </cell>
          <cell r="E691">
            <v>327880</v>
          </cell>
        </row>
        <row r="692">
          <cell r="A692" t="str">
            <v>ST208</v>
          </cell>
          <cell r="B692" t="str">
            <v xml:space="preserve">Silla Tee de 500x200 </v>
          </cell>
          <cell r="C692" t="str">
            <v>Und.</v>
          </cell>
          <cell r="D692">
            <v>357930</v>
          </cell>
          <cell r="E692">
            <v>425937</v>
          </cell>
        </row>
        <row r="693">
          <cell r="A693" t="str">
            <v>ST246</v>
          </cell>
          <cell r="B693" t="str">
            <v xml:space="preserve">Silla Tee de 24"x160 </v>
          </cell>
          <cell r="C693" t="str">
            <v>Und.</v>
          </cell>
          <cell r="D693">
            <v>257629</v>
          </cell>
          <cell r="E693">
            <v>306579</v>
          </cell>
        </row>
        <row r="694">
          <cell r="A694" t="str">
            <v>ST248</v>
          </cell>
          <cell r="B694" t="str">
            <v xml:space="preserve">Silla Tee de 24"x200 </v>
          </cell>
          <cell r="C694" t="str">
            <v>Und.</v>
          </cell>
          <cell r="D694">
            <v>282087</v>
          </cell>
          <cell r="E694">
            <v>335684</v>
          </cell>
        </row>
        <row r="695">
          <cell r="A695" t="str">
            <v>ST276</v>
          </cell>
          <cell r="B695" t="str">
            <v xml:space="preserve">Silla Tee de 27"x160 </v>
          </cell>
          <cell r="C695" t="str">
            <v>Und.</v>
          </cell>
          <cell r="D695">
            <v>290056</v>
          </cell>
          <cell r="E695">
            <v>345167</v>
          </cell>
        </row>
        <row r="696">
          <cell r="A696" t="str">
            <v>ST278</v>
          </cell>
          <cell r="B696" t="str">
            <v xml:space="preserve">Silla Tee de 27"x200 </v>
          </cell>
          <cell r="C696" t="str">
            <v>Und.</v>
          </cell>
          <cell r="D696">
            <v>290056</v>
          </cell>
          <cell r="E696">
            <v>345167</v>
          </cell>
        </row>
        <row r="697">
          <cell r="A697" t="str">
            <v>ST306</v>
          </cell>
          <cell r="B697" t="str">
            <v xml:space="preserve">Silla Tee de 30"x160 </v>
          </cell>
          <cell r="C697" t="str">
            <v>Und.</v>
          </cell>
          <cell r="D697">
            <v>313261</v>
          </cell>
          <cell r="E697">
            <v>372781</v>
          </cell>
        </row>
        <row r="698">
          <cell r="A698" t="str">
            <v>ST308</v>
          </cell>
          <cell r="B698" t="str">
            <v xml:space="preserve">Silla Tee de 30"x200 </v>
          </cell>
          <cell r="C698" t="str">
            <v>Und.</v>
          </cell>
          <cell r="D698">
            <v>313261</v>
          </cell>
          <cell r="E698">
            <v>372781</v>
          </cell>
        </row>
        <row r="699">
          <cell r="A699" t="str">
            <v>ST336</v>
          </cell>
          <cell r="B699" t="str">
            <v xml:space="preserve">Silla Tee de 33"x160 </v>
          </cell>
          <cell r="C699" t="str">
            <v>Und.</v>
          </cell>
          <cell r="D699">
            <v>338321</v>
          </cell>
          <cell r="E699">
            <v>402602</v>
          </cell>
        </row>
        <row r="700">
          <cell r="A700" t="str">
            <v>ST338</v>
          </cell>
          <cell r="B700" t="str">
            <v xml:space="preserve">Silla Tee de 33"x200 </v>
          </cell>
          <cell r="C700" t="str">
            <v>Und.</v>
          </cell>
          <cell r="D700">
            <v>338321</v>
          </cell>
          <cell r="E700">
            <v>402602</v>
          </cell>
        </row>
        <row r="701">
          <cell r="A701" t="str">
            <v>ST366</v>
          </cell>
          <cell r="B701" t="str">
            <v xml:space="preserve">Silla Tee de 36"160 </v>
          </cell>
          <cell r="C701" t="str">
            <v>Und.</v>
          </cell>
          <cell r="D701">
            <v>365388</v>
          </cell>
          <cell r="E701">
            <v>434812</v>
          </cell>
        </row>
        <row r="702">
          <cell r="A702" t="str">
            <v>ST368</v>
          </cell>
          <cell r="B702" t="str">
            <v xml:space="preserve">Silla Tee de 36"x200 </v>
          </cell>
          <cell r="C702" t="str">
            <v>Und.</v>
          </cell>
          <cell r="D702">
            <v>365388</v>
          </cell>
          <cell r="E702">
            <v>434812</v>
          </cell>
        </row>
        <row r="703">
          <cell r="A703" t="str">
            <v>ST3610</v>
          </cell>
          <cell r="B703" t="str">
            <v xml:space="preserve">Silla Tee de 36"x250 </v>
          </cell>
          <cell r="C703" t="str">
            <v>Und.</v>
          </cell>
          <cell r="D703">
            <v>365388</v>
          </cell>
          <cell r="E703">
            <v>434812</v>
          </cell>
        </row>
        <row r="704">
          <cell r="A704" t="str">
            <v>ST3612</v>
          </cell>
          <cell r="B704" t="str">
            <v xml:space="preserve">Silla Tee de 36"x315 </v>
          </cell>
          <cell r="C704" t="str">
            <v>Und.</v>
          </cell>
          <cell r="D704">
            <v>365388</v>
          </cell>
          <cell r="E704">
            <v>434812</v>
          </cell>
        </row>
        <row r="706">
          <cell r="B706" t="str">
            <v>Silla Yee</v>
          </cell>
        </row>
        <row r="707">
          <cell r="A707" t="str">
            <v>SY64</v>
          </cell>
          <cell r="B707" t="str">
            <v xml:space="preserve">Silla Yee de 160x110 </v>
          </cell>
          <cell r="C707" t="str">
            <v>Und.</v>
          </cell>
          <cell r="D707">
            <v>56724.33</v>
          </cell>
          <cell r="E707">
            <v>67502</v>
          </cell>
        </row>
        <row r="708">
          <cell r="A708" t="str">
            <v>SY84</v>
          </cell>
          <cell r="B708" t="str">
            <v xml:space="preserve">Silla Yee de 200x110 </v>
          </cell>
          <cell r="C708" t="str">
            <v>Und.</v>
          </cell>
          <cell r="D708">
            <v>69477.12000000001</v>
          </cell>
          <cell r="E708">
            <v>82678</v>
          </cell>
        </row>
        <row r="709">
          <cell r="A709" t="str">
            <v>SY86</v>
          </cell>
          <cell r="B709" t="str">
            <v xml:space="preserve">Silla Yee de 200x160 </v>
          </cell>
          <cell r="C709" t="str">
            <v>Und.</v>
          </cell>
          <cell r="D709">
            <v>69477.12000000001</v>
          </cell>
          <cell r="E709">
            <v>82678</v>
          </cell>
        </row>
        <row r="710">
          <cell r="A710" t="str">
            <v>SY104</v>
          </cell>
          <cell r="B710" t="str">
            <v xml:space="preserve">Silla Yee de 250x110 </v>
          </cell>
          <cell r="C710" t="str">
            <v>Und.</v>
          </cell>
          <cell r="D710">
            <v>80561.58</v>
          </cell>
          <cell r="E710">
            <v>95868</v>
          </cell>
        </row>
        <row r="711">
          <cell r="A711" t="str">
            <v>SY106</v>
          </cell>
          <cell r="B711" t="str">
            <v xml:space="preserve">Silla Yee de 250x160 </v>
          </cell>
          <cell r="C711" t="str">
            <v>Und.</v>
          </cell>
          <cell r="D711">
            <v>80561.58</v>
          </cell>
          <cell r="E711">
            <v>95868</v>
          </cell>
        </row>
        <row r="712">
          <cell r="A712" t="str">
            <v>SY108</v>
          </cell>
          <cell r="B712" t="str">
            <v xml:space="preserve">Silla Yee de 250x200 </v>
          </cell>
          <cell r="C712" t="str">
            <v>Und.</v>
          </cell>
          <cell r="D712">
            <v>119467.08000000002</v>
          </cell>
          <cell r="E712">
            <v>142166</v>
          </cell>
        </row>
        <row r="713">
          <cell r="A713" t="str">
            <v>SY124</v>
          </cell>
          <cell r="B713" t="str">
            <v xml:space="preserve">Silla Yee de 315x110 </v>
          </cell>
          <cell r="C713" t="str">
            <v>Und.</v>
          </cell>
          <cell r="D713">
            <v>124899.42000000001</v>
          </cell>
          <cell r="E713">
            <v>148630</v>
          </cell>
        </row>
        <row r="714">
          <cell r="A714" t="str">
            <v>SY126</v>
          </cell>
          <cell r="B714" t="str">
            <v xml:space="preserve">Silla Yee de 315x160 </v>
          </cell>
          <cell r="C714" t="str">
            <v>Und.</v>
          </cell>
          <cell r="D714">
            <v>124731.81000000001</v>
          </cell>
          <cell r="E714">
            <v>148431</v>
          </cell>
        </row>
        <row r="715">
          <cell r="A715" t="str">
            <v>SY128</v>
          </cell>
          <cell r="B715" t="str">
            <v xml:space="preserve">Silla Yee de 315x200 </v>
          </cell>
          <cell r="C715" t="str">
            <v>Und.</v>
          </cell>
          <cell r="D715">
            <v>168845.43000000002</v>
          </cell>
          <cell r="E715">
            <v>200926</v>
          </cell>
        </row>
        <row r="716">
          <cell r="A716" t="str">
            <v>SY144</v>
          </cell>
          <cell r="B716" t="str">
            <v xml:space="preserve">Silla Yee de 355x110 </v>
          </cell>
          <cell r="C716" t="str">
            <v>Und.</v>
          </cell>
          <cell r="D716">
            <v>188039.55000000002</v>
          </cell>
          <cell r="E716">
            <v>223767</v>
          </cell>
        </row>
        <row r="717">
          <cell r="A717" t="str">
            <v>SY146</v>
          </cell>
          <cell r="B717" t="str">
            <v xml:space="preserve">Silla Yee de 355x160 </v>
          </cell>
          <cell r="C717" t="str">
            <v>Und.</v>
          </cell>
          <cell r="D717">
            <v>188039.55000000002</v>
          </cell>
          <cell r="E717">
            <v>223767</v>
          </cell>
        </row>
        <row r="718">
          <cell r="A718" t="str">
            <v>SY148</v>
          </cell>
          <cell r="B718" t="str">
            <v xml:space="preserve">Silla Yee de 355x200 </v>
          </cell>
          <cell r="C718" t="str">
            <v>Und.</v>
          </cell>
          <cell r="D718">
            <v>188035.11000000002</v>
          </cell>
          <cell r="E718">
            <v>223762</v>
          </cell>
        </row>
        <row r="719">
          <cell r="A719" t="str">
            <v>SY164</v>
          </cell>
          <cell r="B719" t="str">
            <v xml:space="preserve">Silla Yee de 400x110 </v>
          </cell>
          <cell r="C719" t="str">
            <v>Und.</v>
          </cell>
          <cell r="D719">
            <v>206176.95</v>
          </cell>
          <cell r="E719">
            <v>245351</v>
          </cell>
        </row>
        <row r="720">
          <cell r="A720" t="str">
            <v>SY166</v>
          </cell>
          <cell r="B720" t="str">
            <v xml:space="preserve">Silla Yee de 400x160 </v>
          </cell>
          <cell r="C720" t="str">
            <v>Und.</v>
          </cell>
          <cell r="D720">
            <v>206176.95</v>
          </cell>
          <cell r="E720">
            <v>245351</v>
          </cell>
        </row>
        <row r="721">
          <cell r="A721" t="str">
            <v>SY168</v>
          </cell>
          <cell r="B721" t="str">
            <v xml:space="preserve">Silla Yee de 400x200 </v>
          </cell>
          <cell r="C721" t="str">
            <v>Und.</v>
          </cell>
          <cell r="D721">
            <v>206178.06000000003</v>
          </cell>
          <cell r="E721">
            <v>245352</v>
          </cell>
        </row>
        <row r="722">
          <cell r="A722" t="str">
            <v>SY1610</v>
          </cell>
          <cell r="B722" t="str">
            <v xml:space="preserve">Silla Yee de 400x250 </v>
          </cell>
          <cell r="C722" t="str">
            <v>Und.</v>
          </cell>
          <cell r="D722">
            <v>206176.95</v>
          </cell>
          <cell r="E722">
            <v>245351</v>
          </cell>
        </row>
        <row r="723">
          <cell r="A723" t="str">
            <v>SY186</v>
          </cell>
          <cell r="B723" t="str">
            <v xml:space="preserve">Silla Yee de 450x160 </v>
          </cell>
          <cell r="C723" t="str">
            <v>Und.</v>
          </cell>
          <cell r="D723">
            <v>220531.47000000003</v>
          </cell>
          <cell r="E723">
            <v>262432</v>
          </cell>
        </row>
        <row r="724">
          <cell r="A724" t="str">
            <v>SY188</v>
          </cell>
          <cell r="B724" t="str">
            <v xml:space="preserve">Silla Yee de 450x200 </v>
          </cell>
          <cell r="C724" t="str">
            <v>Und.</v>
          </cell>
          <cell r="D724">
            <v>220537.02000000002</v>
          </cell>
          <cell r="E724">
            <v>262439</v>
          </cell>
        </row>
        <row r="725">
          <cell r="A725" t="str">
            <v>SY206</v>
          </cell>
          <cell r="B725" t="str">
            <v xml:space="preserve">Silla Yee de 500x160 </v>
          </cell>
          <cell r="C725" t="str">
            <v>Und.</v>
          </cell>
          <cell r="D725">
            <v>336421.02</v>
          </cell>
          <cell r="E725">
            <v>400341</v>
          </cell>
        </row>
        <row r="726">
          <cell r="A726" t="str">
            <v>SY208</v>
          </cell>
          <cell r="B726" t="str">
            <v xml:space="preserve">Silla Yee de 500x200 </v>
          </cell>
          <cell r="C726" t="str">
            <v>Und.</v>
          </cell>
          <cell r="D726">
            <v>336425.46</v>
          </cell>
          <cell r="E726">
            <v>400346</v>
          </cell>
        </row>
        <row r="727">
          <cell r="A727" t="str">
            <v>SY246</v>
          </cell>
          <cell r="B727" t="str">
            <v xml:space="preserve">Silla Yee de 24"x160 </v>
          </cell>
          <cell r="C727" t="str">
            <v>Und.</v>
          </cell>
          <cell r="D727">
            <v>226152</v>
          </cell>
          <cell r="E727">
            <v>269121</v>
          </cell>
        </row>
        <row r="728">
          <cell r="A728" t="str">
            <v>SY248</v>
          </cell>
          <cell r="B728" t="str">
            <v xml:space="preserve">Silla Yee de 24"x200 </v>
          </cell>
          <cell r="C728" t="str">
            <v>Und.</v>
          </cell>
          <cell r="D728">
            <v>279893</v>
          </cell>
          <cell r="E728">
            <v>333073</v>
          </cell>
        </row>
        <row r="729">
          <cell r="A729" t="str">
            <v>SY276</v>
          </cell>
          <cell r="B729" t="str">
            <v xml:space="preserve">Silla Yee de 27"x160 </v>
          </cell>
          <cell r="C729" t="str">
            <v>Und.</v>
          </cell>
          <cell r="D729">
            <v>280720</v>
          </cell>
          <cell r="E729">
            <v>334057</v>
          </cell>
        </row>
        <row r="730">
          <cell r="A730" t="str">
            <v>SY278</v>
          </cell>
          <cell r="B730" t="str">
            <v xml:space="preserve">Silla Yee de 27"x200 </v>
          </cell>
          <cell r="C730" t="str">
            <v>Und.</v>
          </cell>
          <cell r="D730">
            <v>281543</v>
          </cell>
          <cell r="E730">
            <v>335036</v>
          </cell>
        </row>
        <row r="731">
          <cell r="A731" t="str">
            <v>SY306</v>
          </cell>
          <cell r="B731" t="str">
            <v xml:space="preserve">Silla Yee de 30"x160 </v>
          </cell>
          <cell r="C731" t="str">
            <v>Und.</v>
          </cell>
          <cell r="D731">
            <v>293110</v>
          </cell>
          <cell r="E731">
            <v>348801</v>
          </cell>
        </row>
        <row r="732">
          <cell r="A732" t="str">
            <v>SY308</v>
          </cell>
          <cell r="B732" t="str">
            <v xml:space="preserve">Silla Yee de 30"x200 </v>
          </cell>
          <cell r="C732" t="str">
            <v>Und.</v>
          </cell>
          <cell r="D732">
            <v>446758</v>
          </cell>
          <cell r="E732">
            <v>531642</v>
          </cell>
        </row>
        <row r="733">
          <cell r="A733" t="str">
            <v>SY336</v>
          </cell>
          <cell r="B733" t="str">
            <v xml:space="preserve">Silla Yee de 33"x160 </v>
          </cell>
          <cell r="C733" t="str">
            <v>Und.</v>
          </cell>
          <cell r="D733">
            <v>305464</v>
          </cell>
          <cell r="E733">
            <v>363502</v>
          </cell>
        </row>
        <row r="734">
          <cell r="A734" t="str">
            <v>SY338</v>
          </cell>
          <cell r="B734" t="str">
            <v xml:space="preserve">Silla Yee de 33"x200 </v>
          </cell>
          <cell r="C734" t="str">
            <v>Und.</v>
          </cell>
          <cell r="D734">
            <v>314892</v>
          </cell>
          <cell r="E734">
            <v>374721</v>
          </cell>
        </row>
        <row r="735">
          <cell r="A735" t="str">
            <v>SY366</v>
          </cell>
          <cell r="B735" t="str">
            <v xml:space="preserve">Silla Yee de 36"160 </v>
          </cell>
          <cell r="C735" t="str">
            <v>Und.</v>
          </cell>
          <cell r="D735">
            <v>329895</v>
          </cell>
          <cell r="E735">
            <v>392575</v>
          </cell>
        </row>
        <row r="736">
          <cell r="A736" t="str">
            <v>SY368</v>
          </cell>
          <cell r="B736" t="str">
            <v xml:space="preserve">Silla Yee de 36"x200 </v>
          </cell>
          <cell r="C736" t="str">
            <v>Und.</v>
          </cell>
          <cell r="D736">
            <v>333785</v>
          </cell>
          <cell r="E736">
            <v>397204</v>
          </cell>
        </row>
        <row r="738">
          <cell r="B738" t="str">
            <v>Kit Silla Yee</v>
          </cell>
        </row>
        <row r="739">
          <cell r="A739" t="str">
            <v>KSY64</v>
          </cell>
          <cell r="B739" t="str">
            <v xml:space="preserve">Kit Silla Yee de 160x110 </v>
          </cell>
          <cell r="C739" t="str">
            <v>Und.</v>
          </cell>
          <cell r="D739">
            <v>87343.680000000008</v>
          </cell>
          <cell r="E739">
            <v>103939</v>
          </cell>
        </row>
        <row r="740">
          <cell r="A740" t="str">
            <v>KSY84</v>
          </cell>
          <cell r="B740" t="str">
            <v xml:space="preserve">Kit Silla Yee de 200x110 </v>
          </cell>
          <cell r="C740" t="str">
            <v>Und.</v>
          </cell>
          <cell r="D740">
            <v>100955.61000000002</v>
          </cell>
          <cell r="E740">
            <v>120137</v>
          </cell>
        </row>
        <row r="741">
          <cell r="A741" t="str">
            <v>KSY86</v>
          </cell>
          <cell r="B741" t="str">
            <v xml:space="preserve">Kit Silla Yee de 200x160 </v>
          </cell>
          <cell r="C741" t="str">
            <v>Und.</v>
          </cell>
          <cell r="D741">
            <v>100955.61000000002</v>
          </cell>
          <cell r="E741">
            <v>120137</v>
          </cell>
        </row>
        <row r="742">
          <cell r="A742" t="str">
            <v>KSY106</v>
          </cell>
          <cell r="B742" t="str">
            <v xml:space="preserve">Kit Silla Yee de 250x160 </v>
          </cell>
          <cell r="C742" t="str">
            <v>Und.</v>
          </cell>
          <cell r="D742">
            <v>114127.98000000001</v>
          </cell>
          <cell r="E742">
            <v>135812</v>
          </cell>
        </row>
        <row r="743">
          <cell r="A743" t="str">
            <v>KSY104</v>
          </cell>
          <cell r="B743" t="str">
            <v xml:space="preserve">Kit Silla Yee de 250x110 </v>
          </cell>
          <cell r="C743" t="str">
            <v>Und.</v>
          </cell>
          <cell r="D743">
            <v>114127.98000000001</v>
          </cell>
          <cell r="E743">
            <v>135812</v>
          </cell>
        </row>
        <row r="744">
          <cell r="A744" t="str">
            <v>KSY124</v>
          </cell>
          <cell r="B744" t="str">
            <v xml:space="preserve">Kit Silla Yee de 315x110 </v>
          </cell>
          <cell r="C744" t="str">
            <v>Und.</v>
          </cell>
          <cell r="D744">
            <v>171608.22</v>
          </cell>
          <cell r="E744">
            <v>204214</v>
          </cell>
        </row>
        <row r="745">
          <cell r="A745" t="str">
            <v>KSY126</v>
          </cell>
          <cell r="B745" t="str">
            <v xml:space="preserve">Kit Silla Yee de 315x160 </v>
          </cell>
          <cell r="C745" t="str">
            <v>Und.</v>
          </cell>
          <cell r="D745">
            <v>171608.22</v>
          </cell>
          <cell r="E745">
            <v>204214</v>
          </cell>
        </row>
        <row r="747">
          <cell r="A747" t="str">
            <v>TUBERIA Y ACCESORIOS PF+UAD</v>
          </cell>
        </row>
        <row r="748">
          <cell r="A748" t="str">
            <v>AMPF1/2</v>
          </cell>
          <cell r="B748" t="str">
            <v>Adaptador Macho Acometida PF+UAD de 1/2"</v>
          </cell>
          <cell r="C748" t="str">
            <v>Und.</v>
          </cell>
          <cell r="D748">
            <v>1582</v>
          </cell>
          <cell r="E748">
            <v>1883</v>
          </cell>
        </row>
        <row r="749">
          <cell r="A749" t="str">
            <v>AHPF1/2</v>
          </cell>
          <cell r="B749" t="str">
            <v>Adaptador Hembra Acometida PF+UAD de 1/2"</v>
          </cell>
          <cell r="C749" t="str">
            <v>Und.</v>
          </cell>
          <cell r="D749">
            <v>1616</v>
          </cell>
          <cell r="E749">
            <v>1923</v>
          </cell>
        </row>
        <row r="750">
          <cell r="A750" t="str">
            <v>UPF1/2</v>
          </cell>
          <cell r="B750" t="str">
            <v>Unión Acometida PF+UAD de 1/2"</v>
          </cell>
          <cell r="C750" t="str">
            <v>Und.</v>
          </cell>
          <cell r="D750">
            <v>2778</v>
          </cell>
          <cell r="E750">
            <v>3306</v>
          </cell>
        </row>
        <row r="751">
          <cell r="A751" t="str">
            <v>UPF3/4</v>
          </cell>
          <cell r="B751" t="str">
            <v>Unión Acometida PF+UAD de 3/4"</v>
          </cell>
          <cell r="C751" t="str">
            <v>Und.</v>
          </cell>
          <cell r="D751">
            <v>10515</v>
          </cell>
          <cell r="E751">
            <v>12513</v>
          </cell>
        </row>
        <row r="752">
          <cell r="A752" t="str">
            <v>TPF1/2</v>
          </cell>
          <cell r="B752" t="str">
            <v>Tubería Acometida Domiciliaria HDPE de 1/2"</v>
          </cell>
          <cell r="C752" t="str">
            <v>m.</v>
          </cell>
          <cell r="D752">
            <v>1607</v>
          </cell>
          <cell r="E752">
            <v>1912</v>
          </cell>
        </row>
        <row r="753">
          <cell r="A753" t="str">
            <v>TPF3/4</v>
          </cell>
          <cell r="B753" t="str">
            <v>Tubería Acometida Domiciliaria HDPE de 3/4"</v>
          </cell>
          <cell r="C753" t="str">
            <v>m.</v>
          </cell>
          <cell r="D753">
            <v>3161</v>
          </cell>
          <cell r="E753">
            <v>3762</v>
          </cell>
        </row>
        <row r="758">
          <cell r="A758" t="str">
            <v>ACCESORIOS PVC 1/2"</v>
          </cell>
        </row>
        <row r="759">
          <cell r="A759" t="str">
            <v>ACC1/2</v>
          </cell>
          <cell r="B759" t="str">
            <v>Accesorios PVC 1/2" (Codo, uniones, adaptadores)</v>
          </cell>
          <cell r="C759" t="str">
            <v>Und.</v>
          </cell>
          <cell r="D759">
            <v>600</v>
          </cell>
          <cell r="E759">
            <v>714</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row r="3">
          <cell r="A3">
            <v>1</v>
          </cell>
          <cell r="B3">
            <v>2</v>
          </cell>
          <cell r="C3">
            <v>3</v>
          </cell>
          <cell r="D3">
            <v>4</v>
          </cell>
          <cell r="E3">
            <v>5</v>
          </cell>
          <cell r="F3">
            <v>6</v>
          </cell>
          <cell r="G3">
            <v>7</v>
          </cell>
          <cell r="H3">
            <v>8</v>
          </cell>
          <cell r="I3">
            <v>9</v>
          </cell>
          <cell r="J3">
            <v>10</v>
          </cell>
          <cell r="K3">
            <v>11</v>
          </cell>
          <cell r="L3">
            <v>12</v>
          </cell>
          <cell r="M3">
            <v>13</v>
          </cell>
          <cell r="N3">
            <v>14</v>
          </cell>
          <cell r="O3">
            <v>15</v>
          </cell>
        </row>
        <row r="4">
          <cell r="A4" t="str">
            <v>CÓDIGO</v>
          </cell>
          <cell r="B4" t="str">
            <v>TIPO DE CUADRILLA</v>
          </cell>
          <cell r="C4" t="str">
            <v>OCUPACION</v>
          </cell>
          <cell r="D4" t="str">
            <v>CANT/. SALARIOS</v>
          </cell>
          <cell r="E4" t="str">
            <v>JORNAL</v>
          </cell>
          <cell r="F4" t="str">
            <v>CANTIDAD</v>
          </cell>
          <cell r="G4" t="str">
            <v>V/PARCIAL</v>
          </cell>
          <cell r="H4" t="str">
            <v>VR/. PARCIAL CUADRILLA</v>
          </cell>
          <cell r="I4" t="str">
            <v>FACTOR PRESTACIONAL (%)</v>
          </cell>
          <cell r="J4" t="str">
            <v xml:space="preserve">PRESTACIONES </v>
          </cell>
          <cell r="K4" t="str">
            <v>VR/.TOTAL PRESTACIONES</v>
          </cell>
          <cell r="L4" t="str">
            <v>VR/. JORNAL CUADRILLA</v>
          </cell>
          <cell r="M4" t="str">
            <v>UNIDAD</v>
          </cell>
          <cell r="N4" t="str">
            <v>VR/. HORA TRABAJADOR</v>
          </cell>
          <cell r="O4" t="str">
            <v>VR/. HORA CUADRILLA</v>
          </cell>
        </row>
        <row r="5">
          <cell r="A5" t="str">
            <v>A</v>
          </cell>
          <cell r="B5" t="str">
            <v>Ayudante</v>
          </cell>
          <cell r="C5" t="str">
            <v>AYUDANTE</v>
          </cell>
          <cell r="D5" t="str">
            <v>1.2 S.M.L.V.</v>
          </cell>
          <cell r="E5">
            <v>38540.586666666662</v>
          </cell>
          <cell r="F5">
            <v>1</v>
          </cell>
          <cell r="G5">
            <v>38540.586666666662</v>
          </cell>
          <cell r="H5">
            <v>38541</v>
          </cell>
          <cell r="I5">
            <v>0.84109999999999996</v>
          </cell>
          <cell r="J5">
            <v>32416.487445333329</v>
          </cell>
          <cell r="K5">
            <v>32416</v>
          </cell>
          <cell r="L5">
            <v>70957</v>
          </cell>
          <cell r="M5" t="str">
            <v>HC</v>
          </cell>
          <cell r="N5">
            <v>8870</v>
          </cell>
          <cell r="O5">
            <v>8870</v>
          </cell>
        </row>
        <row r="6">
          <cell r="A6" t="str">
            <v>2A</v>
          </cell>
          <cell r="B6" t="str">
            <v>2 Ayudantes</v>
          </cell>
          <cell r="C6" t="str">
            <v>AYUDANTE</v>
          </cell>
          <cell r="D6" t="str">
            <v>1.2 S.M.L.V.</v>
          </cell>
          <cell r="E6">
            <v>38540.586666666662</v>
          </cell>
          <cell r="F6">
            <v>2</v>
          </cell>
          <cell r="G6">
            <v>77081.173333333325</v>
          </cell>
          <cell r="H6">
            <v>77081</v>
          </cell>
          <cell r="I6">
            <v>0.84109999999999996</v>
          </cell>
          <cell r="J6">
            <v>64832.974890666657</v>
          </cell>
          <cell r="K6">
            <v>64833</v>
          </cell>
          <cell r="L6">
            <v>141914</v>
          </cell>
          <cell r="M6" t="str">
            <v>HC</v>
          </cell>
          <cell r="N6">
            <v>8870</v>
          </cell>
          <cell r="O6">
            <v>17739</v>
          </cell>
        </row>
        <row r="7">
          <cell r="A7" t="str">
            <v>AA</v>
          </cell>
          <cell r="B7" t="str">
            <v>Cuadrilla AA: Albañilería. (1 Of. + 1 Ayud.).</v>
          </cell>
          <cell r="C7" t="str">
            <v>OFICIAL</v>
          </cell>
          <cell r="D7" t="str">
            <v>1.5 S.M.L.V.</v>
          </cell>
          <cell r="E7">
            <v>47318.616666666669</v>
          </cell>
          <cell r="F7">
            <v>1</v>
          </cell>
          <cell r="G7">
            <v>47318.616666666669</v>
          </cell>
          <cell r="H7">
            <v>85859</v>
          </cell>
          <cell r="I7">
            <v>0.83260000000000001</v>
          </cell>
          <cell r="J7">
            <v>39397.48023666667</v>
          </cell>
          <cell r="K7">
            <v>71814</v>
          </cell>
          <cell r="L7">
            <v>157673</v>
          </cell>
          <cell r="M7" t="str">
            <v>HC</v>
          </cell>
          <cell r="N7">
            <v>10840</v>
          </cell>
          <cell r="O7">
            <v>19709</v>
          </cell>
        </row>
        <row r="8">
          <cell r="C8" t="str">
            <v>AYUDANTE</v>
          </cell>
          <cell r="D8" t="str">
            <v>1.2 S.M.L.V.</v>
          </cell>
          <cell r="E8">
            <v>38540.586666666662</v>
          </cell>
          <cell r="F8">
            <v>1</v>
          </cell>
          <cell r="G8">
            <v>38540.586666666662</v>
          </cell>
          <cell r="I8">
            <v>0.84109999999999996</v>
          </cell>
          <cell r="J8">
            <v>32416.487445333329</v>
          </cell>
          <cell r="N8">
            <v>8870</v>
          </cell>
        </row>
        <row r="9">
          <cell r="A9" t="str">
            <v>BB</v>
          </cell>
          <cell r="B9" t="str">
            <v>Cuadrilla BB: Instalaciones básicas. (1 Of. + 1 Ayud.).</v>
          </cell>
          <cell r="C9" t="str">
            <v>OFICIAL</v>
          </cell>
          <cell r="D9" t="str">
            <v>2.0 S.M.L.V.</v>
          </cell>
          <cell r="E9">
            <v>61948.666666666664</v>
          </cell>
          <cell r="F9">
            <v>1</v>
          </cell>
          <cell r="G9">
            <v>61948.666666666664</v>
          </cell>
          <cell r="H9">
            <v>100489</v>
          </cell>
          <cell r="I9">
            <v>0.82389999999999997</v>
          </cell>
          <cell r="J9">
            <v>51039.506466666666</v>
          </cell>
          <cell r="K9">
            <v>83456</v>
          </cell>
          <cell r="L9">
            <v>183945</v>
          </cell>
          <cell r="M9" t="str">
            <v>HC</v>
          </cell>
          <cell r="N9">
            <v>14124</v>
          </cell>
          <cell r="O9">
            <v>22993</v>
          </cell>
        </row>
        <row r="10">
          <cell r="C10" t="str">
            <v>AYUDANTE</v>
          </cell>
          <cell r="D10" t="str">
            <v>1.2 S.M.L.V.</v>
          </cell>
          <cell r="E10">
            <v>38540.586666666662</v>
          </cell>
          <cell r="F10">
            <v>1</v>
          </cell>
          <cell r="G10">
            <v>38540.586666666662</v>
          </cell>
          <cell r="I10">
            <v>0.84109999999999996</v>
          </cell>
          <cell r="J10">
            <v>32416.487445333329</v>
          </cell>
          <cell r="N10">
            <v>8870</v>
          </cell>
        </row>
        <row r="11">
          <cell r="A11" t="str">
            <v>CC</v>
          </cell>
          <cell r="B11" t="str">
            <v>Cuadrilla CC: Pinturas.(1 Of.Pint.+ 1 Estuc. + 1 Ayud.).</v>
          </cell>
          <cell r="C11" t="str">
            <v>OFICIAL DE PINTURA</v>
          </cell>
          <cell r="D11" t="str">
            <v>2.5 S.M.L.V.</v>
          </cell>
          <cell r="E11">
            <v>73150.25</v>
          </cell>
          <cell r="F11">
            <v>1</v>
          </cell>
          <cell r="G11">
            <v>73150.25</v>
          </cell>
          <cell r="H11">
            <v>173640</v>
          </cell>
          <cell r="I11">
            <v>0.81069999999999998</v>
          </cell>
          <cell r="J11">
            <v>59302.907674999995</v>
          </cell>
          <cell r="K11">
            <v>142759</v>
          </cell>
          <cell r="L11">
            <v>316399</v>
          </cell>
          <cell r="M11" t="str">
            <v>HC</v>
          </cell>
          <cell r="N11">
            <v>16557</v>
          </cell>
          <cell r="O11">
            <v>39550</v>
          </cell>
        </row>
        <row r="12">
          <cell r="C12" t="str">
            <v>ESTUCADOR</v>
          </cell>
          <cell r="D12" t="str">
            <v>1.5 S.M.L.V.</v>
          </cell>
          <cell r="E12">
            <v>61948.666666666664</v>
          </cell>
          <cell r="F12">
            <v>1</v>
          </cell>
          <cell r="G12">
            <v>61948.666666666664</v>
          </cell>
          <cell r="I12">
            <v>0.82389999999999997</v>
          </cell>
          <cell r="J12">
            <v>51039.506466666666</v>
          </cell>
          <cell r="N12">
            <v>14124</v>
          </cell>
        </row>
        <row r="13">
          <cell r="B13" t="str">
            <v>CUADRILLA T5</v>
          </cell>
          <cell r="C13" t="str">
            <v>AYUDANTE</v>
          </cell>
          <cell r="D13" t="str">
            <v>1.2 S.M.L.V.</v>
          </cell>
          <cell r="E13">
            <v>38540.586666666662</v>
          </cell>
          <cell r="F13">
            <v>1</v>
          </cell>
          <cell r="G13">
            <v>38540.586666666662</v>
          </cell>
          <cell r="I13">
            <v>0.84109999999999996</v>
          </cell>
          <cell r="J13">
            <v>32416.487445333329</v>
          </cell>
          <cell r="N13">
            <v>8870</v>
          </cell>
        </row>
        <row r="14">
          <cell r="A14" t="str">
            <v>DD</v>
          </cell>
          <cell r="B14" t="str">
            <v>Cuadrilla DD: Carpintería en madera. (1 Carp. + 1 Ayud.).</v>
          </cell>
          <cell r="C14" t="str">
            <v>CARPINTERO</v>
          </cell>
          <cell r="D14" t="str">
            <v>2.5 S.M.L.V.</v>
          </cell>
          <cell r="E14">
            <v>73150.25</v>
          </cell>
          <cell r="F14">
            <v>1</v>
          </cell>
          <cell r="G14">
            <v>73150.25</v>
          </cell>
          <cell r="H14">
            <v>120469</v>
          </cell>
          <cell r="I14">
            <v>0.81069999999999998</v>
          </cell>
          <cell r="J14">
            <v>59302.907674999995</v>
          </cell>
          <cell r="K14">
            <v>98700</v>
          </cell>
          <cell r="L14">
            <v>219169</v>
          </cell>
          <cell r="M14" t="str">
            <v>HC</v>
          </cell>
          <cell r="N14">
            <v>16557</v>
          </cell>
          <cell r="O14">
            <v>27396</v>
          </cell>
        </row>
        <row r="15">
          <cell r="B15" t="str">
            <v>CUADRILLA T6</v>
          </cell>
          <cell r="C15" t="str">
            <v>AYUDANTE</v>
          </cell>
          <cell r="D15" t="str">
            <v>1.5 S.M.L.V.</v>
          </cell>
          <cell r="E15">
            <v>47318.616666666669</v>
          </cell>
          <cell r="F15">
            <v>1</v>
          </cell>
          <cell r="G15">
            <v>47318.616666666669</v>
          </cell>
          <cell r="I15">
            <v>0.83260000000000001</v>
          </cell>
          <cell r="J15">
            <v>39397.48023666667</v>
          </cell>
          <cell r="N15">
            <v>10840</v>
          </cell>
        </row>
        <row r="16">
          <cell r="A16" t="str">
            <v>EE</v>
          </cell>
          <cell r="B16" t="str">
            <v>Cuadrilla EE: Cableado estructurado.(1 Of. Instal.).</v>
          </cell>
          <cell r="C16" t="str">
            <v>OFICIAL INSTALACIÓN</v>
          </cell>
          <cell r="D16" t="str">
            <v>2.5 S.M.L.V.</v>
          </cell>
          <cell r="E16">
            <v>73150.25</v>
          </cell>
          <cell r="F16">
            <v>2</v>
          </cell>
          <cell r="G16">
            <v>146300.5</v>
          </cell>
          <cell r="H16">
            <v>146301</v>
          </cell>
          <cell r="I16">
            <v>0.81069999999999998</v>
          </cell>
          <cell r="J16">
            <v>118605.81534999999</v>
          </cell>
          <cell r="K16">
            <v>118606</v>
          </cell>
          <cell r="L16">
            <v>264907</v>
          </cell>
          <cell r="M16" t="str">
            <v>HC</v>
          </cell>
          <cell r="N16">
            <v>16557</v>
          </cell>
          <cell r="O16">
            <v>33113</v>
          </cell>
        </row>
        <row r="17">
          <cell r="A17" t="str">
            <v>FF</v>
          </cell>
          <cell r="B17" t="str">
            <v>Cuadrilla FF: Eléctricas. (0.3 Encar. + 1 Of. + 1 Ayud.).</v>
          </cell>
          <cell r="C17" t="str">
            <v>ENCARGADO DE OBRA</v>
          </cell>
          <cell r="D17" t="str">
            <v>3.0 S.M.L.V.</v>
          </cell>
          <cell r="E17">
            <v>87780.3</v>
          </cell>
          <cell r="F17">
            <v>0.3</v>
          </cell>
          <cell r="G17">
            <v>26334.09</v>
          </cell>
          <cell r="H17">
            <v>135601</v>
          </cell>
          <cell r="I17">
            <v>0.80820000000000003</v>
          </cell>
          <cell r="J17">
            <v>21283.211538</v>
          </cell>
          <cell r="K17">
            <v>111720</v>
          </cell>
          <cell r="L17">
            <v>247321</v>
          </cell>
          <cell r="M17" t="str">
            <v>HC</v>
          </cell>
          <cell r="N17">
            <v>19841</v>
          </cell>
          <cell r="O17">
            <v>30915</v>
          </cell>
        </row>
        <row r="18">
          <cell r="C18" t="str">
            <v>OFICIAL</v>
          </cell>
          <cell r="D18" t="str">
            <v>2.0 S.M.L.V.</v>
          </cell>
          <cell r="E18">
            <v>61948.666666666664</v>
          </cell>
          <cell r="F18">
            <v>1</v>
          </cell>
          <cell r="G18">
            <v>61948.666666666664</v>
          </cell>
          <cell r="I18">
            <v>0.82389999999999997</v>
          </cell>
          <cell r="J18">
            <v>51039.506466666666</v>
          </cell>
          <cell r="N18">
            <v>14124</v>
          </cell>
        </row>
        <row r="19">
          <cell r="C19" t="str">
            <v>AYUDANTE</v>
          </cell>
          <cell r="D19" t="str">
            <v>1.5 S.M.L.V.</v>
          </cell>
          <cell r="E19">
            <v>47318.616666666669</v>
          </cell>
          <cell r="F19">
            <v>1</v>
          </cell>
          <cell r="G19">
            <v>47318.616666666669</v>
          </cell>
          <cell r="I19">
            <v>0.83260000000000001</v>
          </cell>
          <cell r="J19">
            <v>39397.48023666667</v>
          </cell>
          <cell r="N19">
            <v>10840</v>
          </cell>
        </row>
        <row r="20">
          <cell r="A20" t="str">
            <v>FF1</v>
          </cell>
          <cell r="B20" t="str">
            <v>Cuadrilla FF1: Eléctricas especializadas. (0.6 Encar. + 2 Of. + 1 Ayud).</v>
          </cell>
          <cell r="C20" t="str">
            <v>ENCARGADO DE OBRA</v>
          </cell>
          <cell r="D20" t="str">
            <v>3.0 S.M.L.V.</v>
          </cell>
          <cell r="E20">
            <v>87780.3</v>
          </cell>
          <cell r="F20">
            <v>0.6</v>
          </cell>
          <cell r="G20">
            <v>52668.18</v>
          </cell>
          <cell r="H20">
            <v>246287</v>
          </cell>
          <cell r="I20">
            <v>0.80820000000000003</v>
          </cell>
          <cell r="J20">
            <v>42566.423075999999</v>
          </cell>
          <cell r="K20">
            <v>200570</v>
          </cell>
          <cell r="L20">
            <v>446857</v>
          </cell>
          <cell r="M20" t="str">
            <v>HC</v>
          </cell>
          <cell r="N20">
            <v>19841</v>
          </cell>
          <cell r="O20">
            <v>55857</v>
          </cell>
        </row>
        <row r="21">
          <cell r="C21" t="str">
            <v>OFICIAL</v>
          </cell>
          <cell r="D21" t="str">
            <v>2.5 S.M.L.V.</v>
          </cell>
          <cell r="E21">
            <v>73150.25</v>
          </cell>
          <cell r="F21">
            <v>2</v>
          </cell>
          <cell r="G21">
            <v>146300.5</v>
          </cell>
          <cell r="I21">
            <v>0.81069999999999998</v>
          </cell>
          <cell r="J21">
            <v>118605.81534999999</v>
          </cell>
          <cell r="N21">
            <v>16557</v>
          </cell>
        </row>
        <row r="22">
          <cell r="C22" t="str">
            <v>AYUDANTE</v>
          </cell>
          <cell r="D22" t="str">
            <v>1.5 S.M.L.V.</v>
          </cell>
          <cell r="E22">
            <v>47318.616666666669</v>
          </cell>
          <cell r="F22">
            <v>1</v>
          </cell>
          <cell r="G22">
            <v>47318.616666666669</v>
          </cell>
          <cell r="I22">
            <v>0.83260000000000001</v>
          </cell>
          <cell r="J22">
            <v>39397.48023666667</v>
          </cell>
          <cell r="N22">
            <v>10840</v>
          </cell>
        </row>
        <row r="23">
          <cell r="A23" t="str">
            <v>GG</v>
          </cell>
          <cell r="B23" t="str">
            <v>Cuadrilla GG: Drywall. (1 Of.Acab. + 1 Of.2 + 1 Ayud.).</v>
          </cell>
          <cell r="C23" t="str">
            <v>OFICIAL DE ACABADOS 1</v>
          </cell>
          <cell r="D23" t="str">
            <v>2.0 S.M.L.V.</v>
          </cell>
          <cell r="E23">
            <v>61948.666666666664</v>
          </cell>
          <cell r="F23">
            <v>1</v>
          </cell>
          <cell r="G23">
            <v>61948.666666666664</v>
          </cell>
          <cell r="H23">
            <v>147808</v>
          </cell>
          <cell r="I23">
            <v>0.82389999999999997</v>
          </cell>
          <cell r="J23">
            <v>51039.506466666666</v>
          </cell>
          <cell r="K23">
            <v>122853</v>
          </cell>
          <cell r="L23">
            <v>270661</v>
          </cell>
          <cell r="M23" t="str">
            <v>HC</v>
          </cell>
          <cell r="N23">
            <v>14124</v>
          </cell>
          <cell r="O23">
            <v>33833</v>
          </cell>
        </row>
        <row r="24">
          <cell r="C24" t="str">
            <v>OFICIAL 2</v>
          </cell>
          <cell r="D24" t="str">
            <v>1.5 S.M.L.V.</v>
          </cell>
          <cell r="E24">
            <v>47318.616666666669</v>
          </cell>
          <cell r="F24">
            <v>1</v>
          </cell>
          <cell r="G24">
            <v>47318.616666666669</v>
          </cell>
          <cell r="I24">
            <v>0.83260000000000001</v>
          </cell>
          <cell r="J24">
            <v>39397.48023666667</v>
          </cell>
          <cell r="N24">
            <v>10840</v>
          </cell>
        </row>
        <row r="25">
          <cell r="C25" t="str">
            <v>AYUDANTE</v>
          </cell>
          <cell r="D25" t="str">
            <v>1.2 S.M.L.V.</v>
          </cell>
          <cell r="E25">
            <v>38540.586666666662</v>
          </cell>
          <cell r="F25">
            <v>1</v>
          </cell>
          <cell r="G25">
            <v>38540.586666666662</v>
          </cell>
          <cell r="I25">
            <v>0.84109999999999996</v>
          </cell>
          <cell r="J25">
            <v>32416.487445333329</v>
          </cell>
          <cell r="N25">
            <v>8870</v>
          </cell>
        </row>
        <row r="26">
          <cell r="A26" t="str">
            <v>HH</v>
          </cell>
          <cell r="B26" t="str">
            <v>Cuadrilla HH: Metálicas. (1 Sold. + 1 Of. + 1 Ayud.).</v>
          </cell>
          <cell r="C26" t="str">
            <v>SOLDADOR</v>
          </cell>
          <cell r="D26" t="str">
            <v>2.5 S.M.L.V.</v>
          </cell>
          <cell r="E26">
            <v>73150.25</v>
          </cell>
          <cell r="F26">
            <v>1</v>
          </cell>
          <cell r="G26">
            <v>73150.25</v>
          </cell>
          <cell r="H26">
            <v>159009</v>
          </cell>
          <cell r="I26">
            <v>0.81069999999999998</v>
          </cell>
          <cell r="J26">
            <v>59302.907674999995</v>
          </cell>
          <cell r="K26">
            <v>131117</v>
          </cell>
          <cell r="L26">
            <v>290126</v>
          </cell>
          <cell r="M26" t="str">
            <v>HC</v>
          </cell>
          <cell r="N26">
            <v>16557</v>
          </cell>
          <cell r="O26">
            <v>36266</v>
          </cell>
        </row>
        <row r="27">
          <cell r="C27" t="str">
            <v>OFICIAL</v>
          </cell>
          <cell r="D27" t="str">
            <v>1.5 S.M.L.V.</v>
          </cell>
          <cell r="E27">
            <v>47318.616666666669</v>
          </cell>
          <cell r="F27">
            <v>1</v>
          </cell>
          <cell r="G27">
            <v>47318.616666666669</v>
          </cell>
          <cell r="I27">
            <v>0.83260000000000001</v>
          </cell>
          <cell r="J27">
            <v>39397.48023666667</v>
          </cell>
          <cell r="N27">
            <v>10840</v>
          </cell>
        </row>
        <row r="28">
          <cell r="C28" t="str">
            <v>AYUDANTE</v>
          </cell>
          <cell r="D28" t="str">
            <v>1.2 S.M.L.V.</v>
          </cell>
          <cell r="E28">
            <v>38540.586666666662</v>
          </cell>
          <cell r="F28">
            <v>1</v>
          </cell>
          <cell r="G28">
            <v>38540.586666666662</v>
          </cell>
          <cell r="I28">
            <v>0.84109999999999996</v>
          </cell>
          <cell r="J28">
            <v>32416.487445333329</v>
          </cell>
          <cell r="N28">
            <v>8870</v>
          </cell>
        </row>
        <row r="29">
          <cell r="A29" t="str">
            <v>II</v>
          </cell>
          <cell r="B29" t="str">
            <v>Cuadrilla II: Topografía. (1 Top. + 1 Aux.Top.+ 1 Cade.).</v>
          </cell>
          <cell r="C29" t="str">
            <v>TOPÓGRAFO</v>
          </cell>
          <cell r="D29" t="str">
            <v>4.0 S.M.L.V.</v>
          </cell>
          <cell r="E29">
            <v>117040.4</v>
          </cell>
          <cell r="F29">
            <v>1</v>
          </cell>
          <cell r="G29">
            <v>117040.4</v>
          </cell>
          <cell r="H29">
            <v>277971</v>
          </cell>
          <cell r="I29">
            <v>0.80500000000000005</v>
          </cell>
          <cell r="J29">
            <v>94217.521999999997</v>
          </cell>
          <cell r="K29">
            <v>224464</v>
          </cell>
          <cell r="L29">
            <v>502435</v>
          </cell>
          <cell r="M29" t="str">
            <v>HC</v>
          </cell>
          <cell r="N29">
            <v>26407</v>
          </cell>
          <cell r="O29">
            <v>62804</v>
          </cell>
        </row>
        <row r="30">
          <cell r="C30" t="str">
            <v>AUX. DE TOPOGRAFÍA</v>
          </cell>
          <cell r="D30" t="str">
            <v>3.0 S.M.L.V.</v>
          </cell>
          <cell r="E30">
            <v>87780.3</v>
          </cell>
          <cell r="F30">
            <v>1</v>
          </cell>
          <cell r="G30">
            <v>87780.3</v>
          </cell>
          <cell r="I30">
            <v>0.80820000000000003</v>
          </cell>
          <cell r="J30">
            <v>70944.038460000011</v>
          </cell>
          <cell r="N30">
            <v>19841</v>
          </cell>
        </row>
        <row r="31">
          <cell r="C31" t="str">
            <v>CADENERO</v>
          </cell>
          <cell r="D31" t="str">
            <v>2.5 S.M.L.V.</v>
          </cell>
          <cell r="E31">
            <v>73150.25</v>
          </cell>
          <cell r="F31">
            <v>1</v>
          </cell>
          <cell r="G31">
            <v>73150.25</v>
          </cell>
          <cell r="I31">
            <v>0.81069999999999998</v>
          </cell>
          <cell r="J31">
            <v>59302.907674999995</v>
          </cell>
          <cell r="N31">
            <v>16557</v>
          </cell>
        </row>
        <row r="32">
          <cell r="A32" t="str">
            <v>JJ</v>
          </cell>
          <cell r="B32" t="str">
            <v>Cuadrilla JJ: Red contra incendios. (1 Jef. + 1 Of.1 + 1 Of.2 + 1 Ayud. ).</v>
          </cell>
          <cell r="C32" t="str">
            <v>JEFE DE OBRA</v>
          </cell>
          <cell r="D32" t="str">
            <v>3.0  S.M.L.V.</v>
          </cell>
          <cell r="E32">
            <v>87780.3</v>
          </cell>
          <cell r="F32">
            <v>1</v>
          </cell>
          <cell r="G32">
            <v>87780.3</v>
          </cell>
          <cell r="H32">
            <v>270198</v>
          </cell>
          <cell r="I32">
            <v>0.80820000000000003</v>
          </cell>
          <cell r="J32">
            <v>70944.038460000011</v>
          </cell>
          <cell r="K32">
            <v>220684</v>
          </cell>
          <cell r="L32">
            <v>490882</v>
          </cell>
          <cell r="M32" t="str">
            <v>HC</v>
          </cell>
          <cell r="N32">
            <v>19841</v>
          </cell>
          <cell r="O32">
            <v>61360</v>
          </cell>
        </row>
        <row r="33">
          <cell r="C33" t="str">
            <v>OFICIAL 1</v>
          </cell>
          <cell r="D33" t="str">
            <v>2.5  S.M.L.V.</v>
          </cell>
          <cell r="E33">
            <v>73150.25</v>
          </cell>
          <cell r="F33">
            <v>1</v>
          </cell>
          <cell r="G33">
            <v>73150.25</v>
          </cell>
          <cell r="I33">
            <v>0.81069999999999998</v>
          </cell>
          <cell r="J33">
            <v>59302.907674999995</v>
          </cell>
          <cell r="N33">
            <v>16557</v>
          </cell>
        </row>
        <row r="34">
          <cell r="C34" t="str">
            <v>OFICIAL 2</v>
          </cell>
          <cell r="D34" t="str">
            <v>2.0  S.M.L.V.</v>
          </cell>
          <cell r="E34">
            <v>61948.666666666664</v>
          </cell>
          <cell r="F34">
            <v>1</v>
          </cell>
          <cell r="G34">
            <v>61948.666666666664</v>
          </cell>
          <cell r="I34">
            <v>0.82389999999999997</v>
          </cell>
          <cell r="J34">
            <v>51039.506466666666</v>
          </cell>
          <cell r="N34">
            <v>14124</v>
          </cell>
        </row>
        <row r="35">
          <cell r="C35" t="str">
            <v>AYUDANTE</v>
          </cell>
          <cell r="D35" t="str">
            <v>1.5  S.M.L.V.</v>
          </cell>
          <cell r="E35">
            <v>47318.616666666669</v>
          </cell>
          <cell r="F35">
            <v>1</v>
          </cell>
          <cell r="G35">
            <v>47318.616666666669</v>
          </cell>
          <cell r="I35">
            <v>0.83260000000000001</v>
          </cell>
          <cell r="J35">
            <v>39397.48023666667</v>
          </cell>
          <cell r="N35">
            <v>10840</v>
          </cell>
        </row>
        <row r="36">
          <cell r="A36" t="str">
            <v>KK</v>
          </cell>
          <cell r="B36" t="str">
            <v>Cuadrilla KK: Aseo. (2 Ayudantes).</v>
          </cell>
          <cell r="C36" t="str">
            <v>AYUDANTE</v>
          </cell>
          <cell r="D36" t="str">
            <v>1.2  S.M.L.V.</v>
          </cell>
          <cell r="E36">
            <v>38540.586666666662</v>
          </cell>
          <cell r="F36">
            <v>2</v>
          </cell>
          <cell r="G36">
            <v>77081.173333333325</v>
          </cell>
          <cell r="H36">
            <v>77081</v>
          </cell>
          <cell r="I36">
            <v>0.84109999999999996</v>
          </cell>
          <cell r="J36">
            <v>64832.974890666657</v>
          </cell>
          <cell r="K36">
            <v>64833</v>
          </cell>
          <cell r="L36">
            <v>141914</v>
          </cell>
          <cell r="M36" t="str">
            <v>HC</v>
          </cell>
          <cell r="N36">
            <v>8870</v>
          </cell>
          <cell r="O36">
            <v>17739</v>
          </cell>
        </row>
        <row r="37">
          <cell r="A37" t="str">
            <v>LL</v>
          </cell>
          <cell r="B37" t="str">
            <v>Cuadrilla LL: Mezclas. (1 Of. + 3 Ayud.).</v>
          </cell>
          <cell r="C37" t="str">
            <v>OFICIAL</v>
          </cell>
          <cell r="D37" t="str">
            <v>2.0 S.M.L.V.</v>
          </cell>
          <cell r="E37">
            <v>61948.666666666664</v>
          </cell>
          <cell r="F37">
            <v>1</v>
          </cell>
          <cell r="G37">
            <v>61948.666666666664</v>
          </cell>
          <cell r="H37">
            <v>177570</v>
          </cell>
          <cell r="I37">
            <v>0.82389999999999997</v>
          </cell>
          <cell r="J37">
            <v>51039.506466666666</v>
          </cell>
          <cell r="K37">
            <v>148289</v>
          </cell>
          <cell r="L37">
            <v>325859</v>
          </cell>
          <cell r="M37" t="str">
            <v>HC</v>
          </cell>
          <cell r="N37">
            <v>14124</v>
          </cell>
          <cell r="O37">
            <v>40732</v>
          </cell>
        </row>
        <row r="38">
          <cell r="C38" t="str">
            <v>AYUDANTE</v>
          </cell>
          <cell r="D38" t="str">
            <v>1.2 S.M.L.V.</v>
          </cell>
          <cell r="E38">
            <v>38540.586666666662</v>
          </cell>
          <cell r="F38">
            <v>3</v>
          </cell>
          <cell r="G38">
            <v>115621.75999999998</v>
          </cell>
          <cell r="I38">
            <v>0.84109999999999996</v>
          </cell>
          <cell r="J38">
            <v>97249.462335999982</v>
          </cell>
          <cell r="N38">
            <v>8870</v>
          </cell>
        </row>
        <row r="39">
          <cell r="A39" t="str">
            <v>MM</v>
          </cell>
          <cell r="B39" t="str">
            <v>Cuadrilla MM: Pavimentos. (1 Of.Pav.+ 1 Rastr. + 4 Ayud.).</v>
          </cell>
          <cell r="C39" t="str">
            <v>OFICIAL PAVIMENTO</v>
          </cell>
          <cell r="D39" t="str">
            <v>3.0 S.M.L.V.</v>
          </cell>
          <cell r="E39">
            <v>87780.3</v>
          </cell>
          <cell r="F39">
            <v>1</v>
          </cell>
          <cell r="G39">
            <v>87780.3</v>
          </cell>
          <cell r="H39">
            <v>339003</v>
          </cell>
          <cell r="I39">
            <v>0.80820000000000003</v>
          </cell>
          <cell r="J39">
            <v>70944.038460000011</v>
          </cell>
          <cell r="K39">
            <v>279573</v>
          </cell>
          <cell r="L39">
            <v>618576</v>
          </cell>
          <cell r="M39" t="str">
            <v>HC</v>
          </cell>
          <cell r="N39">
            <v>19841</v>
          </cell>
          <cell r="O39">
            <v>77322</v>
          </cell>
        </row>
        <row r="40">
          <cell r="C40" t="str">
            <v>RASTRILLERO</v>
          </cell>
          <cell r="D40" t="str">
            <v>2.0 S.M.L.V.</v>
          </cell>
          <cell r="E40">
            <v>61948.666666666664</v>
          </cell>
          <cell r="F40">
            <v>1</v>
          </cell>
          <cell r="G40">
            <v>61948.666666666664</v>
          </cell>
          <cell r="I40">
            <v>0.82389999999999997</v>
          </cell>
          <cell r="J40">
            <v>51039.506466666666</v>
          </cell>
          <cell r="N40">
            <v>14124</v>
          </cell>
        </row>
        <row r="41">
          <cell r="C41" t="str">
            <v>AYUDANTE</v>
          </cell>
          <cell r="D41" t="str">
            <v>1.5 S.M.L.V.</v>
          </cell>
          <cell r="E41">
            <v>47318.616666666669</v>
          </cell>
          <cell r="F41">
            <v>4</v>
          </cell>
          <cell r="G41">
            <v>189274.46666666667</v>
          </cell>
          <cell r="I41">
            <v>0.83260000000000001</v>
          </cell>
          <cell r="J41">
            <v>157589.92094666668</v>
          </cell>
          <cell r="N41">
            <v>10840</v>
          </cell>
        </row>
        <row r="42">
          <cell r="A42" t="str">
            <v>NN</v>
          </cell>
          <cell r="B42" t="str">
            <v>Cuadrilla NN: Instalaciones hidrosanitarias. (1 Of.Insta.+ 2 Ayud.).</v>
          </cell>
          <cell r="C42" t="str">
            <v>OFICIAL INSTALADOR</v>
          </cell>
          <cell r="D42" t="str">
            <v>2.5 S.M.L.V.</v>
          </cell>
          <cell r="E42">
            <v>73150.25</v>
          </cell>
          <cell r="F42">
            <v>1</v>
          </cell>
          <cell r="G42">
            <v>73150.25</v>
          </cell>
          <cell r="H42">
            <v>215106</v>
          </cell>
          <cell r="I42">
            <v>0.81069999999999998</v>
          </cell>
          <cell r="J42">
            <v>59302.907674999995</v>
          </cell>
          <cell r="K42">
            <v>177495</v>
          </cell>
          <cell r="L42">
            <v>392601</v>
          </cell>
          <cell r="M42" t="str">
            <v>HC</v>
          </cell>
          <cell r="N42">
            <v>16557</v>
          </cell>
          <cell r="O42">
            <v>49075</v>
          </cell>
        </row>
        <row r="43">
          <cell r="C43" t="str">
            <v>AYUDANTE</v>
          </cell>
          <cell r="D43" t="str">
            <v>1.5 S.M.L.V.</v>
          </cell>
          <cell r="E43">
            <v>47318.616666666669</v>
          </cell>
          <cell r="F43">
            <v>3</v>
          </cell>
          <cell r="G43">
            <v>141955.85</v>
          </cell>
          <cell r="I43">
            <v>0.83260000000000001</v>
          </cell>
          <cell r="J43">
            <v>118192.44071000001</v>
          </cell>
          <cell r="N43">
            <v>10840</v>
          </cell>
        </row>
        <row r="44">
          <cell r="A44" t="str">
            <v>OO</v>
          </cell>
          <cell r="B44" t="str">
            <v xml:space="preserve">Operador de maquinaria pesada. </v>
          </cell>
          <cell r="C44" t="str">
            <v>OPERADOR</v>
          </cell>
          <cell r="D44" t="str">
            <v>3.0 S.M.L.V.</v>
          </cell>
          <cell r="E44">
            <v>87780.3</v>
          </cell>
          <cell r="F44">
            <v>1</v>
          </cell>
          <cell r="G44">
            <v>87780.3</v>
          </cell>
          <cell r="H44">
            <v>87780</v>
          </cell>
          <cell r="I44">
            <v>0.80820000000000003</v>
          </cell>
          <cell r="J44">
            <v>70944.038460000011</v>
          </cell>
          <cell r="K44">
            <v>70944</v>
          </cell>
          <cell r="L44">
            <v>158724</v>
          </cell>
          <cell r="M44" t="str">
            <v>HC</v>
          </cell>
          <cell r="N44">
            <v>19841</v>
          </cell>
          <cell r="O44">
            <v>19841</v>
          </cell>
        </row>
      </sheetData>
      <sheetData sheetId="10" refreshError="1"/>
      <sheetData sheetId="11" refreshError="1"/>
      <sheetData sheetId="12" refreshError="1">
        <row r="2">
          <cell r="B2" t="str">
            <v>DEPARTAMENTO DEL HUILA</v>
          </cell>
        </row>
        <row r="60">
          <cell r="C60" t="str">
            <v>m</v>
          </cell>
        </row>
      </sheetData>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
      <sheetName val="INSUMOS"/>
      <sheetName val="SMMV"/>
      <sheetName val="FACTOR PRESTACIONAL"/>
      <sheetName val="CUADRILLAS"/>
      <sheetName val="BASICOS"/>
      <sheetName val="PRESUPUESTO"/>
      <sheetName val="APU-Modelo"/>
      <sheetName val="AIU"/>
      <sheetName val="PAGA"/>
      <sheetName val="PMT"/>
      <sheetName val="F. MULT"/>
      <sheetName val="INTERVENTORIA"/>
      <sheetName val="CRONOGRAMA"/>
      <sheetName val="1.1.1"/>
      <sheetName val="1.1.2"/>
      <sheetName val="1.1.3"/>
      <sheetName val="1.1.4"/>
      <sheetName val="1.2.1"/>
      <sheetName val="1.2.2"/>
      <sheetName val="1.2.3"/>
      <sheetName val="1.3.1"/>
      <sheetName val="1.4.1"/>
      <sheetName val="1.4.2"/>
      <sheetName val="1.4.3"/>
      <sheetName val="1.4.4"/>
      <sheetName val="1.4.5"/>
      <sheetName val="1.5.1"/>
      <sheetName val="1.5.2"/>
      <sheetName val="1.5.3"/>
      <sheetName val="1.5.4"/>
      <sheetName val="1.6.1"/>
      <sheetName val="2.1.1 A"/>
      <sheetName val="2.2.1 A"/>
      <sheetName val="2.2.2 A"/>
      <sheetName val="2.3.1 A"/>
      <sheetName val="2.3.2 A"/>
      <sheetName val="2.3.3 A "/>
      <sheetName val="2.3.4 A"/>
      <sheetName val="2.3.5 A"/>
      <sheetName val="2.3.6 A"/>
      <sheetName val="2.4.1 A"/>
      <sheetName val="2.4.2 A"/>
      <sheetName val="2.4.3 A"/>
      <sheetName val="2.5.1 A"/>
      <sheetName val="2.5.2 A"/>
      <sheetName val="2.5.3 A"/>
      <sheetName val="2.5.4 A"/>
      <sheetName val="2.5.5 A"/>
      <sheetName val="2.5.6 A"/>
      <sheetName val="2.5.7 A"/>
      <sheetName val="2.6.1 A"/>
      <sheetName val="2.6.2 A"/>
      <sheetName val="2.7.1 A"/>
    </sheetNames>
    <sheetDataSet>
      <sheetData sheetId="0" refreshError="1"/>
      <sheetData sheetId="1">
        <row r="2">
          <cell r="A2" t="str">
            <v>EQUIPOS Y HERRAMIENTAS</v>
          </cell>
        </row>
        <row r="4">
          <cell r="A4" t="str">
            <v>CÓDIGO</v>
          </cell>
          <cell r="B4" t="str">
            <v>DESCRIPCIÓN</v>
          </cell>
          <cell r="C4" t="str">
            <v>UNIDAD</v>
          </cell>
          <cell r="D4" t="str">
            <v>VALOR $</v>
          </cell>
          <cell r="E4" t="str">
            <v>FECHA</v>
          </cell>
        </row>
        <row r="5">
          <cell r="A5" t="str">
            <v>CAN</v>
          </cell>
          <cell r="B5" t="str">
            <v>Apisonador tipo canguro</v>
          </cell>
          <cell r="C5" t="str">
            <v>Dia</v>
          </cell>
          <cell r="D5">
            <v>95693</v>
          </cell>
        </row>
        <row r="6">
          <cell r="A6" t="str">
            <v>RANA</v>
          </cell>
          <cell r="B6" t="str">
            <v>Apisonador tipo rana</v>
          </cell>
          <cell r="C6" t="str">
            <v>Dia</v>
          </cell>
          <cell r="D6">
            <v>63796</v>
          </cell>
        </row>
        <row r="7">
          <cell r="A7" t="str">
            <v>CGR</v>
          </cell>
          <cell r="B7" t="str">
            <v>Camión grua</v>
          </cell>
          <cell r="C7" t="str">
            <v>Dia</v>
          </cell>
          <cell r="D7">
            <v>318978</v>
          </cell>
        </row>
        <row r="8">
          <cell r="A8" t="str">
            <v>CAM</v>
          </cell>
          <cell r="B8" t="str">
            <v>Camioneta transporte menor</v>
          </cell>
          <cell r="C8" t="str">
            <v>Viaje</v>
          </cell>
          <cell r="D8">
            <v>31898</v>
          </cell>
        </row>
        <row r="9">
          <cell r="A9" t="str">
            <v>COR</v>
          </cell>
          <cell r="B9" t="str">
            <v>Cortadora de disco diamante</v>
          </cell>
          <cell r="C9" t="str">
            <v>Día</v>
          </cell>
          <cell r="D9">
            <v>65000</v>
          </cell>
        </row>
        <row r="10">
          <cell r="A10" t="str">
            <v>COM</v>
          </cell>
          <cell r="B10" t="str">
            <v>Equipo compresor 120 HP y martillo neumático</v>
          </cell>
          <cell r="C10" t="str">
            <v>Hora</v>
          </cell>
          <cell r="D10">
            <v>95000</v>
          </cell>
        </row>
        <row r="11">
          <cell r="A11" t="str">
            <v>TOP</v>
          </cell>
          <cell r="B11" t="str">
            <v>Equipo de topografía.</v>
          </cell>
          <cell r="C11" t="str">
            <v>Día</v>
          </cell>
          <cell r="D11">
            <v>160000</v>
          </cell>
        </row>
        <row r="12">
          <cell r="A12" t="str">
            <v>DIF</v>
          </cell>
          <cell r="B12" t="str">
            <v>Equipo diferencial para 500kg</v>
          </cell>
          <cell r="C12" t="str">
            <v>Día</v>
          </cell>
          <cell r="D12">
            <v>94189</v>
          </cell>
        </row>
        <row r="13">
          <cell r="A13" t="str">
            <v>FORPZ</v>
          </cell>
          <cell r="B13" t="str">
            <v>Formaleta metálica para pozo</v>
          </cell>
          <cell r="C13" t="str">
            <v>Día</v>
          </cell>
          <cell r="D13">
            <v>80000</v>
          </cell>
        </row>
        <row r="14">
          <cell r="A14" t="str">
            <v>FORPV</v>
          </cell>
          <cell r="B14" t="str">
            <v>Formaleta maestra para pavimentos</v>
          </cell>
          <cell r="C14" t="str">
            <v>Día</v>
          </cell>
          <cell r="D14">
            <v>25000</v>
          </cell>
        </row>
        <row r="15">
          <cell r="A15" t="str">
            <v>HM5</v>
          </cell>
          <cell r="B15" t="str">
            <v>Herramienta Menor (5% de la mano de obra).</v>
          </cell>
          <cell r="C15" t="str">
            <v>%</v>
          </cell>
          <cell r="D15">
            <v>0.05</v>
          </cell>
        </row>
        <row r="16">
          <cell r="A16" t="str">
            <v>HM3</v>
          </cell>
          <cell r="B16" t="str">
            <v>Herramienta Menor (3% de la mano de obra).</v>
          </cell>
          <cell r="C16" t="str">
            <v>%</v>
          </cell>
          <cell r="D16">
            <v>0.03</v>
          </cell>
        </row>
        <row r="17">
          <cell r="A17" t="str">
            <v>HM10</v>
          </cell>
          <cell r="B17" t="str">
            <v>Herramienta Menor (10% de la mano de obra).</v>
          </cell>
          <cell r="C17" t="str">
            <v>%</v>
          </cell>
          <cell r="D17">
            <v>0.1</v>
          </cell>
        </row>
        <row r="18">
          <cell r="A18" t="str">
            <v>MEZ</v>
          </cell>
          <cell r="B18" t="str">
            <v>Mezcladora mecánica (1.5 bultos)</v>
          </cell>
          <cell r="C18" t="str">
            <v>Dia</v>
          </cell>
          <cell r="D18">
            <v>55000</v>
          </cell>
        </row>
        <row r="19">
          <cell r="A19" t="str">
            <v>MOT</v>
          </cell>
          <cell r="B19" t="str">
            <v>Motobomba 3" Autocebante Diesel</v>
          </cell>
          <cell r="C19" t="str">
            <v>Dia</v>
          </cell>
          <cell r="D19">
            <v>41000</v>
          </cell>
        </row>
        <row r="20">
          <cell r="A20" t="str">
            <v>MOS</v>
          </cell>
          <cell r="B20" t="str">
            <v>Motosierra</v>
          </cell>
          <cell r="C20" t="str">
            <v>Dia</v>
          </cell>
          <cell r="D20">
            <v>53000</v>
          </cell>
        </row>
        <row r="21">
          <cell r="A21" t="str">
            <v>RETROLL</v>
          </cell>
          <cell r="B21" t="str">
            <v>Retroexcavadora de llanta</v>
          </cell>
          <cell r="C21" t="str">
            <v>Hora</v>
          </cell>
          <cell r="D21">
            <v>130000</v>
          </cell>
        </row>
        <row r="22">
          <cell r="A22" t="str">
            <v>RETROOR</v>
          </cell>
          <cell r="B22" t="str">
            <v>Retroexcavadora de oruga</v>
          </cell>
          <cell r="C22" t="str">
            <v>Hora</v>
          </cell>
          <cell r="D22">
            <v>180000</v>
          </cell>
        </row>
        <row r="23">
          <cell r="A23" t="str">
            <v>VIB</v>
          </cell>
          <cell r="B23" t="str">
            <v>Vibrocompactador 10Ton</v>
          </cell>
          <cell r="C23" t="str">
            <v>Hora</v>
          </cell>
          <cell r="D23">
            <v>110000</v>
          </cell>
        </row>
        <row r="24">
          <cell r="A24" t="str">
            <v>VOL</v>
          </cell>
          <cell r="B24" t="str">
            <v>Volqueta de 5M3</v>
          </cell>
          <cell r="C24" t="str">
            <v>Hora</v>
          </cell>
          <cell r="D24">
            <v>63000</v>
          </cell>
        </row>
        <row r="25">
          <cell r="A25" t="str">
            <v>MOTO</v>
          </cell>
          <cell r="B25" t="str">
            <v>Motoniveladora</v>
          </cell>
          <cell r="C25" t="str">
            <v>Hora</v>
          </cell>
          <cell r="D25">
            <v>140000</v>
          </cell>
        </row>
        <row r="26">
          <cell r="A26" t="str">
            <v>EPH</v>
          </cell>
          <cell r="B26" t="str">
            <v>Equipo Compresor para Prueba Hidrostática</v>
          </cell>
          <cell r="C26" t="str">
            <v>Día</v>
          </cell>
          <cell r="D26">
            <v>695549</v>
          </cell>
        </row>
        <row r="27">
          <cell r="A27" t="str">
            <v>CTI</v>
          </cell>
          <cell r="B27" t="str">
            <v>Carro tanque irrigador de emulsion asfaltica</v>
          </cell>
          <cell r="C27" t="str">
            <v>Hora</v>
          </cell>
          <cell r="D27">
            <v>60000</v>
          </cell>
        </row>
        <row r="28">
          <cell r="A28" t="str">
            <v>TAL</v>
          </cell>
          <cell r="B28" t="str">
            <v>Taladro 1/2" Percutor Alámbrico (madera y metal)</v>
          </cell>
          <cell r="C28" t="str">
            <v>Día</v>
          </cell>
          <cell r="D28">
            <v>28800</v>
          </cell>
        </row>
        <row r="29">
          <cell r="A29" t="str">
            <v>VIBRO</v>
          </cell>
          <cell r="B29" t="str">
            <v>Vibrador de mezcla</v>
          </cell>
          <cell r="C29" t="str">
            <v>Día</v>
          </cell>
          <cell r="D29">
            <v>55000</v>
          </cell>
        </row>
        <row r="30">
          <cell r="A30" t="str">
            <v>COMPP</v>
          </cell>
          <cell r="B30" t="str">
            <v>Equipo compresor (barrido y soplado)</v>
          </cell>
          <cell r="C30" t="str">
            <v>Día</v>
          </cell>
          <cell r="D30">
            <v>80000</v>
          </cell>
        </row>
        <row r="31">
          <cell r="A31" t="str">
            <v>SOL</v>
          </cell>
          <cell r="B31" t="str">
            <v>Equipo de soldadura</v>
          </cell>
          <cell r="C31" t="str">
            <v>Día</v>
          </cell>
          <cell r="D31">
            <v>125000</v>
          </cell>
        </row>
        <row r="32">
          <cell r="A32" t="str">
            <v>CTA</v>
          </cell>
          <cell r="B32" t="str">
            <v>Carrotanque de agua</v>
          </cell>
          <cell r="C32" t="str">
            <v>Viaje</v>
          </cell>
          <cell r="D32">
            <v>362265</v>
          </cell>
        </row>
        <row r="40">
          <cell r="A40" t="str">
            <v>MATERIAL DE PLAYA - PRESTAMO</v>
          </cell>
        </row>
        <row r="41">
          <cell r="A41" t="str">
            <v>AGUA</v>
          </cell>
          <cell r="B41" t="str">
            <v>Agua</v>
          </cell>
          <cell r="C41" t="str">
            <v>Lt</v>
          </cell>
          <cell r="E41">
            <v>17</v>
          </cell>
        </row>
        <row r="42">
          <cell r="A42" t="str">
            <v>AF</v>
          </cell>
          <cell r="B42" t="str">
            <v>Arena fina de río.</v>
          </cell>
          <cell r="C42" t="str">
            <v>m3</v>
          </cell>
          <cell r="D42">
            <v>40000</v>
          </cell>
          <cell r="E42">
            <v>47600</v>
          </cell>
          <cell r="F42">
            <v>50</v>
          </cell>
          <cell r="G42">
            <v>1350</v>
          </cell>
        </row>
        <row r="43">
          <cell r="A43" t="str">
            <v>AGR</v>
          </cell>
          <cell r="B43" t="str">
            <v>Arena triturada de planta, pasante 3/8"</v>
          </cell>
          <cell r="C43" t="str">
            <v>m3</v>
          </cell>
          <cell r="D43">
            <v>45000</v>
          </cell>
          <cell r="E43">
            <v>53550</v>
          </cell>
          <cell r="F43">
            <v>50</v>
          </cell>
          <cell r="G43">
            <v>1350</v>
          </cell>
        </row>
        <row r="44">
          <cell r="A44" t="str">
            <v>AM</v>
          </cell>
          <cell r="B44" t="str">
            <v>Mixto (50% arena + 50% gravilla).</v>
          </cell>
          <cell r="C44" t="str">
            <v>m3</v>
          </cell>
          <cell r="D44">
            <v>35000</v>
          </cell>
          <cell r="E44">
            <v>41650</v>
          </cell>
          <cell r="F44">
            <v>50</v>
          </cell>
          <cell r="G44">
            <v>1350</v>
          </cell>
        </row>
        <row r="45">
          <cell r="A45" t="str">
            <v>GRA1/2</v>
          </cell>
          <cell r="B45" t="str">
            <v>Gravilla triturada de Ø1/2".</v>
          </cell>
          <cell r="C45" t="str">
            <v>m3</v>
          </cell>
          <cell r="D45">
            <v>75000</v>
          </cell>
          <cell r="E45">
            <v>89250</v>
          </cell>
          <cell r="F45">
            <v>50</v>
          </cell>
          <cell r="G45">
            <v>1350</v>
          </cell>
        </row>
        <row r="46">
          <cell r="A46" t="str">
            <v>GRA3/4</v>
          </cell>
          <cell r="B46" t="str">
            <v>Gravilla triturada de Ø3/4".</v>
          </cell>
          <cell r="C46" t="str">
            <v>m3</v>
          </cell>
          <cell r="D46">
            <v>75000</v>
          </cell>
          <cell r="E46">
            <v>89250</v>
          </cell>
          <cell r="F46">
            <v>50</v>
          </cell>
          <cell r="G46">
            <v>1350</v>
          </cell>
        </row>
        <row r="47">
          <cell r="A47" t="str">
            <v>REC</v>
          </cell>
          <cell r="B47" t="str">
            <v>Recebo granular seleccionado IP&lt;10%.</v>
          </cell>
          <cell r="C47" t="str">
            <v>m3</v>
          </cell>
          <cell r="D47">
            <v>28000</v>
          </cell>
          <cell r="E47">
            <v>33320</v>
          </cell>
          <cell r="F47">
            <v>50</v>
          </cell>
          <cell r="G47">
            <v>1350</v>
          </cell>
        </row>
        <row r="48">
          <cell r="A48" t="str">
            <v>SBG</v>
          </cell>
          <cell r="B48" t="str">
            <v xml:space="preserve">Sub-base granular - IP&lt;6% </v>
          </cell>
          <cell r="C48" t="str">
            <v>m3</v>
          </cell>
          <cell r="D48">
            <v>50000</v>
          </cell>
          <cell r="E48">
            <v>59500</v>
          </cell>
          <cell r="F48">
            <v>50</v>
          </cell>
          <cell r="G48">
            <v>1350</v>
          </cell>
        </row>
        <row r="49">
          <cell r="A49" t="str">
            <v>BG</v>
          </cell>
          <cell r="B49" t="str">
            <v>Base granular IP&lt;3%.</v>
          </cell>
          <cell r="C49" t="str">
            <v>m3</v>
          </cell>
          <cell r="D49">
            <v>55000</v>
          </cell>
          <cell r="E49">
            <v>65450</v>
          </cell>
          <cell r="F49">
            <v>50</v>
          </cell>
          <cell r="G49">
            <v>1350</v>
          </cell>
        </row>
        <row r="50">
          <cell r="A50" t="str">
            <v>PIEDR</v>
          </cell>
          <cell r="B50" t="str">
            <v>Piedra de Río Media Zonga</v>
          </cell>
          <cell r="C50" t="str">
            <v>m3</v>
          </cell>
          <cell r="D50">
            <v>60000</v>
          </cell>
          <cell r="E50">
            <v>71400</v>
          </cell>
          <cell r="F50">
            <v>50</v>
          </cell>
          <cell r="G50">
            <v>1350</v>
          </cell>
        </row>
        <row r="53">
          <cell r="A53" t="str">
            <v>VARIOS</v>
          </cell>
        </row>
        <row r="54">
          <cell r="A54" t="str">
            <v>ESC</v>
          </cell>
          <cell r="B54" t="str">
            <v>Escombros</v>
          </cell>
          <cell r="C54" t="str">
            <v>m3</v>
          </cell>
          <cell r="F54">
            <v>2</v>
          </cell>
          <cell r="G54">
            <v>1350</v>
          </cell>
        </row>
        <row r="55">
          <cell r="A55" t="str">
            <v>ACPM</v>
          </cell>
          <cell r="B55" t="str">
            <v>Combustible tipo ACPM</v>
          </cell>
          <cell r="C55" t="str">
            <v>gal</v>
          </cell>
          <cell r="E55">
            <v>9580</v>
          </cell>
        </row>
        <row r="56">
          <cell r="A56" t="str">
            <v>FE</v>
          </cell>
          <cell r="B56" t="str">
            <v>Acero  de refuerzo, suministro, corte, figurado y amarre, de 60000 psi.</v>
          </cell>
          <cell r="C56" t="str">
            <v>kg</v>
          </cell>
          <cell r="E56">
            <v>4843</v>
          </cell>
        </row>
        <row r="58">
          <cell r="A58" t="str">
            <v>PRODUCCIÓN - CONCRETOS Y MORTEROS</v>
          </cell>
        </row>
        <row r="59">
          <cell r="A59" t="str">
            <v>C1500</v>
          </cell>
          <cell r="B59" t="str">
            <v>Concreto de 105 Kg/cm2 (1500 PSI)</v>
          </cell>
          <cell r="C59" t="str">
            <v>m3</v>
          </cell>
          <cell r="E59">
            <v>412515</v>
          </cell>
        </row>
        <row r="60">
          <cell r="A60" t="str">
            <v>C2000</v>
          </cell>
          <cell r="B60" t="str">
            <v>Concreto de 140 Kg/cm2 (2000 PSI)</v>
          </cell>
          <cell r="C60" t="str">
            <v>m3</v>
          </cell>
          <cell r="E60">
            <v>434592</v>
          </cell>
        </row>
        <row r="61">
          <cell r="A61" t="str">
            <v>C2500</v>
          </cell>
          <cell r="B61" t="str">
            <v>Concreto de 175 Kg/cm2 (2500 PSI)</v>
          </cell>
          <cell r="C61" t="str">
            <v>m3</v>
          </cell>
          <cell r="E61">
            <v>458677</v>
          </cell>
        </row>
        <row r="62">
          <cell r="A62" t="str">
            <v>C3000</v>
          </cell>
          <cell r="B62" t="str">
            <v>Concreto de 210 Kg/cm2 (3000 PSI)</v>
          </cell>
          <cell r="C62" t="str">
            <v>m3</v>
          </cell>
          <cell r="E62">
            <v>482538</v>
          </cell>
        </row>
        <row r="63">
          <cell r="A63" t="str">
            <v>C3500</v>
          </cell>
          <cell r="B63" t="str">
            <v>Concreto de 250 Kg/cm2 (3500 PSI)</v>
          </cell>
          <cell r="C63" t="str">
            <v>m3</v>
          </cell>
          <cell r="E63">
            <v>513127</v>
          </cell>
        </row>
        <row r="64">
          <cell r="A64" t="str">
            <v>C4000</v>
          </cell>
          <cell r="B64" t="str">
            <v>Concreto de 280 Kg/cm2 (4000 PSI)</v>
          </cell>
          <cell r="C64" t="str">
            <v>m3</v>
          </cell>
          <cell r="E64">
            <v>531877</v>
          </cell>
        </row>
        <row r="65">
          <cell r="A65" t="str">
            <v>MR38</v>
          </cell>
          <cell r="B65" t="str">
            <v>Concreto hidráulico premezclado MR 38</v>
          </cell>
          <cell r="C65" t="str">
            <v>m3</v>
          </cell>
          <cell r="E65">
            <v>474000</v>
          </cell>
          <cell r="F65">
            <v>50</v>
          </cell>
          <cell r="G65">
            <v>1350</v>
          </cell>
        </row>
        <row r="66">
          <cell r="A66" t="str">
            <v>MR41</v>
          </cell>
          <cell r="B66" t="str">
            <v>Concreto hidráulico premezclado MR 41</v>
          </cell>
          <cell r="C66" t="str">
            <v>m3</v>
          </cell>
          <cell r="E66">
            <v>494300</v>
          </cell>
          <cell r="F66">
            <v>50</v>
          </cell>
          <cell r="G66">
            <v>1350</v>
          </cell>
        </row>
        <row r="67">
          <cell r="A67" t="str">
            <v>M12</v>
          </cell>
          <cell r="B67" t="str">
            <v>Mortero 1:2</v>
          </cell>
          <cell r="C67" t="str">
            <v>m3</v>
          </cell>
          <cell r="E67">
            <v>556282</v>
          </cell>
        </row>
        <row r="68">
          <cell r="A68" t="str">
            <v>M13</v>
          </cell>
          <cell r="B68" t="str">
            <v>Mortero 1:3</v>
          </cell>
          <cell r="C68" t="str">
            <v>m3</v>
          </cell>
          <cell r="E68">
            <v>472424</v>
          </cell>
        </row>
        <row r="69">
          <cell r="A69" t="str">
            <v>M13I</v>
          </cell>
          <cell r="B69" t="str">
            <v>Mortero 1:3 - Impermeabilizado</v>
          </cell>
          <cell r="C69" t="str">
            <v>m3</v>
          </cell>
          <cell r="E69">
            <v>602809</v>
          </cell>
        </row>
        <row r="70">
          <cell r="A70" t="str">
            <v>M14</v>
          </cell>
          <cell r="B70" t="str">
            <v>Mortero 1:4</v>
          </cell>
          <cell r="C70" t="str">
            <v>m3</v>
          </cell>
          <cell r="E70">
            <v>423891</v>
          </cell>
        </row>
        <row r="71">
          <cell r="A71" t="str">
            <v>M14I</v>
          </cell>
          <cell r="B71" t="str">
            <v>Mortero 1:4 - Impermeabilizado</v>
          </cell>
          <cell r="C71" t="str">
            <v>m3</v>
          </cell>
          <cell r="E71">
            <v>554276</v>
          </cell>
        </row>
        <row r="72">
          <cell r="A72" t="str">
            <v>M15</v>
          </cell>
          <cell r="B72" t="str">
            <v>Mortero 1:5</v>
          </cell>
          <cell r="C72" t="str">
            <v>m3</v>
          </cell>
          <cell r="E72">
            <v>389099</v>
          </cell>
        </row>
        <row r="73">
          <cell r="A73" t="str">
            <v>M16</v>
          </cell>
          <cell r="B73" t="str">
            <v>Mortero 1:6</v>
          </cell>
          <cell r="C73" t="str">
            <v>m3</v>
          </cell>
          <cell r="E73">
            <v>363066</v>
          </cell>
        </row>
        <row r="76">
          <cell r="A76" t="str">
            <v xml:space="preserve">ADITIVOS PARA EL CONCRETO </v>
          </cell>
        </row>
        <row r="77">
          <cell r="A77" t="str">
            <v>ACEL</v>
          </cell>
          <cell r="B77" t="str">
            <v>Acelerante de fraguado</v>
          </cell>
          <cell r="C77" t="str">
            <v>kg</v>
          </cell>
          <cell r="D77">
            <v>8500</v>
          </cell>
          <cell r="E77">
            <v>10115</v>
          </cell>
        </row>
        <row r="78">
          <cell r="A78" t="str">
            <v>IMP</v>
          </cell>
          <cell r="B78" t="str">
            <v>Impermeabilizante para morteros.</v>
          </cell>
          <cell r="C78" t="str">
            <v>kg</v>
          </cell>
          <cell r="E78">
            <v>11940</v>
          </cell>
        </row>
        <row r="79">
          <cell r="A79" t="str">
            <v>ADH</v>
          </cell>
          <cell r="B79" t="str">
            <v>Adhesivo  Ramset Red</v>
          </cell>
          <cell r="C79" t="str">
            <v>fl oz</v>
          </cell>
          <cell r="E79">
            <v>3950</v>
          </cell>
        </row>
        <row r="80">
          <cell r="A80" t="str">
            <v>IMPER</v>
          </cell>
          <cell r="B80" t="str">
            <v>Impermeabilizante para concretos, plastocrete o silimar.</v>
          </cell>
          <cell r="C80" t="str">
            <v>kg</v>
          </cell>
          <cell r="E80">
            <v>49805</v>
          </cell>
        </row>
        <row r="81">
          <cell r="A81" t="str">
            <v>ANTI</v>
          </cell>
          <cell r="B81" t="str">
            <v>Antisol</v>
          </cell>
          <cell r="C81" t="str">
            <v>kg</v>
          </cell>
          <cell r="E81">
            <v>5250</v>
          </cell>
        </row>
        <row r="82">
          <cell r="A82" t="str">
            <v>SIKAR</v>
          </cell>
          <cell r="B82" t="str">
            <v>Sika ROD 6 mm</v>
          </cell>
          <cell r="C82" t="str">
            <v>m</v>
          </cell>
          <cell r="E82">
            <v>780</v>
          </cell>
        </row>
        <row r="83">
          <cell r="A83" t="str">
            <v>SELLA</v>
          </cell>
          <cell r="B83" t="str">
            <v>Sellador de poliuretano autonivelante</v>
          </cell>
          <cell r="C83" t="str">
            <v>gl</v>
          </cell>
          <cell r="E83">
            <v>125000</v>
          </cell>
        </row>
        <row r="87">
          <cell r="A87" t="str">
            <v>FERRETERÍA</v>
          </cell>
        </row>
        <row r="88">
          <cell r="A88" t="str">
            <v>H60</v>
          </cell>
          <cell r="B88" t="str">
            <v>Acero de refuerzo de 60.000psi</v>
          </cell>
          <cell r="C88" t="str">
            <v>Kg.</v>
          </cell>
          <cell r="D88">
            <v>2500</v>
          </cell>
          <cell r="E88">
            <v>2975</v>
          </cell>
          <cell r="F88">
            <v>50</v>
          </cell>
          <cell r="G88">
            <v>1350</v>
          </cell>
        </row>
        <row r="89">
          <cell r="A89" t="str">
            <v>HN</v>
          </cell>
          <cell r="B89" t="str">
            <v>Alambre cal. 18</v>
          </cell>
          <cell r="C89" t="str">
            <v>Kg.</v>
          </cell>
          <cell r="D89">
            <v>4000</v>
          </cell>
          <cell r="E89">
            <v>4760</v>
          </cell>
        </row>
        <row r="90">
          <cell r="A90" t="str">
            <v>HN12</v>
          </cell>
          <cell r="B90" t="str">
            <v>Alambre cal 12</v>
          </cell>
          <cell r="C90" t="str">
            <v>Kg.</v>
          </cell>
          <cell r="D90">
            <v>4500</v>
          </cell>
          <cell r="E90">
            <v>5355</v>
          </cell>
        </row>
        <row r="91">
          <cell r="A91" t="str">
            <v>A15</v>
          </cell>
          <cell r="B91" t="str">
            <v>Angulo de 1 1/2"x1 1/2"x1/4"</v>
          </cell>
          <cell r="C91" t="str">
            <v>ML</v>
          </cell>
          <cell r="D91">
            <v>12000</v>
          </cell>
          <cell r="E91">
            <v>14280</v>
          </cell>
        </row>
        <row r="92">
          <cell r="B92" t="str">
            <v>Angulo de 1 1/2"x1 1/2"x1/4"</v>
          </cell>
          <cell r="E92">
            <v>0</v>
          </cell>
        </row>
        <row r="93">
          <cell r="A93" t="str">
            <v>A4</v>
          </cell>
          <cell r="B93" t="str">
            <v xml:space="preserve">Ángulo de 4 1/4" </v>
          </cell>
          <cell r="C93" t="str">
            <v>ML</v>
          </cell>
          <cell r="D93">
            <v>21640</v>
          </cell>
          <cell r="E93">
            <v>25752</v>
          </cell>
        </row>
        <row r="94">
          <cell r="A94" t="str">
            <v>A3</v>
          </cell>
          <cell r="B94" t="str">
            <v xml:space="preserve">Ángulo de 3 1/4" </v>
          </cell>
          <cell r="C94" t="str">
            <v>ML</v>
          </cell>
          <cell r="D94">
            <v>19362.641979999997</v>
          </cell>
          <cell r="E94">
            <v>23042</v>
          </cell>
        </row>
        <row r="95">
          <cell r="A95" t="str">
            <v>CEM</v>
          </cell>
          <cell r="B95" t="str">
            <v>Cemento gris tipo Portland.</v>
          </cell>
          <cell r="C95" t="str">
            <v>Kg.</v>
          </cell>
          <cell r="D95">
            <v>525</v>
          </cell>
          <cell r="E95">
            <v>625</v>
          </cell>
        </row>
        <row r="96">
          <cell r="A96" t="str">
            <v>CS</v>
          </cell>
          <cell r="B96" t="str">
            <v>Cinta señalización (Rollo por 500ml)</v>
          </cell>
          <cell r="C96" t="str">
            <v>UND</v>
          </cell>
          <cell r="D96">
            <v>31380</v>
          </cell>
          <cell r="E96">
            <v>37342</v>
          </cell>
        </row>
        <row r="97">
          <cell r="A97" t="str">
            <v>CT</v>
          </cell>
          <cell r="B97" t="str">
            <v>Cinta teflón</v>
          </cell>
          <cell r="C97" t="str">
            <v>UND</v>
          </cell>
          <cell r="D97">
            <v>1255.2</v>
          </cell>
          <cell r="E97">
            <v>1494</v>
          </cell>
        </row>
        <row r="98">
          <cell r="A98" t="str">
            <v>SoLi</v>
          </cell>
          <cell r="B98" t="str">
            <v>Soldadura PVC y Limpiador PVC</v>
          </cell>
          <cell r="C98" t="str">
            <v>Glo</v>
          </cell>
          <cell r="D98">
            <v>1710.1033080000002</v>
          </cell>
          <cell r="E98">
            <v>2035</v>
          </cell>
        </row>
        <row r="99">
          <cell r="A99" t="str">
            <v>VARIOS</v>
          </cell>
          <cell r="B99" t="str">
            <v>Elementos menores varios</v>
          </cell>
          <cell r="C99" t="str">
            <v>Glo</v>
          </cell>
          <cell r="D99">
            <v>20000</v>
          </cell>
          <cell r="E99">
            <v>23800</v>
          </cell>
        </row>
        <row r="100">
          <cell r="A100" t="str">
            <v>EASF</v>
          </cell>
          <cell r="B100" t="str">
            <v>Emulsión asfáltica/ Liga</v>
          </cell>
          <cell r="C100" t="str">
            <v>Gal</v>
          </cell>
          <cell r="D100">
            <v>11970.723156</v>
          </cell>
          <cell r="E100">
            <v>14245</v>
          </cell>
        </row>
        <row r="101">
          <cell r="A101" t="str">
            <v>MM</v>
          </cell>
          <cell r="B101" t="str">
            <v>Marca Metálica para Huella</v>
          </cell>
          <cell r="C101" t="str">
            <v>UND</v>
          </cell>
          <cell r="D101">
            <v>28501.721799999999</v>
          </cell>
          <cell r="E101">
            <v>33917</v>
          </cell>
        </row>
        <row r="102">
          <cell r="A102" t="str">
            <v>FM</v>
          </cell>
          <cell r="B102" t="str">
            <v>Madera para formaleta</v>
          </cell>
          <cell r="C102" t="str">
            <v>M2</v>
          </cell>
          <cell r="D102">
            <v>25000</v>
          </cell>
          <cell r="E102">
            <v>29750</v>
          </cell>
        </row>
        <row r="103">
          <cell r="A103" t="str">
            <v>MALG</v>
          </cell>
          <cell r="B103" t="str">
            <v>Malla para gavión cal 12 tipo invias, 10 x 10</v>
          </cell>
          <cell r="C103" t="str">
            <v>Unid</v>
          </cell>
          <cell r="D103">
            <v>56000</v>
          </cell>
          <cell r="E103">
            <v>66640</v>
          </cell>
        </row>
        <row r="104">
          <cell r="A104" t="str">
            <v>MASF</v>
          </cell>
          <cell r="B104" t="str">
            <v xml:space="preserve">Mezcla asfáltica tipo MDC-2 </v>
          </cell>
          <cell r="C104" t="str">
            <v>M3</v>
          </cell>
          <cell r="D104">
            <v>396743.96745600004</v>
          </cell>
          <cell r="E104">
            <v>472125</v>
          </cell>
        </row>
        <row r="105">
          <cell r="A105" t="str">
            <v>PASO</v>
          </cell>
          <cell r="B105" t="str">
            <v>Paso para escalera en hierro de 5/8" (Incluye anticorrosivo)</v>
          </cell>
          <cell r="C105" t="str">
            <v>UND</v>
          </cell>
          <cell r="D105">
            <v>14250.8609</v>
          </cell>
          <cell r="E105">
            <v>16959</v>
          </cell>
        </row>
        <row r="106">
          <cell r="A106" t="str">
            <v>PLAT15</v>
          </cell>
          <cell r="B106" t="str">
            <v>Platina de 1 1/2"x1/8</v>
          </cell>
          <cell r="C106" t="str">
            <v>ML</v>
          </cell>
          <cell r="D106">
            <v>6954.420119200001</v>
          </cell>
          <cell r="E106">
            <v>8276</v>
          </cell>
        </row>
        <row r="107">
          <cell r="A107" t="str">
            <v>PUNT</v>
          </cell>
          <cell r="B107" t="str">
            <v>Puntilla variada</v>
          </cell>
          <cell r="C107" t="str">
            <v>Lb</v>
          </cell>
          <cell r="D107">
            <v>2000</v>
          </cell>
          <cell r="E107">
            <v>2380</v>
          </cell>
        </row>
        <row r="108">
          <cell r="A108" t="str">
            <v>REJ1</v>
          </cell>
          <cell r="B108" t="str">
            <v>Rejilla de 1,0mx0,40, con marco en ángulo de 1-1/2"x3/16" y perciana en lámina de 2"x1/8 con separación de 1", reforzada longitudinalmente con 1 varilla 7/8", incluye (visagras tipo capsula, anticorrosivo y pintura de esmalte).</v>
          </cell>
          <cell r="C108" t="str">
            <v>UND</v>
          </cell>
          <cell r="E108">
            <v>0</v>
          </cell>
        </row>
        <row r="109">
          <cell r="A109" t="str">
            <v>REJ2</v>
          </cell>
          <cell r="B109" t="str">
            <v>Rejilla de 2,0mx0,40, con marco en ángulo de 1-1/2"x3/16" y perciana en lámina de 2"x1/8 con separación de 1", reforzada longitudinalmente con 1 varilla 7/8", incluye (visagras tipo capsula, anticorrosivo y pintura de esmalte).</v>
          </cell>
          <cell r="C109" t="str">
            <v>UND</v>
          </cell>
          <cell r="E109">
            <v>0</v>
          </cell>
        </row>
        <row r="110">
          <cell r="A110" t="str">
            <v>REJ3</v>
          </cell>
          <cell r="B110" t="str">
            <v>Rejilla de 3,0mx0,40, con marco en ángulo de 1-1/2"x3/16" y perciana en lámina de 2"x1/8 con separación de 1", reforzada longitudinalmente con 1 varilla 7/8", incluye (visagras tipo capsula, anticorrosivo y pintura de esmalte).</v>
          </cell>
          <cell r="C110" t="str">
            <v>UND</v>
          </cell>
          <cell r="E110">
            <v>0</v>
          </cell>
        </row>
        <row r="111">
          <cell r="A111" t="str">
            <v>REJ4</v>
          </cell>
          <cell r="B111" t="str">
            <v>Rejilla de 4,0mx0,40, con marco en ángulo de 1-1/2"x3/16" y perciana en lámina de 2"x1/8 con separación de 1", reforzada longitudinalmente con 1 varilla 7/8", incluye (visagras tipo capsula, anticorrosivo y pintura de esmalte).</v>
          </cell>
          <cell r="C111" t="str">
            <v>UND</v>
          </cell>
          <cell r="E111">
            <v>0</v>
          </cell>
        </row>
        <row r="112">
          <cell r="A112" t="str">
            <v>RSLA</v>
          </cell>
          <cell r="B112" t="str">
            <v>Autorización entrada relleno sanitario</v>
          </cell>
          <cell r="C112" t="str">
            <v>M3</v>
          </cell>
          <cell r="D112">
            <v>4560.2754880000002</v>
          </cell>
          <cell r="E112">
            <v>5427</v>
          </cell>
        </row>
        <row r="113">
          <cell r="A113" t="str">
            <v>TP</v>
          </cell>
          <cell r="B113" t="str">
            <v>Tapa en polipropileno para pozo, incluye aro en HF</v>
          </cell>
          <cell r="C113" t="str">
            <v>UND</v>
          </cell>
          <cell r="D113">
            <v>720000</v>
          </cell>
          <cell r="E113">
            <v>856800</v>
          </cell>
        </row>
        <row r="114">
          <cell r="A114" t="str">
            <v>CM</v>
          </cell>
          <cell r="B114" t="str">
            <v>Chapaleta metalica 16"</v>
          </cell>
          <cell r="C114" t="str">
            <v>UND</v>
          </cell>
          <cell r="D114">
            <v>4195453.4489600006</v>
          </cell>
          <cell r="E114">
            <v>4992590</v>
          </cell>
        </row>
        <row r="115">
          <cell r="A115" t="str">
            <v>ACCESORIOS METÁLICOS EN HD PARA ACUEDUCTO</v>
          </cell>
        </row>
        <row r="116">
          <cell r="A116" t="str">
            <v>THD6X3</v>
          </cell>
          <cell r="B116" t="str">
            <v>Tee H.D. ext. Liso para PVC 6x3"</v>
          </cell>
          <cell r="C116" t="str">
            <v>Und</v>
          </cell>
          <cell r="D116">
            <v>260000</v>
          </cell>
          <cell r="E116">
            <v>309400</v>
          </cell>
        </row>
        <row r="117">
          <cell r="A117" t="str">
            <v>THD6X4</v>
          </cell>
          <cell r="B117" t="str">
            <v>Tee H.D. ext. Liso para PVC 6x4"</v>
          </cell>
          <cell r="C117" t="str">
            <v>Und</v>
          </cell>
          <cell r="D117">
            <v>305000</v>
          </cell>
          <cell r="E117">
            <v>362950</v>
          </cell>
        </row>
        <row r="118">
          <cell r="A118" t="str">
            <v>THD6X6</v>
          </cell>
          <cell r="B118" t="str">
            <v>Tee H.D. ext. Liso para PVC 6x6"</v>
          </cell>
          <cell r="C118" t="str">
            <v>Und</v>
          </cell>
          <cell r="D118">
            <v>360000</v>
          </cell>
          <cell r="E118">
            <v>428400</v>
          </cell>
        </row>
        <row r="119">
          <cell r="A119" t="str">
            <v>RHD6X3</v>
          </cell>
          <cell r="B119" t="str">
            <v>Redución de 6X3"en hierro ductil (ASTM-A-536),extremo liso.</v>
          </cell>
          <cell r="C119" t="str">
            <v>Und</v>
          </cell>
          <cell r="D119">
            <v>135000</v>
          </cell>
          <cell r="E119">
            <v>160650</v>
          </cell>
        </row>
        <row r="120">
          <cell r="A120" t="str">
            <v>RHD6X4</v>
          </cell>
          <cell r="B120" t="str">
            <v>Redución de 6X4"en hierro ductil (ASTM-A-536),extremo liso.</v>
          </cell>
          <cell r="C120" t="str">
            <v>Und</v>
          </cell>
          <cell r="D120">
            <v>170000</v>
          </cell>
          <cell r="E120">
            <v>202300</v>
          </cell>
        </row>
        <row r="124">
          <cell r="A124" t="str">
            <v>URBANISMO</v>
          </cell>
        </row>
        <row r="125">
          <cell r="A125" t="str">
            <v>SAR</v>
          </cell>
          <cell r="B125" t="str">
            <v xml:space="preserve"> Sardinel Redondo prefabricado en concreto de 1,00 x 0,17 x 0,45 mts.</v>
          </cell>
          <cell r="C125" t="str">
            <v>und</v>
          </cell>
          <cell r="E125">
            <v>29500</v>
          </cell>
          <cell r="F125">
            <v>50</v>
          </cell>
          <cell r="G125">
            <v>1350</v>
          </cell>
        </row>
        <row r="131">
          <cell r="A131" t="str">
            <v>DEMARCACIÓN VIAL</v>
          </cell>
        </row>
        <row r="132">
          <cell r="A132" t="str">
            <v>ER</v>
          </cell>
          <cell r="B132" t="str">
            <v>Esferas reflectivas</v>
          </cell>
          <cell r="C132" t="str">
            <v>kg</v>
          </cell>
          <cell r="E132">
            <v>3850</v>
          </cell>
        </row>
        <row r="133">
          <cell r="A133" t="str">
            <v>PINDE</v>
          </cell>
          <cell r="B133" t="str">
            <v>Pintura demarcación tipo tráfico</v>
          </cell>
          <cell r="C133" t="str">
            <v>gl</v>
          </cell>
          <cell r="E133">
            <v>85600</v>
          </cell>
        </row>
        <row r="134">
          <cell r="A134" t="str">
            <v>CD</v>
          </cell>
          <cell r="B134" t="str">
            <v>Cinta de demarcación Cal. 3 (Rollo 500mx0.10m)</v>
          </cell>
          <cell r="C134" t="str">
            <v>und</v>
          </cell>
          <cell r="E134">
            <v>52600</v>
          </cell>
        </row>
        <row r="135">
          <cell r="A135" t="str">
            <v>SVV</v>
          </cell>
          <cell r="B135" t="str">
            <v>Señal vial vertical regalmentaria</v>
          </cell>
          <cell r="C135" t="str">
            <v>und</v>
          </cell>
          <cell r="E135">
            <v>365900</v>
          </cell>
        </row>
        <row r="147">
          <cell r="A147" t="str">
            <v>ACCESORIOS METÁLICOS EN HF PARA ACUEDUCTO</v>
          </cell>
        </row>
        <row r="148">
          <cell r="A148" t="str">
            <v>PM8</v>
          </cell>
          <cell r="B148" t="str">
            <v>Pasamuro de Ø 8" en hierro ductil STM A-536, L: 60 cm. EB x EL</v>
          </cell>
          <cell r="C148" t="str">
            <v>Und.</v>
          </cell>
          <cell r="D148">
            <v>620000</v>
          </cell>
          <cell r="E148">
            <v>737800</v>
          </cell>
        </row>
        <row r="149">
          <cell r="A149" t="str">
            <v>PM6</v>
          </cell>
          <cell r="B149" t="str">
            <v>Pasamuro de Ø 6" en hierro ductil STM A-536, L: 60 cm. EB x EL</v>
          </cell>
          <cell r="C149" t="str">
            <v>Und.</v>
          </cell>
          <cell r="D149">
            <v>570000</v>
          </cell>
          <cell r="E149">
            <v>678300</v>
          </cell>
        </row>
        <row r="150">
          <cell r="A150" t="str">
            <v>VCLD</v>
          </cell>
          <cell r="B150" t="str">
            <v>Compuerta lateral antideslizante de 0.50 x 0.50 m, incluye: columna de maniobra , vastago , juego de tornillería.</v>
          </cell>
          <cell r="C150" t="str">
            <v>Und.</v>
          </cell>
          <cell r="D150">
            <v>5850000</v>
          </cell>
          <cell r="E150">
            <v>6961500</v>
          </cell>
        </row>
        <row r="151">
          <cell r="A151" t="str">
            <v>VCLD1</v>
          </cell>
          <cell r="B151" t="str">
            <v>Rueda de manejo de (6"-8")</v>
          </cell>
          <cell r="C151" t="str">
            <v>Und.</v>
          </cell>
          <cell r="D151">
            <v>135000</v>
          </cell>
          <cell r="E151">
            <v>160650</v>
          </cell>
        </row>
        <row r="152">
          <cell r="A152" t="str">
            <v>VCLD2</v>
          </cell>
          <cell r="B152" t="str">
            <v xml:space="preserve">Soporte guía vástago </v>
          </cell>
          <cell r="C152" t="str">
            <v>Und.</v>
          </cell>
          <cell r="D152">
            <v>433534.85</v>
          </cell>
          <cell r="E152">
            <v>515906</v>
          </cell>
        </row>
        <row r="153">
          <cell r="A153" t="str">
            <v>VCLD3</v>
          </cell>
          <cell r="B153" t="str">
            <v>Columna de maniobra</v>
          </cell>
          <cell r="C153" t="str">
            <v>Und.</v>
          </cell>
          <cell r="D153">
            <v>813435.25</v>
          </cell>
          <cell r="E153">
            <v>967988</v>
          </cell>
        </row>
        <row r="154">
          <cell r="A154" t="str">
            <v>CHD1022</v>
          </cell>
          <cell r="B154" t="str">
            <v>Codo 22-1/2°x10" en hierro nodular ASTM 536 clase 6422-1/2 Extremo junta hidráulica</v>
          </cell>
          <cell r="C154" t="str">
            <v>Und.</v>
          </cell>
          <cell r="D154">
            <v>788264.66399999999</v>
          </cell>
          <cell r="E154">
            <v>938035</v>
          </cell>
        </row>
        <row r="155">
          <cell r="A155" t="str">
            <v>CHD1222</v>
          </cell>
          <cell r="B155" t="str">
            <v>Codo 22-1/2°x12" en hierro nodular ASTM 536 clase 6422-1/2 Extremo junta hidráulica</v>
          </cell>
          <cell r="C155" t="str">
            <v>Und.</v>
          </cell>
          <cell r="D155">
            <v>1387606.3920000002</v>
          </cell>
          <cell r="E155">
            <v>1651252</v>
          </cell>
        </row>
        <row r="156">
          <cell r="A156" t="str">
            <v>CHD322</v>
          </cell>
          <cell r="B156" t="str">
            <v>Codo 3" x 22-1/2° en hierro nodular ASTM 536 clase 6422-1/2 Extremo junta hidráulica</v>
          </cell>
          <cell r="C156" t="str">
            <v>Und.</v>
          </cell>
          <cell r="D156">
            <v>117262.512</v>
          </cell>
          <cell r="E156">
            <v>139542</v>
          </cell>
        </row>
        <row r="157">
          <cell r="A157" t="str">
            <v>CHD422</v>
          </cell>
          <cell r="B157" t="str">
            <v>Codo 4" x 22-1/2° en hierro nodular ASTM 536 clase 6422-1/2 Extremo junta hidráulica</v>
          </cell>
          <cell r="C157" t="str">
            <v>Und.</v>
          </cell>
          <cell r="D157">
            <v>153744.18239999999</v>
          </cell>
          <cell r="E157">
            <v>182956</v>
          </cell>
        </row>
        <row r="158">
          <cell r="A158" t="str">
            <v>CHD622</v>
          </cell>
          <cell r="B158" t="str">
            <v>Codo 22-1/2°x6" en hierro nodular ASTM 536 clase 6422-1/2 Extremo junta hidráulica</v>
          </cell>
          <cell r="C158" t="str">
            <v>Und.</v>
          </cell>
          <cell r="D158">
            <v>295762.11359999998</v>
          </cell>
          <cell r="E158">
            <v>351957</v>
          </cell>
        </row>
        <row r="159">
          <cell r="A159" t="str">
            <v>CHD822</v>
          </cell>
          <cell r="B159" t="str">
            <v>Codo 22-1/2°x8" en hierro nodular ASTM 536 clase 6422-1/2 Extremo junta hidráulica</v>
          </cell>
          <cell r="C159" t="str">
            <v>Und.</v>
          </cell>
          <cell r="D159">
            <v>429962.54399999999</v>
          </cell>
          <cell r="E159">
            <v>511655</v>
          </cell>
        </row>
        <row r="160">
          <cell r="A160" t="str">
            <v>CHD1045</v>
          </cell>
          <cell r="B160" t="str">
            <v>Codo 45°x10" en hierro nodular ASTM 536 clase 6445 Extremo junta hidráulica</v>
          </cell>
          <cell r="C160" t="str">
            <v>Und.</v>
          </cell>
          <cell r="D160">
            <v>945917.59679999994</v>
          </cell>
          <cell r="E160">
            <v>1125642</v>
          </cell>
        </row>
        <row r="161">
          <cell r="A161" t="str">
            <v>CHD1245</v>
          </cell>
          <cell r="B161" t="str">
            <v>Codo 45°x12" en hierro nodular ASTM 536 clase 6445 Extremo junta hidráulica</v>
          </cell>
          <cell r="C161" t="str">
            <v>Und.</v>
          </cell>
          <cell r="D161">
            <v>1227347.6256000001</v>
          </cell>
          <cell r="E161">
            <v>1460544</v>
          </cell>
        </row>
        <row r="162">
          <cell r="A162" t="str">
            <v>CHD345</v>
          </cell>
          <cell r="B162" t="str">
            <v>Codo 3" x 45° en hierro nodular ASTM 536 clase 6445 Extremo junta hidráulica</v>
          </cell>
          <cell r="C162" t="str">
            <v>Und.</v>
          </cell>
          <cell r="D162">
            <v>126382.9296</v>
          </cell>
          <cell r="E162">
            <v>150396</v>
          </cell>
        </row>
        <row r="163">
          <cell r="A163" t="str">
            <v>CHD445</v>
          </cell>
          <cell r="B163" t="str">
            <v>Codo 4" x 45° en hierro nodular ASTM 536 clase 6445 Extremo junta hidráulica</v>
          </cell>
          <cell r="C163" t="str">
            <v>Und.</v>
          </cell>
          <cell r="D163">
            <v>126382.9296</v>
          </cell>
          <cell r="E163">
            <v>150396</v>
          </cell>
        </row>
        <row r="164">
          <cell r="A164" t="str">
            <v>CHD645</v>
          </cell>
          <cell r="B164" t="str">
            <v>Codo 45°x6" en hierro nodular ASTM 536 clase 6445 Extremo junta hidráulica</v>
          </cell>
          <cell r="C164" t="str">
            <v>Und.</v>
          </cell>
          <cell r="D164">
            <v>286641.696</v>
          </cell>
          <cell r="E164">
            <v>341104</v>
          </cell>
        </row>
        <row r="165">
          <cell r="A165" t="str">
            <v>CHD845</v>
          </cell>
          <cell r="B165" t="str">
            <v>Codo 45°x8" en hierro nodular ASTM 536 clase 6445 Extremo junta hidráulica</v>
          </cell>
          <cell r="C165" t="str">
            <v>Und.</v>
          </cell>
          <cell r="D165">
            <v>644943.81599999999</v>
          </cell>
          <cell r="E165">
            <v>767483</v>
          </cell>
        </row>
        <row r="166">
          <cell r="A166" t="str">
            <v>CHD1090</v>
          </cell>
          <cell r="B166" t="str">
            <v>Codo 90°x10" en hierro nodular ASTM 536 clase 6445 Extremo junta hidráulica</v>
          </cell>
          <cell r="C166" t="str">
            <v>Und.</v>
          </cell>
          <cell r="D166">
            <v>1117902.6143999998</v>
          </cell>
          <cell r="E166">
            <v>1330304</v>
          </cell>
        </row>
        <row r="167">
          <cell r="A167" t="str">
            <v>CHD1290</v>
          </cell>
          <cell r="B167" t="str">
            <v>Codo 90°x12" en hierro nodular ASTM 536 clase 6445 Extremo junta hidráulica</v>
          </cell>
          <cell r="C167" t="str">
            <v>Und.</v>
          </cell>
          <cell r="D167">
            <v>1335489.72</v>
          </cell>
          <cell r="E167">
            <v>1589233</v>
          </cell>
        </row>
        <row r="168">
          <cell r="A168" t="str">
            <v>CHD390</v>
          </cell>
          <cell r="B168" t="str">
            <v>Codo 3" x 90° en hierro nodular ASTM 536 clase 6445 E.L</v>
          </cell>
          <cell r="C168" t="str">
            <v>Und.</v>
          </cell>
          <cell r="D168">
            <v>118565.42879999999</v>
          </cell>
          <cell r="E168">
            <v>141093</v>
          </cell>
        </row>
        <row r="169">
          <cell r="A169" t="str">
            <v>CHD490</v>
          </cell>
          <cell r="B169" t="str">
            <v>Codo 4" x 90° en hierro nodular ASTM 536 clase 6445 E.L</v>
          </cell>
          <cell r="C169" t="str">
            <v>Und.</v>
          </cell>
          <cell r="D169">
            <v>122474.1792</v>
          </cell>
          <cell r="E169">
            <v>145744</v>
          </cell>
        </row>
        <row r="170">
          <cell r="A170" t="str">
            <v>CHD690</v>
          </cell>
          <cell r="B170" t="str">
            <v>Codo 90°x6" en hierro nodular ASTM 536 clase 6445 Extremo junta hidráulica</v>
          </cell>
          <cell r="C170" t="str">
            <v>Und.</v>
          </cell>
          <cell r="D170">
            <v>317911.69920000003</v>
          </cell>
          <cell r="E170">
            <v>378315</v>
          </cell>
        </row>
        <row r="171">
          <cell r="A171" t="str">
            <v>CHD890</v>
          </cell>
          <cell r="B171" t="str">
            <v>Codo 90°x8" en hierro nodular ASTM 536 clase 6445 Extremo junta hidráulica</v>
          </cell>
          <cell r="C171" t="str">
            <v>Und.</v>
          </cell>
          <cell r="D171">
            <v>601947.56160000002</v>
          </cell>
          <cell r="E171">
            <v>716318</v>
          </cell>
        </row>
        <row r="172">
          <cell r="A172" t="str">
            <v>CRHD10</v>
          </cell>
          <cell r="B172" t="str">
            <v>Cruz 10" en hierro nodular ASTM 536 clase 6445 Extremo junta hidráulica</v>
          </cell>
          <cell r="C172" t="str">
            <v>Und.</v>
          </cell>
          <cell r="D172">
            <v>1768058.0976000002</v>
          </cell>
          <cell r="E172">
            <v>2103989</v>
          </cell>
        </row>
        <row r="173">
          <cell r="A173" t="str">
            <v>CRHD12</v>
          </cell>
          <cell r="B173" t="str">
            <v>Cruz 12" en hierro nodular ASTM 536 clase 6445 Extremo junta hidráulica</v>
          </cell>
          <cell r="C173" t="str">
            <v>Und.</v>
          </cell>
          <cell r="D173">
            <v>2465118.5855999999</v>
          </cell>
          <cell r="E173">
            <v>2933491</v>
          </cell>
        </row>
        <row r="174">
          <cell r="A174" t="str">
            <v>CRHD3</v>
          </cell>
          <cell r="B174" t="str">
            <v>Cruz 3" en hierro nodular ASTM 536 clase 6445 Extremo junta hidráulica</v>
          </cell>
          <cell r="C174" t="str">
            <v>Und.</v>
          </cell>
          <cell r="D174">
            <v>158955.84960000002</v>
          </cell>
          <cell r="E174">
            <v>189157</v>
          </cell>
        </row>
        <row r="175">
          <cell r="A175" t="str">
            <v>CRHD4</v>
          </cell>
          <cell r="B175" t="str">
            <v>Cruz 4" en hierro nodular ASTM 536 clase 6445 Extremo junta hidráulica</v>
          </cell>
          <cell r="C175" t="str">
            <v>Und.</v>
          </cell>
          <cell r="D175">
            <v>242342.52480000001</v>
          </cell>
          <cell r="E175">
            <v>288388</v>
          </cell>
        </row>
        <row r="176">
          <cell r="A176" t="str">
            <v>CRHD6</v>
          </cell>
          <cell r="B176" t="str">
            <v>Cruz 6" en hierro nodular ASTM 536 clase 6445 Extremo junta hidráulica</v>
          </cell>
          <cell r="C176" t="str">
            <v>Und.</v>
          </cell>
          <cell r="D176">
            <v>519863.80319999997</v>
          </cell>
          <cell r="E176">
            <v>618638</v>
          </cell>
        </row>
        <row r="177">
          <cell r="A177" t="str">
            <v>CRHD63</v>
          </cell>
          <cell r="B177" t="str">
            <v>Cruz reducida de 6x3" en hierro nodular ASTM 536 clase 6445 Extremo junta hidráulica</v>
          </cell>
          <cell r="C177" t="str">
            <v>Und.</v>
          </cell>
          <cell r="D177">
            <v>320517.53279999999</v>
          </cell>
          <cell r="E177">
            <v>381416</v>
          </cell>
        </row>
        <row r="178">
          <cell r="A178" t="str">
            <v>CRHD8</v>
          </cell>
          <cell r="B178" t="str">
            <v>Cruz 8" en hierro nodular ASTM 536 clase 6445 Extremo junta hidráulica</v>
          </cell>
          <cell r="C178" t="str">
            <v>Und.</v>
          </cell>
          <cell r="D178">
            <v>962855.51520000002</v>
          </cell>
          <cell r="E178">
            <v>1145798</v>
          </cell>
        </row>
        <row r="179">
          <cell r="A179" t="str">
            <v>CRHD83</v>
          </cell>
          <cell r="B179" t="str">
            <v>Cruz 8X3" en hierro nodular ASTM 536 clase 6445 Extremo junta hidráulica</v>
          </cell>
          <cell r="C179" t="str">
            <v>Und.</v>
          </cell>
          <cell r="D179">
            <v>642200</v>
          </cell>
          <cell r="E179">
            <v>764218</v>
          </cell>
        </row>
        <row r="180">
          <cell r="A180" t="str">
            <v>HD3</v>
          </cell>
          <cell r="B180" t="str">
            <v>Hidrante tipo Milan de 3", de 200 psi de presión de trabajo, en hierro gris (Norma AWWA C-503 NTC 382), extremo junta hidráulica.</v>
          </cell>
          <cell r="C180" t="str">
            <v>Und.</v>
          </cell>
          <cell r="D180">
            <v>1734182.2608</v>
          </cell>
          <cell r="E180">
            <v>2063677</v>
          </cell>
        </row>
        <row r="181">
          <cell r="A181" t="str">
            <v>HD4</v>
          </cell>
          <cell r="B181" t="str">
            <v>Hidrante tipo Milan de 4", de 200 psi de presión de trabajo, en hierro gris (Norma AWWA C-503 NTC 382), extremo junta hidráulica.</v>
          </cell>
          <cell r="C181" t="str">
            <v>Und.</v>
          </cell>
          <cell r="D181">
            <v>2492479.8384000002</v>
          </cell>
          <cell r="E181">
            <v>2966051</v>
          </cell>
        </row>
        <row r="182">
          <cell r="A182" t="str">
            <v>HD6</v>
          </cell>
          <cell r="B182" t="str">
            <v>Hidrante tipo poste de 6", de 200 psi de presión de trabajo, en hierro gris (Norma AWWA C-503 NTC 382), extremo brida</v>
          </cell>
          <cell r="C182" t="str">
            <v>Und.</v>
          </cell>
          <cell r="D182">
            <v>2561534.4288000003</v>
          </cell>
          <cell r="E182">
            <v>3048226</v>
          </cell>
        </row>
        <row r="183">
          <cell r="A183" t="str">
            <v>RD43</v>
          </cell>
          <cell r="B183" t="str">
            <v>Reducción de 4"x3", extremo junta hidráulica.</v>
          </cell>
          <cell r="C183" t="str">
            <v>Und.</v>
          </cell>
          <cell r="D183">
            <v>100100</v>
          </cell>
          <cell r="E183">
            <v>119119</v>
          </cell>
        </row>
        <row r="184">
          <cell r="A184" t="str">
            <v>RD63</v>
          </cell>
          <cell r="B184" t="str">
            <v>Reducción de 6"x3", extremo junta hidráulica.</v>
          </cell>
          <cell r="C184" t="str">
            <v>Und.</v>
          </cell>
          <cell r="D184">
            <v>162500</v>
          </cell>
          <cell r="E184">
            <v>193375</v>
          </cell>
        </row>
        <row r="185">
          <cell r="A185" t="str">
            <v>RD64</v>
          </cell>
          <cell r="B185" t="str">
            <v>Reducción de 6"x4", extremo junta hidráulica.</v>
          </cell>
          <cell r="C185" t="str">
            <v>Und.</v>
          </cell>
          <cell r="D185">
            <v>197600</v>
          </cell>
          <cell r="E185">
            <v>235144</v>
          </cell>
        </row>
        <row r="186">
          <cell r="A186" t="str">
            <v>RD83</v>
          </cell>
          <cell r="B186" t="str">
            <v>Reducción de 8"x3", extremo junta hidráulica.</v>
          </cell>
          <cell r="C186" t="str">
            <v>Und.</v>
          </cell>
          <cell r="D186">
            <v>250900</v>
          </cell>
          <cell r="E186">
            <v>298571</v>
          </cell>
        </row>
        <row r="187">
          <cell r="A187" t="str">
            <v>RD84</v>
          </cell>
          <cell r="B187" t="str">
            <v>Reducción de 8"x4", extremo junta hidráulica.</v>
          </cell>
          <cell r="C187" t="str">
            <v>Und.</v>
          </cell>
          <cell r="D187">
            <v>295100</v>
          </cell>
          <cell r="E187">
            <v>351169</v>
          </cell>
        </row>
        <row r="188">
          <cell r="A188" t="str">
            <v>RD86</v>
          </cell>
          <cell r="B188" t="str">
            <v>Reducción de 8"x6", extremo junta hidráulica.</v>
          </cell>
          <cell r="C188" t="str">
            <v>Und.</v>
          </cell>
          <cell r="D188">
            <v>327600</v>
          </cell>
          <cell r="E188">
            <v>389844</v>
          </cell>
        </row>
        <row r="189">
          <cell r="A189" t="str">
            <v>RD106</v>
          </cell>
          <cell r="B189" t="str">
            <v>Reducción de 10"x6", extremo junta hidráulica.</v>
          </cell>
          <cell r="C189" t="str">
            <v>Und.</v>
          </cell>
          <cell r="D189">
            <v>523900</v>
          </cell>
          <cell r="E189">
            <v>623441</v>
          </cell>
        </row>
        <row r="190">
          <cell r="A190" t="str">
            <v>RD108</v>
          </cell>
          <cell r="B190" t="str">
            <v>Reducción de 10"x8", extremo junta hidráulica.</v>
          </cell>
          <cell r="C190" t="str">
            <v>Und.</v>
          </cell>
          <cell r="D190">
            <v>621400</v>
          </cell>
          <cell r="E190">
            <v>739466</v>
          </cell>
        </row>
        <row r="191">
          <cell r="A191" t="str">
            <v>RC12</v>
          </cell>
          <cell r="B191" t="str">
            <v>Registro de corte de 1/2" en cobre</v>
          </cell>
          <cell r="C191" t="str">
            <v>Und.</v>
          </cell>
          <cell r="D191">
            <v>14332.084800000001</v>
          </cell>
          <cell r="E191">
            <v>17055</v>
          </cell>
        </row>
        <row r="192">
          <cell r="A192" t="str">
            <v>RC18</v>
          </cell>
          <cell r="B192" t="str">
            <v>Registro de corte de 3/4" en cobre</v>
          </cell>
          <cell r="C192" t="str">
            <v>Und.</v>
          </cell>
          <cell r="D192">
            <v>26275.488800000003</v>
          </cell>
          <cell r="E192">
            <v>31268</v>
          </cell>
        </row>
        <row r="193">
          <cell r="A193" t="str">
            <v>RI12</v>
          </cell>
          <cell r="B193" t="str">
            <v>Registro de incorporación de 1/2" en cobre</v>
          </cell>
          <cell r="C193" t="str">
            <v>Und.</v>
          </cell>
          <cell r="D193">
            <v>14332.084800000001</v>
          </cell>
          <cell r="E193">
            <v>17055</v>
          </cell>
        </row>
        <row r="194">
          <cell r="A194" t="str">
            <v>RI18</v>
          </cell>
          <cell r="B194" t="str">
            <v>Registro de incorporación de 3/4" en cobre</v>
          </cell>
          <cell r="C194" t="str">
            <v>Und.</v>
          </cell>
          <cell r="D194">
            <v>26275.488800000003</v>
          </cell>
          <cell r="E194">
            <v>31268</v>
          </cell>
        </row>
        <row r="195">
          <cell r="A195" t="str">
            <v>TV</v>
          </cell>
          <cell r="B195" t="str">
            <v>Tapa válvula de 20cm x 20cm para tráfico pesado (En lámina de 3/8" y ángulo de 2x2x1/4, 2 Bisagras de Cápsula, anticorrosivo y pintura negra, resistente a la interperie)</v>
          </cell>
          <cell r="C195" t="str">
            <v>Und.</v>
          </cell>
          <cell r="D195">
            <v>97935.912800000006</v>
          </cell>
          <cell r="E195">
            <v>116544</v>
          </cell>
        </row>
        <row r="196">
          <cell r="A196" t="str">
            <v>TE10</v>
          </cell>
          <cell r="B196" t="str">
            <v>Tee en hierro ductil STM A-536, extremo junta hidráulica,  de 10"x10"x10"</v>
          </cell>
          <cell r="C196" t="str">
            <v>Und.</v>
          </cell>
          <cell r="D196">
            <v>1410516.0124000001</v>
          </cell>
          <cell r="E196">
            <v>1678514</v>
          </cell>
        </row>
        <row r="197">
          <cell r="A197" t="str">
            <v>TE103</v>
          </cell>
          <cell r="B197" t="str">
            <v>Tee en hierro ductil STM A-536, extremo junta hidráulica,  de 10"x3"x10"</v>
          </cell>
          <cell r="C197" t="str">
            <v>Und.</v>
          </cell>
          <cell r="D197">
            <v>875451.51320000004</v>
          </cell>
          <cell r="E197">
            <v>1041787</v>
          </cell>
        </row>
        <row r="198">
          <cell r="A198" t="str">
            <v>TE104</v>
          </cell>
          <cell r="B198" t="str">
            <v>Tee en hierro ductil STM A-536, extremo junta hidráulica,  de 10"x4"x10"</v>
          </cell>
          <cell r="C198" t="str">
            <v>Und.</v>
          </cell>
          <cell r="D198">
            <v>906504.36360000016</v>
          </cell>
          <cell r="E198">
            <v>1078740</v>
          </cell>
        </row>
        <row r="199">
          <cell r="A199" t="str">
            <v>TE106</v>
          </cell>
          <cell r="B199" t="str">
            <v>Tee en hierro ductil STM A-536, extremo junta hidráulica,  de 10"x6"x10"</v>
          </cell>
          <cell r="C199" t="str">
            <v>Und.</v>
          </cell>
          <cell r="D199">
            <v>954277.97960000008</v>
          </cell>
          <cell r="E199">
            <v>1135591</v>
          </cell>
        </row>
        <row r="200">
          <cell r="A200" t="str">
            <v>TE108</v>
          </cell>
          <cell r="B200" t="str">
            <v>Tee en hierro ductil STM A-536, extremo junta hidráulica,  de 10"x8"x10"</v>
          </cell>
          <cell r="C200" t="str">
            <v>Und.</v>
          </cell>
          <cell r="D200">
            <v>1113125.2528000001</v>
          </cell>
          <cell r="E200">
            <v>1324619</v>
          </cell>
        </row>
        <row r="201">
          <cell r="A201" t="str">
            <v>TE1210</v>
          </cell>
          <cell r="B201" t="str">
            <v>Tee en hierro ductil STM A-536, extremo junta hidráulica,  de 12"x10"x12"</v>
          </cell>
          <cell r="C201" t="str">
            <v>Und.</v>
          </cell>
          <cell r="D201">
            <v>2066208.8920000002</v>
          </cell>
          <cell r="E201">
            <v>2458789</v>
          </cell>
        </row>
        <row r="202">
          <cell r="A202" t="str">
            <v>TE12</v>
          </cell>
          <cell r="B202" t="str">
            <v>Tee en hierro ductil STM A-536, extremo junta hidráulica,  de 12"x12"x12"</v>
          </cell>
          <cell r="C202" t="str">
            <v>Und.</v>
          </cell>
          <cell r="D202">
            <v>2385097.7788000004</v>
          </cell>
          <cell r="E202">
            <v>2838266</v>
          </cell>
        </row>
        <row r="203">
          <cell r="A203" t="str">
            <v>TE123</v>
          </cell>
          <cell r="B203" t="str">
            <v>Tee en hierro ductil STM A-536, extremo junta hidráulica,  de 12"x3"x12"</v>
          </cell>
          <cell r="C203" t="str">
            <v>Und.</v>
          </cell>
          <cell r="D203">
            <v>1271972.5260000003</v>
          </cell>
          <cell r="E203">
            <v>1513647</v>
          </cell>
        </row>
        <row r="204">
          <cell r="A204" t="str">
            <v>TE124</v>
          </cell>
          <cell r="B204" t="str">
            <v>Tee en hierro ductil STM A-536, extremo junta hidráulica,  de 12"x4"x12"</v>
          </cell>
          <cell r="C204" t="str">
            <v>Und.</v>
          </cell>
          <cell r="D204">
            <v>1303025.3764000002</v>
          </cell>
          <cell r="E204">
            <v>1550600</v>
          </cell>
        </row>
        <row r="205">
          <cell r="A205" t="str">
            <v>TE126</v>
          </cell>
          <cell r="B205" t="str">
            <v>Tee en hierro ductil STM A-536, extremo junta hidráulica,  de 12"x6"x12"</v>
          </cell>
          <cell r="C205" t="str">
            <v>Und.</v>
          </cell>
          <cell r="D205">
            <v>1589667.0724000002</v>
          </cell>
          <cell r="E205">
            <v>1891704</v>
          </cell>
        </row>
        <row r="206">
          <cell r="A206" t="str">
            <v>TE128</v>
          </cell>
          <cell r="B206" t="str">
            <v>Tee en hierro ductil STM A-536, extremo junta hidráulica,  de 12"x8"x12"</v>
          </cell>
          <cell r="C206" t="str">
            <v>Und.</v>
          </cell>
          <cell r="D206">
            <v>1748514.3456000001</v>
          </cell>
          <cell r="E206">
            <v>2080732</v>
          </cell>
        </row>
        <row r="207">
          <cell r="A207" t="str">
            <v>TE2</v>
          </cell>
          <cell r="B207" t="str">
            <v>Tee en hierro ductil STM A-536, extremo junta hidráulica,  de 2"</v>
          </cell>
          <cell r="C207" t="str">
            <v>Und.</v>
          </cell>
          <cell r="D207">
            <v>72800</v>
          </cell>
          <cell r="E207">
            <v>86632</v>
          </cell>
        </row>
        <row r="208">
          <cell r="A208" t="str">
            <v>TE3</v>
          </cell>
          <cell r="B208" t="str">
            <v>Tee en hierro ductil STM A-536, extremo junta hidráulica,  de 3"</v>
          </cell>
          <cell r="C208" t="str">
            <v>Und.</v>
          </cell>
          <cell r="D208">
            <v>136500</v>
          </cell>
          <cell r="E208">
            <v>162435</v>
          </cell>
        </row>
        <row r="209">
          <cell r="A209" t="str">
            <v>TE32</v>
          </cell>
          <cell r="B209" t="str">
            <v>Tee en hierro ductil STM A-536, extremo junta hidráulica,  de 3X2"</v>
          </cell>
          <cell r="C209" t="str">
            <v>Und.</v>
          </cell>
          <cell r="D209">
            <v>92300</v>
          </cell>
          <cell r="E209">
            <v>109837</v>
          </cell>
        </row>
        <row r="210">
          <cell r="A210" t="str">
            <v>TE43</v>
          </cell>
          <cell r="B210" t="str">
            <v>Tee en hierro ductil STM A-536, extremo junta hidráulica,  de 4"x3"x4"</v>
          </cell>
          <cell r="C210" t="str">
            <v>Und.</v>
          </cell>
          <cell r="D210">
            <v>144300</v>
          </cell>
          <cell r="E210">
            <v>171717</v>
          </cell>
        </row>
        <row r="211">
          <cell r="A211" t="str">
            <v>TE4</v>
          </cell>
          <cell r="B211" t="str">
            <v>Tee en hierro ductil STM A-536, extremo junta hidráulica,  de 4"x4"x4"</v>
          </cell>
          <cell r="C211" t="str">
            <v>Und.</v>
          </cell>
          <cell r="D211">
            <v>179400</v>
          </cell>
          <cell r="E211">
            <v>213486</v>
          </cell>
        </row>
        <row r="212">
          <cell r="A212" t="str">
            <v>TE62</v>
          </cell>
          <cell r="B212" t="str">
            <v>Tee en hierro ductil STM A-536, extremo junta hidráulica,  de 6"x2"x6"</v>
          </cell>
          <cell r="C212" t="str">
            <v>Und.</v>
          </cell>
          <cell r="D212">
            <v>289000</v>
          </cell>
          <cell r="E212">
            <v>343910</v>
          </cell>
        </row>
        <row r="213">
          <cell r="A213" t="str">
            <v>TE63</v>
          </cell>
          <cell r="B213" t="str">
            <v>Tee en hierro ductil STM A-536, extremo junta hidráulica,  de 6"x3"x6"</v>
          </cell>
          <cell r="C213" t="str">
            <v>Und.</v>
          </cell>
          <cell r="D213">
            <v>306800</v>
          </cell>
          <cell r="E213">
            <v>365092</v>
          </cell>
        </row>
        <row r="214">
          <cell r="A214" t="str">
            <v>TE64</v>
          </cell>
          <cell r="B214" t="str">
            <v>Tee en hierro ductil STM A-536, extremo junta hidráulica,  de 6"x4"x6"</v>
          </cell>
          <cell r="C214" t="str">
            <v>Und.</v>
          </cell>
          <cell r="D214">
            <v>400000</v>
          </cell>
          <cell r="E214">
            <v>476000</v>
          </cell>
        </row>
        <row r="215">
          <cell r="A215" t="str">
            <v>TE6</v>
          </cell>
          <cell r="B215" t="str">
            <v>Tee en hierro ductil STM A-536, extremo junta hidráulica,  de 6"x6"x6"</v>
          </cell>
          <cell r="C215" t="str">
            <v>Und.</v>
          </cell>
          <cell r="D215">
            <v>449800</v>
          </cell>
          <cell r="E215">
            <v>535262</v>
          </cell>
        </row>
        <row r="216">
          <cell r="A216" t="str">
            <v>TE82</v>
          </cell>
          <cell r="B216" t="str">
            <v>Tee en hierro ductil STM A-536, extremo junta hidráulica,  de 8"x2"x8"</v>
          </cell>
          <cell r="C216" t="str">
            <v>Und.</v>
          </cell>
          <cell r="D216">
            <v>549900</v>
          </cell>
          <cell r="E216">
            <v>654381</v>
          </cell>
        </row>
        <row r="217">
          <cell r="A217" t="str">
            <v>TE83</v>
          </cell>
          <cell r="B217" t="str">
            <v>Tee en hierro ductil STM A-536, extremo junta hidráulica,  de 8"x3"x8"</v>
          </cell>
          <cell r="C217" t="str">
            <v>Und.</v>
          </cell>
          <cell r="D217">
            <v>630500</v>
          </cell>
          <cell r="E217">
            <v>750295</v>
          </cell>
        </row>
        <row r="218">
          <cell r="A218" t="str">
            <v>TE84</v>
          </cell>
          <cell r="B218" t="str">
            <v>Tee en hierro ductil STM A-536, extremo junta hidráulica,  de 8"x4"x8"</v>
          </cell>
          <cell r="C218" t="str">
            <v>Und.</v>
          </cell>
          <cell r="D218">
            <v>718900</v>
          </cell>
          <cell r="E218">
            <v>855491</v>
          </cell>
        </row>
        <row r="219">
          <cell r="A219" t="str">
            <v>TE86</v>
          </cell>
          <cell r="B219" t="str">
            <v>Tee en hierro ductil STM A-536, extremo junta hidráulica,  de 8"x6"x8"</v>
          </cell>
          <cell r="C219" t="str">
            <v>Und.</v>
          </cell>
          <cell r="D219">
            <v>755300</v>
          </cell>
          <cell r="E219">
            <v>898807</v>
          </cell>
        </row>
        <row r="220">
          <cell r="A220" t="str">
            <v>TE8</v>
          </cell>
          <cell r="B220" t="str">
            <v>Tee en hierro ductil STM A-536, extremo junta hidráulica,  de 8"x8"x8"</v>
          </cell>
          <cell r="C220" t="str">
            <v>Und.</v>
          </cell>
          <cell r="D220">
            <v>811200</v>
          </cell>
          <cell r="E220">
            <v>965328</v>
          </cell>
        </row>
        <row r="221">
          <cell r="A221" t="str">
            <v>TE110</v>
          </cell>
          <cell r="B221" t="str">
            <v>Tee en hierro ductil STM A-536, extremo junta hidráulica,  de 10"x10"x10"</v>
          </cell>
          <cell r="C221" t="str">
            <v>Und.</v>
          </cell>
          <cell r="D221">
            <v>1596400</v>
          </cell>
          <cell r="E221">
            <v>1899716</v>
          </cell>
        </row>
        <row r="222">
          <cell r="A222" t="str">
            <v>TE1212</v>
          </cell>
          <cell r="B222" t="str">
            <v>Tee en hierro ductil STM A-536, extremo junta hidráulica,  de 12"x12"x12"</v>
          </cell>
          <cell r="C222" t="str">
            <v>Und.</v>
          </cell>
          <cell r="D222">
            <v>2454000</v>
          </cell>
          <cell r="E222">
            <v>2920260</v>
          </cell>
        </row>
        <row r="223">
          <cell r="A223" t="str">
            <v>THD4</v>
          </cell>
          <cell r="B223" t="str">
            <v xml:space="preserve">Tuberia estandar HD DN 100 mm K9 </v>
          </cell>
          <cell r="C223" t="str">
            <v>ml</v>
          </cell>
          <cell r="D223">
            <v>0</v>
          </cell>
          <cell r="E223">
            <v>0</v>
          </cell>
        </row>
        <row r="224">
          <cell r="A224" t="str">
            <v>THD6</v>
          </cell>
          <cell r="B224" t="str">
            <v xml:space="preserve">Tuberia estandar HD DN 150 mm K9 </v>
          </cell>
          <cell r="C224" t="str">
            <v>ml</v>
          </cell>
          <cell r="D224">
            <v>0</v>
          </cell>
          <cell r="E224">
            <v>0</v>
          </cell>
        </row>
        <row r="225">
          <cell r="A225" t="str">
            <v>THD8</v>
          </cell>
          <cell r="B225" t="str">
            <v xml:space="preserve">Tuberia estandar HD DN 200 mm K9 </v>
          </cell>
          <cell r="C225" t="str">
            <v>ml</v>
          </cell>
          <cell r="D225">
            <v>0</v>
          </cell>
          <cell r="E225">
            <v>0</v>
          </cell>
        </row>
        <row r="226">
          <cell r="A226" t="str">
            <v>THD10</v>
          </cell>
          <cell r="B226" t="str">
            <v xml:space="preserve">Tuberia estandar HD DN 250 mm K8 </v>
          </cell>
          <cell r="C226" t="str">
            <v>ml</v>
          </cell>
          <cell r="D226">
            <v>0</v>
          </cell>
          <cell r="E226">
            <v>0</v>
          </cell>
        </row>
        <row r="227">
          <cell r="A227" t="str">
            <v>THD12</v>
          </cell>
          <cell r="B227" t="str">
            <v xml:space="preserve">Tuberia estandar HD DN 300 mm K7 </v>
          </cell>
          <cell r="C227" t="str">
            <v>ml</v>
          </cell>
          <cell r="D227">
            <v>0</v>
          </cell>
          <cell r="E227">
            <v>0</v>
          </cell>
        </row>
        <row r="228">
          <cell r="A228" t="str">
            <v>THD14</v>
          </cell>
          <cell r="B228" t="str">
            <v xml:space="preserve">Tuberia estandar HD DN 350 mm K7 </v>
          </cell>
          <cell r="C228" t="str">
            <v>ml</v>
          </cell>
          <cell r="D228">
            <v>0</v>
          </cell>
          <cell r="E228">
            <v>0</v>
          </cell>
        </row>
        <row r="229">
          <cell r="A229" t="str">
            <v>THD16</v>
          </cell>
          <cell r="B229" t="str">
            <v xml:space="preserve">Tuberia estandar HD DN 400 mm K7 </v>
          </cell>
          <cell r="C229" t="str">
            <v>ml</v>
          </cell>
          <cell r="D229">
            <v>0</v>
          </cell>
          <cell r="E229">
            <v>0</v>
          </cell>
        </row>
        <row r="230">
          <cell r="A230" t="str">
            <v>THD18</v>
          </cell>
          <cell r="B230" t="str">
            <v xml:space="preserve">Tuberia estandar HD DN 450 mm K7 </v>
          </cell>
          <cell r="C230" t="str">
            <v>ml</v>
          </cell>
          <cell r="D230">
            <v>0</v>
          </cell>
          <cell r="E230">
            <v>0</v>
          </cell>
        </row>
        <row r="231">
          <cell r="A231" t="str">
            <v>THD20</v>
          </cell>
          <cell r="B231" t="str">
            <v xml:space="preserve">Tuberia estandar HD DN 500 mm K7 </v>
          </cell>
          <cell r="C231" t="str">
            <v>ml</v>
          </cell>
          <cell r="D231">
            <v>0</v>
          </cell>
          <cell r="E231">
            <v>0</v>
          </cell>
        </row>
        <row r="232">
          <cell r="A232" t="str">
            <v>THD24</v>
          </cell>
          <cell r="B232" t="str">
            <v xml:space="preserve">Tuberia estandar HD DN 600 mm K7 </v>
          </cell>
          <cell r="C232" t="str">
            <v>ml</v>
          </cell>
          <cell r="D232">
            <v>0</v>
          </cell>
          <cell r="E232">
            <v>0</v>
          </cell>
        </row>
        <row r="233">
          <cell r="A233" t="str">
            <v>THD28</v>
          </cell>
          <cell r="B233" t="str">
            <v xml:space="preserve">Tuberia estandar HD DN 700 mm K7 </v>
          </cell>
          <cell r="C233" t="str">
            <v>ml</v>
          </cell>
          <cell r="D233">
            <v>0</v>
          </cell>
          <cell r="E233">
            <v>0</v>
          </cell>
        </row>
        <row r="234">
          <cell r="A234" t="str">
            <v>THD32</v>
          </cell>
          <cell r="B234" t="str">
            <v xml:space="preserve">Tuberia estandar HD DN 800 mm K7 </v>
          </cell>
          <cell r="C234" t="str">
            <v>ml</v>
          </cell>
          <cell r="D234">
            <v>0</v>
          </cell>
          <cell r="E234">
            <v>0</v>
          </cell>
        </row>
        <row r="235">
          <cell r="A235" t="str">
            <v>THD36</v>
          </cell>
          <cell r="B235" t="str">
            <v xml:space="preserve">Tuberia estandar HD DN 900 mm K7 </v>
          </cell>
          <cell r="C235" t="str">
            <v>ml</v>
          </cell>
          <cell r="D235">
            <v>0</v>
          </cell>
          <cell r="E235">
            <v>0</v>
          </cell>
        </row>
        <row r="236">
          <cell r="A236" t="str">
            <v>THD40</v>
          </cell>
          <cell r="B236" t="str">
            <v xml:space="preserve">Tuberia estandar HD DN 1000 mm K7 </v>
          </cell>
          <cell r="C236" t="str">
            <v>ml</v>
          </cell>
          <cell r="D236">
            <v>0</v>
          </cell>
          <cell r="E236">
            <v>0</v>
          </cell>
        </row>
        <row r="237">
          <cell r="A237" t="str">
            <v>UU10</v>
          </cell>
          <cell r="B237" t="str">
            <v>Unión universal de 10" en hierro ductil (ASTM-A-536).  R1</v>
          </cell>
          <cell r="C237" t="str">
            <v>Und.</v>
          </cell>
          <cell r="D237">
            <v>397800</v>
          </cell>
          <cell r="E237">
            <v>473382</v>
          </cell>
        </row>
        <row r="238">
          <cell r="A238" t="str">
            <v>UU12</v>
          </cell>
          <cell r="B238" t="str">
            <v>Unión universal de 12" en hierro ductil (ASTM-A-536).  R1</v>
          </cell>
          <cell r="C238" t="str">
            <v>Und.</v>
          </cell>
          <cell r="D238">
            <v>578500</v>
          </cell>
          <cell r="E238">
            <v>688415</v>
          </cell>
        </row>
        <row r="239">
          <cell r="A239" t="str">
            <v>UUH2</v>
          </cell>
          <cell r="B239" t="str">
            <v>Unión universal de 2" en hierro ductil (ASTM-A-536).  Acople para diferentes tuberías</v>
          </cell>
          <cell r="C239" t="str">
            <v>Und.</v>
          </cell>
          <cell r="D239">
            <v>102700</v>
          </cell>
          <cell r="E239">
            <v>122213</v>
          </cell>
        </row>
        <row r="240">
          <cell r="A240" t="str">
            <v>UUH3</v>
          </cell>
          <cell r="B240" t="str">
            <v>Unión universal de 3" en hierro ductil (ASTM-A-536).  Acople para diferentes tuberías</v>
          </cell>
          <cell r="C240" t="str">
            <v>Und.</v>
          </cell>
          <cell r="D240">
            <v>85000</v>
          </cell>
          <cell r="E240">
            <v>101150</v>
          </cell>
        </row>
        <row r="241">
          <cell r="A241" t="str">
            <v>UUH4</v>
          </cell>
          <cell r="B241" t="str">
            <v>Unión universal de 4" en hierro ductil (ASTM-A-536).  Acople para diferentes tuberías</v>
          </cell>
          <cell r="C241" t="str">
            <v>Und.</v>
          </cell>
          <cell r="D241">
            <v>95000</v>
          </cell>
          <cell r="E241">
            <v>113050</v>
          </cell>
        </row>
        <row r="242">
          <cell r="A242" t="str">
            <v>UUH6</v>
          </cell>
          <cell r="B242" t="str">
            <v>Unión universal de 6" en hierro ductil (ASTM-A-536).  Acople para diferentes tuberías</v>
          </cell>
          <cell r="C242" t="str">
            <v>Und.</v>
          </cell>
          <cell r="D242">
            <v>180000</v>
          </cell>
          <cell r="E242">
            <v>214200</v>
          </cell>
        </row>
        <row r="243">
          <cell r="A243" t="str">
            <v>UUH8</v>
          </cell>
          <cell r="B243" t="str">
            <v>Unión universal de 8" en hierro ductil (ASTM-A-536).  R1</v>
          </cell>
          <cell r="C243" t="str">
            <v>Und.</v>
          </cell>
          <cell r="D243">
            <v>235000</v>
          </cell>
          <cell r="E243">
            <v>279650</v>
          </cell>
        </row>
        <row r="244">
          <cell r="A244" t="str">
            <v>VCE2</v>
          </cell>
          <cell r="B244" t="str">
            <v>Válvula de compuerta elástica en hierro dúctil (ASTM-A-536) de 2", vástago no ascendente en acero inoxidable, presión de trabajo 250 psi. Extremo Brida.</v>
          </cell>
          <cell r="C244" t="str">
            <v>Und.</v>
          </cell>
          <cell r="D244">
            <v>358000</v>
          </cell>
          <cell r="E244">
            <v>426020</v>
          </cell>
        </row>
        <row r="245">
          <cell r="A245" t="str">
            <v>VCE3</v>
          </cell>
          <cell r="B245" t="str">
            <v>Válvula de compuerta elástica en hierro dúctil (ASTM-A-536) de 3", vástago no ascendente en acero inoxidable, presión de trabajo 250 psi. Extremo Liso Para PVC</v>
          </cell>
          <cell r="C245" t="str">
            <v>Und.</v>
          </cell>
          <cell r="D245">
            <v>400000</v>
          </cell>
          <cell r="E245">
            <v>476000</v>
          </cell>
        </row>
        <row r="246">
          <cell r="A246" t="str">
            <v>VCE4</v>
          </cell>
          <cell r="B246" t="str">
            <v>Válvula de compuerta elástica en hierro dúctil (ASTM-A-536) de 4", vástago no ascendente en acero inoxidable, presión de trabajo 250 psi. Extremo Liso para PVC</v>
          </cell>
          <cell r="C246" t="str">
            <v>Und.</v>
          </cell>
          <cell r="D246">
            <v>530000</v>
          </cell>
          <cell r="E246">
            <v>630700</v>
          </cell>
        </row>
        <row r="247">
          <cell r="A247" t="str">
            <v>VCE6</v>
          </cell>
          <cell r="B247" t="str">
            <v>Válvula de compuerta elástica en hierro dúctil (ASTM-A-536) de 6", vástago no ascendente en acero inoxidable, presión de trabajo 250 psi. Extremo Brida.</v>
          </cell>
          <cell r="C247" t="str">
            <v>Und.</v>
          </cell>
          <cell r="D247">
            <v>1025000</v>
          </cell>
          <cell r="E247">
            <v>1219750</v>
          </cell>
          <cell r="F247">
            <v>50</v>
          </cell>
          <cell r="G247">
            <v>1000</v>
          </cell>
        </row>
        <row r="248">
          <cell r="A248" t="str">
            <v>VCE8</v>
          </cell>
          <cell r="B248" t="str">
            <v>Válvula de compuerta elástica en hierro dúctil (ASTM-A-536) de 8", vástago no ascendente en acero inoxidable, presión de trabajo 250 psi. Extremo Brida.</v>
          </cell>
          <cell r="C248" t="str">
            <v>Und.</v>
          </cell>
          <cell r="D248">
            <v>1500000</v>
          </cell>
          <cell r="E248">
            <v>1785000</v>
          </cell>
          <cell r="F248">
            <v>50</v>
          </cell>
          <cell r="G248">
            <v>1000</v>
          </cell>
        </row>
        <row r="249">
          <cell r="A249" t="str">
            <v>VCE10</v>
          </cell>
          <cell r="B249" t="str">
            <v>Válvula de compuerta elástica en hierro dúctil (ASTM-A-536) de 10", vástago no ascendente en acero inoxidable, presión de trabajo 250 psi. Extremo Liso para PVC</v>
          </cell>
          <cell r="C249" t="str">
            <v>Und.</v>
          </cell>
          <cell r="D249">
            <v>3303000</v>
          </cell>
          <cell r="E249">
            <v>3930570</v>
          </cell>
        </row>
        <row r="250">
          <cell r="A250" t="str">
            <v>VCE12</v>
          </cell>
          <cell r="B250" t="str">
            <v>Válvula de compuerta elástica en hierro dúctil (ASTM-A-536) de 12", vástago no ascendente en acero inoxidable, presión de trabajo 250 psi. Extremo Liso para PVC</v>
          </cell>
          <cell r="C250" t="str">
            <v>Und.</v>
          </cell>
          <cell r="D250">
            <v>4130000</v>
          </cell>
          <cell r="E250">
            <v>4914700</v>
          </cell>
        </row>
        <row r="251">
          <cell r="A251" t="str">
            <v>VCL2</v>
          </cell>
          <cell r="B251" t="str">
            <v>Válvula de cierre lento tipo globo en hierro dúctil (ASTM-A-536) de 2". Extremo Brida para PVC</v>
          </cell>
          <cell r="C251" t="str">
            <v>Und.</v>
          </cell>
          <cell r="D251">
            <v>652800</v>
          </cell>
          <cell r="E251">
            <v>776832</v>
          </cell>
        </row>
        <row r="252">
          <cell r="A252" t="str">
            <v>VCL3</v>
          </cell>
          <cell r="B252" t="str">
            <v>Válvula de cierre lento tipo globo en hierro dúctil (ASTM-A-536) de 3". Extremo Brida para PVC</v>
          </cell>
          <cell r="C252" t="str">
            <v>Und.</v>
          </cell>
          <cell r="D252">
            <v>897600</v>
          </cell>
          <cell r="E252">
            <v>1068144</v>
          </cell>
        </row>
        <row r="253">
          <cell r="A253" t="str">
            <v>VVC2</v>
          </cell>
          <cell r="B253" t="str">
            <v>Válvula Ventosa doble cámara triple efecto multiple acción HD 2". Extremo Brida</v>
          </cell>
          <cell r="C253" t="str">
            <v>Und.</v>
          </cell>
          <cell r="D253">
            <v>780000</v>
          </cell>
          <cell r="E253">
            <v>928200</v>
          </cell>
        </row>
        <row r="254">
          <cell r="A254" t="str">
            <v>ACCESORIOS Y TUBERÍA PVC PRESIÓN - ACUEDUCTO</v>
          </cell>
        </row>
        <row r="255">
          <cell r="A255" t="str">
            <v>MATERIALES</v>
          </cell>
        </row>
        <row r="256">
          <cell r="A256" t="str">
            <v>COD</v>
          </cell>
          <cell r="B256" t="str">
            <v>DESCRIPCION</v>
          </cell>
          <cell r="C256" t="str">
            <v>UNIDAD</v>
          </cell>
          <cell r="D256" t="str">
            <v>Vr. Sin IVA</v>
          </cell>
          <cell r="E256" t="str">
            <v>Vr. Con IVA</v>
          </cell>
          <cell r="F256" t="str">
            <v>TRANSPORTE</v>
          </cell>
        </row>
        <row r="257">
          <cell r="E257">
            <v>0.19</v>
          </cell>
          <cell r="F257" t="str">
            <v>DIST/. (Km)</v>
          </cell>
          <cell r="G257" t="str">
            <v>TARIFA $/m3</v>
          </cell>
        </row>
        <row r="258">
          <cell r="A258" t="str">
            <v>TUBERÍA Y ACCESORIOS PVC PARA ACUEDUCTO Y RIEGO</v>
          </cell>
        </row>
        <row r="259">
          <cell r="A259" t="str">
            <v>TUBERÍA PRESIÓN EXTREMO LISO</v>
          </cell>
        </row>
        <row r="260">
          <cell r="A260" t="str">
            <v>TP1/29</v>
          </cell>
          <cell r="B260" t="str">
            <v>Tubería PVC Presión E.L. de 1/2" RDE 9</v>
          </cell>
          <cell r="C260" t="str">
            <v>m.</v>
          </cell>
          <cell r="D260">
            <v>2513</v>
          </cell>
          <cell r="E260">
            <v>2990</v>
          </cell>
        </row>
        <row r="261">
          <cell r="A261" t="str">
            <v>TP3/411</v>
          </cell>
          <cell r="B261" t="str">
            <v>Tubería PVC Presión E.L. de 3/4" RDE 11</v>
          </cell>
          <cell r="C261" t="str">
            <v>m.</v>
          </cell>
          <cell r="D261">
            <v>3347</v>
          </cell>
          <cell r="E261">
            <v>3983</v>
          </cell>
        </row>
        <row r="262">
          <cell r="A262" t="str">
            <v>TP1/213.5</v>
          </cell>
          <cell r="B262" t="str">
            <v>Tubería PVC Presión E.L. de 1/2" RDE 13.5</v>
          </cell>
          <cell r="C262" t="str">
            <v>m.</v>
          </cell>
          <cell r="D262">
            <v>1794</v>
          </cell>
          <cell r="E262">
            <v>2135</v>
          </cell>
        </row>
        <row r="263">
          <cell r="A263" t="str">
            <v>TP113.5</v>
          </cell>
          <cell r="B263" t="str">
            <v>Tubería PVC Presión E.L. de 1" RDE 13.5</v>
          </cell>
          <cell r="C263" t="str">
            <v>m.</v>
          </cell>
          <cell r="D263">
            <v>4517</v>
          </cell>
          <cell r="E263">
            <v>5375</v>
          </cell>
        </row>
        <row r="264">
          <cell r="A264" t="str">
            <v>TP3/421</v>
          </cell>
          <cell r="B264" t="str">
            <v>Tubería PVC Presión E.L. de 3/4" RDE 21</v>
          </cell>
          <cell r="C264" t="str">
            <v>m.</v>
          </cell>
          <cell r="D264">
            <v>2221</v>
          </cell>
          <cell r="E264">
            <v>2643</v>
          </cell>
        </row>
        <row r="265">
          <cell r="A265" t="str">
            <v>TP121</v>
          </cell>
          <cell r="B265" t="str">
            <v>Tubería PVC Presión E.L. de 1" RDE 21</v>
          </cell>
          <cell r="C265" t="str">
            <v>m.</v>
          </cell>
          <cell r="D265">
            <v>3118</v>
          </cell>
          <cell r="E265">
            <v>3710</v>
          </cell>
        </row>
        <row r="266">
          <cell r="A266" t="str">
            <v>TP1-1/421</v>
          </cell>
          <cell r="B266" t="str">
            <v>Tubería PVC Presión E.L. de 1-1/4" RDE 21</v>
          </cell>
          <cell r="C266" t="str">
            <v>m.</v>
          </cell>
          <cell r="D266">
            <v>5619</v>
          </cell>
          <cell r="E266">
            <v>6687</v>
          </cell>
        </row>
        <row r="267">
          <cell r="A267" t="str">
            <v>TP1-1/221</v>
          </cell>
          <cell r="B267" t="str">
            <v>Tubería PVC Presión E.L. de 1-1/2" RDE 21</v>
          </cell>
          <cell r="C267" t="str">
            <v>m.</v>
          </cell>
          <cell r="D267">
            <v>7337</v>
          </cell>
          <cell r="E267">
            <v>8731</v>
          </cell>
        </row>
        <row r="268">
          <cell r="A268" t="str">
            <v>TP221</v>
          </cell>
          <cell r="B268" t="str">
            <v>Tubería PVC Presión E.L. de 2" RDE 21</v>
          </cell>
          <cell r="C268" t="str">
            <v>m.</v>
          </cell>
          <cell r="D268">
            <v>11251</v>
          </cell>
          <cell r="E268">
            <v>13389</v>
          </cell>
        </row>
        <row r="269">
          <cell r="A269" t="str">
            <v>TP2-1/221</v>
          </cell>
          <cell r="B269" t="str">
            <v>Tubería PVC Presión E.L. de 2-1/2" RDE 21</v>
          </cell>
          <cell r="C269" t="str">
            <v>m.</v>
          </cell>
          <cell r="D269">
            <v>18233</v>
          </cell>
          <cell r="E269">
            <v>21697</v>
          </cell>
        </row>
        <row r="270">
          <cell r="A270" t="str">
            <v>TP321</v>
          </cell>
          <cell r="B270" t="str">
            <v>Tubería PVC Presión E.L. de 3" RDE 21</v>
          </cell>
          <cell r="C270" t="str">
            <v>m.</v>
          </cell>
          <cell r="D270">
            <v>24344</v>
          </cell>
          <cell r="E270">
            <v>28969</v>
          </cell>
        </row>
        <row r="271">
          <cell r="A271" t="str">
            <v>TP421</v>
          </cell>
          <cell r="B271" t="str">
            <v>Tubería PVC Presión E.L. de 4" RDE 21</v>
          </cell>
          <cell r="C271" t="str">
            <v>m.</v>
          </cell>
          <cell r="D271">
            <v>41523</v>
          </cell>
          <cell r="E271">
            <v>49412</v>
          </cell>
        </row>
        <row r="272">
          <cell r="A272" t="str">
            <v>TP226</v>
          </cell>
          <cell r="B272" t="str">
            <v>Tubería PVC Presión E.L. de 2" RDE 26</v>
          </cell>
          <cell r="C272" t="str">
            <v>m.</v>
          </cell>
          <cell r="D272">
            <v>9289</v>
          </cell>
          <cell r="E272">
            <v>11054</v>
          </cell>
        </row>
        <row r="273">
          <cell r="A273" t="str">
            <v>TP2-1/226</v>
          </cell>
          <cell r="B273" t="str">
            <v>Tubería PVC Presión E.L. de 2-1/2" RDE 26</v>
          </cell>
          <cell r="C273" t="str">
            <v>m.</v>
          </cell>
          <cell r="D273">
            <v>14073</v>
          </cell>
          <cell r="E273">
            <v>16747</v>
          </cell>
        </row>
        <row r="274">
          <cell r="A274" t="str">
            <v>TP326</v>
          </cell>
          <cell r="B274" t="str">
            <v>Tubería PVC Presión E.L. de 3" RDE 26</v>
          </cell>
          <cell r="C274" t="str">
            <v>m.</v>
          </cell>
          <cell r="D274">
            <v>19845</v>
          </cell>
          <cell r="E274">
            <v>23616</v>
          </cell>
        </row>
        <row r="275">
          <cell r="A275" t="str">
            <v>TP426</v>
          </cell>
          <cell r="B275" t="str">
            <v>Tubería PVC Presión E.L. de 4" RDE 26</v>
          </cell>
          <cell r="C275" t="str">
            <v>m.</v>
          </cell>
          <cell r="D275">
            <v>32979</v>
          </cell>
          <cell r="E275">
            <v>39245</v>
          </cell>
        </row>
        <row r="276">
          <cell r="A276" t="str">
            <v>TP332.5</v>
          </cell>
          <cell r="B276" t="str">
            <v>Tubería PVC Presión E.L. de 3" RDE 32.5</v>
          </cell>
          <cell r="C276" t="str">
            <v>m.</v>
          </cell>
          <cell r="D276">
            <v>16689</v>
          </cell>
          <cell r="E276">
            <v>19860</v>
          </cell>
        </row>
        <row r="277">
          <cell r="A277" t="str">
            <v>TP432.5</v>
          </cell>
          <cell r="B277" t="str">
            <v>Tubería PVC Presión E.L. de 4" RDE 32.5</v>
          </cell>
          <cell r="C277" t="str">
            <v>m.</v>
          </cell>
          <cell r="D277">
            <v>26454</v>
          </cell>
          <cell r="E277">
            <v>31480</v>
          </cell>
        </row>
        <row r="278">
          <cell r="A278" t="str">
            <v>TP441</v>
          </cell>
          <cell r="B278" t="str">
            <v>Tubería PVC Presión E.L. de 4" RDE 41</v>
          </cell>
          <cell r="C278" t="str">
            <v>m.</v>
          </cell>
          <cell r="D278">
            <v>22714</v>
          </cell>
          <cell r="E278">
            <v>27030</v>
          </cell>
        </row>
        <row r="280">
          <cell r="A280" t="str">
            <v>ACCESORIOS PRESION Liso - Roscado</v>
          </cell>
        </row>
        <row r="281">
          <cell r="B281" t="str">
            <v>Adaptador Hembra PVC</v>
          </cell>
        </row>
        <row r="282">
          <cell r="A282" t="str">
            <v>AH1/2*3/4</v>
          </cell>
          <cell r="B282" t="str">
            <v>Adaptador Hembra PVC de 1/2"x1/4"</v>
          </cell>
          <cell r="C282" t="str">
            <v>Und.</v>
          </cell>
          <cell r="D282">
            <v>585</v>
          </cell>
          <cell r="E282">
            <v>696</v>
          </cell>
        </row>
        <row r="283">
          <cell r="A283" t="str">
            <v>AH1/2*3/8</v>
          </cell>
          <cell r="B283" t="str">
            <v>Adaptador Hembra PVC de 1/2"x3/8"</v>
          </cell>
          <cell r="C283" t="str">
            <v>Und.</v>
          </cell>
          <cell r="D283">
            <v>1084</v>
          </cell>
          <cell r="E283">
            <v>1290</v>
          </cell>
        </row>
        <row r="284">
          <cell r="A284" t="str">
            <v>AH1/2</v>
          </cell>
          <cell r="B284" t="str">
            <v>Adaptador Hembra PVC de 1/2"</v>
          </cell>
          <cell r="C284" t="str">
            <v>Und.</v>
          </cell>
          <cell r="D284">
            <v>316</v>
          </cell>
          <cell r="E284">
            <v>376</v>
          </cell>
        </row>
        <row r="285">
          <cell r="A285" t="str">
            <v>AH3/4</v>
          </cell>
          <cell r="B285" t="str">
            <v>Adaptador Hembra PVC de 3/4"</v>
          </cell>
          <cell r="C285" t="str">
            <v>Und.</v>
          </cell>
          <cell r="D285">
            <v>572</v>
          </cell>
          <cell r="E285">
            <v>681</v>
          </cell>
        </row>
        <row r="286">
          <cell r="A286" t="str">
            <v>AH1</v>
          </cell>
          <cell r="B286" t="str">
            <v>Adaptador Hembra PVC de 1"</v>
          </cell>
          <cell r="C286" t="str">
            <v>Und.</v>
          </cell>
          <cell r="D286">
            <v>1275</v>
          </cell>
          <cell r="E286">
            <v>1517</v>
          </cell>
        </row>
        <row r="287">
          <cell r="A287" t="str">
            <v>AH1-1/4</v>
          </cell>
          <cell r="B287" t="str">
            <v>Adaptador Hembra PVC de 1 1/4"</v>
          </cell>
          <cell r="C287" t="str">
            <v>Und.</v>
          </cell>
          <cell r="D287">
            <v>2086</v>
          </cell>
          <cell r="E287">
            <v>2482</v>
          </cell>
        </row>
        <row r="288">
          <cell r="A288" t="str">
            <v>AH1-1/2</v>
          </cell>
          <cell r="B288" t="str">
            <v>Adaptador Hembra PVC de 1 1/2"</v>
          </cell>
          <cell r="C288" t="str">
            <v>Und.</v>
          </cell>
          <cell r="D288">
            <v>3529</v>
          </cell>
          <cell r="E288">
            <v>4200</v>
          </cell>
        </row>
        <row r="289">
          <cell r="A289" t="str">
            <v>AH2</v>
          </cell>
          <cell r="B289" t="str">
            <v>Adaptador Hembra PVC de 2"</v>
          </cell>
          <cell r="C289" t="str">
            <v>Und.</v>
          </cell>
          <cell r="D289">
            <v>6285</v>
          </cell>
          <cell r="E289">
            <v>7479</v>
          </cell>
        </row>
        <row r="290">
          <cell r="A290" t="str">
            <v>AH2-1/2</v>
          </cell>
          <cell r="B290" t="str">
            <v>Adaptador Hembra PVC de 2 1/2"</v>
          </cell>
          <cell r="C290" t="str">
            <v>Und.</v>
          </cell>
          <cell r="D290">
            <v>11699</v>
          </cell>
          <cell r="E290">
            <v>13922</v>
          </cell>
        </row>
        <row r="291">
          <cell r="A291" t="str">
            <v>AH3</v>
          </cell>
          <cell r="B291" t="str">
            <v>Adaptador Hembra PVC de 3"</v>
          </cell>
          <cell r="C291" t="str">
            <v>Und.</v>
          </cell>
          <cell r="D291">
            <v>18460</v>
          </cell>
          <cell r="E291">
            <v>21967</v>
          </cell>
        </row>
        <row r="292">
          <cell r="A292" t="str">
            <v>AH4</v>
          </cell>
          <cell r="B292" t="str">
            <v>Adaptador Hembra PVC de 4"</v>
          </cell>
          <cell r="C292" t="str">
            <v>Und.</v>
          </cell>
          <cell r="D292">
            <v>33351</v>
          </cell>
          <cell r="E292">
            <v>39688</v>
          </cell>
        </row>
        <row r="294">
          <cell r="B294" t="str">
            <v>Adaptador Macho PVC</v>
          </cell>
        </row>
        <row r="295">
          <cell r="A295" t="str">
            <v>AM1/2</v>
          </cell>
          <cell r="B295" t="str">
            <v>Adaptador Macho PVC de 1/2"</v>
          </cell>
          <cell r="C295" t="str">
            <v>Und.</v>
          </cell>
          <cell r="D295">
            <v>280</v>
          </cell>
          <cell r="E295">
            <v>333</v>
          </cell>
        </row>
        <row r="296">
          <cell r="A296" t="str">
            <v>AM3/4</v>
          </cell>
          <cell r="B296" t="str">
            <v>Adaptador Macho PVC de 3/4"</v>
          </cell>
          <cell r="C296" t="str">
            <v>Und.</v>
          </cell>
          <cell r="D296">
            <v>509</v>
          </cell>
          <cell r="E296">
            <v>606</v>
          </cell>
        </row>
        <row r="297">
          <cell r="A297" t="str">
            <v>AM1</v>
          </cell>
          <cell r="B297" t="str">
            <v>Adaptador Macho PVC de 1"</v>
          </cell>
          <cell r="C297" t="str">
            <v>Und.</v>
          </cell>
          <cell r="D297">
            <v>1066</v>
          </cell>
          <cell r="E297">
            <v>1269</v>
          </cell>
        </row>
        <row r="298">
          <cell r="A298" t="str">
            <v>AM1-1/4</v>
          </cell>
          <cell r="B298" t="str">
            <v>Adaptador Macho PVC de 1 1/4"</v>
          </cell>
          <cell r="C298" t="str">
            <v>Und.</v>
          </cell>
          <cell r="D298">
            <v>2244</v>
          </cell>
          <cell r="E298">
            <v>2670</v>
          </cell>
        </row>
        <row r="299">
          <cell r="A299" t="str">
            <v>AM1-1/2</v>
          </cell>
          <cell r="B299" t="str">
            <v>Adaptador Macho PVC de 1 1/2"</v>
          </cell>
          <cell r="C299" t="str">
            <v>Und.</v>
          </cell>
          <cell r="D299">
            <v>2630</v>
          </cell>
          <cell r="E299">
            <v>3130</v>
          </cell>
        </row>
        <row r="300">
          <cell r="A300" t="str">
            <v>AM2</v>
          </cell>
          <cell r="B300" t="str">
            <v>Adaptador Macho PVC de 2"</v>
          </cell>
          <cell r="C300" t="str">
            <v>Und.</v>
          </cell>
          <cell r="D300">
            <v>3756</v>
          </cell>
          <cell r="E300">
            <v>4470</v>
          </cell>
        </row>
        <row r="301">
          <cell r="A301" t="str">
            <v>AM2-1/2</v>
          </cell>
          <cell r="B301" t="str">
            <v>Adaptador Macho PVC de 2 1/2"</v>
          </cell>
          <cell r="C301" t="str">
            <v>Und.</v>
          </cell>
          <cell r="D301">
            <v>9773</v>
          </cell>
          <cell r="E301">
            <v>11630</v>
          </cell>
        </row>
        <row r="302">
          <cell r="A302" t="str">
            <v>AM3</v>
          </cell>
          <cell r="B302" t="str">
            <v>Adaptador Macho PVC de 3"</v>
          </cell>
          <cell r="C302" t="str">
            <v>Und.</v>
          </cell>
          <cell r="D302">
            <v>14765</v>
          </cell>
          <cell r="E302">
            <v>17570</v>
          </cell>
        </row>
        <row r="303">
          <cell r="A303" t="str">
            <v>AM4</v>
          </cell>
          <cell r="B303" t="str">
            <v>Adaptador Macho PVC de 4"</v>
          </cell>
          <cell r="C303" t="str">
            <v>Und.</v>
          </cell>
          <cell r="D303">
            <v>27177</v>
          </cell>
          <cell r="E303">
            <v>32341</v>
          </cell>
        </row>
        <row r="305">
          <cell r="B305" t="str">
            <v>Buje Roscado</v>
          </cell>
        </row>
        <row r="306">
          <cell r="A306" t="str">
            <v>BR1/2*1/4</v>
          </cell>
          <cell r="B306" t="str">
            <v>Buje Roscado de 1/2"x1/4"</v>
          </cell>
          <cell r="C306" t="str">
            <v>Und.</v>
          </cell>
          <cell r="D306">
            <v>736</v>
          </cell>
          <cell r="E306">
            <v>876</v>
          </cell>
        </row>
        <row r="307">
          <cell r="A307" t="str">
            <v>BR1/2*3/8</v>
          </cell>
          <cell r="B307" t="str">
            <v>Buje Roscado de 1/2"x3/8"</v>
          </cell>
          <cell r="C307" t="str">
            <v>Und.</v>
          </cell>
          <cell r="D307">
            <v>733</v>
          </cell>
          <cell r="E307">
            <v>872</v>
          </cell>
        </row>
        <row r="308">
          <cell r="A308" t="str">
            <v>BR3/4*1/2</v>
          </cell>
          <cell r="B308" t="str">
            <v>Buje Roscado de 3/4"x1/2"</v>
          </cell>
          <cell r="C308" t="str">
            <v>Und.</v>
          </cell>
          <cell r="D308">
            <v>921</v>
          </cell>
          <cell r="E308">
            <v>1096</v>
          </cell>
        </row>
        <row r="309">
          <cell r="A309" t="str">
            <v>BR1*1/2</v>
          </cell>
          <cell r="B309" t="str">
            <v>Buje Roscado de 1"x1/2"</v>
          </cell>
          <cell r="C309" t="str">
            <v>Und.</v>
          </cell>
          <cell r="D309">
            <v>1606</v>
          </cell>
          <cell r="E309">
            <v>1911</v>
          </cell>
        </row>
        <row r="310">
          <cell r="A310" t="str">
            <v>BR1*3/4</v>
          </cell>
          <cell r="B310" t="str">
            <v>Buje Roscado de 1"x3/4"</v>
          </cell>
          <cell r="C310" t="str">
            <v>Und.</v>
          </cell>
          <cell r="D310">
            <v>1606</v>
          </cell>
          <cell r="E310">
            <v>1911</v>
          </cell>
        </row>
        <row r="311">
          <cell r="A311" t="str">
            <v>BR1-1/4*1/2</v>
          </cell>
          <cell r="B311" t="str">
            <v>Buje Roscado de 1 1/4"x1/2"</v>
          </cell>
          <cell r="C311" t="str">
            <v>Und.</v>
          </cell>
          <cell r="D311">
            <v>2695</v>
          </cell>
          <cell r="E311">
            <v>3207</v>
          </cell>
        </row>
        <row r="312">
          <cell r="A312" t="str">
            <v>BR1-1/4*3/4</v>
          </cell>
          <cell r="B312" t="str">
            <v>Buje Roscado de 1 1/4"x3/4"</v>
          </cell>
          <cell r="C312" t="str">
            <v>Und.</v>
          </cell>
          <cell r="D312">
            <v>2695</v>
          </cell>
          <cell r="E312">
            <v>3207</v>
          </cell>
        </row>
        <row r="313">
          <cell r="A313" t="str">
            <v>BR1-1/4*1</v>
          </cell>
          <cell r="B313" t="str">
            <v>Buje Roscado de 1 1/4"x1"</v>
          </cell>
          <cell r="C313" t="str">
            <v>Und.</v>
          </cell>
          <cell r="D313">
            <v>2695</v>
          </cell>
          <cell r="E313">
            <v>3207</v>
          </cell>
        </row>
        <row r="314">
          <cell r="A314" t="str">
            <v>BR1-1/2*1-1/2</v>
          </cell>
          <cell r="B314" t="str">
            <v>Buje Roscado de 1 1/2"x1 1/2"</v>
          </cell>
          <cell r="C314" t="str">
            <v>Und.</v>
          </cell>
          <cell r="D314">
            <v>3214</v>
          </cell>
          <cell r="E314">
            <v>3825</v>
          </cell>
        </row>
        <row r="315">
          <cell r="A315" t="str">
            <v>BR1-1/2*1-3/4</v>
          </cell>
          <cell r="B315" t="str">
            <v>Buje Roscado de 1 1/2"x1 3/4"</v>
          </cell>
          <cell r="C315" t="str">
            <v>Und.</v>
          </cell>
          <cell r="D315">
            <v>3214</v>
          </cell>
          <cell r="E315">
            <v>3825</v>
          </cell>
        </row>
        <row r="316">
          <cell r="A316" t="str">
            <v>BR1-1/2*1</v>
          </cell>
          <cell r="B316" t="str">
            <v>Buje Roscado de 1 1/2"x1"</v>
          </cell>
          <cell r="C316" t="str">
            <v>Und.</v>
          </cell>
          <cell r="D316">
            <v>3214</v>
          </cell>
          <cell r="E316">
            <v>3825</v>
          </cell>
        </row>
        <row r="317">
          <cell r="A317" t="str">
            <v>BR1-1/2*1-1/4</v>
          </cell>
          <cell r="B317" t="str">
            <v>Buje Roscado de 1 1/2x1 1/4"</v>
          </cell>
          <cell r="C317" t="str">
            <v>Und.</v>
          </cell>
          <cell r="D317">
            <v>3214</v>
          </cell>
          <cell r="E317">
            <v>3825</v>
          </cell>
        </row>
        <row r="318">
          <cell r="A318" t="str">
            <v>BR2*3/4</v>
          </cell>
          <cell r="B318" t="str">
            <v>Buje Roscado de 2"x3/4"</v>
          </cell>
          <cell r="C318" t="str">
            <v>Und.</v>
          </cell>
          <cell r="D318">
            <v>5171</v>
          </cell>
          <cell r="E318">
            <v>6153</v>
          </cell>
        </row>
        <row r="319">
          <cell r="A319" t="str">
            <v>BR2*1</v>
          </cell>
          <cell r="B319" t="str">
            <v>Buje Roscado de 2"x1"</v>
          </cell>
          <cell r="C319" t="str">
            <v>Und.</v>
          </cell>
          <cell r="D319">
            <v>5171</v>
          </cell>
          <cell r="E319">
            <v>6153</v>
          </cell>
        </row>
        <row r="320">
          <cell r="A320" t="str">
            <v>BR2*1-1/4</v>
          </cell>
          <cell r="B320" t="str">
            <v>Buje Roscado de 2"x1 1/4"</v>
          </cell>
          <cell r="C320" t="str">
            <v>Und.</v>
          </cell>
          <cell r="D320">
            <v>5171</v>
          </cell>
          <cell r="E320">
            <v>6153</v>
          </cell>
        </row>
        <row r="321">
          <cell r="A321" t="str">
            <v>BR2*1-1/2</v>
          </cell>
          <cell r="B321" t="str">
            <v>Buje Roscado de 2"x1 1/2"</v>
          </cell>
          <cell r="C321" t="str">
            <v>Und.</v>
          </cell>
          <cell r="D321">
            <v>5168</v>
          </cell>
          <cell r="E321">
            <v>6150</v>
          </cell>
        </row>
        <row r="322">
          <cell r="A322" t="str">
            <v>BR2-1/2*1</v>
          </cell>
          <cell r="B322" t="str">
            <v>Buje Roscado de 2 1/2"x1"</v>
          </cell>
          <cell r="C322" t="str">
            <v>Und.</v>
          </cell>
          <cell r="D322">
            <v>3795</v>
          </cell>
          <cell r="E322">
            <v>4516</v>
          </cell>
        </row>
        <row r="323">
          <cell r="A323" t="str">
            <v>BR2-1/2*2</v>
          </cell>
          <cell r="B323" t="str">
            <v>Buje Roscado de 2 1/2"x2"</v>
          </cell>
          <cell r="C323" t="str">
            <v>Und.</v>
          </cell>
          <cell r="D323">
            <v>5180</v>
          </cell>
          <cell r="E323">
            <v>6164</v>
          </cell>
        </row>
        <row r="324">
          <cell r="A324" t="str">
            <v>BR3*2</v>
          </cell>
          <cell r="B324" t="str">
            <v>Buje Roscado de 3"x2"</v>
          </cell>
          <cell r="C324" t="str">
            <v>Und.</v>
          </cell>
          <cell r="D324">
            <v>22717</v>
          </cell>
          <cell r="E324">
            <v>27033</v>
          </cell>
        </row>
        <row r="325">
          <cell r="A325" t="str">
            <v>BR4*2-1/2</v>
          </cell>
          <cell r="B325" t="str">
            <v>Buje Roscado de 4"x2 1/2"</v>
          </cell>
          <cell r="C325" t="str">
            <v>Und.</v>
          </cell>
          <cell r="D325">
            <v>16672</v>
          </cell>
          <cell r="E325">
            <v>19840</v>
          </cell>
        </row>
        <row r="327">
          <cell r="B327" t="str">
            <v>Buje Soldado</v>
          </cell>
        </row>
        <row r="328">
          <cell r="A328" t="str">
            <v>BS3/4*1/2</v>
          </cell>
          <cell r="B328" t="str">
            <v>Buje Soldado de 3/4 x 1/2</v>
          </cell>
          <cell r="C328" t="str">
            <v>Und.</v>
          </cell>
          <cell r="D328">
            <v>394</v>
          </cell>
          <cell r="E328">
            <v>469</v>
          </cell>
        </row>
        <row r="329">
          <cell r="A329" t="str">
            <v>BS1*1/2</v>
          </cell>
          <cell r="B329" t="str">
            <v>Buje Soldado de 1 x 1/2</v>
          </cell>
          <cell r="C329" t="str">
            <v>Und.</v>
          </cell>
          <cell r="D329">
            <v>787</v>
          </cell>
          <cell r="E329">
            <v>937</v>
          </cell>
        </row>
        <row r="330">
          <cell r="A330" t="str">
            <v>BS1*3/4</v>
          </cell>
          <cell r="B330" t="str">
            <v>Buje Soldado de 1 x 3/4</v>
          </cell>
          <cell r="C330" t="str">
            <v>Und.</v>
          </cell>
          <cell r="D330">
            <v>787</v>
          </cell>
          <cell r="E330">
            <v>937</v>
          </cell>
        </row>
        <row r="331">
          <cell r="A331" t="str">
            <v>BS1-1/4*1/2</v>
          </cell>
          <cell r="B331" t="str">
            <v>Buje Soldado de 1 1/4 x 1/2</v>
          </cell>
          <cell r="C331" t="str">
            <v>Und.</v>
          </cell>
          <cell r="D331">
            <v>1513</v>
          </cell>
          <cell r="E331">
            <v>1800</v>
          </cell>
        </row>
        <row r="332">
          <cell r="A332" t="str">
            <v>BS1-1/4*3/4</v>
          </cell>
          <cell r="B332" t="str">
            <v>Buje Soldado de 1 1/4 x 3/4</v>
          </cell>
          <cell r="C332" t="str">
            <v>Und.</v>
          </cell>
          <cell r="D332">
            <v>1513</v>
          </cell>
          <cell r="E332">
            <v>1800</v>
          </cell>
        </row>
        <row r="333">
          <cell r="A333" t="str">
            <v>BS1-1/4*1</v>
          </cell>
          <cell r="B333" t="str">
            <v>Buje Soldado de 1 1/4 x 1</v>
          </cell>
          <cell r="C333" t="str">
            <v>Und.</v>
          </cell>
          <cell r="D333">
            <v>1513</v>
          </cell>
          <cell r="E333">
            <v>1800</v>
          </cell>
        </row>
        <row r="334">
          <cell r="A334" t="str">
            <v>BS1-1/2*1/2</v>
          </cell>
          <cell r="B334" t="str">
            <v>Buje Soldado de 1 1/2 x 1/2</v>
          </cell>
          <cell r="C334" t="str">
            <v>Und.</v>
          </cell>
          <cell r="D334">
            <v>2336</v>
          </cell>
          <cell r="E334">
            <v>2780</v>
          </cell>
        </row>
        <row r="335">
          <cell r="A335" t="str">
            <v>BS1-1/2*3/4</v>
          </cell>
          <cell r="B335" t="str">
            <v>Buje Soldado de 1 1/2 x 3/4</v>
          </cell>
          <cell r="C335" t="str">
            <v>Und.</v>
          </cell>
          <cell r="D335">
            <v>2336</v>
          </cell>
          <cell r="E335">
            <v>2780</v>
          </cell>
        </row>
        <row r="336">
          <cell r="A336" t="str">
            <v>BS1-1*2 x 1</v>
          </cell>
          <cell r="B336" t="str">
            <v>Buje Soldado de 1 1/2 x 1</v>
          </cell>
          <cell r="C336" t="str">
            <v>Und.</v>
          </cell>
          <cell r="D336">
            <v>2336</v>
          </cell>
          <cell r="E336">
            <v>2780</v>
          </cell>
        </row>
        <row r="337">
          <cell r="A337" t="str">
            <v>BS1-1/2 x 1*1/4</v>
          </cell>
          <cell r="B337" t="str">
            <v>Buje Soldado de 1 1/2 x 1 1/4</v>
          </cell>
          <cell r="C337" t="str">
            <v>Und.</v>
          </cell>
          <cell r="D337">
            <v>2336</v>
          </cell>
          <cell r="E337">
            <v>2780</v>
          </cell>
        </row>
        <row r="338">
          <cell r="A338" t="str">
            <v>BS2*1/2</v>
          </cell>
          <cell r="B338" t="str">
            <v>Buje Soldado de 2 x 1/2</v>
          </cell>
          <cell r="C338" t="str">
            <v>Und.</v>
          </cell>
          <cell r="D338">
            <v>3573</v>
          </cell>
          <cell r="E338">
            <v>4252</v>
          </cell>
        </row>
        <row r="339">
          <cell r="A339" t="str">
            <v>BS2*3/4</v>
          </cell>
          <cell r="B339" t="str">
            <v>Buje Soldado de 2 x 3/4</v>
          </cell>
          <cell r="C339" t="str">
            <v>Und.</v>
          </cell>
          <cell r="D339">
            <v>3573</v>
          </cell>
          <cell r="E339">
            <v>4252</v>
          </cell>
        </row>
        <row r="340">
          <cell r="A340" t="str">
            <v>BS2*1</v>
          </cell>
          <cell r="B340" t="str">
            <v>Buje Soldado de 2 x 1</v>
          </cell>
          <cell r="C340" t="str">
            <v>Und.</v>
          </cell>
          <cell r="D340">
            <v>3573</v>
          </cell>
          <cell r="E340">
            <v>4252</v>
          </cell>
        </row>
        <row r="341">
          <cell r="A341" t="str">
            <v>BS2*1-1/4</v>
          </cell>
          <cell r="B341" t="str">
            <v>Buje Soldado de 2 x 1 1/4</v>
          </cell>
          <cell r="C341" t="str">
            <v>Und.</v>
          </cell>
          <cell r="D341">
            <v>3573</v>
          </cell>
          <cell r="E341">
            <v>4252</v>
          </cell>
        </row>
        <row r="342">
          <cell r="A342" t="str">
            <v>BS2*1-1/2</v>
          </cell>
          <cell r="B342" t="str">
            <v>Buje Soldado de 2 x 1 1/2</v>
          </cell>
          <cell r="C342" t="str">
            <v>Und.</v>
          </cell>
          <cell r="D342">
            <v>3573</v>
          </cell>
          <cell r="E342">
            <v>4252</v>
          </cell>
        </row>
        <row r="343">
          <cell r="A343" t="str">
            <v>BS2-1/2*1-1/2</v>
          </cell>
          <cell r="B343" t="str">
            <v>Buje Soldado de 2 1/2 x 1 1/2</v>
          </cell>
          <cell r="C343" t="str">
            <v>Und.</v>
          </cell>
          <cell r="D343">
            <v>8965</v>
          </cell>
          <cell r="E343">
            <v>10668</v>
          </cell>
        </row>
        <row r="344">
          <cell r="A344" t="str">
            <v>BS2-1/2*2</v>
          </cell>
          <cell r="B344" t="str">
            <v>Buje Soldado de 2 1/2 x 2</v>
          </cell>
          <cell r="C344" t="str">
            <v>Und.</v>
          </cell>
          <cell r="D344">
            <v>8420</v>
          </cell>
          <cell r="E344">
            <v>10020</v>
          </cell>
        </row>
        <row r="345">
          <cell r="A345" t="str">
            <v>BS3*1-1/2</v>
          </cell>
          <cell r="B345" t="str">
            <v>Buje Soldado de 3 x 11/2</v>
          </cell>
          <cell r="C345" t="str">
            <v>Und.</v>
          </cell>
          <cell r="D345">
            <v>10406</v>
          </cell>
          <cell r="E345">
            <v>12383</v>
          </cell>
        </row>
        <row r="346">
          <cell r="A346" t="str">
            <v>BS3*2</v>
          </cell>
          <cell r="B346" t="str">
            <v>Buje Soldado de 3 x 2</v>
          </cell>
          <cell r="C346" t="str">
            <v>Und.</v>
          </cell>
          <cell r="D346">
            <v>12862</v>
          </cell>
          <cell r="E346">
            <v>15306</v>
          </cell>
        </row>
        <row r="347">
          <cell r="A347" t="str">
            <v>BS3*2-1/2</v>
          </cell>
          <cell r="B347" t="str">
            <v>Buje Soldado de 3 x 2 1/2</v>
          </cell>
          <cell r="C347" t="str">
            <v>Und.</v>
          </cell>
          <cell r="D347">
            <v>12862</v>
          </cell>
          <cell r="E347">
            <v>15306</v>
          </cell>
        </row>
        <row r="348">
          <cell r="A348" t="str">
            <v>BS4*2</v>
          </cell>
          <cell r="B348" t="str">
            <v>Buje Soldado de 4 x 2</v>
          </cell>
          <cell r="C348" t="str">
            <v>Und.</v>
          </cell>
          <cell r="D348">
            <v>20299</v>
          </cell>
          <cell r="E348">
            <v>24156</v>
          </cell>
        </row>
        <row r="349">
          <cell r="A349" t="str">
            <v>BS4*1-1/2</v>
          </cell>
          <cell r="B349" t="str">
            <v>Buje Soldado de 4 x 2 1/2</v>
          </cell>
          <cell r="C349" t="str">
            <v>Und.</v>
          </cell>
          <cell r="D349">
            <v>20299</v>
          </cell>
          <cell r="E349">
            <v>24156</v>
          </cell>
        </row>
        <row r="350">
          <cell r="A350" t="str">
            <v>BS4*3</v>
          </cell>
          <cell r="B350" t="str">
            <v>Buje Soldado de 4 x 3</v>
          </cell>
          <cell r="C350" t="str">
            <v>Und.</v>
          </cell>
          <cell r="D350">
            <v>20299</v>
          </cell>
          <cell r="E350">
            <v>24156</v>
          </cell>
        </row>
        <row r="351">
          <cell r="A351" t="str">
            <v>BS6*4</v>
          </cell>
          <cell r="B351" t="str">
            <v>Buje Soldado de 6 x 4</v>
          </cell>
          <cell r="C351" t="str">
            <v>Und.</v>
          </cell>
          <cell r="D351">
            <v>46193</v>
          </cell>
          <cell r="E351">
            <v>54970</v>
          </cell>
        </row>
        <row r="353">
          <cell r="B353" t="str">
            <v>Codo PVC soldado de 90° x</v>
          </cell>
        </row>
        <row r="354">
          <cell r="A354" t="str">
            <v>C90*1/2</v>
          </cell>
          <cell r="B354" t="str">
            <v>Codo PVC soldado de 90° x 1/2</v>
          </cell>
          <cell r="C354" t="str">
            <v>Und.</v>
          </cell>
          <cell r="D354">
            <v>407</v>
          </cell>
          <cell r="E354">
            <v>484</v>
          </cell>
        </row>
        <row r="355">
          <cell r="A355" t="str">
            <v>C90*3/4</v>
          </cell>
          <cell r="B355" t="str">
            <v>Codo PVC soldado de 90° x 3/4</v>
          </cell>
          <cell r="C355" t="str">
            <v>Und.</v>
          </cell>
          <cell r="D355">
            <v>653</v>
          </cell>
          <cell r="E355">
            <v>777</v>
          </cell>
        </row>
        <row r="356">
          <cell r="A356" t="str">
            <v>C90*1</v>
          </cell>
          <cell r="B356" t="str">
            <v>Codo PVC soldado de 90° x 1</v>
          </cell>
          <cell r="C356" t="str">
            <v>Und.</v>
          </cell>
          <cell r="D356">
            <v>1278</v>
          </cell>
          <cell r="E356">
            <v>1521</v>
          </cell>
        </row>
        <row r="357">
          <cell r="A357" t="str">
            <v>C90*1-1/4</v>
          </cell>
          <cell r="B357" t="str">
            <v>Codo PVC soldado de 90° x 1 1/4</v>
          </cell>
          <cell r="C357" t="str">
            <v>Und.</v>
          </cell>
          <cell r="D357">
            <v>2458</v>
          </cell>
          <cell r="E357">
            <v>2925</v>
          </cell>
        </row>
        <row r="358">
          <cell r="A358" t="str">
            <v>C90*1-1/2</v>
          </cell>
          <cell r="B358" t="str">
            <v>Codo PVC soldado de 90° x 1 1/2</v>
          </cell>
          <cell r="C358" t="str">
            <v>Und.</v>
          </cell>
          <cell r="D358">
            <v>4589</v>
          </cell>
          <cell r="E358">
            <v>5461</v>
          </cell>
        </row>
        <row r="359">
          <cell r="A359" t="str">
            <v>C90*2</v>
          </cell>
          <cell r="B359" t="str">
            <v>Codo PVC soldado de 90° x 2</v>
          </cell>
          <cell r="C359" t="str">
            <v>Und.</v>
          </cell>
          <cell r="D359">
            <v>7524</v>
          </cell>
          <cell r="E359">
            <v>8954</v>
          </cell>
        </row>
        <row r="360">
          <cell r="A360" t="str">
            <v>C90*2-1/2</v>
          </cell>
          <cell r="B360" t="str">
            <v>Codo PVC soldado de 90° x 2 1/2</v>
          </cell>
          <cell r="C360" t="str">
            <v>Und.</v>
          </cell>
          <cell r="D360">
            <v>21669</v>
          </cell>
          <cell r="E360">
            <v>25786</v>
          </cell>
        </row>
        <row r="361">
          <cell r="A361" t="str">
            <v>C90*3</v>
          </cell>
          <cell r="B361" t="str">
            <v>Codo PVC soldado de 90° x 3</v>
          </cell>
          <cell r="C361" t="str">
            <v>Und.</v>
          </cell>
          <cell r="D361">
            <v>28043</v>
          </cell>
          <cell r="E361">
            <v>33371</v>
          </cell>
        </row>
        <row r="362">
          <cell r="A362" t="str">
            <v>C90*4</v>
          </cell>
          <cell r="B362" t="str">
            <v>Codo PVC soldado de 90° x 4</v>
          </cell>
          <cell r="C362" t="str">
            <v>Und.</v>
          </cell>
          <cell r="D362">
            <v>60836</v>
          </cell>
          <cell r="E362">
            <v>72395</v>
          </cell>
        </row>
        <row r="363">
          <cell r="A363" t="str">
            <v>C90*6</v>
          </cell>
          <cell r="B363" t="str">
            <v>Codo PVC soldado de 90° x 6</v>
          </cell>
          <cell r="C363" t="str">
            <v>Und.</v>
          </cell>
          <cell r="D363">
            <v>97624</v>
          </cell>
          <cell r="E363">
            <v>116173</v>
          </cell>
        </row>
        <row r="365">
          <cell r="B365" t="str">
            <v>Codo PVC roscado-soldado de 90° x</v>
          </cell>
        </row>
        <row r="366">
          <cell r="A366" t="str">
            <v>CRS90*1/2</v>
          </cell>
          <cell r="B366" t="str">
            <v>Codo PVC roscado-soldado de 90° x 1/2"</v>
          </cell>
          <cell r="C366" t="str">
            <v>Und.</v>
          </cell>
          <cell r="D366">
            <v>1014</v>
          </cell>
          <cell r="E366">
            <v>1207</v>
          </cell>
        </row>
        <row r="368">
          <cell r="B368" t="str">
            <v>Codo PVC soldado de 45° x</v>
          </cell>
        </row>
        <row r="369">
          <cell r="A369" t="str">
            <v>C45*1/2</v>
          </cell>
          <cell r="B369" t="str">
            <v>Codo PVC soldado de 45° x 1/2"</v>
          </cell>
          <cell r="C369" t="str">
            <v>Und.</v>
          </cell>
          <cell r="D369">
            <v>673</v>
          </cell>
          <cell r="E369">
            <v>801</v>
          </cell>
        </row>
        <row r="370">
          <cell r="A370" t="str">
            <v>C45*3/4</v>
          </cell>
          <cell r="B370" t="str">
            <v>Codo PVC soldado de 45° x 3/4"</v>
          </cell>
          <cell r="C370" t="str">
            <v>Und.</v>
          </cell>
          <cell r="D370">
            <v>1078</v>
          </cell>
          <cell r="E370">
            <v>1283</v>
          </cell>
        </row>
        <row r="371">
          <cell r="A371" t="str">
            <v>C45*1</v>
          </cell>
          <cell r="B371" t="str">
            <v>Codo PVC soldado de 45° x 1"</v>
          </cell>
          <cell r="C371" t="str">
            <v>Und.</v>
          </cell>
          <cell r="D371">
            <v>2055</v>
          </cell>
          <cell r="E371">
            <v>2445</v>
          </cell>
        </row>
        <row r="372">
          <cell r="A372" t="str">
            <v>C45*1-1/4</v>
          </cell>
          <cell r="B372" t="str">
            <v>Codo PVC soldado de 45° x 1 1/4"</v>
          </cell>
          <cell r="C372" t="str">
            <v>Und.</v>
          </cell>
          <cell r="D372">
            <v>3716</v>
          </cell>
          <cell r="E372">
            <v>4422</v>
          </cell>
        </row>
        <row r="373">
          <cell r="A373" t="str">
            <v>C45*1-1/2</v>
          </cell>
          <cell r="B373" t="str">
            <v>Codo PVC soldado de 45° x 1 1/2"</v>
          </cell>
          <cell r="C373" t="str">
            <v>Und.</v>
          </cell>
          <cell r="D373">
            <v>4983</v>
          </cell>
          <cell r="E373">
            <v>5930</v>
          </cell>
        </row>
        <row r="374">
          <cell r="A374" t="str">
            <v>C45* 2</v>
          </cell>
          <cell r="B374" t="str">
            <v>Codo PVC soldado de 45° x 2"</v>
          </cell>
          <cell r="C374" t="str">
            <v>Und.</v>
          </cell>
          <cell r="D374">
            <v>8244</v>
          </cell>
          <cell r="E374">
            <v>9810</v>
          </cell>
        </row>
        <row r="375">
          <cell r="A375" t="str">
            <v>C45*2-1/2</v>
          </cell>
          <cell r="B375" t="str">
            <v>Codo PVC soldado de 45° x 2 1/2"</v>
          </cell>
          <cell r="C375" t="str">
            <v>Und.</v>
          </cell>
          <cell r="D375">
            <v>23239</v>
          </cell>
          <cell r="E375">
            <v>27654</v>
          </cell>
        </row>
        <row r="376">
          <cell r="A376" t="str">
            <v>C45*3</v>
          </cell>
          <cell r="B376" t="str">
            <v>Codo PVC soldado de 45° x 3"</v>
          </cell>
          <cell r="C376" t="str">
            <v>Und.</v>
          </cell>
          <cell r="D376">
            <v>26541</v>
          </cell>
          <cell r="E376">
            <v>31584</v>
          </cell>
        </row>
        <row r="377">
          <cell r="A377" t="str">
            <v>C45*4</v>
          </cell>
          <cell r="B377" t="str">
            <v>Codo PVC soldado de 45° x 4"</v>
          </cell>
          <cell r="C377" t="str">
            <v>Und.</v>
          </cell>
          <cell r="D377">
            <v>56466</v>
          </cell>
          <cell r="E377">
            <v>67195</v>
          </cell>
        </row>
        <row r="379">
          <cell r="B379" t="str">
            <v>Tapón Roscado PVC</v>
          </cell>
        </row>
        <row r="380">
          <cell r="A380" t="str">
            <v>TR1/2</v>
          </cell>
          <cell r="B380" t="str">
            <v>Tapón Roscado PVC de 1/2"</v>
          </cell>
          <cell r="C380" t="str">
            <v>Und.</v>
          </cell>
          <cell r="D380">
            <v>317</v>
          </cell>
          <cell r="E380">
            <v>377</v>
          </cell>
        </row>
        <row r="381">
          <cell r="A381" t="str">
            <v>TR3/4</v>
          </cell>
          <cell r="B381" t="str">
            <v>Tapón Roscado PVC de 3/4"</v>
          </cell>
          <cell r="C381" t="str">
            <v>Und.</v>
          </cell>
          <cell r="D381">
            <v>934</v>
          </cell>
          <cell r="E381">
            <v>1111</v>
          </cell>
        </row>
        <row r="382">
          <cell r="A382" t="str">
            <v>TR1</v>
          </cell>
          <cell r="B382" t="str">
            <v>Tapón Roscado PVC de 1"</v>
          </cell>
          <cell r="C382" t="str">
            <v>Und.</v>
          </cell>
          <cell r="D382">
            <v>1330</v>
          </cell>
          <cell r="E382">
            <v>1583</v>
          </cell>
        </row>
        <row r="383">
          <cell r="A383" t="str">
            <v>TR1-1/4</v>
          </cell>
          <cell r="B383" t="str">
            <v>Tapón Roscado PVC de 1 1/4"</v>
          </cell>
          <cell r="C383" t="str">
            <v>Und.</v>
          </cell>
          <cell r="D383">
            <v>2355</v>
          </cell>
          <cell r="E383">
            <v>2802</v>
          </cell>
        </row>
        <row r="384">
          <cell r="A384" t="str">
            <v>TR1-1/2</v>
          </cell>
          <cell r="B384" t="str">
            <v>Tapón Roscado PVC de 1 1/2"</v>
          </cell>
          <cell r="C384" t="str">
            <v>Und.</v>
          </cell>
          <cell r="D384">
            <v>3117</v>
          </cell>
          <cell r="E384">
            <v>3709</v>
          </cell>
        </row>
        <row r="385">
          <cell r="A385" t="str">
            <v>TR2</v>
          </cell>
          <cell r="B385" t="str">
            <v>Tapón Roscado PVC de 2"</v>
          </cell>
          <cell r="C385" t="str">
            <v>Und.</v>
          </cell>
          <cell r="D385">
            <v>5097</v>
          </cell>
          <cell r="E385">
            <v>6065</v>
          </cell>
        </row>
        <row r="386">
          <cell r="A386" t="str">
            <v>TR2-1/2</v>
          </cell>
          <cell r="B386" t="str">
            <v>Tapón Roscado PVC de 2 1/2"</v>
          </cell>
          <cell r="C386" t="str">
            <v>Und.</v>
          </cell>
          <cell r="D386">
            <v>11750</v>
          </cell>
          <cell r="E386">
            <v>13983</v>
          </cell>
        </row>
        <row r="387">
          <cell r="A387" t="str">
            <v>TR3</v>
          </cell>
          <cell r="B387" t="str">
            <v>Tapón Roscado PVC de 3"</v>
          </cell>
          <cell r="C387" t="str">
            <v>Und.</v>
          </cell>
          <cell r="D387">
            <v>18694</v>
          </cell>
          <cell r="E387">
            <v>22246</v>
          </cell>
        </row>
        <row r="388">
          <cell r="A388" t="str">
            <v>TR4</v>
          </cell>
          <cell r="B388" t="str">
            <v>Tapón Roscado PVC de 4"</v>
          </cell>
          <cell r="C388" t="str">
            <v>Und.</v>
          </cell>
          <cell r="D388">
            <v>34530</v>
          </cell>
          <cell r="E388">
            <v>41091</v>
          </cell>
        </row>
        <row r="390">
          <cell r="B390" t="str">
            <v>Tapón Soldado PVC</v>
          </cell>
        </row>
        <row r="391">
          <cell r="A391" t="str">
            <v>TSOL1/2</v>
          </cell>
          <cell r="B391" t="str">
            <v>Tapón Soldado PVC de 1/2"</v>
          </cell>
          <cell r="C391" t="str">
            <v>Und.</v>
          </cell>
          <cell r="D391">
            <v>232</v>
          </cell>
          <cell r="E391">
            <v>276</v>
          </cell>
        </row>
        <row r="392">
          <cell r="A392" t="str">
            <v>TSOL3/4</v>
          </cell>
          <cell r="B392" t="str">
            <v>Tapón Soldado PVC de 3/4"</v>
          </cell>
          <cell r="C392" t="str">
            <v>Und.</v>
          </cell>
          <cell r="D392">
            <v>465</v>
          </cell>
          <cell r="E392">
            <v>553</v>
          </cell>
        </row>
        <row r="393">
          <cell r="A393" t="str">
            <v>TSOL1</v>
          </cell>
          <cell r="B393" t="str">
            <v>Tapón Soldado PVC de 1"</v>
          </cell>
          <cell r="C393" t="str">
            <v>Und.</v>
          </cell>
          <cell r="D393">
            <v>782</v>
          </cell>
          <cell r="E393">
            <v>931</v>
          </cell>
        </row>
        <row r="394">
          <cell r="A394" t="str">
            <v>TSOL1-1/4</v>
          </cell>
          <cell r="B394" t="str">
            <v>Tapón Soldado PVC de 1 1/4"</v>
          </cell>
          <cell r="C394" t="str">
            <v>Und.</v>
          </cell>
          <cell r="D394">
            <v>1885</v>
          </cell>
          <cell r="E394">
            <v>2243</v>
          </cell>
        </row>
        <row r="395">
          <cell r="A395" t="str">
            <v>TSOL1-1/2</v>
          </cell>
          <cell r="B395" t="str">
            <v>Tapón Soldado PVC de 1 1/2"</v>
          </cell>
          <cell r="C395" t="str">
            <v>Und.</v>
          </cell>
          <cell r="D395">
            <v>2454</v>
          </cell>
          <cell r="E395">
            <v>2920</v>
          </cell>
        </row>
        <row r="396">
          <cell r="A396" t="str">
            <v>TSOL2</v>
          </cell>
          <cell r="B396" t="str">
            <v>Tapón Soldado PVC de 2"</v>
          </cell>
          <cell r="C396" t="str">
            <v>Und.</v>
          </cell>
          <cell r="D396">
            <v>3900</v>
          </cell>
          <cell r="E396">
            <v>4641</v>
          </cell>
        </row>
        <row r="397">
          <cell r="A397" t="str">
            <v>TSOL2-1/2</v>
          </cell>
          <cell r="B397" t="str">
            <v>Tapón Soldado PVC de 2 1/2"</v>
          </cell>
          <cell r="C397" t="str">
            <v>Und.</v>
          </cell>
          <cell r="D397">
            <v>9183</v>
          </cell>
          <cell r="E397">
            <v>10928</v>
          </cell>
        </row>
        <row r="398">
          <cell r="A398" t="str">
            <v>TSOL3</v>
          </cell>
          <cell r="B398" t="str">
            <v>Tapón Soldado PVC de 3"</v>
          </cell>
          <cell r="C398" t="str">
            <v>Und.</v>
          </cell>
          <cell r="D398">
            <v>14917</v>
          </cell>
          <cell r="E398">
            <v>17751</v>
          </cell>
        </row>
        <row r="399">
          <cell r="A399" t="str">
            <v>TSOL4</v>
          </cell>
          <cell r="B399" t="str">
            <v>Tapón Soldado PVC de 4"</v>
          </cell>
          <cell r="C399" t="str">
            <v>Und.</v>
          </cell>
          <cell r="D399">
            <v>27124</v>
          </cell>
          <cell r="E399">
            <v>32278</v>
          </cell>
        </row>
        <row r="401">
          <cell r="B401" t="str">
            <v>Tee Soldada PVC</v>
          </cell>
        </row>
        <row r="402">
          <cell r="A402" t="str">
            <v>T1/2</v>
          </cell>
          <cell r="B402" t="str">
            <v>Tee Soldada PVC de 1/2"</v>
          </cell>
          <cell r="C402" t="str">
            <v>Und.</v>
          </cell>
          <cell r="D402">
            <v>538</v>
          </cell>
          <cell r="E402">
            <v>640</v>
          </cell>
        </row>
        <row r="403">
          <cell r="A403" t="str">
            <v>T3/4</v>
          </cell>
          <cell r="B403" t="str">
            <v>Tee Soldada PVC de 3/4"</v>
          </cell>
          <cell r="C403" t="str">
            <v>Und.</v>
          </cell>
          <cell r="D403">
            <v>910</v>
          </cell>
          <cell r="E403">
            <v>1083</v>
          </cell>
        </row>
        <row r="404">
          <cell r="A404" t="str">
            <v>T1</v>
          </cell>
          <cell r="B404" t="str">
            <v>Tee Soldada PVC de 1"</v>
          </cell>
          <cell r="C404" t="str">
            <v>Und.</v>
          </cell>
          <cell r="D404">
            <v>1780</v>
          </cell>
          <cell r="E404">
            <v>2118</v>
          </cell>
        </row>
        <row r="405">
          <cell r="A405" t="str">
            <v>T1-1/4</v>
          </cell>
          <cell r="B405" t="str">
            <v>Tee Soldada PVC de 1 1/4"</v>
          </cell>
          <cell r="C405" t="str">
            <v>Und.</v>
          </cell>
          <cell r="D405">
            <v>4597</v>
          </cell>
          <cell r="E405">
            <v>5470</v>
          </cell>
        </row>
        <row r="406">
          <cell r="A406" t="str">
            <v>T1-1/2</v>
          </cell>
          <cell r="B406" t="str">
            <v>Tee Soldada PVC de 1 1/2"</v>
          </cell>
          <cell r="C406" t="str">
            <v>Und.</v>
          </cell>
          <cell r="D406">
            <v>6036</v>
          </cell>
          <cell r="E406">
            <v>7183</v>
          </cell>
        </row>
        <row r="407">
          <cell r="A407" t="str">
            <v>T2</v>
          </cell>
          <cell r="B407" t="str">
            <v>Tee Soldada PVC de 2"</v>
          </cell>
          <cell r="C407" t="str">
            <v>Und.</v>
          </cell>
          <cell r="D407">
            <v>9614</v>
          </cell>
          <cell r="E407">
            <v>11441</v>
          </cell>
        </row>
        <row r="408">
          <cell r="A408" t="str">
            <v>T2-1/2</v>
          </cell>
          <cell r="B408" t="str">
            <v>Tee Soldada PVC de 2 1/2"</v>
          </cell>
          <cell r="C408" t="str">
            <v>Und.</v>
          </cell>
          <cell r="D408">
            <v>22805</v>
          </cell>
          <cell r="E408">
            <v>27138</v>
          </cell>
        </row>
        <row r="409">
          <cell r="A409" t="str">
            <v>T3</v>
          </cell>
          <cell r="B409" t="str">
            <v>Tee Soldada PVC de 3"</v>
          </cell>
          <cell r="C409" t="str">
            <v>Und.</v>
          </cell>
          <cell r="D409">
            <v>36274</v>
          </cell>
          <cell r="E409">
            <v>43166</v>
          </cell>
        </row>
        <row r="410">
          <cell r="A410" t="str">
            <v>T4</v>
          </cell>
          <cell r="B410" t="str">
            <v>Tee Soldada PVC de 4"</v>
          </cell>
          <cell r="C410" t="str">
            <v>Und.</v>
          </cell>
          <cell r="D410">
            <v>79157</v>
          </cell>
          <cell r="E410">
            <v>94197</v>
          </cell>
        </row>
        <row r="411">
          <cell r="A411" t="str">
            <v>T6</v>
          </cell>
          <cell r="B411" t="str">
            <v>Tee Soldada PVC de 6"</v>
          </cell>
          <cell r="C411" t="str">
            <v>Und.</v>
          </cell>
          <cell r="D411">
            <v>153416</v>
          </cell>
          <cell r="E411">
            <v>182565</v>
          </cell>
        </row>
        <row r="413">
          <cell r="B413" t="str">
            <v>Unión Soldada PVC</v>
          </cell>
        </row>
        <row r="414">
          <cell r="A414" t="str">
            <v>U1/2</v>
          </cell>
          <cell r="B414" t="str">
            <v>Unión Soldada PVC de 1/2"</v>
          </cell>
          <cell r="C414" t="str">
            <v>Und.</v>
          </cell>
          <cell r="D414">
            <v>260</v>
          </cell>
          <cell r="E414">
            <v>309</v>
          </cell>
        </row>
        <row r="415">
          <cell r="A415" t="str">
            <v>U3/4</v>
          </cell>
          <cell r="B415" t="str">
            <v>Unión Soldada PVC de 3/4"</v>
          </cell>
          <cell r="C415" t="str">
            <v>Und.</v>
          </cell>
          <cell r="D415">
            <v>411</v>
          </cell>
          <cell r="E415">
            <v>489</v>
          </cell>
        </row>
        <row r="416">
          <cell r="A416" t="str">
            <v>U1</v>
          </cell>
          <cell r="B416" t="str">
            <v>Unión Soldada PVC de 1"</v>
          </cell>
          <cell r="C416" t="str">
            <v>Und.</v>
          </cell>
          <cell r="D416">
            <v>673</v>
          </cell>
          <cell r="E416">
            <v>801</v>
          </cell>
        </row>
        <row r="417">
          <cell r="A417" t="str">
            <v>U1-1/4</v>
          </cell>
          <cell r="B417" t="str">
            <v>Unión Soldada PVC de 1 1/4"</v>
          </cell>
          <cell r="C417" t="str">
            <v>Und.</v>
          </cell>
          <cell r="D417">
            <v>1235</v>
          </cell>
          <cell r="E417">
            <v>1470</v>
          </cell>
        </row>
        <row r="418">
          <cell r="A418" t="str">
            <v>U1-1/2</v>
          </cell>
          <cell r="B418" t="str">
            <v>Unión Soldada PVC de 1 1/2"</v>
          </cell>
          <cell r="C418" t="str">
            <v>Und.</v>
          </cell>
          <cell r="D418">
            <v>1688</v>
          </cell>
          <cell r="E418">
            <v>2009</v>
          </cell>
        </row>
        <row r="419">
          <cell r="A419" t="str">
            <v>U2</v>
          </cell>
          <cell r="B419" t="str">
            <v>Unión Soldada PVC de 2"</v>
          </cell>
          <cell r="C419" t="str">
            <v>Und.</v>
          </cell>
          <cell r="D419">
            <v>2767</v>
          </cell>
          <cell r="E419">
            <v>3293</v>
          </cell>
        </row>
        <row r="420">
          <cell r="A420" t="str">
            <v>U2-1/2</v>
          </cell>
          <cell r="B420" t="str">
            <v>Unión Soldada PVC de 2 1/2"</v>
          </cell>
          <cell r="C420" t="str">
            <v>Und.</v>
          </cell>
          <cell r="D420">
            <v>10953</v>
          </cell>
          <cell r="E420">
            <v>13034</v>
          </cell>
        </row>
        <row r="421">
          <cell r="A421" t="str">
            <v>U3</v>
          </cell>
          <cell r="B421" t="str">
            <v>Unión Soldada PVC de 3"</v>
          </cell>
          <cell r="C421" t="str">
            <v>Und.</v>
          </cell>
          <cell r="D421">
            <v>13557</v>
          </cell>
          <cell r="E421">
            <v>16133</v>
          </cell>
        </row>
        <row r="422">
          <cell r="A422" t="str">
            <v>U4</v>
          </cell>
          <cell r="B422" t="str">
            <v>Unión Soldada PVC de 4"</v>
          </cell>
          <cell r="C422" t="str">
            <v>Und.</v>
          </cell>
          <cell r="D422">
            <v>29471</v>
          </cell>
          <cell r="E422">
            <v>35070</v>
          </cell>
        </row>
        <row r="424">
          <cell r="B424" t="str">
            <v>Unión Universal PVC</v>
          </cell>
        </row>
        <row r="425">
          <cell r="A425" t="str">
            <v>UU1/2</v>
          </cell>
          <cell r="B425" t="str">
            <v>Unión Universal PVC de 1/2"</v>
          </cell>
          <cell r="C425" t="str">
            <v>Und.</v>
          </cell>
          <cell r="D425">
            <v>2272</v>
          </cell>
          <cell r="E425">
            <v>2704</v>
          </cell>
        </row>
        <row r="426">
          <cell r="A426" t="str">
            <v>UU3/4</v>
          </cell>
          <cell r="B426" t="str">
            <v>Unión Universal PVC de 3/4"</v>
          </cell>
          <cell r="C426" t="str">
            <v>Und.</v>
          </cell>
          <cell r="D426">
            <v>4027</v>
          </cell>
          <cell r="E426">
            <v>4792</v>
          </cell>
        </row>
        <row r="427">
          <cell r="A427" t="str">
            <v>UU1</v>
          </cell>
          <cell r="B427" t="str">
            <v>Unión Universal PVC de 1"</v>
          </cell>
          <cell r="C427" t="str">
            <v>Und.</v>
          </cell>
          <cell r="D427">
            <v>6090</v>
          </cell>
          <cell r="E427">
            <v>7247</v>
          </cell>
        </row>
        <row r="428">
          <cell r="A428" t="str">
            <v>UU1-1/4</v>
          </cell>
          <cell r="B428" t="str">
            <v>Unión Universal PVC de 1 1/4"</v>
          </cell>
          <cell r="C428" t="str">
            <v>Und.</v>
          </cell>
          <cell r="D428">
            <v>10996</v>
          </cell>
          <cell r="E428">
            <v>13085</v>
          </cell>
        </row>
        <row r="429">
          <cell r="A429" t="str">
            <v>UU1-1/2</v>
          </cell>
          <cell r="B429" t="str">
            <v>Unión Universal PVC de 1 1/2"</v>
          </cell>
          <cell r="C429" t="str">
            <v>Und.</v>
          </cell>
          <cell r="D429">
            <v>18865</v>
          </cell>
          <cell r="E429">
            <v>22449</v>
          </cell>
        </row>
        <row r="430">
          <cell r="A430" t="str">
            <v>UU2</v>
          </cell>
          <cell r="B430" t="str">
            <v>Unión Universal PVC de 2"</v>
          </cell>
          <cell r="C430" t="str">
            <v>Und.</v>
          </cell>
          <cell r="D430">
            <v>24125</v>
          </cell>
          <cell r="E430">
            <v>28709</v>
          </cell>
        </row>
        <row r="432">
          <cell r="B432" t="str">
            <v>Válvula de Bola PVC</v>
          </cell>
        </row>
        <row r="433">
          <cell r="A433" t="str">
            <v>VB1/2</v>
          </cell>
          <cell r="B433" t="str">
            <v>Válvula de Bola PVC de 1/2"</v>
          </cell>
          <cell r="C433" t="str">
            <v>Und.</v>
          </cell>
          <cell r="D433">
            <v>3539</v>
          </cell>
          <cell r="E433">
            <v>4211</v>
          </cell>
        </row>
        <row r="434">
          <cell r="A434" t="str">
            <v>VB3/4</v>
          </cell>
          <cell r="B434" t="str">
            <v>Válvula de Bola PVC de 3/4"</v>
          </cell>
          <cell r="C434" t="str">
            <v>Und.</v>
          </cell>
          <cell r="D434">
            <v>6262</v>
          </cell>
          <cell r="E434">
            <v>7452</v>
          </cell>
        </row>
        <row r="435">
          <cell r="A435" t="str">
            <v>VB1</v>
          </cell>
          <cell r="B435" t="str">
            <v>Válvula de Bola PVC de 1"</v>
          </cell>
          <cell r="C435" t="str">
            <v>Und.</v>
          </cell>
          <cell r="D435">
            <v>8077</v>
          </cell>
          <cell r="E435">
            <v>9612</v>
          </cell>
        </row>
        <row r="437">
          <cell r="B437" t="str">
            <v>Tubería PVC Sanitaria Aguas Lluvias</v>
          </cell>
        </row>
        <row r="438">
          <cell r="A438" t="str">
            <v>ALL1-1/2</v>
          </cell>
          <cell r="B438" t="str">
            <v>Tubería PVC Sanitaria Aguas Lluvias de 1 1/2"</v>
          </cell>
          <cell r="C438" t="str">
            <v>m.</v>
          </cell>
          <cell r="D438">
            <v>6306</v>
          </cell>
          <cell r="E438">
            <v>7504</v>
          </cell>
        </row>
        <row r="439">
          <cell r="A439" t="str">
            <v>ALL2</v>
          </cell>
          <cell r="B439" t="str">
            <v>Tubería PVC Sanitaria Aguas Lluvias de 2"</v>
          </cell>
          <cell r="C439" t="str">
            <v>m.</v>
          </cell>
          <cell r="D439">
            <v>7818</v>
          </cell>
          <cell r="E439">
            <v>9303</v>
          </cell>
        </row>
        <row r="440">
          <cell r="A440" t="str">
            <v>ALL3</v>
          </cell>
          <cell r="B440" t="str">
            <v>Tubería PVC Sanitaria Aguas Lluvias de 3"</v>
          </cell>
          <cell r="C440" t="str">
            <v>m.</v>
          </cell>
          <cell r="D440">
            <v>11677</v>
          </cell>
          <cell r="E440">
            <v>13896</v>
          </cell>
        </row>
        <row r="441">
          <cell r="A441" t="str">
            <v>ALL4</v>
          </cell>
          <cell r="B441" t="str">
            <v>Tubería PVC Sanitaria Aguas Lluvias de 4"</v>
          </cell>
          <cell r="C441" t="str">
            <v>m.</v>
          </cell>
          <cell r="D441">
            <v>16273</v>
          </cell>
          <cell r="E441">
            <v>19365</v>
          </cell>
        </row>
        <row r="442">
          <cell r="A442" t="str">
            <v>ALL6</v>
          </cell>
          <cell r="B442" t="str">
            <v>Tubería PVC Sanitaria Aguas Lluvias de 6"</v>
          </cell>
          <cell r="C442" t="str">
            <v>m.</v>
          </cell>
          <cell r="D442">
            <v>34461</v>
          </cell>
          <cell r="E442">
            <v>41009</v>
          </cell>
        </row>
        <row r="443">
          <cell r="A443" t="str">
            <v>ALL8</v>
          </cell>
          <cell r="B443" t="str">
            <v>Tubería PVC Sanitaria Aguas Lluvias de 8"</v>
          </cell>
          <cell r="C443" t="str">
            <v>m.</v>
          </cell>
          <cell r="D443">
            <v>61995</v>
          </cell>
          <cell r="E443">
            <v>73774</v>
          </cell>
        </row>
        <row r="444">
          <cell r="A444" t="str">
            <v>ALL10</v>
          </cell>
          <cell r="B444" t="str">
            <v>Tubería PVC Sanitaria Aguas Lluvias de 10"</v>
          </cell>
          <cell r="C444" t="str">
            <v>m.</v>
          </cell>
          <cell r="D444">
            <v>96711</v>
          </cell>
          <cell r="E444">
            <v>115086</v>
          </cell>
        </row>
        <row r="446">
          <cell r="B446" t="str">
            <v>Soldadura PVC</v>
          </cell>
        </row>
        <row r="447">
          <cell r="A447" t="str">
            <v>SOL1/4</v>
          </cell>
          <cell r="B447" t="str">
            <v>Soldadura PVC x 1/4 gal</v>
          </cell>
          <cell r="C447" t="str">
            <v>Gal.</v>
          </cell>
          <cell r="D447">
            <v>75216.930000000008</v>
          </cell>
          <cell r="E447">
            <v>89508</v>
          </cell>
        </row>
        <row r="448">
          <cell r="A448" t="str">
            <v>SOL1/8</v>
          </cell>
          <cell r="B448" t="str">
            <v>Soldadura PVC x 1/8 gal</v>
          </cell>
          <cell r="C448" t="str">
            <v>Gal.</v>
          </cell>
          <cell r="D448">
            <v>38867.760000000002</v>
          </cell>
          <cell r="E448">
            <v>46253</v>
          </cell>
        </row>
        <row r="449">
          <cell r="A449" t="str">
            <v>SOL1/16</v>
          </cell>
          <cell r="B449" t="str">
            <v>Soldadura PVC x 1/16 gal</v>
          </cell>
          <cell r="C449" t="str">
            <v>Gal.</v>
          </cell>
          <cell r="D449">
            <v>24027.06</v>
          </cell>
          <cell r="E449">
            <v>28592</v>
          </cell>
        </row>
        <row r="450">
          <cell r="A450" t="str">
            <v>SOL1/32</v>
          </cell>
          <cell r="B450" t="str">
            <v>Soldadura PVC x 1/32 gal</v>
          </cell>
          <cell r="C450" t="str">
            <v>Gal.</v>
          </cell>
          <cell r="D450">
            <v>14321.220000000001</v>
          </cell>
          <cell r="E450">
            <v>17042</v>
          </cell>
        </row>
        <row r="451">
          <cell r="A451" t="str">
            <v>SOL1/64</v>
          </cell>
          <cell r="B451" t="str">
            <v>Soldadura PVC x 1/64 gal</v>
          </cell>
          <cell r="C451" t="str">
            <v>Gal.</v>
          </cell>
          <cell r="D451">
            <v>8366.0700000000015</v>
          </cell>
          <cell r="E451">
            <v>9956</v>
          </cell>
        </row>
        <row r="452">
          <cell r="A452" t="str">
            <v>SOL1/168</v>
          </cell>
          <cell r="B452" t="str">
            <v>Soldadura PVC x 1/168 gal</v>
          </cell>
          <cell r="C452" t="str">
            <v>Gal.</v>
          </cell>
          <cell r="D452">
            <v>4269.0600000000004</v>
          </cell>
          <cell r="E452">
            <v>5080</v>
          </cell>
        </row>
        <row r="454">
          <cell r="B454" t="str">
            <v>Lubricante PVC</v>
          </cell>
        </row>
        <row r="455">
          <cell r="A455" t="str">
            <v>LUB</v>
          </cell>
          <cell r="B455" t="str">
            <v>Lubricante PVC x 500 gr.</v>
          </cell>
          <cell r="C455" t="str">
            <v>gr.</v>
          </cell>
          <cell r="D455">
            <v>17140.620000000003</v>
          </cell>
          <cell r="E455">
            <v>20397</v>
          </cell>
        </row>
        <row r="457">
          <cell r="B457" t="str">
            <v>Limpiador PVC</v>
          </cell>
        </row>
        <row r="458">
          <cell r="A458" t="str">
            <v>LIM1/4</v>
          </cell>
          <cell r="B458" t="str">
            <v>Limpiador PVC x 1/4.</v>
          </cell>
          <cell r="C458" t="str">
            <v>Gal.</v>
          </cell>
          <cell r="D458">
            <v>43159.08660000001</v>
          </cell>
          <cell r="E458">
            <v>51359</v>
          </cell>
        </row>
        <row r="459">
          <cell r="A459" t="str">
            <v>LIM12</v>
          </cell>
          <cell r="B459" t="str">
            <v>Limpiador PVC x 12 onzas</v>
          </cell>
          <cell r="C459" t="str">
            <v>Oz.</v>
          </cell>
          <cell r="D459">
            <v>23444.654100000003</v>
          </cell>
          <cell r="E459">
            <v>27899</v>
          </cell>
        </row>
        <row r="460">
          <cell r="A460" t="str">
            <v>LIM1/32</v>
          </cell>
          <cell r="B460" t="str">
            <v>Limpiador PVC x 1/32.</v>
          </cell>
          <cell r="C460" t="str">
            <v>Gal.</v>
          </cell>
          <cell r="D460">
            <v>7521.2046</v>
          </cell>
          <cell r="E460">
            <v>8950</v>
          </cell>
        </row>
        <row r="461">
          <cell r="A461" t="str">
            <v>LIM1/64</v>
          </cell>
          <cell r="B461" t="str">
            <v>Limpiador PVC x 1/64.</v>
          </cell>
          <cell r="C461" t="str">
            <v>Gal.</v>
          </cell>
          <cell r="D461">
            <v>4082.9019000000003</v>
          </cell>
          <cell r="E461">
            <v>4859</v>
          </cell>
        </row>
        <row r="462">
          <cell r="A462" t="str">
            <v>LIM1/168</v>
          </cell>
          <cell r="B462" t="str">
            <v>Limpiador PVC x 1/168.</v>
          </cell>
          <cell r="C462" t="str">
            <v>Gal.</v>
          </cell>
          <cell r="D462">
            <v>2847.8604</v>
          </cell>
          <cell r="E462">
            <v>3389</v>
          </cell>
        </row>
        <row r="464">
          <cell r="A464" t="str">
            <v>TUBERÍA PVC UNIÓN MECÁNICA</v>
          </cell>
        </row>
        <row r="465">
          <cell r="B465" t="str">
            <v>Tubería PVC Unión Mecánica</v>
          </cell>
          <cell r="C465" t="str">
            <v>RDE 13.5 (315 PSI)</v>
          </cell>
        </row>
        <row r="466">
          <cell r="A466" t="str">
            <v>TUM213.5</v>
          </cell>
          <cell r="B466" t="str">
            <v>Tubería PVC Unión Mecánica de 2" RDE 13.5 (315 PSI)</v>
          </cell>
          <cell r="C466" t="str">
            <v>m.</v>
          </cell>
          <cell r="D466">
            <v>13270</v>
          </cell>
          <cell r="E466">
            <v>15791</v>
          </cell>
        </row>
        <row r="467">
          <cell r="A467" t="str">
            <v>TUM313.5</v>
          </cell>
          <cell r="B467" t="str">
            <v>Tubería PVC Unión Mecánica de 3" RDE 13.5 (315 PSI)</v>
          </cell>
          <cell r="C467" t="str">
            <v>m.</v>
          </cell>
          <cell r="D467">
            <v>29281</v>
          </cell>
          <cell r="E467">
            <v>34844</v>
          </cell>
        </row>
        <row r="468">
          <cell r="A468" t="str">
            <v>TUM413.5</v>
          </cell>
          <cell r="B468" t="str">
            <v>Tubería PVC Unión Mecánica de 4" RDE 13.5 (315 PSI)</v>
          </cell>
          <cell r="C468" t="str">
            <v>m.</v>
          </cell>
          <cell r="D468">
            <v>46797</v>
          </cell>
          <cell r="E468">
            <v>55688</v>
          </cell>
        </row>
        <row r="469">
          <cell r="A469" t="str">
            <v>TUM613.5</v>
          </cell>
          <cell r="B469" t="str">
            <v>Tubería PVC Unión Mecánica de 6" RDE 13.5 (315 PSI)</v>
          </cell>
          <cell r="C469" t="str">
            <v>m.</v>
          </cell>
          <cell r="D469">
            <v>113532</v>
          </cell>
          <cell r="E469">
            <v>135103</v>
          </cell>
        </row>
        <row r="470">
          <cell r="A470" t="str">
            <v>TUM813.5</v>
          </cell>
          <cell r="B470" t="str">
            <v>Tubería PVC Unión Mecánica de 8" RDE 13.5 (315 PSI)</v>
          </cell>
          <cell r="C470" t="str">
            <v>m.</v>
          </cell>
          <cell r="D470">
            <v>192406</v>
          </cell>
          <cell r="E470">
            <v>228963</v>
          </cell>
        </row>
        <row r="471">
          <cell r="A471" t="str">
            <v>TUM1013.5</v>
          </cell>
          <cell r="B471" t="str">
            <v>Tubería PVC Unión Mecánica de 10" RDE 13.5 (315 PSI)</v>
          </cell>
          <cell r="C471" t="str">
            <v>m.</v>
          </cell>
          <cell r="D471">
            <v>285183</v>
          </cell>
          <cell r="E471">
            <v>339368</v>
          </cell>
        </row>
        <row r="472">
          <cell r="A472" t="str">
            <v>TUM1213.5</v>
          </cell>
          <cell r="B472" t="str">
            <v>Tubería PVC Unión Mecánica de 12" RDE 13.5 (315 PSI)</v>
          </cell>
          <cell r="C472" t="str">
            <v>m.</v>
          </cell>
          <cell r="D472">
            <v>403006</v>
          </cell>
          <cell r="E472">
            <v>479577</v>
          </cell>
        </row>
        <row r="473">
          <cell r="A473" t="str">
            <v>TUM1413.5</v>
          </cell>
          <cell r="B473" t="str">
            <v>Tubería PVC Unión Mecánica de 14" RDE 13.5 (315 PSI)</v>
          </cell>
          <cell r="C473" t="str">
            <v>m.</v>
          </cell>
          <cell r="D473">
            <v>476237</v>
          </cell>
          <cell r="E473">
            <v>566722</v>
          </cell>
        </row>
        <row r="475">
          <cell r="B475" t="str">
            <v>Tubería PVC Unión Mecánica</v>
          </cell>
          <cell r="C475" t="str">
            <v>RDE 21 (200 PSI)</v>
          </cell>
        </row>
        <row r="476">
          <cell r="A476" t="str">
            <v>TUM221</v>
          </cell>
          <cell r="B476" t="str">
            <v>Tubería PVC Unión Mecánica de 2" RDE 21 (200 PSI)</v>
          </cell>
          <cell r="C476" t="str">
            <v>m.</v>
          </cell>
          <cell r="D476">
            <v>7100</v>
          </cell>
          <cell r="E476">
            <v>8449</v>
          </cell>
        </row>
        <row r="477">
          <cell r="A477" t="str">
            <v>TUM2-1/221</v>
          </cell>
          <cell r="B477" t="str">
            <v>Tubería PVC Unión Mecánica de 2 1/2" RDE 21 (200 PSI)</v>
          </cell>
          <cell r="C477" t="str">
            <v>m.</v>
          </cell>
          <cell r="D477">
            <v>10414</v>
          </cell>
          <cell r="E477">
            <v>12393</v>
          </cell>
        </row>
        <row r="478">
          <cell r="A478" t="str">
            <v>TUM321</v>
          </cell>
          <cell r="B478" t="str">
            <v>Tubería PVC Unión Mecánica de 3" RDE 21 (200 PSI)</v>
          </cell>
          <cell r="C478" t="str">
            <v>m.</v>
          </cell>
          <cell r="D478">
            <v>15538</v>
          </cell>
          <cell r="E478">
            <v>18490</v>
          </cell>
        </row>
        <row r="479">
          <cell r="A479" t="str">
            <v>TUM421</v>
          </cell>
          <cell r="B479" t="str">
            <v>Tubería PVC Unión Mecánica de 4" RDE 21 (200 PSI)</v>
          </cell>
          <cell r="C479" t="str">
            <v>m.</v>
          </cell>
          <cell r="D479">
            <v>25636</v>
          </cell>
          <cell r="E479">
            <v>30507</v>
          </cell>
          <cell r="F479">
            <v>153</v>
          </cell>
          <cell r="G479">
            <v>50</v>
          </cell>
        </row>
        <row r="480">
          <cell r="A480" t="str">
            <v>TUM621</v>
          </cell>
          <cell r="B480" t="str">
            <v>Tubería PVC Unión Mecánica de 6" RDE 21 (200 PSI)</v>
          </cell>
          <cell r="C480" t="str">
            <v>m.</v>
          </cell>
          <cell r="D480">
            <v>55977</v>
          </cell>
          <cell r="E480">
            <v>66613</v>
          </cell>
          <cell r="F480">
            <v>153</v>
          </cell>
          <cell r="G480">
            <v>50</v>
          </cell>
        </row>
        <row r="481">
          <cell r="A481" t="str">
            <v>TUM821</v>
          </cell>
          <cell r="B481" t="str">
            <v>Tubería PVC Unión Mecánica de 8" RDE 21 (200 PSI)</v>
          </cell>
          <cell r="C481" t="str">
            <v>m.</v>
          </cell>
          <cell r="D481">
            <v>94817</v>
          </cell>
          <cell r="E481">
            <v>112832</v>
          </cell>
          <cell r="F481">
            <v>153</v>
          </cell>
          <cell r="G481">
            <v>50</v>
          </cell>
        </row>
        <row r="482">
          <cell r="A482" t="str">
            <v>TUM1021</v>
          </cell>
          <cell r="B482" t="str">
            <v>Tubería PVC Unión Mecánica de 10" RDE 21 (200 PSI)</v>
          </cell>
          <cell r="C482" t="str">
            <v>m.</v>
          </cell>
          <cell r="D482">
            <v>149262</v>
          </cell>
          <cell r="E482">
            <v>177622</v>
          </cell>
        </row>
        <row r="483">
          <cell r="A483" t="str">
            <v>TUM1221</v>
          </cell>
          <cell r="B483" t="str">
            <v>Tubería PVC Unión Mecánica de 12" RDE 21 (200 PSI)</v>
          </cell>
          <cell r="C483" t="str">
            <v>m.</v>
          </cell>
          <cell r="D483">
            <v>208846</v>
          </cell>
          <cell r="E483">
            <v>248527</v>
          </cell>
        </row>
        <row r="484">
          <cell r="A484" t="str">
            <v>TUM1421</v>
          </cell>
          <cell r="B484" t="str">
            <v>Tubería PVC Unión Mecánica de 14" RDE 21 (200 PSI)</v>
          </cell>
          <cell r="C484" t="str">
            <v>m.</v>
          </cell>
          <cell r="D484">
            <v>258994</v>
          </cell>
          <cell r="E484">
            <v>308203</v>
          </cell>
        </row>
        <row r="485">
          <cell r="A485" t="str">
            <v>TUM1621</v>
          </cell>
          <cell r="B485" t="str">
            <v>Tubería PVC Unión Mecánica de 16" RDE 21 (200 PSI)</v>
          </cell>
          <cell r="C485" t="str">
            <v>m.</v>
          </cell>
          <cell r="D485">
            <v>339934</v>
          </cell>
          <cell r="E485">
            <v>404521</v>
          </cell>
        </row>
        <row r="486">
          <cell r="A486" t="str">
            <v>TUM1821</v>
          </cell>
          <cell r="B486" t="str">
            <v>Tubería PVC Unión Mecánica de 18" RDE 21 (200 PSI)</v>
          </cell>
          <cell r="C486" t="str">
            <v>m.</v>
          </cell>
          <cell r="D486">
            <v>436285</v>
          </cell>
          <cell r="E486">
            <v>519179</v>
          </cell>
        </row>
        <row r="487">
          <cell r="A487" t="str">
            <v>TUM2021</v>
          </cell>
          <cell r="B487" t="str">
            <v>Tubería PVC Unión Mecánica de 20" RDE 21 (200 PSI)</v>
          </cell>
          <cell r="C487" t="str">
            <v>m.</v>
          </cell>
          <cell r="D487">
            <v>543596</v>
          </cell>
          <cell r="E487">
            <v>646879</v>
          </cell>
        </row>
        <row r="488">
          <cell r="A488" t="str">
            <v>TUM2421</v>
          </cell>
          <cell r="B488" t="str">
            <v>Tubería PVC Unión Mecánica de 24" RDE 21 (200 PSI)</v>
          </cell>
          <cell r="C488" t="str">
            <v>m.</v>
          </cell>
          <cell r="D488">
            <v>876110</v>
          </cell>
          <cell r="E488">
            <v>1042571</v>
          </cell>
        </row>
        <row r="490">
          <cell r="B490" t="str">
            <v>Tubería PVC Unión Mecánica</v>
          </cell>
          <cell r="C490" t="str">
            <v>RDE 26 (160 PSI)</v>
          </cell>
        </row>
        <row r="491">
          <cell r="A491" t="str">
            <v>TUM226</v>
          </cell>
          <cell r="B491" t="str">
            <v>Tubería PVC Unión Mecánica de 2" RDE 26 (160 PSI)</v>
          </cell>
          <cell r="C491" t="str">
            <v>m.</v>
          </cell>
          <cell r="D491">
            <v>5950</v>
          </cell>
          <cell r="E491">
            <v>7081</v>
          </cell>
        </row>
        <row r="492">
          <cell r="A492" t="str">
            <v>TUM2-1/226</v>
          </cell>
          <cell r="B492" t="str">
            <v>Tubería PVC Unión Mecánica de 2 1/2" RDE 26 (160 PSI)</v>
          </cell>
          <cell r="C492" t="str">
            <v>m.</v>
          </cell>
          <cell r="D492">
            <v>8785</v>
          </cell>
          <cell r="E492">
            <v>10454</v>
          </cell>
        </row>
        <row r="493">
          <cell r="A493" t="str">
            <v>TUM326</v>
          </cell>
          <cell r="B493" t="str">
            <v>Tubería PVC Unión Mecánica de 3" RDE 26 (160 PSI)</v>
          </cell>
          <cell r="C493" t="str">
            <v>m.</v>
          </cell>
          <cell r="D493">
            <v>13089</v>
          </cell>
          <cell r="E493">
            <v>15576</v>
          </cell>
        </row>
        <row r="494">
          <cell r="A494" t="str">
            <v>TUM426</v>
          </cell>
          <cell r="B494" t="str">
            <v>Tubería PVC Unión Mecánica de 4" RDE 26 (160 PSI)</v>
          </cell>
          <cell r="C494" t="str">
            <v>m.</v>
          </cell>
          <cell r="D494">
            <v>21619</v>
          </cell>
          <cell r="E494">
            <v>25727</v>
          </cell>
        </row>
        <row r="495">
          <cell r="A495" t="str">
            <v>TUM626</v>
          </cell>
          <cell r="B495" t="str">
            <v>Tubería PVC Unión Mecánica de 6" RDE 26 (160 PSI)</v>
          </cell>
          <cell r="C495" t="str">
            <v>m.</v>
          </cell>
          <cell r="D495">
            <v>46310</v>
          </cell>
          <cell r="E495">
            <v>55109</v>
          </cell>
        </row>
        <row r="496">
          <cell r="A496" t="str">
            <v>TUM826</v>
          </cell>
          <cell r="B496" t="str">
            <v>Tubería PVC Unión Mecánica de 8" RDE 26 (160 PSI)</v>
          </cell>
          <cell r="C496" t="str">
            <v>m.</v>
          </cell>
          <cell r="D496">
            <v>78783</v>
          </cell>
          <cell r="E496">
            <v>93752</v>
          </cell>
        </row>
        <row r="497">
          <cell r="A497" t="str">
            <v>TUM1026</v>
          </cell>
          <cell r="B497" t="str">
            <v>Tubería PVC Unión Mecánica de 10" RDE 26 (160 PSI)</v>
          </cell>
          <cell r="C497" t="str">
            <v>m.</v>
          </cell>
          <cell r="D497">
            <v>122628</v>
          </cell>
          <cell r="E497">
            <v>145927</v>
          </cell>
        </row>
        <row r="498">
          <cell r="A498" t="str">
            <v>TUM1226</v>
          </cell>
          <cell r="B498" t="str">
            <v>Tubería PVC Unión Mecánica de 12" RDE 26 (160 PSI)</v>
          </cell>
          <cell r="C498" t="str">
            <v>m.</v>
          </cell>
          <cell r="D498">
            <v>172863</v>
          </cell>
          <cell r="E498">
            <v>205707</v>
          </cell>
        </row>
        <row r="499">
          <cell r="A499" t="str">
            <v>TUM1426</v>
          </cell>
          <cell r="B499" t="str">
            <v>Tubería PVC Unión Mecánica de 14" RDE 26 (160 PSI)</v>
          </cell>
          <cell r="C499" t="str">
            <v>m.</v>
          </cell>
          <cell r="D499">
            <v>215086</v>
          </cell>
          <cell r="E499">
            <v>255952</v>
          </cell>
        </row>
        <row r="500">
          <cell r="A500" t="str">
            <v>TUM1626</v>
          </cell>
          <cell r="B500" t="str">
            <v>Tubería PVC Unión Mecánica de 16" RDE 26 (160 PSI)</v>
          </cell>
          <cell r="C500" t="str">
            <v>m.</v>
          </cell>
          <cell r="D500">
            <v>285373</v>
          </cell>
          <cell r="E500">
            <v>339594</v>
          </cell>
        </row>
        <row r="501">
          <cell r="A501" t="str">
            <v>TUM1826</v>
          </cell>
          <cell r="B501" t="str">
            <v>Tubería PVC Unión Mecánica de 18" RDE 26 (160 PSI)</v>
          </cell>
          <cell r="C501" t="str">
            <v>m.</v>
          </cell>
          <cell r="D501">
            <v>365790</v>
          </cell>
          <cell r="E501">
            <v>435290</v>
          </cell>
        </row>
        <row r="502">
          <cell r="A502" t="str">
            <v>TUM2026</v>
          </cell>
          <cell r="B502" t="str">
            <v>Tubería PVC Unión Mecánica de 20" RDE 26 (160 PSI)</v>
          </cell>
          <cell r="C502" t="str">
            <v>m.</v>
          </cell>
          <cell r="D502">
            <v>471290</v>
          </cell>
          <cell r="E502">
            <v>560835</v>
          </cell>
        </row>
        <row r="504">
          <cell r="B504" t="str">
            <v>Tubería PVC Unión Mecánica</v>
          </cell>
          <cell r="C504" t="str">
            <v>RDE 32.5 (125 PSI)</v>
          </cell>
        </row>
        <row r="505">
          <cell r="A505" t="str">
            <v>TUM232.5</v>
          </cell>
          <cell r="B505" t="str">
            <v>Tubería PVC Unión Mecánica de 2" RDE 32.5 (125 PSI)</v>
          </cell>
          <cell r="C505" t="str">
            <v>m.</v>
          </cell>
          <cell r="D505">
            <v>4840</v>
          </cell>
          <cell r="E505">
            <v>5760</v>
          </cell>
        </row>
        <row r="506">
          <cell r="A506" t="str">
            <v>TUM332.5</v>
          </cell>
          <cell r="B506" t="str">
            <v>Tubería PVC Unión Mecánica de 3" RDE 32.5 (125 PSI)</v>
          </cell>
          <cell r="C506" t="str">
            <v>m.</v>
          </cell>
          <cell r="D506">
            <v>10515</v>
          </cell>
          <cell r="E506">
            <v>12513</v>
          </cell>
        </row>
        <row r="507">
          <cell r="A507" t="str">
            <v>TUM432.5</v>
          </cell>
          <cell r="B507" t="str">
            <v>Tubería PVC Unión Mecánica de 4" RDE 32.5 (125 PSI)</v>
          </cell>
          <cell r="C507" t="str">
            <v>m.</v>
          </cell>
          <cell r="D507">
            <v>17334</v>
          </cell>
          <cell r="E507">
            <v>20627</v>
          </cell>
        </row>
        <row r="508">
          <cell r="A508" t="str">
            <v>TUM632.5</v>
          </cell>
          <cell r="B508" t="str">
            <v>Tubería PVC Unión Mecánica de 6" RDE 32.5 (125 PSI)</v>
          </cell>
          <cell r="C508" t="str">
            <v>m.</v>
          </cell>
          <cell r="D508">
            <v>37784</v>
          </cell>
          <cell r="E508">
            <v>44963</v>
          </cell>
        </row>
        <row r="509">
          <cell r="A509" t="str">
            <v>TUM832.5</v>
          </cell>
          <cell r="B509" t="str">
            <v>Tubería PVC Unión Mecánica de 8" RDE 32.5 (125 PSI)</v>
          </cell>
          <cell r="C509" t="str">
            <v>m.</v>
          </cell>
          <cell r="D509">
            <v>64292</v>
          </cell>
          <cell r="E509">
            <v>76507</v>
          </cell>
        </row>
        <row r="510">
          <cell r="A510" t="str">
            <v>TUM1032.5</v>
          </cell>
          <cell r="B510" t="str">
            <v>Tubería PVC Unión Mecánica de 10" RDE 32.5 (125 PSI)</v>
          </cell>
          <cell r="C510" t="str">
            <v>m.</v>
          </cell>
          <cell r="D510">
            <v>100497</v>
          </cell>
          <cell r="E510">
            <v>119591</v>
          </cell>
        </row>
        <row r="511">
          <cell r="A511" t="str">
            <v>TUM1232.5</v>
          </cell>
          <cell r="B511" t="str">
            <v>Tubería PVC Unión Mecánica de 12" RDE 32.5 (125 PSI)</v>
          </cell>
          <cell r="C511" t="str">
            <v>m.</v>
          </cell>
          <cell r="D511">
            <v>141574</v>
          </cell>
          <cell r="E511">
            <v>168473</v>
          </cell>
        </row>
        <row r="512">
          <cell r="A512" t="str">
            <v>TUM1432.5</v>
          </cell>
          <cell r="B512" t="str">
            <v>Tubería PVC Unión Mecánica de 14" RDE 32.5 (125 PSI)</v>
          </cell>
          <cell r="C512" t="str">
            <v>m.</v>
          </cell>
          <cell r="D512">
            <v>175275</v>
          </cell>
          <cell r="E512">
            <v>208577</v>
          </cell>
        </row>
        <row r="513">
          <cell r="A513" t="str">
            <v>TUM1632.5</v>
          </cell>
          <cell r="B513" t="str">
            <v>Tubería PVC Unión Mecánica de 16" RDE 32.5 (125 PSI)</v>
          </cell>
          <cell r="C513" t="str">
            <v>m.</v>
          </cell>
          <cell r="D513">
            <v>233100</v>
          </cell>
          <cell r="E513">
            <v>277389</v>
          </cell>
        </row>
        <row r="514">
          <cell r="A514" t="str">
            <v>TUM1832.5</v>
          </cell>
          <cell r="B514" t="str">
            <v>Tubería PVC Unión Mecánica de 18" RDE 32.5 (125 PSI)</v>
          </cell>
          <cell r="C514" t="str">
            <v>m.</v>
          </cell>
          <cell r="D514">
            <v>295549</v>
          </cell>
          <cell r="E514">
            <v>351703</v>
          </cell>
        </row>
        <row r="515">
          <cell r="A515" t="str">
            <v>TUM2032.5</v>
          </cell>
          <cell r="B515" t="str">
            <v>Tubería PVC Unión Mecánica de 20" RDE 32.5 (125 PSI)</v>
          </cell>
          <cell r="C515" t="str">
            <v>m.</v>
          </cell>
          <cell r="D515">
            <v>387131</v>
          </cell>
          <cell r="E515">
            <v>460686</v>
          </cell>
        </row>
        <row r="516">
          <cell r="A516" t="str">
            <v>TUM2432.5</v>
          </cell>
          <cell r="B516" t="str">
            <v>Tubería PVC Unión Mecánica de 24" RDE 32.5 (125 PSI)</v>
          </cell>
          <cell r="C516" t="str">
            <v>m.</v>
          </cell>
          <cell r="D516">
            <v>554928</v>
          </cell>
          <cell r="E516">
            <v>660364</v>
          </cell>
        </row>
        <row r="518">
          <cell r="B518" t="str">
            <v>Tubería PVC Unión Mecánica</v>
          </cell>
          <cell r="C518" t="str">
            <v>RDE 41 (100 PSI)</v>
          </cell>
        </row>
        <row r="519">
          <cell r="A519" t="str">
            <v>TUM241</v>
          </cell>
          <cell r="B519" t="str">
            <v>Tubería PVC Unión Mecánica de 2" RDE 41 (100 PSI)</v>
          </cell>
          <cell r="C519" t="str">
            <v>m.</v>
          </cell>
          <cell r="D519">
            <v>4119</v>
          </cell>
          <cell r="E519">
            <v>4902</v>
          </cell>
        </row>
        <row r="520">
          <cell r="A520" t="str">
            <v>TUM341</v>
          </cell>
          <cell r="B520" t="str">
            <v>Tubería PVC Unión Mecánica de 3" RDE 41 (100 PSI)</v>
          </cell>
          <cell r="C520" t="str">
            <v>m.</v>
          </cell>
          <cell r="D520">
            <v>8534</v>
          </cell>
          <cell r="E520">
            <v>10155</v>
          </cell>
        </row>
        <row r="521">
          <cell r="A521" t="str">
            <v>TUM441</v>
          </cell>
          <cell r="B521" t="str">
            <v>Tubería PVC Unión Mecánica de 4" RDE 41 (100 PSI)</v>
          </cell>
          <cell r="C521" t="str">
            <v>m.</v>
          </cell>
          <cell r="D521">
            <v>14366</v>
          </cell>
          <cell r="E521">
            <v>17096</v>
          </cell>
        </row>
        <row r="522">
          <cell r="A522" t="str">
            <v>TUM641</v>
          </cell>
          <cell r="B522" t="str">
            <v>Tubería PVC Unión Mecánica de 6" RDE 41 (100 PSI)</v>
          </cell>
          <cell r="C522" t="str">
            <v>m.</v>
          </cell>
          <cell r="D522">
            <v>30456</v>
          </cell>
          <cell r="E522">
            <v>36243</v>
          </cell>
        </row>
        <row r="523">
          <cell r="A523" t="str">
            <v>TUM841</v>
          </cell>
          <cell r="B523" t="str">
            <v>Tubería PVC Unión Mecánica de 8" RDE 41 (100 PSI)</v>
          </cell>
          <cell r="C523" t="str">
            <v>m.</v>
          </cell>
          <cell r="D523">
            <v>51442</v>
          </cell>
          <cell r="E523">
            <v>61216</v>
          </cell>
        </row>
        <row r="524">
          <cell r="A524" t="str">
            <v>TUM1041</v>
          </cell>
          <cell r="B524" t="str">
            <v>Tubería PVC Unión Mecánica de 10" RDE 41 (100 PSI)</v>
          </cell>
          <cell r="C524" t="str">
            <v>m.</v>
          </cell>
          <cell r="D524">
            <v>80442</v>
          </cell>
          <cell r="E524">
            <v>95726</v>
          </cell>
        </row>
        <row r="525">
          <cell r="A525" t="str">
            <v>TUM1241</v>
          </cell>
          <cell r="B525" t="str">
            <v>Tubería PVC Unión Mecánica de 12" RDE 41 (100 PSI)</v>
          </cell>
          <cell r="C525" t="str">
            <v>m.</v>
          </cell>
          <cell r="D525">
            <v>113926</v>
          </cell>
          <cell r="E525">
            <v>135572</v>
          </cell>
        </row>
        <row r="526">
          <cell r="A526" t="str">
            <v>TUM1441</v>
          </cell>
          <cell r="B526" t="str">
            <v>Tubería PVC Unión Mecánica de 14" RDE 41 (100 PSI)</v>
          </cell>
          <cell r="C526" t="str">
            <v>m.</v>
          </cell>
          <cell r="D526">
            <v>143872</v>
          </cell>
          <cell r="E526">
            <v>171208</v>
          </cell>
        </row>
        <row r="527">
          <cell r="A527" t="str">
            <v>TUM1641</v>
          </cell>
          <cell r="B527" t="str">
            <v>Tubería PVC Unión Mecánica de 16" RDE 41 (100 PSI)</v>
          </cell>
          <cell r="C527" t="str">
            <v>m.</v>
          </cell>
          <cell r="D527">
            <v>193678</v>
          </cell>
          <cell r="E527">
            <v>230477</v>
          </cell>
        </row>
        <row r="528">
          <cell r="A528" t="str">
            <v>TUM1841</v>
          </cell>
          <cell r="B528" t="str">
            <v>Tubería PVC Unión Mecánica de 18" RDE 41 (100 PSI)</v>
          </cell>
          <cell r="C528" t="str">
            <v>m.</v>
          </cell>
          <cell r="D528">
            <v>251969</v>
          </cell>
          <cell r="E528">
            <v>299843</v>
          </cell>
        </row>
        <row r="529">
          <cell r="A529" t="str">
            <v>TUM2041</v>
          </cell>
          <cell r="B529" t="str">
            <v>Tubería PVC Unión Mecánica de 20" RDE 41 (100 PSI)</v>
          </cell>
          <cell r="C529" t="str">
            <v>m.</v>
          </cell>
          <cell r="D529">
            <v>319744</v>
          </cell>
          <cell r="E529">
            <v>380495</v>
          </cell>
        </row>
        <row r="531">
          <cell r="B531" t="str">
            <v>Tubería PVC Orientada Unión Mecánica (SUPRAXIAL)</v>
          </cell>
          <cell r="C531" t="str">
            <v>200 PSI</v>
          </cell>
        </row>
        <row r="532">
          <cell r="A532" t="str">
            <v>TUMS4200</v>
          </cell>
          <cell r="B532" t="str">
            <v>Tubería PVC Orientada Unión Mecánica (SUPRAXIAL) de 4" 200 PSI</v>
          </cell>
          <cell r="C532" t="str">
            <v>m.</v>
          </cell>
          <cell r="D532">
            <v>25895</v>
          </cell>
          <cell r="E532">
            <v>30815</v>
          </cell>
        </row>
        <row r="533">
          <cell r="A533" t="str">
            <v>TUMS6200</v>
          </cell>
          <cell r="B533" t="str">
            <v>Tubería PVC Orientada Unión Mecánica (SUPRAXIAL) de 6" 200 PSI</v>
          </cell>
          <cell r="C533" t="str">
            <v>m.</v>
          </cell>
          <cell r="D533">
            <v>56542</v>
          </cell>
          <cell r="E533">
            <v>67285</v>
          </cell>
        </row>
        <row r="534">
          <cell r="A534" t="str">
            <v>TUMS8200</v>
          </cell>
          <cell r="B534" t="str">
            <v>Tubería PVC Orientada Unión Mecánica (SUPRAXIAL) de 8" 200 PSI</v>
          </cell>
          <cell r="C534" t="str">
            <v>m.</v>
          </cell>
          <cell r="D534">
            <v>95775</v>
          </cell>
          <cell r="E534">
            <v>113972</v>
          </cell>
        </row>
        <row r="535">
          <cell r="A535" t="str">
            <v>TUMS10200</v>
          </cell>
          <cell r="B535" t="str">
            <v>Tubería PVC Orientada Unión Mecánica (SUPRAXIAL) de 10" 200 PSI</v>
          </cell>
          <cell r="C535" t="str">
            <v>m.</v>
          </cell>
          <cell r="D535">
            <v>150770</v>
          </cell>
          <cell r="E535">
            <v>179416</v>
          </cell>
        </row>
        <row r="536">
          <cell r="A536" t="str">
            <v>TUMS12200</v>
          </cell>
          <cell r="B536" t="str">
            <v>Tubería PVC Orientada Unión Mecánica (SUPRAXIAL) de 12" 200 PSI</v>
          </cell>
          <cell r="C536" t="str">
            <v>m.</v>
          </cell>
          <cell r="D536">
            <v>210955</v>
          </cell>
          <cell r="E536">
            <v>251036</v>
          </cell>
        </row>
        <row r="537">
          <cell r="A537" t="str">
            <v>TUMS14200</v>
          </cell>
          <cell r="B537" t="str">
            <v>Tubería PVC Orientada Unión Mecánica (SUPRAXIAL) de 14" 200 PSI</v>
          </cell>
          <cell r="C537" t="str">
            <v>m.</v>
          </cell>
          <cell r="D537">
            <v>261610</v>
          </cell>
          <cell r="E537">
            <v>311316</v>
          </cell>
        </row>
        <row r="538">
          <cell r="A538" t="str">
            <v>TUMS16200</v>
          </cell>
          <cell r="B538" t="str">
            <v>Tubería PVC Orientada Unión Mecánica (SUPRAXIAL) de 16" 200 PSI</v>
          </cell>
          <cell r="C538" t="str">
            <v>m.</v>
          </cell>
          <cell r="D538">
            <v>343367</v>
          </cell>
          <cell r="E538">
            <v>408607</v>
          </cell>
        </row>
        <row r="540">
          <cell r="B540" t="str">
            <v>Tubería PVC Orientada Unión Mecánica (SUPRAXIAL)</v>
          </cell>
          <cell r="C540" t="str">
            <v>160 PSI</v>
          </cell>
        </row>
        <row r="541">
          <cell r="A541" t="str">
            <v>TUMS4160</v>
          </cell>
          <cell r="B541" t="str">
            <v>Tubería PVC Orientada Unión Mecánica (SUPRAXIAL) de 4" 160 PSI</v>
          </cell>
          <cell r="C541" t="str">
            <v>m.</v>
          </cell>
          <cell r="D541">
            <v>21619</v>
          </cell>
          <cell r="E541">
            <v>25727</v>
          </cell>
        </row>
        <row r="542">
          <cell r="A542" t="str">
            <v>TUMS6160</v>
          </cell>
          <cell r="B542" t="str">
            <v>Tubería PVC Orientada Unión Mecánica (SUPRAXIAL) de 6" 160 PSI</v>
          </cell>
          <cell r="C542" t="str">
            <v>m.</v>
          </cell>
          <cell r="D542">
            <v>46310</v>
          </cell>
          <cell r="E542">
            <v>55109</v>
          </cell>
        </row>
        <row r="543">
          <cell r="A543" t="str">
            <v>TUMS8160</v>
          </cell>
          <cell r="B543" t="str">
            <v>Tubería PVC Orientada Unión Mecánica (SUPRAXIAL) de 8" 160 PSI</v>
          </cell>
          <cell r="C543" t="str">
            <v>m.</v>
          </cell>
          <cell r="D543">
            <v>78784</v>
          </cell>
          <cell r="E543">
            <v>93753</v>
          </cell>
        </row>
        <row r="544">
          <cell r="A544" t="str">
            <v>TUMS10160</v>
          </cell>
          <cell r="B544" t="str">
            <v>Tubería PVC Orientada Unión Mecánica (SUPRAXIAL) de 10" 160 PSI</v>
          </cell>
          <cell r="C544" t="str">
            <v>m.</v>
          </cell>
          <cell r="D544">
            <v>122628</v>
          </cell>
          <cell r="E544">
            <v>145927</v>
          </cell>
        </row>
        <row r="545">
          <cell r="A545" t="str">
            <v>TUMS12160</v>
          </cell>
          <cell r="B545" t="str">
            <v>Tubería PVC Orientada Unión Mecánica (SUPRAXIAL) de 12" 160 PSI</v>
          </cell>
          <cell r="C545" t="str">
            <v>m.</v>
          </cell>
          <cell r="D545">
            <v>172863</v>
          </cell>
          <cell r="E545">
            <v>205707</v>
          </cell>
        </row>
        <row r="546">
          <cell r="A546" t="str">
            <v>TUMS14160</v>
          </cell>
          <cell r="B546" t="str">
            <v>Tubería PVC Orientada Unión Mecánica (SUPRAXIAL) de 14" 160 PSI</v>
          </cell>
          <cell r="C546" t="str">
            <v>m.</v>
          </cell>
          <cell r="D546">
            <v>215086</v>
          </cell>
          <cell r="E546">
            <v>255952</v>
          </cell>
        </row>
        <row r="547">
          <cell r="A547" t="str">
            <v>TUMS16160</v>
          </cell>
          <cell r="B547" t="str">
            <v>Tubería PVC Orientada Unión Mecánica (SUPRAXIAL) de 16" 160 PSI</v>
          </cell>
          <cell r="C547" t="str">
            <v>m.</v>
          </cell>
          <cell r="D547">
            <v>285373</v>
          </cell>
          <cell r="E547">
            <v>339594</v>
          </cell>
        </row>
        <row r="549">
          <cell r="A549" t="str">
            <v>ALTA PRESION</v>
          </cell>
          <cell r="B549" t="str">
            <v>Tubería PVC Presión E.L.</v>
          </cell>
          <cell r="C549" t="str">
            <v>RDE 11 (400 PSI)</v>
          </cell>
        </row>
        <row r="550">
          <cell r="A550" t="str">
            <v>TAP311</v>
          </cell>
          <cell r="B550" t="str">
            <v>Tubería PVC Presión E.L. de 3" RDE 11 (400 PSI)</v>
          </cell>
          <cell r="C550" t="str">
            <v>m.</v>
          </cell>
          <cell r="D550">
            <v>40110</v>
          </cell>
          <cell r="E550">
            <v>47731</v>
          </cell>
        </row>
        <row r="551">
          <cell r="A551" t="str">
            <v>TAP411</v>
          </cell>
          <cell r="B551" t="str">
            <v>Tubería PVC Presión E.L. de 4" RDE 11 (400 PSI)</v>
          </cell>
          <cell r="C551" t="str">
            <v>m.</v>
          </cell>
          <cell r="D551">
            <v>66715</v>
          </cell>
          <cell r="E551">
            <v>79391</v>
          </cell>
        </row>
        <row r="552">
          <cell r="A552" t="str">
            <v>TAP611</v>
          </cell>
          <cell r="B552" t="str">
            <v>Tubería PVC Presión E.L. de 6" RDE 11 (400 PSI)</v>
          </cell>
          <cell r="C552" t="str">
            <v>m.</v>
          </cell>
          <cell r="D552">
            <v>144547</v>
          </cell>
          <cell r="E552">
            <v>172011</v>
          </cell>
        </row>
        <row r="553">
          <cell r="A553" t="str">
            <v>TAP811</v>
          </cell>
          <cell r="B553" t="str">
            <v>Tubería PVC Presión E.L. de 8" RDE 11 (400 PSI)</v>
          </cell>
          <cell r="C553" t="str">
            <v>m.</v>
          </cell>
          <cell r="D553">
            <v>242998</v>
          </cell>
          <cell r="E553">
            <v>289168</v>
          </cell>
        </row>
        <row r="555">
          <cell r="A555" t="str">
            <v>ACCESORIOS UNIÓN MECÁNICA</v>
          </cell>
        </row>
        <row r="556">
          <cell r="B556" t="str">
            <v xml:space="preserve">Codo PVC Gran Radio </v>
          </cell>
        </row>
        <row r="557">
          <cell r="A557" t="str">
            <v>CGR290</v>
          </cell>
          <cell r="B557" t="str">
            <v xml:space="preserve">Codo PVC Gran Radio  de 2 x 90 </v>
          </cell>
          <cell r="C557" t="str">
            <v>Und.</v>
          </cell>
          <cell r="D557">
            <v>0</v>
          </cell>
          <cell r="E557">
            <v>0</v>
          </cell>
        </row>
        <row r="558">
          <cell r="A558" t="str">
            <v>CGR2-1/290</v>
          </cell>
          <cell r="B558" t="str">
            <v xml:space="preserve">Codo PVC Gran Radio  de 2 1/2 x 90 </v>
          </cell>
          <cell r="C558" t="str">
            <v>Und.</v>
          </cell>
          <cell r="D558">
            <v>0</v>
          </cell>
          <cell r="E558">
            <v>0</v>
          </cell>
        </row>
        <row r="559">
          <cell r="A559" t="str">
            <v>CGR390</v>
          </cell>
          <cell r="B559" t="str">
            <v xml:space="preserve">Codo PVC Gran Radio  de 3 x 90 </v>
          </cell>
          <cell r="C559" t="str">
            <v>Und.</v>
          </cell>
          <cell r="D559">
            <v>0</v>
          </cell>
          <cell r="E559">
            <v>0</v>
          </cell>
        </row>
        <row r="560">
          <cell r="A560" t="str">
            <v>CGR490</v>
          </cell>
          <cell r="B560" t="str">
            <v xml:space="preserve">Codo PVC Gran Radio  de 4 x 90 </v>
          </cell>
          <cell r="C560" t="str">
            <v>Und.</v>
          </cell>
          <cell r="D560">
            <v>0</v>
          </cell>
          <cell r="E560">
            <v>0</v>
          </cell>
        </row>
        <row r="561">
          <cell r="A561" t="str">
            <v>CGR690</v>
          </cell>
          <cell r="B561" t="str">
            <v xml:space="preserve">Codo PVC Gran Radio  de 6 x 90 </v>
          </cell>
          <cell r="C561" t="str">
            <v>Und.</v>
          </cell>
          <cell r="D561">
            <v>257638</v>
          </cell>
          <cell r="E561">
            <v>306589</v>
          </cell>
        </row>
        <row r="562">
          <cell r="A562" t="str">
            <v>CGR890</v>
          </cell>
          <cell r="B562" t="str">
            <v xml:space="preserve">Codo PVC Gran Radio  de 8 x 90 </v>
          </cell>
          <cell r="C562" t="str">
            <v>Und.</v>
          </cell>
          <cell r="D562">
            <v>611480</v>
          </cell>
          <cell r="E562">
            <v>727661</v>
          </cell>
        </row>
        <row r="563">
          <cell r="A563" t="str">
            <v>CGR1090</v>
          </cell>
          <cell r="B563" t="str">
            <v xml:space="preserve">Codo PVC Gran Radio  de 10 x 90 </v>
          </cell>
          <cell r="C563" t="str">
            <v>Und.</v>
          </cell>
          <cell r="D563">
            <v>0</v>
          </cell>
          <cell r="E563">
            <v>0</v>
          </cell>
        </row>
        <row r="564">
          <cell r="A564" t="str">
            <v>CGR1290</v>
          </cell>
          <cell r="B564" t="str">
            <v xml:space="preserve">Codo PVC Gran Radio  de 12 x 90 </v>
          </cell>
          <cell r="C564" t="str">
            <v>Und.</v>
          </cell>
          <cell r="D564">
            <v>0</v>
          </cell>
          <cell r="E564">
            <v>0</v>
          </cell>
        </row>
        <row r="565">
          <cell r="A565" t="str">
            <v>CGR1490</v>
          </cell>
          <cell r="B565" t="str">
            <v xml:space="preserve">Codo PVC Gran Radio  de 14 x 90 </v>
          </cell>
          <cell r="C565" t="str">
            <v>Und.</v>
          </cell>
          <cell r="D565">
            <v>0</v>
          </cell>
          <cell r="E565">
            <v>0</v>
          </cell>
        </row>
        <row r="566">
          <cell r="A566" t="str">
            <v>CGR245</v>
          </cell>
          <cell r="B566" t="str">
            <v xml:space="preserve">Codo PVC Gran Radio  de 2 x 45 </v>
          </cell>
          <cell r="C566" t="str">
            <v>Und.</v>
          </cell>
          <cell r="D566">
            <v>0</v>
          </cell>
          <cell r="E566">
            <v>0</v>
          </cell>
        </row>
        <row r="567">
          <cell r="A567" t="str">
            <v>CGR2-1/245</v>
          </cell>
          <cell r="B567" t="str">
            <v xml:space="preserve">Codo PVC Gran Radio  de 2 1/2 x 45 </v>
          </cell>
          <cell r="C567" t="str">
            <v>Und.</v>
          </cell>
          <cell r="D567">
            <v>0</v>
          </cell>
          <cell r="E567">
            <v>0</v>
          </cell>
        </row>
        <row r="568">
          <cell r="A568" t="str">
            <v>CGR345</v>
          </cell>
          <cell r="B568" t="str">
            <v xml:space="preserve">Codo PVC Gran Radio  de 3 x 45 </v>
          </cell>
          <cell r="C568" t="str">
            <v>Und.</v>
          </cell>
          <cell r="D568">
            <v>0</v>
          </cell>
          <cell r="E568">
            <v>0</v>
          </cell>
        </row>
        <row r="569">
          <cell r="A569" t="str">
            <v>CGR445</v>
          </cell>
          <cell r="B569" t="str">
            <v xml:space="preserve">Codo PVC Gran Radio  de 4 x 45 </v>
          </cell>
          <cell r="C569" t="str">
            <v>Und.</v>
          </cell>
          <cell r="D569">
            <v>0</v>
          </cell>
          <cell r="E569">
            <v>0</v>
          </cell>
        </row>
        <row r="570">
          <cell r="A570" t="str">
            <v>CGR645</v>
          </cell>
          <cell r="B570" t="str">
            <v xml:space="preserve">Codo PVC Gran Radio  de 6 x 45 </v>
          </cell>
          <cell r="C570" t="str">
            <v>Und.</v>
          </cell>
          <cell r="D570">
            <v>187026</v>
          </cell>
          <cell r="E570">
            <v>222561</v>
          </cell>
        </row>
        <row r="571">
          <cell r="A571" t="str">
            <v>CGR845</v>
          </cell>
          <cell r="B571" t="str">
            <v xml:space="preserve">Codo PVC Gran Radio  de 8 x 45 </v>
          </cell>
          <cell r="C571" t="str">
            <v>Und.</v>
          </cell>
          <cell r="D571">
            <v>406186</v>
          </cell>
          <cell r="E571">
            <v>483361</v>
          </cell>
        </row>
        <row r="572">
          <cell r="A572" t="str">
            <v>CGR1045</v>
          </cell>
          <cell r="B572" t="str">
            <v xml:space="preserve">Codo PVC Gran Radio  de 10 x 45 </v>
          </cell>
          <cell r="C572" t="str">
            <v>Und.</v>
          </cell>
          <cell r="D572">
            <v>0</v>
          </cell>
          <cell r="E572">
            <v>0</v>
          </cell>
        </row>
        <row r="573">
          <cell r="A573" t="str">
            <v>CGR1245</v>
          </cell>
          <cell r="B573" t="str">
            <v xml:space="preserve">Codo PVC Gran Radio  de 12 x 45 </v>
          </cell>
          <cell r="C573" t="str">
            <v>Und.</v>
          </cell>
          <cell r="D573">
            <v>0</v>
          </cell>
          <cell r="E573">
            <v>0</v>
          </cell>
        </row>
        <row r="574">
          <cell r="A574" t="str">
            <v>CGR1445</v>
          </cell>
          <cell r="B574" t="str">
            <v xml:space="preserve">Codo PVC Gran Radio  de 14 x 45 </v>
          </cell>
          <cell r="C574" t="str">
            <v>Und.</v>
          </cell>
          <cell r="D574">
            <v>0</v>
          </cell>
          <cell r="E574">
            <v>0</v>
          </cell>
        </row>
        <row r="575">
          <cell r="A575" t="str">
            <v>CGR222.5</v>
          </cell>
          <cell r="B575" t="str">
            <v xml:space="preserve">Codo PVC Gran Radio  de 2 x 22,5 </v>
          </cell>
          <cell r="C575" t="str">
            <v>Und.</v>
          </cell>
          <cell r="D575">
            <v>0</v>
          </cell>
          <cell r="E575">
            <v>0</v>
          </cell>
        </row>
        <row r="576">
          <cell r="A576" t="str">
            <v>CGR2-1/222.5</v>
          </cell>
          <cell r="B576" t="str">
            <v xml:space="preserve">Codo PVC Gran Radio  de 2 1/2 x 22,5 </v>
          </cell>
          <cell r="C576" t="str">
            <v>Und.</v>
          </cell>
          <cell r="D576">
            <v>0</v>
          </cell>
          <cell r="E576">
            <v>0</v>
          </cell>
        </row>
        <row r="577">
          <cell r="A577" t="str">
            <v>CGR322.5</v>
          </cell>
          <cell r="B577" t="str">
            <v xml:space="preserve">Codo PVC Gran Radio  de 3 x 22,5 </v>
          </cell>
          <cell r="C577" t="str">
            <v>Und.</v>
          </cell>
          <cell r="D577">
            <v>0</v>
          </cell>
          <cell r="E577">
            <v>0</v>
          </cell>
        </row>
        <row r="578">
          <cell r="A578" t="str">
            <v>CGR422.5</v>
          </cell>
          <cell r="B578" t="str">
            <v xml:space="preserve">Codo PVC Gran Radio  de 4 x 22,5 </v>
          </cell>
          <cell r="C578" t="str">
            <v>Und.</v>
          </cell>
          <cell r="D578">
            <v>0</v>
          </cell>
          <cell r="E578">
            <v>0</v>
          </cell>
        </row>
        <row r="579">
          <cell r="A579" t="str">
            <v>CGR622.5</v>
          </cell>
          <cell r="B579" t="str">
            <v xml:space="preserve">Codo PVC Gran Radio  de 6 x 22,5 </v>
          </cell>
          <cell r="C579" t="str">
            <v>Und.</v>
          </cell>
          <cell r="D579">
            <v>149362</v>
          </cell>
          <cell r="E579">
            <v>177741</v>
          </cell>
        </row>
        <row r="580">
          <cell r="A580" t="str">
            <v>CGR822.5</v>
          </cell>
          <cell r="B580" t="str">
            <v xml:space="preserve">Codo PVC Gran Radio  de 8 x 22,5 </v>
          </cell>
          <cell r="C580" t="str">
            <v>Und.</v>
          </cell>
          <cell r="D580">
            <v>316029</v>
          </cell>
          <cell r="E580">
            <v>376075</v>
          </cell>
        </row>
        <row r="581">
          <cell r="A581" t="str">
            <v>CGR1022.5</v>
          </cell>
          <cell r="B581" t="str">
            <v xml:space="preserve">Codo PVC Gran Radio  de 10 x 22,5 </v>
          </cell>
          <cell r="C581" t="str">
            <v>Und.</v>
          </cell>
          <cell r="D581">
            <v>0</v>
          </cell>
          <cell r="E581">
            <v>0</v>
          </cell>
        </row>
        <row r="582">
          <cell r="A582" t="str">
            <v>CGR1222.5</v>
          </cell>
          <cell r="B582" t="str">
            <v xml:space="preserve">Codo PVC Gran Radio  de 12 x 22,5 </v>
          </cell>
          <cell r="C582" t="str">
            <v>Und.</v>
          </cell>
          <cell r="D582">
            <v>0</v>
          </cell>
          <cell r="E582">
            <v>0</v>
          </cell>
        </row>
        <row r="583">
          <cell r="A583" t="str">
            <v>CGR1422.5</v>
          </cell>
          <cell r="B583" t="str">
            <v xml:space="preserve">Codo PVC Gran Radio  de 14 x 22,5 </v>
          </cell>
          <cell r="C583" t="str">
            <v>Und.</v>
          </cell>
          <cell r="D583">
            <v>0</v>
          </cell>
          <cell r="E583">
            <v>0</v>
          </cell>
        </row>
        <row r="584">
          <cell r="A584" t="str">
            <v>CGR211.25</v>
          </cell>
          <cell r="B584" t="str">
            <v xml:space="preserve">Codo PVC Gran Radio  de 2 x 11,25 </v>
          </cell>
          <cell r="C584" t="str">
            <v>Und.</v>
          </cell>
          <cell r="D584">
            <v>0</v>
          </cell>
          <cell r="E584">
            <v>0</v>
          </cell>
        </row>
        <row r="585">
          <cell r="A585" t="str">
            <v>CGR2-1/211.25</v>
          </cell>
          <cell r="B585" t="str">
            <v xml:space="preserve">Codo PVC Gran Radio  de 2 1/2 x 11,25 </v>
          </cell>
          <cell r="C585" t="str">
            <v>Und.</v>
          </cell>
          <cell r="D585">
            <v>0</v>
          </cell>
          <cell r="E585">
            <v>0</v>
          </cell>
        </row>
        <row r="586">
          <cell r="A586" t="str">
            <v>CGR311.25</v>
          </cell>
          <cell r="B586" t="str">
            <v xml:space="preserve">Codo PVC Gran Radio  de 3 x 11,25 </v>
          </cell>
          <cell r="C586" t="str">
            <v>Und.</v>
          </cell>
          <cell r="D586">
            <v>0</v>
          </cell>
          <cell r="E586">
            <v>0</v>
          </cell>
        </row>
        <row r="587">
          <cell r="A587" t="str">
            <v>CGR411.25</v>
          </cell>
          <cell r="B587" t="str">
            <v xml:space="preserve">Codo PVC Gran Radio  de 4 x 11,25 </v>
          </cell>
          <cell r="C587" t="str">
            <v>Und.</v>
          </cell>
          <cell r="D587">
            <v>0</v>
          </cell>
          <cell r="E587">
            <v>0</v>
          </cell>
        </row>
        <row r="588">
          <cell r="A588" t="str">
            <v>CGR611.25</v>
          </cell>
          <cell r="B588" t="str">
            <v xml:space="preserve">Codo PVC Gran Radio  de 6 x 11,25 </v>
          </cell>
          <cell r="C588" t="str">
            <v>Und.</v>
          </cell>
          <cell r="D588">
            <v>133556</v>
          </cell>
          <cell r="E588">
            <v>158932</v>
          </cell>
        </row>
        <row r="589">
          <cell r="A589" t="str">
            <v>CGR811.25</v>
          </cell>
          <cell r="B589" t="str">
            <v xml:space="preserve">Codo PVC Gran Radio  de 8 x 11,25 </v>
          </cell>
          <cell r="C589" t="str">
            <v>Und.</v>
          </cell>
          <cell r="D589">
            <v>271372</v>
          </cell>
          <cell r="E589">
            <v>322933</v>
          </cell>
        </row>
        <row r="590">
          <cell r="A590" t="str">
            <v>CGR1011.25</v>
          </cell>
          <cell r="B590" t="str">
            <v xml:space="preserve">Codo PVC Gran Radio  de 10 x 11,25 </v>
          </cell>
          <cell r="C590" t="str">
            <v>Und.</v>
          </cell>
          <cell r="D590">
            <v>0</v>
          </cell>
          <cell r="E590">
            <v>0</v>
          </cell>
        </row>
        <row r="591">
          <cell r="A591" t="str">
            <v>CGR1211.25</v>
          </cell>
          <cell r="B591" t="str">
            <v xml:space="preserve">Codo PVC Gran Radio  de 12 x 11,25 </v>
          </cell>
          <cell r="C591" t="str">
            <v>Und.</v>
          </cell>
          <cell r="D591">
            <v>0</v>
          </cell>
          <cell r="E591">
            <v>0</v>
          </cell>
        </row>
        <row r="592">
          <cell r="A592" t="str">
            <v>CGR1411.25</v>
          </cell>
          <cell r="B592" t="str">
            <v xml:space="preserve">Codo PVC Gran Radio  de 14 x 11,25 </v>
          </cell>
          <cell r="C592" t="str">
            <v>Und.</v>
          </cell>
          <cell r="D592">
            <v>0</v>
          </cell>
          <cell r="E592">
            <v>0</v>
          </cell>
        </row>
        <row r="593">
          <cell r="A593" t="str">
            <v>CGR86</v>
          </cell>
          <cell r="B593" t="str">
            <v xml:space="preserve">Codo PVC Gran Radio  de 8 x 6 </v>
          </cell>
          <cell r="C593" t="str">
            <v>Und.</v>
          </cell>
          <cell r="D593">
            <v>0</v>
          </cell>
          <cell r="E593">
            <v>0</v>
          </cell>
        </row>
        <row r="594">
          <cell r="A594" t="str">
            <v>CGR126</v>
          </cell>
          <cell r="B594" t="str">
            <v xml:space="preserve">Codo PVC Gran Radio  de 12 x 6 </v>
          </cell>
          <cell r="C594" t="str">
            <v>Und.</v>
          </cell>
          <cell r="D594">
            <v>0</v>
          </cell>
          <cell r="E594">
            <v>0</v>
          </cell>
        </row>
        <row r="596">
          <cell r="B596" t="str">
            <v>Collar de Derivación PVC</v>
          </cell>
        </row>
        <row r="597">
          <cell r="A597" t="str">
            <v>CD2*1/2</v>
          </cell>
          <cell r="B597" t="str">
            <v xml:space="preserve">Collar de Derivación PVC de 2 x 1/2 </v>
          </cell>
          <cell r="C597" t="str">
            <v>Und.</v>
          </cell>
          <cell r="D597">
            <v>5340</v>
          </cell>
          <cell r="E597">
            <v>6355</v>
          </cell>
        </row>
        <row r="598">
          <cell r="A598" t="str">
            <v>CD2*3/4</v>
          </cell>
          <cell r="B598" t="str">
            <v xml:space="preserve">Collar de Derivación PVC de 2 x 3/4 </v>
          </cell>
          <cell r="C598" t="str">
            <v>Und.</v>
          </cell>
          <cell r="D598">
            <v>5343</v>
          </cell>
          <cell r="E598">
            <v>6358</v>
          </cell>
        </row>
        <row r="599">
          <cell r="A599" t="str">
            <v>CD3*1/2</v>
          </cell>
          <cell r="B599" t="str">
            <v xml:space="preserve">Collar de Derivación PVC de 3 x 1/2 </v>
          </cell>
          <cell r="C599" t="str">
            <v>Und.</v>
          </cell>
          <cell r="D599">
            <v>9803</v>
          </cell>
          <cell r="E599">
            <v>11666</v>
          </cell>
        </row>
        <row r="600">
          <cell r="A600" t="str">
            <v>CD3*3/4</v>
          </cell>
          <cell r="B600" t="str">
            <v xml:space="preserve">Collar de Derivación PVC de 3 x 3/4 </v>
          </cell>
          <cell r="C600" t="str">
            <v>Und.</v>
          </cell>
          <cell r="D600">
            <v>10679</v>
          </cell>
          <cell r="E600">
            <v>12708</v>
          </cell>
        </row>
        <row r="601">
          <cell r="A601" t="str">
            <v>CD4*1/2</v>
          </cell>
          <cell r="B601" t="str">
            <v xml:space="preserve">Collar de Derivación PVC de 4 x 1/2 </v>
          </cell>
          <cell r="C601" t="str">
            <v>Und.</v>
          </cell>
          <cell r="D601">
            <v>12207</v>
          </cell>
          <cell r="E601">
            <v>14526</v>
          </cell>
        </row>
        <row r="602">
          <cell r="A602" t="str">
            <v>CD4*3/2</v>
          </cell>
          <cell r="B602" t="str">
            <v xml:space="preserve">Collar de Derivación PVC de 4 x 3/4 </v>
          </cell>
          <cell r="C602" t="str">
            <v>Und.</v>
          </cell>
          <cell r="D602">
            <v>13106</v>
          </cell>
          <cell r="E602">
            <v>15596</v>
          </cell>
        </row>
        <row r="603">
          <cell r="A603" t="str">
            <v>CD6*1/2</v>
          </cell>
          <cell r="B603" t="str">
            <v xml:space="preserve">Collar de Derivación PVC de 6 x 1/2 </v>
          </cell>
          <cell r="C603" t="str">
            <v>Und.</v>
          </cell>
          <cell r="D603">
            <v>15106</v>
          </cell>
          <cell r="E603">
            <v>17976</v>
          </cell>
        </row>
        <row r="604">
          <cell r="A604" t="str">
            <v>CD6*3/4</v>
          </cell>
          <cell r="B604" t="str">
            <v xml:space="preserve">Collar de Derivación PVC de 6 x 3/4 </v>
          </cell>
          <cell r="C604" t="str">
            <v>Und.</v>
          </cell>
          <cell r="D604">
            <v>15374</v>
          </cell>
          <cell r="E604">
            <v>18295</v>
          </cell>
        </row>
        <row r="606">
          <cell r="B606" t="str">
            <v>Unión Mecánica PVC Presión Campana</v>
          </cell>
        </row>
        <row r="607">
          <cell r="A607" t="str">
            <v>UM2</v>
          </cell>
          <cell r="B607" t="str">
            <v xml:space="preserve">Unión Mecánica PVC Presión Campana de 2" </v>
          </cell>
          <cell r="C607" t="str">
            <v>Und.</v>
          </cell>
          <cell r="D607">
            <v>15462</v>
          </cell>
          <cell r="E607">
            <v>18400</v>
          </cell>
        </row>
        <row r="608">
          <cell r="A608" t="str">
            <v>UM2-1/2</v>
          </cell>
          <cell r="B608" t="str">
            <v xml:space="preserve">Unión Mecánica PVC Presión Campana de 2 1/2' </v>
          </cell>
          <cell r="C608" t="str">
            <v>Und.</v>
          </cell>
          <cell r="D608">
            <v>20156</v>
          </cell>
          <cell r="E608">
            <v>23986</v>
          </cell>
        </row>
        <row r="609">
          <cell r="A609" t="str">
            <v>UM3</v>
          </cell>
          <cell r="B609" t="str">
            <v xml:space="preserve">Unión Mecánica PVC Presión Campana de 3" </v>
          </cell>
          <cell r="C609" t="str">
            <v>Und.</v>
          </cell>
          <cell r="D609">
            <v>26499</v>
          </cell>
          <cell r="E609">
            <v>31534</v>
          </cell>
        </row>
        <row r="610">
          <cell r="A610" t="str">
            <v>UM4</v>
          </cell>
          <cell r="B610" t="str">
            <v xml:space="preserve">Unión Mecánica PVC Presión Campana de 4" </v>
          </cell>
          <cell r="C610" t="str">
            <v>Und.</v>
          </cell>
          <cell r="D610">
            <v>43090</v>
          </cell>
          <cell r="E610">
            <v>51277</v>
          </cell>
        </row>
        <row r="611">
          <cell r="A611" t="str">
            <v>UM6</v>
          </cell>
          <cell r="B611" t="str">
            <v xml:space="preserve">Unión Mecánica PVC Presión Campana de 6" </v>
          </cell>
          <cell r="C611" t="str">
            <v>Und.</v>
          </cell>
          <cell r="D611">
            <v>100613</v>
          </cell>
          <cell r="E611">
            <v>119729</v>
          </cell>
        </row>
        <row r="612">
          <cell r="A612" t="str">
            <v>UM8</v>
          </cell>
          <cell r="B612" t="str">
            <v xml:space="preserve">Unión Mecánica PVC Presión Campana de 8" </v>
          </cell>
          <cell r="C612" t="str">
            <v>Und.</v>
          </cell>
          <cell r="D612">
            <v>184850</v>
          </cell>
          <cell r="E612">
            <v>219972</v>
          </cell>
        </row>
        <row r="613">
          <cell r="A613" t="str">
            <v>UM10</v>
          </cell>
          <cell r="B613" t="str">
            <v xml:space="preserve">Unión Mecánica PVC Presión Campana de 10" </v>
          </cell>
          <cell r="C613" t="str">
            <v>Und.</v>
          </cell>
          <cell r="D613">
            <v>330270</v>
          </cell>
          <cell r="E613">
            <v>393021</v>
          </cell>
        </row>
        <row r="614">
          <cell r="A614" t="str">
            <v>UM12</v>
          </cell>
          <cell r="B614" t="str">
            <v xml:space="preserve">Unión Mecánica PVC Presión Campana de 12" </v>
          </cell>
          <cell r="C614" t="str">
            <v>Und.</v>
          </cell>
          <cell r="D614">
            <v>511844</v>
          </cell>
          <cell r="E614">
            <v>609094</v>
          </cell>
        </row>
        <row r="615">
          <cell r="A615" t="str">
            <v>UM14</v>
          </cell>
          <cell r="B615" t="str">
            <v xml:space="preserve">Unión Mecánica PVC Presión Campana de 14" </v>
          </cell>
          <cell r="C615" t="str">
            <v>Und.</v>
          </cell>
          <cell r="D615">
            <v>713694</v>
          </cell>
          <cell r="E615">
            <v>849296</v>
          </cell>
        </row>
        <row r="617">
          <cell r="B617" t="str">
            <v>Unión PVC de Reparación</v>
          </cell>
        </row>
        <row r="618">
          <cell r="A618" t="str">
            <v>UR2</v>
          </cell>
          <cell r="B618" t="str">
            <v xml:space="preserve">Unión PVC de Reparación de 2" </v>
          </cell>
          <cell r="C618" t="str">
            <v>Und.</v>
          </cell>
          <cell r="D618">
            <v>0</v>
          </cell>
          <cell r="E618">
            <v>0</v>
          </cell>
        </row>
        <row r="619">
          <cell r="A619" t="str">
            <v>UR2-1/2</v>
          </cell>
          <cell r="B619" t="str">
            <v xml:space="preserve">Unión PVC de Reparación de 2 1/2' </v>
          </cell>
          <cell r="C619" t="str">
            <v>Und.</v>
          </cell>
          <cell r="D619">
            <v>0</v>
          </cell>
          <cell r="E619">
            <v>0</v>
          </cell>
        </row>
        <row r="620">
          <cell r="A620" t="str">
            <v>UR3</v>
          </cell>
          <cell r="B620" t="str">
            <v xml:space="preserve">Unión PVC de Reparación de 3" </v>
          </cell>
          <cell r="C620" t="str">
            <v>Und.</v>
          </cell>
          <cell r="D620">
            <v>0</v>
          </cell>
          <cell r="E620">
            <v>0</v>
          </cell>
        </row>
        <row r="621">
          <cell r="A621" t="str">
            <v>UR4</v>
          </cell>
          <cell r="B621" t="str">
            <v xml:space="preserve">Unión PVC de Reparación de 4" </v>
          </cell>
          <cell r="C621" t="str">
            <v>Und.</v>
          </cell>
          <cell r="D621">
            <v>0</v>
          </cell>
          <cell r="E621">
            <v>0</v>
          </cell>
        </row>
        <row r="622">
          <cell r="A622" t="str">
            <v>UR6</v>
          </cell>
          <cell r="B622" t="str">
            <v xml:space="preserve">Unión PVC de Reparación de 6" </v>
          </cell>
          <cell r="C622" t="str">
            <v>Und.</v>
          </cell>
          <cell r="D622">
            <v>123466</v>
          </cell>
          <cell r="E622">
            <v>146925</v>
          </cell>
        </row>
        <row r="623">
          <cell r="A623" t="str">
            <v>UR8</v>
          </cell>
          <cell r="B623" t="str">
            <v xml:space="preserve">Unión PVC de Reparación de 8" </v>
          </cell>
          <cell r="C623" t="str">
            <v>Und.</v>
          </cell>
          <cell r="D623">
            <v>227012</v>
          </cell>
          <cell r="E623">
            <v>270144</v>
          </cell>
        </row>
        <row r="624">
          <cell r="A624" t="str">
            <v>UR10</v>
          </cell>
          <cell r="B624" t="str">
            <v xml:space="preserve">Unión PVC de Reparación de 10" </v>
          </cell>
          <cell r="C624" t="str">
            <v>Und.</v>
          </cell>
          <cell r="D624">
            <v>0</v>
          </cell>
          <cell r="E624">
            <v>0</v>
          </cell>
        </row>
        <row r="625">
          <cell r="A625" t="str">
            <v>UR12</v>
          </cell>
          <cell r="B625" t="str">
            <v xml:space="preserve">Unión PVC de Reparación de 12" </v>
          </cell>
          <cell r="C625" t="str">
            <v>Und.</v>
          </cell>
          <cell r="D625">
            <v>0</v>
          </cell>
          <cell r="E625">
            <v>0</v>
          </cell>
        </row>
        <row r="627">
          <cell r="A627" t="str">
            <v>TUBERÍA ALCANTARILLADOS</v>
          </cell>
        </row>
        <row r="628">
          <cell r="B628" t="str">
            <v>Tubería Corrugada Alcantarillado RS8</v>
          </cell>
        </row>
        <row r="629">
          <cell r="A629" t="str">
            <v>TA4</v>
          </cell>
          <cell r="B629" t="str">
            <v xml:space="preserve">Tubería Corrugada Alcantarillado RS8 de 110 mm </v>
          </cell>
          <cell r="C629" t="str">
            <v>m.</v>
          </cell>
          <cell r="D629">
            <v>13684</v>
          </cell>
          <cell r="E629">
            <v>16284</v>
          </cell>
          <cell r="F629">
            <v>50</v>
          </cell>
          <cell r="G629">
            <v>50</v>
          </cell>
        </row>
        <row r="630">
          <cell r="A630" t="str">
            <v>TA6</v>
          </cell>
          <cell r="B630" t="str">
            <v xml:space="preserve">Tubería Corrugada Alcantarillado RS8 de 160 mm </v>
          </cell>
          <cell r="C630" t="str">
            <v>m.</v>
          </cell>
          <cell r="D630">
            <v>26728</v>
          </cell>
          <cell r="E630">
            <v>31806</v>
          </cell>
          <cell r="F630">
            <v>50</v>
          </cell>
          <cell r="G630">
            <v>50</v>
          </cell>
        </row>
        <row r="631">
          <cell r="A631" t="str">
            <v>TA8</v>
          </cell>
          <cell r="B631" t="str">
            <v xml:space="preserve">Tubería Corrugada Alcantarillado RS8 de 200 mm </v>
          </cell>
          <cell r="C631" t="str">
            <v>m.</v>
          </cell>
          <cell r="D631">
            <v>36394</v>
          </cell>
          <cell r="E631">
            <v>43309</v>
          </cell>
          <cell r="F631">
            <v>50</v>
          </cell>
          <cell r="G631">
            <v>50</v>
          </cell>
        </row>
        <row r="632">
          <cell r="A632" t="str">
            <v>TA10</v>
          </cell>
          <cell r="B632" t="str">
            <v xml:space="preserve">Tubería Corrugada Alcantarillado RS8 de 250 mm </v>
          </cell>
          <cell r="C632" t="str">
            <v>m.</v>
          </cell>
          <cell r="D632">
            <v>53312</v>
          </cell>
          <cell r="E632">
            <v>63441</v>
          </cell>
          <cell r="F632">
            <v>50</v>
          </cell>
          <cell r="G632">
            <v>50</v>
          </cell>
        </row>
        <row r="633">
          <cell r="A633" t="str">
            <v>TA12</v>
          </cell>
          <cell r="B633" t="str">
            <v xml:space="preserve">Tubería Corrugada Alcantarillado RS8 de 315 mm </v>
          </cell>
          <cell r="C633" t="str">
            <v>m.</v>
          </cell>
          <cell r="D633">
            <v>78824</v>
          </cell>
          <cell r="E633">
            <v>93801</v>
          </cell>
          <cell r="F633">
            <v>50</v>
          </cell>
          <cell r="G633">
            <v>50</v>
          </cell>
        </row>
        <row r="634">
          <cell r="A634" t="str">
            <v>TA14</v>
          </cell>
          <cell r="B634" t="str">
            <v xml:space="preserve">Tubería Corrugada Alcantarillado RS8 de 355 mm </v>
          </cell>
          <cell r="C634" t="str">
            <v>m.</v>
          </cell>
          <cell r="D634">
            <v>112755</v>
          </cell>
          <cell r="E634">
            <v>134178</v>
          </cell>
          <cell r="F634">
            <v>50</v>
          </cell>
          <cell r="G634">
            <v>50</v>
          </cell>
        </row>
        <row r="635">
          <cell r="A635" t="str">
            <v>TA16</v>
          </cell>
          <cell r="B635" t="str">
            <v xml:space="preserve">Tubería Corrugada Alcantarillado RS8 de 400 mm </v>
          </cell>
          <cell r="C635" t="str">
            <v>m.</v>
          </cell>
          <cell r="D635">
            <v>138147</v>
          </cell>
          <cell r="E635">
            <v>164395</v>
          </cell>
          <cell r="F635">
            <v>50</v>
          </cell>
          <cell r="G635">
            <v>50</v>
          </cell>
        </row>
        <row r="636">
          <cell r="A636" t="str">
            <v>TA18</v>
          </cell>
          <cell r="B636" t="str">
            <v xml:space="preserve">Tubería Corrugada Alcantarillado RS8 de 450 mm </v>
          </cell>
          <cell r="C636" t="str">
            <v>m.</v>
          </cell>
          <cell r="D636">
            <v>178417</v>
          </cell>
          <cell r="E636">
            <v>212316</v>
          </cell>
          <cell r="F636">
            <v>50</v>
          </cell>
          <cell r="G636">
            <v>50</v>
          </cell>
        </row>
        <row r="637">
          <cell r="A637" t="str">
            <v>TA20</v>
          </cell>
          <cell r="B637" t="str">
            <v xml:space="preserve">Tubería Corrugada Alcantarillado RS8 de 500 mm </v>
          </cell>
          <cell r="C637" t="str">
            <v>m.</v>
          </cell>
          <cell r="D637">
            <v>232603</v>
          </cell>
          <cell r="E637">
            <v>276798</v>
          </cell>
          <cell r="F637">
            <v>50</v>
          </cell>
          <cell r="G637">
            <v>50</v>
          </cell>
        </row>
        <row r="640">
          <cell r="B640" t="str">
            <v>Tubería Alcantarillado Doble Pared</v>
          </cell>
        </row>
        <row r="641">
          <cell r="A641" t="str">
            <v>TA24</v>
          </cell>
          <cell r="B641" t="str">
            <v xml:space="preserve">Tubería Alcantarillado Doble Pared de 24" </v>
          </cell>
          <cell r="C641" t="str">
            <v>m.</v>
          </cell>
          <cell r="D641">
            <v>330304</v>
          </cell>
          <cell r="E641">
            <v>393062</v>
          </cell>
          <cell r="F641">
            <v>50</v>
          </cell>
          <cell r="G641">
            <v>50</v>
          </cell>
        </row>
        <row r="642">
          <cell r="A642" t="str">
            <v>TA27</v>
          </cell>
          <cell r="B642" t="str">
            <v xml:space="preserve">Tubería Alcantarillado Doble Pared de 27" </v>
          </cell>
          <cell r="C642" t="str">
            <v>m.</v>
          </cell>
          <cell r="D642">
            <v>378719</v>
          </cell>
          <cell r="E642">
            <v>450676</v>
          </cell>
          <cell r="F642">
            <v>50</v>
          </cell>
          <cell r="G642">
            <v>50</v>
          </cell>
        </row>
        <row r="643">
          <cell r="A643" t="str">
            <v>TA30</v>
          </cell>
          <cell r="B643" t="str">
            <v xml:space="preserve">Tubería Alcantarillado Doble Pared de 30" </v>
          </cell>
          <cell r="C643" t="str">
            <v>m.</v>
          </cell>
          <cell r="D643">
            <v>493382</v>
          </cell>
          <cell r="E643">
            <v>587125</v>
          </cell>
          <cell r="F643">
            <v>50</v>
          </cell>
          <cell r="G643">
            <v>50</v>
          </cell>
        </row>
        <row r="644">
          <cell r="A644" t="str">
            <v>TA33</v>
          </cell>
          <cell r="B644" t="str">
            <v xml:space="preserve">Tubería Alcantarillado Doble Pared de 33" </v>
          </cell>
          <cell r="C644" t="str">
            <v>m.</v>
          </cell>
          <cell r="D644">
            <v>611474</v>
          </cell>
          <cell r="E644">
            <v>727654</v>
          </cell>
          <cell r="F644">
            <v>50</v>
          </cell>
          <cell r="G644">
            <v>50</v>
          </cell>
        </row>
        <row r="645">
          <cell r="A645" t="str">
            <v>TA36</v>
          </cell>
          <cell r="B645" t="str">
            <v xml:space="preserve">Tubería Alcantarillado Doble Pared de 36" </v>
          </cell>
          <cell r="C645" t="str">
            <v>m.</v>
          </cell>
          <cell r="D645">
            <v>890305</v>
          </cell>
          <cell r="E645">
            <v>1059463</v>
          </cell>
          <cell r="F645">
            <v>50</v>
          </cell>
          <cell r="G645">
            <v>50</v>
          </cell>
        </row>
        <row r="646">
          <cell r="A646" t="str">
            <v>TA39</v>
          </cell>
          <cell r="B646" t="str">
            <v xml:space="preserve">Tubería Alcantarillado Doble Pared de 39" </v>
          </cell>
          <cell r="C646" t="str">
            <v>m.</v>
          </cell>
          <cell r="D646">
            <v>1225670</v>
          </cell>
          <cell r="E646">
            <v>1458547</v>
          </cell>
          <cell r="F646">
            <v>50</v>
          </cell>
          <cell r="G646">
            <v>50</v>
          </cell>
        </row>
        <row r="647">
          <cell r="A647" t="str">
            <v>TA42</v>
          </cell>
          <cell r="B647" t="str">
            <v xml:space="preserve">Tubería Alcantarillado Doble Pared de 42" </v>
          </cell>
          <cell r="C647" t="str">
            <v>m.</v>
          </cell>
          <cell r="D647">
            <v>1401507</v>
          </cell>
          <cell r="E647">
            <v>1667793</v>
          </cell>
          <cell r="F647">
            <v>50</v>
          </cell>
          <cell r="G647">
            <v>50</v>
          </cell>
        </row>
        <row r="649">
          <cell r="A649" t="str">
            <v>ACCESORIOS ALCANTARILLADOS</v>
          </cell>
        </row>
        <row r="650">
          <cell r="B650" t="str">
            <v>Codo Alcantarillado de 90°</v>
          </cell>
        </row>
        <row r="651">
          <cell r="A651" t="str">
            <v>CA490</v>
          </cell>
          <cell r="B651" t="str">
            <v xml:space="preserve">Codo Alcantarillado de 90° x 110 mm </v>
          </cell>
          <cell r="C651" t="str">
            <v>Und.</v>
          </cell>
          <cell r="D651">
            <v>27555</v>
          </cell>
          <cell r="E651">
            <v>32790</v>
          </cell>
        </row>
        <row r="652">
          <cell r="A652" t="str">
            <v>CA690</v>
          </cell>
          <cell r="B652" t="str">
            <v xml:space="preserve">Codo Alcantarillado de 90° x 160 mm </v>
          </cell>
          <cell r="C652" t="str">
            <v>Und.</v>
          </cell>
          <cell r="D652">
            <v>64707</v>
          </cell>
          <cell r="E652">
            <v>77001</v>
          </cell>
        </row>
        <row r="653">
          <cell r="A653" t="str">
            <v>CA890</v>
          </cell>
          <cell r="B653" t="str">
            <v xml:space="preserve">Codo Alcantarillado de 90° x 200 mm </v>
          </cell>
          <cell r="C653" t="str">
            <v>Und.</v>
          </cell>
          <cell r="D653">
            <v>97464</v>
          </cell>
          <cell r="E653">
            <v>115982</v>
          </cell>
        </row>
        <row r="654">
          <cell r="A654" t="str">
            <v>CA1090</v>
          </cell>
          <cell r="B654" t="str">
            <v xml:space="preserve">Codo Alcantarillado de 90° x 250 mm </v>
          </cell>
          <cell r="C654" t="str">
            <v>Und.</v>
          </cell>
          <cell r="D654">
            <v>186381</v>
          </cell>
          <cell r="E654">
            <v>221793</v>
          </cell>
        </row>
        <row r="655">
          <cell r="A655" t="str">
            <v>CA1290</v>
          </cell>
          <cell r="B655" t="str">
            <v xml:space="preserve">Codo Alcantarillado de 90° x 315 mm </v>
          </cell>
          <cell r="C655" t="str">
            <v>Und.</v>
          </cell>
          <cell r="D655">
            <v>285478</v>
          </cell>
          <cell r="E655">
            <v>339719</v>
          </cell>
        </row>
        <row r="656">
          <cell r="A656" t="str">
            <v>CA1490</v>
          </cell>
          <cell r="B656" t="str">
            <v xml:space="preserve">Codo Alcantarillado de 90° x 355 mm </v>
          </cell>
          <cell r="C656" t="str">
            <v>Und.</v>
          </cell>
          <cell r="D656">
            <v>698774</v>
          </cell>
          <cell r="E656">
            <v>831541</v>
          </cell>
        </row>
        <row r="657">
          <cell r="A657" t="str">
            <v>CA1690</v>
          </cell>
          <cell r="B657" t="str">
            <v xml:space="preserve">Codo Alcantarillado de 90° x 400 mm </v>
          </cell>
          <cell r="C657" t="str">
            <v>Und.</v>
          </cell>
          <cell r="D657">
            <v>1064470</v>
          </cell>
          <cell r="E657">
            <v>1266719</v>
          </cell>
        </row>
        <row r="658">
          <cell r="A658" t="str">
            <v>CA1890</v>
          </cell>
          <cell r="B658" t="str">
            <v xml:space="preserve">Codo Alcantarillado de 90° x 450 mm </v>
          </cell>
          <cell r="C658" t="str">
            <v>Und.</v>
          </cell>
          <cell r="D658">
            <v>1064470</v>
          </cell>
          <cell r="E658">
            <v>1266719</v>
          </cell>
        </row>
        <row r="660">
          <cell r="B660" t="str">
            <v>Codo Alcantarillado de 45°</v>
          </cell>
        </row>
        <row r="661">
          <cell r="A661" t="str">
            <v>CA445</v>
          </cell>
          <cell r="B661" t="str">
            <v xml:space="preserve">Codo Alcantarillado de 45° x 110 mm </v>
          </cell>
          <cell r="C661" t="str">
            <v>Und.</v>
          </cell>
          <cell r="D661">
            <v>16963.02</v>
          </cell>
          <cell r="E661">
            <v>20186</v>
          </cell>
        </row>
        <row r="662">
          <cell r="A662" t="str">
            <v>CA645</v>
          </cell>
          <cell r="B662" t="str">
            <v xml:space="preserve">Codo Alcantarillado de 45° x 160 mm </v>
          </cell>
          <cell r="C662" t="str">
            <v>Und.</v>
          </cell>
          <cell r="D662">
            <v>40673.730000000003</v>
          </cell>
          <cell r="E662">
            <v>48402</v>
          </cell>
        </row>
        <row r="663">
          <cell r="A663" t="str">
            <v>CA845</v>
          </cell>
          <cell r="B663" t="str">
            <v xml:space="preserve">Codo Alcantarillado de 45° x 200 mm </v>
          </cell>
          <cell r="C663" t="str">
            <v>Und.</v>
          </cell>
          <cell r="D663">
            <v>117079.47000000002</v>
          </cell>
          <cell r="E663">
            <v>139325</v>
          </cell>
        </row>
        <row r="664">
          <cell r="A664" t="str">
            <v>CA1045</v>
          </cell>
          <cell r="B664" t="str">
            <v xml:space="preserve">Codo Alcantarillado de 45° x 250 mm </v>
          </cell>
          <cell r="C664" t="str">
            <v>Und.</v>
          </cell>
          <cell r="D664">
            <v>226807.41000000003</v>
          </cell>
          <cell r="E664">
            <v>269901</v>
          </cell>
        </row>
        <row r="665">
          <cell r="A665" t="str">
            <v>CA1245</v>
          </cell>
          <cell r="B665" t="str">
            <v xml:space="preserve">Codo Alcantarillado de 45° x 315 mm </v>
          </cell>
          <cell r="C665" t="str">
            <v>Und.</v>
          </cell>
          <cell r="D665">
            <v>348568.86000000004</v>
          </cell>
          <cell r="E665">
            <v>414797</v>
          </cell>
        </row>
        <row r="666">
          <cell r="A666" t="str">
            <v>CA1445</v>
          </cell>
          <cell r="B666" t="str">
            <v xml:space="preserve">Codo Alcantarillado de 45° x 355 mm </v>
          </cell>
          <cell r="C666" t="str">
            <v>Und.</v>
          </cell>
          <cell r="D666">
            <v>683067.3600000001</v>
          </cell>
          <cell r="E666">
            <v>812850</v>
          </cell>
        </row>
        <row r="667">
          <cell r="A667" t="str">
            <v>CA1645</v>
          </cell>
          <cell r="B667" t="str">
            <v xml:space="preserve">Codo Alcantarillado de 45° x 400 mm </v>
          </cell>
          <cell r="C667" t="str">
            <v>Und.</v>
          </cell>
          <cell r="D667">
            <v>956294.97000000009</v>
          </cell>
          <cell r="E667">
            <v>1137991</v>
          </cell>
        </row>
        <row r="668">
          <cell r="A668" t="str">
            <v>CA1845</v>
          </cell>
          <cell r="B668" t="str">
            <v xml:space="preserve">Codo Alcantarillado de 45° x 450 mm </v>
          </cell>
          <cell r="C668" t="str">
            <v>Und.</v>
          </cell>
          <cell r="D668">
            <v>1338813.1800000002</v>
          </cell>
          <cell r="E668">
            <v>1593188</v>
          </cell>
        </row>
        <row r="670">
          <cell r="B670" t="str">
            <v>Silla Tee</v>
          </cell>
        </row>
        <row r="671">
          <cell r="A671" t="str">
            <v>ST64</v>
          </cell>
          <cell r="B671" t="str">
            <v xml:space="preserve">Silla Tee de 160x110 </v>
          </cell>
          <cell r="C671" t="str">
            <v>Und.</v>
          </cell>
          <cell r="D671">
            <v>46456</v>
          </cell>
          <cell r="E671">
            <v>55283</v>
          </cell>
        </row>
        <row r="672">
          <cell r="A672" t="str">
            <v>ST66</v>
          </cell>
          <cell r="B672" t="str">
            <v xml:space="preserve">Silla Tee de 160x160 </v>
          </cell>
          <cell r="C672" t="str">
            <v>Und.</v>
          </cell>
          <cell r="D672">
            <v>46457</v>
          </cell>
          <cell r="E672">
            <v>55284</v>
          </cell>
        </row>
        <row r="673">
          <cell r="A673" t="str">
            <v>ST84</v>
          </cell>
          <cell r="B673" t="str">
            <v xml:space="preserve">Silla Tee de 200x110 </v>
          </cell>
          <cell r="C673" t="str">
            <v>Und.</v>
          </cell>
          <cell r="D673">
            <v>56901</v>
          </cell>
          <cell r="E673">
            <v>67712</v>
          </cell>
        </row>
        <row r="674">
          <cell r="A674" t="str">
            <v>ST86</v>
          </cell>
          <cell r="B674" t="str">
            <v xml:space="preserve">Silla Tee de 200x160 </v>
          </cell>
          <cell r="C674" t="str">
            <v>Und.</v>
          </cell>
          <cell r="D674">
            <v>56901</v>
          </cell>
          <cell r="E674">
            <v>67712</v>
          </cell>
        </row>
        <row r="675">
          <cell r="A675" t="str">
            <v>ST104</v>
          </cell>
          <cell r="B675" t="str">
            <v xml:space="preserve">Silla Tee de 250x110 </v>
          </cell>
          <cell r="C675" t="str">
            <v>Und.</v>
          </cell>
          <cell r="D675">
            <v>65980</v>
          </cell>
          <cell r="E675">
            <v>78516</v>
          </cell>
        </row>
        <row r="676">
          <cell r="A676" t="str">
            <v>ST106</v>
          </cell>
          <cell r="B676" t="str">
            <v xml:space="preserve">Silla Tee de 250x160 </v>
          </cell>
          <cell r="C676" t="str">
            <v>Und.</v>
          </cell>
          <cell r="D676">
            <v>65980</v>
          </cell>
          <cell r="E676">
            <v>78516</v>
          </cell>
        </row>
        <row r="677">
          <cell r="A677" t="str">
            <v>ST108</v>
          </cell>
          <cell r="B677" t="str">
            <v xml:space="preserve">Silla Tee de 250x200 </v>
          </cell>
          <cell r="C677" t="str">
            <v>Und.</v>
          </cell>
          <cell r="D677">
            <v>84229</v>
          </cell>
          <cell r="E677">
            <v>100233</v>
          </cell>
        </row>
        <row r="678">
          <cell r="A678" t="str">
            <v>ST124</v>
          </cell>
          <cell r="B678" t="str">
            <v xml:space="preserve">Silla Tee de 315x110 </v>
          </cell>
          <cell r="C678" t="str">
            <v>Und.</v>
          </cell>
          <cell r="D678">
            <v>102292</v>
          </cell>
          <cell r="E678">
            <v>121727</v>
          </cell>
        </row>
        <row r="679">
          <cell r="A679" t="str">
            <v>ST126</v>
          </cell>
          <cell r="B679" t="str">
            <v xml:space="preserve">Silla Tee de 315x160 </v>
          </cell>
          <cell r="C679" t="str">
            <v>Und.</v>
          </cell>
          <cell r="D679">
            <v>102292</v>
          </cell>
          <cell r="E679">
            <v>121727</v>
          </cell>
        </row>
        <row r="680">
          <cell r="A680" t="str">
            <v>ST128</v>
          </cell>
          <cell r="B680" t="str">
            <v xml:space="preserve">Silla Tee de 315x200 </v>
          </cell>
          <cell r="C680" t="str">
            <v>Und.</v>
          </cell>
          <cell r="D680">
            <v>138284</v>
          </cell>
          <cell r="E680">
            <v>164558</v>
          </cell>
        </row>
        <row r="681">
          <cell r="A681" t="str">
            <v>ST1210</v>
          </cell>
          <cell r="B681" t="str">
            <v xml:space="preserve">Silla Tee de 315x250 </v>
          </cell>
          <cell r="C681" t="str">
            <v>Und.</v>
          </cell>
          <cell r="D681">
            <v>138284</v>
          </cell>
          <cell r="E681">
            <v>164558</v>
          </cell>
        </row>
        <row r="682">
          <cell r="A682" t="str">
            <v>ST144</v>
          </cell>
          <cell r="B682" t="str">
            <v xml:space="preserve">Silla Tee de 355x110 </v>
          </cell>
          <cell r="C682" t="str">
            <v>Und.</v>
          </cell>
          <cell r="D682">
            <v>138284</v>
          </cell>
          <cell r="E682">
            <v>164558</v>
          </cell>
        </row>
        <row r="683">
          <cell r="A683" t="str">
            <v>ST146</v>
          </cell>
          <cell r="B683" t="str">
            <v xml:space="preserve">Silla Tee de 355x160 </v>
          </cell>
          <cell r="C683" t="str">
            <v>Und.</v>
          </cell>
          <cell r="D683">
            <v>154004</v>
          </cell>
          <cell r="E683">
            <v>183265</v>
          </cell>
        </row>
        <row r="684">
          <cell r="A684" t="str">
            <v>ST148</v>
          </cell>
          <cell r="B684" t="str">
            <v xml:space="preserve">Silla Tee de 355x200 </v>
          </cell>
          <cell r="C684" t="str">
            <v>Und.</v>
          </cell>
          <cell r="D684">
            <v>154002</v>
          </cell>
          <cell r="E684">
            <v>183262</v>
          </cell>
        </row>
        <row r="685">
          <cell r="A685" t="str">
            <v>ST164</v>
          </cell>
          <cell r="B685" t="str">
            <v xml:space="preserve">Silla Tee de 400x110 </v>
          </cell>
          <cell r="C685" t="str">
            <v>Und.</v>
          </cell>
          <cell r="D685">
            <v>168858</v>
          </cell>
          <cell r="E685">
            <v>200941</v>
          </cell>
        </row>
        <row r="686">
          <cell r="A686" t="str">
            <v>ST166</v>
          </cell>
          <cell r="B686" t="str">
            <v xml:space="preserve">Silla Tee de 400x160 </v>
          </cell>
          <cell r="C686" t="str">
            <v>Und.</v>
          </cell>
          <cell r="D686">
            <v>168858</v>
          </cell>
          <cell r="E686">
            <v>200941</v>
          </cell>
        </row>
        <row r="687">
          <cell r="A687" t="str">
            <v>ST168</v>
          </cell>
          <cell r="B687" t="str">
            <v xml:space="preserve">Silla Tee de 400x200 </v>
          </cell>
          <cell r="C687" t="str">
            <v>Und.</v>
          </cell>
          <cell r="D687">
            <v>168858</v>
          </cell>
          <cell r="E687">
            <v>200941</v>
          </cell>
        </row>
        <row r="688">
          <cell r="A688" t="str">
            <v>ST1610</v>
          </cell>
          <cell r="B688" t="str">
            <v xml:space="preserve">Silla Tee de 400x250 </v>
          </cell>
          <cell r="C688" t="str">
            <v>Und.</v>
          </cell>
          <cell r="D688">
            <v>168858</v>
          </cell>
          <cell r="E688">
            <v>200941</v>
          </cell>
        </row>
        <row r="689">
          <cell r="A689" t="str">
            <v>ST186</v>
          </cell>
          <cell r="B689" t="str">
            <v xml:space="preserve">Silla Tee de 450x160 </v>
          </cell>
          <cell r="C689" t="str">
            <v>Und.</v>
          </cell>
          <cell r="D689">
            <v>180615</v>
          </cell>
          <cell r="E689">
            <v>214932</v>
          </cell>
        </row>
        <row r="690">
          <cell r="A690" t="str">
            <v>ST188</v>
          </cell>
          <cell r="B690" t="str">
            <v xml:space="preserve">Silla Tee de 450x200 </v>
          </cell>
          <cell r="C690" t="str">
            <v>Und.</v>
          </cell>
          <cell r="D690">
            <v>175561</v>
          </cell>
          <cell r="E690">
            <v>208918</v>
          </cell>
        </row>
        <row r="691">
          <cell r="A691" t="str">
            <v>ST206</v>
          </cell>
          <cell r="B691" t="str">
            <v xml:space="preserve">Silla Tee de 500x160 </v>
          </cell>
          <cell r="C691" t="str">
            <v>Und.</v>
          </cell>
          <cell r="D691">
            <v>275529</v>
          </cell>
          <cell r="E691">
            <v>327880</v>
          </cell>
        </row>
        <row r="692">
          <cell r="A692" t="str">
            <v>ST208</v>
          </cell>
          <cell r="B692" t="str">
            <v xml:space="preserve">Silla Tee de 500x200 </v>
          </cell>
          <cell r="C692" t="str">
            <v>Und.</v>
          </cell>
          <cell r="D692">
            <v>357930</v>
          </cell>
          <cell r="E692">
            <v>425937</v>
          </cell>
        </row>
        <row r="693">
          <cell r="A693" t="str">
            <v>ST246</v>
          </cell>
          <cell r="B693" t="str">
            <v xml:space="preserve">Silla Tee de 24"x160 </v>
          </cell>
          <cell r="C693" t="str">
            <v>Und.</v>
          </cell>
          <cell r="D693">
            <v>257629</v>
          </cell>
          <cell r="E693">
            <v>306579</v>
          </cell>
        </row>
        <row r="694">
          <cell r="A694" t="str">
            <v>ST248</v>
          </cell>
          <cell r="B694" t="str">
            <v xml:space="preserve">Silla Tee de 24"x200 </v>
          </cell>
          <cell r="C694" t="str">
            <v>Und.</v>
          </cell>
          <cell r="D694">
            <v>282087</v>
          </cell>
          <cell r="E694">
            <v>335684</v>
          </cell>
        </row>
        <row r="695">
          <cell r="A695" t="str">
            <v>ST276</v>
          </cell>
          <cell r="B695" t="str">
            <v xml:space="preserve">Silla Tee de 27"x160 </v>
          </cell>
          <cell r="C695" t="str">
            <v>Und.</v>
          </cell>
          <cell r="D695">
            <v>290056</v>
          </cell>
          <cell r="E695">
            <v>345167</v>
          </cell>
        </row>
        <row r="696">
          <cell r="A696" t="str">
            <v>ST278</v>
          </cell>
          <cell r="B696" t="str">
            <v xml:space="preserve">Silla Tee de 27"x200 </v>
          </cell>
          <cell r="C696" t="str">
            <v>Und.</v>
          </cell>
          <cell r="D696">
            <v>290056</v>
          </cell>
          <cell r="E696">
            <v>345167</v>
          </cell>
        </row>
        <row r="697">
          <cell r="A697" t="str">
            <v>ST306</v>
          </cell>
          <cell r="B697" t="str">
            <v xml:space="preserve">Silla Tee de 30"x160 </v>
          </cell>
          <cell r="C697" t="str">
            <v>Und.</v>
          </cell>
          <cell r="D697">
            <v>313261</v>
          </cell>
          <cell r="E697">
            <v>372781</v>
          </cell>
        </row>
        <row r="698">
          <cell r="A698" t="str">
            <v>ST308</v>
          </cell>
          <cell r="B698" t="str">
            <v xml:space="preserve">Silla Tee de 30"x200 </v>
          </cell>
          <cell r="C698" t="str">
            <v>Und.</v>
          </cell>
          <cell r="D698">
            <v>313261</v>
          </cell>
          <cell r="E698">
            <v>372781</v>
          </cell>
        </row>
        <row r="699">
          <cell r="A699" t="str">
            <v>ST336</v>
          </cell>
          <cell r="B699" t="str">
            <v xml:space="preserve">Silla Tee de 33"x160 </v>
          </cell>
          <cell r="C699" t="str">
            <v>Und.</v>
          </cell>
          <cell r="D699">
            <v>338321</v>
          </cell>
          <cell r="E699">
            <v>402602</v>
          </cell>
        </row>
        <row r="700">
          <cell r="A700" t="str">
            <v>ST338</v>
          </cell>
          <cell r="B700" t="str">
            <v xml:space="preserve">Silla Tee de 33"x200 </v>
          </cell>
          <cell r="C700" t="str">
            <v>Und.</v>
          </cell>
          <cell r="D700">
            <v>338321</v>
          </cell>
          <cell r="E700">
            <v>402602</v>
          </cell>
        </row>
        <row r="701">
          <cell r="A701" t="str">
            <v>ST366</v>
          </cell>
          <cell r="B701" t="str">
            <v xml:space="preserve">Silla Tee de 36"160 </v>
          </cell>
          <cell r="C701" t="str">
            <v>Und.</v>
          </cell>
          <cell r="D701">
            <v>365388</v>
          </cell>
          <cell r="E701">
            <v>434812</v>
          </cell>
        </row>
        <row r="702">
          <cell r="A702" t="str">
            <v>ST368</v>
          </cell>
          <cell r="B702" t="str">
            <v xml:space="preserve">Silla Tee de 36"x200 </v>
          </cell>
          <cell r="C702" t="str">
            <v>Und.</v>
          </cell>
          <cell r="D702">
            <v>365388</v>
          </cell>
          <cell r="E702">
            <v>434812</v>
          </cell>
        </row>
        <row r="703">
          <cell r="A703" t="str">
            <v>ST3610</v>
          </cell>
          <cell r="B703" t="str">
            <v xml:space="preserve">Silla Tee de 36"x250 </v>
          </cell>
          <cell r="C703" t="str">
            <v>Und.</v>
          </cell>
          <cell r="D703">
            <v>365388</v>
          </cell>
          <cell r="E703">
            <v>434812</v>
          </cell>
        </row>
        <row r="704">
          <cell r="A704" t="str">
            <v>ST3612</v>
          </cell>
          <cell r="B704" t="str">
            <v xml:space="preserve">Silla Tee de 36"x315 </v>
          </cell>
          <cell r="C704" t="str">
            <v>Und.</v>
          </cell>
          <cell r="D704">
            <v>365388</v>
          </cell>
          <cell r="E704">
            <v>434812</v>
          </cell>
        </row>
        <row r="706">
          <cell r="B706" t="str">
            <v>Silla Yee</v>
          </cell>
        </row>
        <row r="707">
          <cell r="A707" t="str">
            <v>SY64</v>
          </cell>
          <cell r="B707" t="str">
            <v xml:space="preserve">Silla Yee de 160x110 </v>
          </cell>
          <cell r="C707" t="str">
            <v>Und.</v>
          </cell>
          <cell r="D707">
            <v>56724.33</v>
          </cell>
          <cell r="E707">
            <v>67502</v>
          </cell>
        </row>
        <row r="708">
          <cell r="A708" t="str">
            <v>SY84</v>
          </cell>
          <cell r="B708" t="str">
            <v xml:space="preserve">Silla Yee de 200x110 </v>
          </cell>
          <cell r="C708" t="str">
            <v>Und.</v>
          </cell>
          <cell r="D708">
            <v>69477.12000000001</v>
          </cell>
          <cell r="E708">
            <v>82678</v>
          </cell>
        </row>
        <row r="709">
          <cell r="A709" t="str">
            <v>SY86</v>
          </cell>
          <cell r="B709" t="str">
            <v xml:space="preserve">Silla Yee de 200x160 </v>
          </cell>
          <cell r="C709" t="str">
            <v>Und.</v>
          </cell>
          <cell r="D709">
            <v>69477.12000000001</v>
          </cell>
          <cell r="E709">
            <v>82678</v>
          </cell>
        </row>
        <row r="710">
          <cell r="A710" t="str">
            <v>SY104</v>
          </cell>
          <cell r="B710" t="str">
            <v xml:space="preserve">Silla Yee de 250x110 </v>
          </cell>
          <cell r="C710" t="str">
            <v>Und.</v>
          </cell>
          <cell r="D710">
            <v>80561.58</v>
          </cell>
          <cell r="E710">
            <v>95868</v>
          </cell>
        </row>
        <row r="711">
          <cell r="A711" t="str">
            <v>SY106</v>
          </cell>
          <cell r="B711" t="str">
            <v xml:space="preserve">Silla Yee de 250x160 </v>
          </cell>
          <cell r="C711" t="str">
            <v>Und.</v>
          </cell>
          <cell r="D711">
            <v>80561.58</v>
          </cell>
          <cell r="E711">
            <v>95868</v>
          </cell>
        </row>
        <row r="712">
          <cell r="A712" t="str">
            <v>SY108</v>
          </cell>
          <cell r="B712" t="str">
            <v xml:space="preserve">Silla Yee de 250x200 </v>
          </cell>
          <cell r="C712" t="str">
            <v>Und.</v>
          </cell>
          <cell r="D712">
            <v>119467.08000000002</v>
          </cell>
          <cell r="E712">
            <v>142166</v>
          </cell>
        </row>
        <row r="713">
          <cell r="A713" t="str">
            <v>SY124</v>
          </cell>
          <cell r="B713" t="str">
            <v xml:space="preserve">Silla Yee de 315x110 </v>
          </cell>
          <cell r="C713" t="str">
            <v>Und.</v>
          </cell>
          <cell r="D713">
            <v>124899.42000000001</v>
          </cell>
          <cell r="E713">
            <v>148630</v>
          </cell>
        </row>
        <row r="714">
          <cell r="A714" t="str">
            <v>SY126</v>
          </cell>
          <cell r="B714" t="str">
            <v xml:space="preserve">Silla Yee de 315x160 </v>
          </cell>
          <cell r="C714" t="str">
            <v>Und.</v>
          </cell>
          <cell r="D714">
            <v>124731.81000000001</v>
          </cell>
          <cell r="E714">
            <v>148431</v>
          </cell>
        </row>
        <row r="715">
          <cell r="A715" t="str">
            <v>SY128</v>
          </cell>
          <cell r="B715" t="str">
            <v xml:space="preserve">Silla Yee de 315x200 </v>
          </cell>
          <cell r="C715" t="str">
            <v>Und.</v>
          </cell>
          <cell r="D715">
            <v>168845.43000000002</v>
          </cell>
          <cell r="E715">
            <v>200926</v>
          </cell>
        </row>
        <row r="716">
          <cell r="A716" t="str">
            <v>SY144</v>
          </cell>
          <cell r="B716" t="str">
            <v xml:space="preserve">Silla Yee de 355x110 </v>
          </cell>
          <cell r="C716" t="str">
            <v>Und.</v>
          </cell>
          <cell r="D716">
            <v>188039.55000000002</v>
          </cell>
          <cell r="E716">
            <v>223767</v>
          </cell>
        </row>
        <row r="717">
          <cell r="A717" t="str">
            <v>SY146</v>
          </cell>
          <cell r="B717" t="str">
            <v xml:space="preserve">Silla Yee de 355x160 </v>
          </cell>
          <cell r="C717" t="str">
            <v>Und.</v>
          </cell>
          <cell r="D717">
            <v>188039.55000000002</v>
          </cell>
          <cell r="E717">
            <v>223767</v>
          </cell>
        </row>
        <row r="718">
          <cell r="A718" t="str">
            <v>SY148</v>
          </cell>
          <cell r="B718" t="str">
            <v xml:space="preserve">Silla Yee de 355x200 </v>
          </cell>
          <cell r="C718" t="str">
            <v>Und.</v>
          </cell>
          <cell r="D718">
            <v>188035.11000000002</v>
          </cell>
          <cell r="E718">
            <v>223762</v>
          </cell>
        </row>
        <row r="719">
          <cell r="A719" t="str">
            <v>SY164</v>
          </cell>
          <cell r="B719" t="str">
            <v xml:space="preserve">Silla Yee de 400x110 </v>
          </cell>
          <cell r="C719" t="str">
            <v>Und.</v>
          </cell>
          <cell r="D719">
            <v>206176.95</v>
          </cell>
          <cell r="E719">
            <v>245351</v>
          </cell>
        </row>
        <row r="720">
          <cell r="A720" t="str">
            <v>SY166</v>
          </cell>
          <cell r="B720" t="str">
            <v xml:space="preserve">Silla Yee de 400x160 </v>
          </cell>
          <cell r="C720" t="str">
            <v>Und.</v>
          </cell>
          <cell r="D720">
            <v>206176.95</v>
          </cell>
          <cell r="E720">
            <v>245351</v>
          </cell>
        </row>
        <row r="721">
          <cell r="A721" t="str">
            <v>SY168</v>
          </cell>
          <cell r="B721" t="str">
            <v xml:space="preserve">Silla Yee de 400x200 </v>
          </cell>
          <cell r="C721" t="str">
            <v>Und.</v>
          </cell>
          <cell r="D721">
            <v>206178.06000000003</v>
          </cell>
          <cell r="E721">
            <v>245352</v>
          </cell>
        </row>
        <row r="722">
          <cell r="A722" t="str">
            <v>SY1610</v>
          </cell>
          <cell r="B722" t="str">
            <v xml:space="preserve">Silla Yee de 400x250 </v>
          </cell>
          <cell r="C722" t="str">
            <v>Und.</v>
          </cell>
          <cell r="D722">
            <v>206176.95</v>
          </cell>
          <cell r="E722">
            <v>245351</v>
          </cell>
        </row>
        <row r="723">
          <cell r="A723" t="str">
            <v>SY186</v>
          </cell>
          <cell r="B723" t="str">
            <v xml:space="preserve">Silla Yee de 450x160 </v>
          </cell>
          <cell r="C723" t="str">
            <v>Und.</v>
          </cell>
          <cell r="D723">
            <v>220531.47000000003</v>
          </cell>
          <cell r="E723">
            <v>262432</v>
          </cell>
        </row>
        <row r="724">
          <cell r="A724" t="str">
            <v>SY188</v>
          </cell>
          <cell r="B724" t="str">
            <v xml:space="preserve">Silla Yee de 450x200 </v>
          </cell>
          <cell r="C724" t="str">
            <v>Und.</v>
          </cell>
          <cell r="D724">
            <v>220537.02000000002</v>
          </cell>
          <cell r="E724">
            <v>262439</v>
          </cell>
        </row>
        <row r="725">
          <cell r="A725" t="str">
            <v>SY206</v>
          </cell>
          <cell r="B725" t="str">
            <v xml:space="preserve">Silla Yee de 500x160 </v>
          </cell>
          <cell r="C725" t="str">
            <v>Und.</v>
          </cell>
          <cell r="D725">
            <v>336421.02</v>
          </cell>
          <cell r="E725">
            <v>400341</v>
          </cell>
        </row>
        <row r="726">
          <cell r="A726" t="str">
            <v>SY208</v>
          </cell>
          <cell r="B726" t="str">
            <v xml:space="preserve">Silla Yee de 500x200 </v>
          </cell>
          <cell r="C726" t="str">
            <v>Und.</v>
          </cell>
          <cell r="D726">
            <v>336425.46</v>
          </cell>
          <cell r="E726">
            <v>400346</v>
          </cell>
        </row>
        <row r="727">
          <cell r="A727" t="str">
            <v>SY246</v>
          </cell>
          <cell r="B727" t="str">
            <v xml:space="preserve">Silla Yee de 24"x160 </v>
          </cell>
          <cell r="C727" t="str">
            <v>Und.</v>
          </cell>
          <cell r="D727">
            <v>226152</v>
          </cell>
          <cell r="E727">
            <v>269121</v>
          </cell>
        </row>
        <row r="728">
          <cell r="A728" t="str">
            <v>SY248</v>
          </cell>
          <cell r="B728" t="str">
            <v xml:space="preserve">Silla Yee de 24"x200 </v>
          </cell>
          <cell r="C728" t="str">
            <v>Und.</v>
          </cell>
          <cell r="D728">
            <v>279893</v>
          </cell>
          <cell r="E728">
            <v>333073</v>
          </cell>
        </row>
        <row r="729">
          <cell r="A729" t="str">
            <v>SY276</v>
          </cell>
          <cell r="B729" t="str">
            <v xml:space="preserve">Silla Yee de 27"x160 </v>
          </cell>
          <cell r="C729" t="str">
            <v>Und.</v>
          </cell>
          <cell r="D729">
            <v>280720</v>
          </cell>
          <cell r="E729">
            <v>334057</v>
          </cell>
        </row>
        <row r="730">
          <cell r="A730" t="str">
            <v>SY278</v>
          </cell>
          <cell r="B730" t="str">
            <v xml:space="preserve">Silla Yee de 27"x200 </v>
          </cell>
          <cell r="C730" t="str">
            <v>Und.</v>
          </cell>
          <cell r="D730">
            <v>281543</v>
          </cell>
          <cell r="E730">
            <v>335036</v>
          </cell>
        </row>
        <row r="731">
          <cell r="A731" t="str">
            <v>SY306</v>
          </cell>
          <cell r="B731" t="str">
            <v xml:space="preserve">Silla Yee de 30"x160 </v>
          </cell>
          <cell r="C731" t="str">
            <v>Und.</v>
          </cell>
          <cell r="D731">
            <v>293110</v>
          </cell>
          <cell r="E731">
            <v>348801</v>
          </cell>
        </row>
        <row r="732">
          <cell r="A732" t="str">
            <v>SY308</v>
          </cell>
          <cell r="B732" t="str">
            <v xml:space="preserve">Silla Yee de 30"x200 </v>
          </cell>
          <cell r="C732" t="str">
            <v>Und.</v>
          </cell>
          <cell r="D732">
            <v>446758</v>
          </cell>
          <cell r="E732">
            <v>531642</v>
          </cell>
        </row>
        <row r="733">
          <cell r="A733" t="str">
            <v>SY336</v>
          </cell>
          <cell r="B733" t="str">
            <v xml:space="preserve">Silla Yee de 33"x160 </v>
          </cell>
          <cell r="C733" t="str">
            <v>Und.</v>
          </cell>
          <cell r="D733">
            <v>305464</v>
          </cell>
          <cell r="E733">
            <v>363502</v>
          </cell>
        </row>
        <row r="734">
          <cell r="A734" t="str">
            <v>SY338</v>
          </cell>
          <cell r="B734" t="str">
            <v xml:space="preserve">Silla Yee de 33"x200 </v>
          </cell>
          <cell r="C734" t="str">
            <v>Und.</v>
          </cell>
          <cell r="D734">
            <v>314892</v>
          </cell>
          <cell r="E734">
            <v>374721</v>
          </cell>
        </row>
        <row r="735">
          <cell r="A735" t="str">
            <v>SY366</v>
          </cell>
          <cell r="B735" t="str">
            <v xml:space="preserve">Silla Yee de 36"160 </v>
          </cell>
          <cell r="C735" t="str">
            <v>Und.</v>
          </cell>
          <cell r="D735">
            <v>329895</v>
          </cell>
          <cell r="E735">
            <v>392575</v>
          </cell>
        </row>
        <row r="736">
          <cell r="A736" t="str">
            <v>SY368</v>
          </cell>
          <cell r="B736" t="str">
            <v xml:space="preserve">Silla Yee de 36"x200 </v>
          </cell>
          <cell r="C736" t="str">
            <v>Und.</v>
          </cell>
          <cell r="D736">
            <v>333785</v>
          </cell>
          <cell r="E736">
            <v>397204</v>
          </cell>
        </row>
        <row r="738">
          <cell r="B738" t="str">
            <v>Kit Silla Yee</v>
          </cell>
        </row>
        <row r="739">
          <cell r="A739" t="str">
            <v>KSY64</v>
          </cell>
          <cell r="B739" t="str">
            <v xml:space="preserve">Kit Silla Yee de 160x110 </v>
          </cell>
          <cell r="C739" t="str">
            <v>Und.</v>
          </cell>
          <cell r="D739">
            <v>87343.680000000008</v>
          </cell>
          <cell r="E739">
            <v>103939</v>
          </cell>
        </row>
        <row r="740">
          <cell r="A740" t="str">
            <v>KSY84</v>
          </cell>
          <cell r="B740" t="str">
            <v xml:space="preserve">Kit Silla Yee de 200x110 </v>
          </cell>
          <cell r="C740" t="str">
            <v>Und.</v>
          </cell>
          <cell r="D740">
            <v>100955.61000000002</v>
          </cell>
          <cell r="E740">
            <v>120137</v>
          </cell>
        </row>
        <row r="741">
          <cell r="A741" t="str">
            <v>KSY86</v>
          </cell>
          <cell r="B741" t="str">
            <v xml:space="preserve">Kit Silla Yee de 200x160 </v>
          </cell>
          <cell r="C741" t="str">
            <v>Und.</v>
          </cell>
          <cell r="D741">
            <v>100955.61000000002</v>
          </cell>
          <cell r="E741">
            <v>120137</v>
          </cell>
        </row>
        <row r="742">
          <cell r="A742" t="str">
            <v>KSY106</v>
          </cell>
          <cell r="B742" t="str">
            <v xml:space="preserve">Kit Silla Yee de 250x160 </v>
          </cell>
          <cell r="C742" t="str">
            <v>Und.</v>
          </cell>
          <cell r="D742">
            <v>114127.98000000001</v>
          </cell>
          <cell r="E742">
            <v>135812</v>
          </cell>
        </row>
        <row r="743">
          <cell r="A743" t="str">
            <v>KSY104</v>
          </cell>
          <cell r="B743" t="str">
            <v xml:space="preserve">Kit Silla Yee de 250x110 </v>
          </cell>
          <cell r="C743" t="str">
            <v>Und.</v>
          </cell>
          <cell r="D743">
            <v>114127.98000000001</v>
          </cell>
          <cell r="E743">
            <v>135812</v>
          </cell>
        </row>
        <row r="744">
          <cell r="A744" t="str">
            <v>KSY124</v>
          </cell>
          <cell r="B744" t="str">
            <v xml:space="preserve">Kit Silla Yee de 315x110 </v>
          </cell>
          <cell r="C744" t="str">
            <v>Und.</v>
          </cell>
          <cell r="D744">
            <v>171608.22</v>
          </cell>
          <cell r="E744">
            <v>204214</v>
          </cell>
        </row>
        <row r="745">
          <cell r="A745" t="str">
            <v>KSY126</v>
          </cell>
          <cell r="B745" t="str">
            <v xml:space="preserve">Kit Silla Yee de 315x160 </v>
          </cell>
          <cell r="C745" t="str">
            <v>Und.</v>
          </cell>
          <cell r="D745">
            <v>171608.22</v>
          </cell>
          <cell r="E745">
            <v>204214</v>
          </cell>
        </row>
        <row r="747">
          <cell r="A747" t="str">
            <v>TUBERIA Y ACCESORIOS PF+UAD</v>
          </cell>
        </row>
        <row r="748">
          <cell r="A748" t="str">
            <v>AMPF1/2</v>
          </cell>
          <cell r="B748" t="str">
            <v>Adaptador Macho Acometida PF+UAD de 1/2"</v>
          </cell>
          <cell r="C748" t="str">
            <v>Und.</v>
          </cell>
          <cell r="D748">
            <v>1582</v>
          </cell>
          <cell r="E748">
            <v>1883</v>
          </cell>
        </row>
        <row r="749">
          <cell r="A749" t="str">
            <v>AHPF1/2</v>
          </cell>
          <cell r="B749" t="str">
            <v>Adaptador Hembra Acometida PF+UAD de 1/2"</v>
          </cell>
          <cell r="C749" t="str">
            <v>Und.</v>
          </cell>
          <cell r="D749">
            <v>1616</v>
          </cell>
          <cell r="E749">
            <v>1923</v>
          </cell>
        </row>
        <row r="750">
          <cell r="A750" t="str">
            <v>UPF1/2</v>
          </cell>
          <cell r="B750" t="str">
            <v>Unión Acometida PF+UAD de 1/2"</v>
          </cell>
          <cell r="C750" t="str">
            <v>Und.</v>
          </cell>
          <cell r="D750">
            <v>2778</v>
          </cell>
          <cell r="E750">
            <v>3306</v>
          </cell>
        </row>
        <row r="751">
          <cell r="A751" t="str">
            <v>UPF3/4</v>
          </cell>
          <cell r="B751" t="str">
            <v>Unión Acometida PF+UAD de 3/4"</v>
          </cell>
          <cell r="C751" t="str">
            <v>Und.</v>
          </cell>
          <cell r="D751">
            <v>10515</v>
          </cell>
          <cell r="E751">
            <v>12513</v>
          </cell>
        </row>
        <row r="752">
          <cell r="A752" t="str">
            <v>TPF1/2</v>
          </cell>
          <cell r="B752" t="str">
            <v>Tubería Acometida Domiciliaria HDPE de 1/2"</v>
          </cell>
          <cell r="C752" t="str">
            <v>m.</v>
          </cell>
          <cell r="D752">
            <v>1607</v>
          </cell>
          <cell r="E752">
            <v>1912</v>
          </cell>
        </row>
        <row r="753">
          <cell r="A753" t="str">
            <v>TPF3/4</v>
          </cell>
          <cell r="B753" t="str">
            <v>Tubería Acometida Domiciliaria HDPE de 3/4"</v>
          </cell>
          <cell r="C753" t="str">
            <v>m.</v>
          </cell>
          <cell r="D753">
            <v>3161</v>
          </cell>
          <cell r="E753">
            <v>3762</v>
          </cell>
        </row>
        <row r="758">
          <cell r="A758" t="str">
            <v>ACCESORIOS PVC 1/2"</v>
          </cell>
        </row>
        <row r="759">
          <cell r="A759" t="str">
            <v>ACC1/2</v>
          </cell>
          <cell r="B759" t="str">
            <v>Accesorios PVC 1/2" (Codo, uniones, adaptadores)</v>
          </cell>
          <cell r="C759" t="str">
            <v>Und.</v>
          </cell>
          <cell r="D759">
            <v>600</v>
          </cell>
          <cell r="E759">
            <v>714</v>
          </cell>
        </row>
      </sheetData>
      <sheetData sheetId="2" refreshError="1"/>
      <sheetData sheetId="3" refreshError="1"/>
      <sheetData sheetId="4">
        <row r="3">
          <cell r="A3">
            <v>1</v>
          </cell>
          <cell r="B3">
            <v>2</v>
          </cell>
          <cell r="C3">
            <v>3</v>
          </cell>
          <cell r="D3">
            <v>4</v>
          </cell>
          <cell r="E3">
            <v>5</v>
          </cell>
          <cell r="F3">
            <v>6</v>
          </cell>
          <cell r="G3">
            <v>7</v>
          </cell>
          <cell r="H3">
            <v>8</v>
          </cell>
          <cell r="I3">
            <v>9</v>
          </cell>
          <cell r="J3">
            <v>10</v>
          </cell>
          <cell r="K3">
            <v>11</v>
          </cell>
          <cell r="L3">
            <v>12</v>
          </cell>
          <cell r="M3">
            <v>13</v>
          </cell>
          <cell r="N3">
            <v>14</v>
          </cell>
          <cell r="O3">
            <v>15</v>
          </cell>
        </row>
        <row r="4">
          <cell r="A4" t="str">
            <v>CÓDIGO</v>
          </cell>
          <cell r="B4" t="str">
            <v>TIPO DE CUADRILLA</v>
          </cell>
          <cell r="C4" t="str">
            <v>OCUPACION</v>
          </cell>
          <cell r="D4" t="str">
            <v>CANT/. SALARIOS</v>
          </cell>
          <cell r="E4" t="str">
            <v>JORNAL</v>
          </cell>
          <cell r="F4" t="str">
            <v>CANTIDAD</v>
          </cell>
          <cell r="G4" t="str">
            <v>V/PARCIAL</v>
          </cell>
          <cell r="H4" t="str">
            <v>VR/. PARCIAL CUADRILLA</v>
          </cell>
          <cell r="I4" t="str">
            <v>FACTOR PRESTACIONAL (%)</v>
          </cell>
          <cell r="J4" t="str">
            <v xml:space="preserve">PRESTACIONES </v>
          </cell>
          <cell r="K4" t="str">
            <v>VR/.TOTAL PRESTACIONES</v>
          </cell>
          <cell r="L4" t="str">
            <v>VR/. JORNAL CUADRILLA</v>
          </cell>
          <cell r="M4" t="str">
            <v>UNIDAD</v>
          </cell>
          <cell r="N4" t="str">
            <v>VR/. HORA TRABAJADOR</v>
          </cell>
          <cell r="O4" t="str">
            <v>VR/. HORA CUADRILLA</v>
          </cell>
        </row>
        <row r="5">
          <cell r="A5" t="str">
            <v>A</v>
          </cell>
          <cell r="B5" t="str">
            <v>Ayudante</v>
          </cell>
          <cell r="C5" t="str">
            <v>AYUDANTE</v>
          </cell>
          <cell r="D5" t="str">
            <v>1.2 S.M.L.V.</v>
          </cell>
          <cell r="E5">
            <v>34190.046666666669</v>
          </cell>
          <cell r="F5">
            <v>1</v>
          </cell>
          <cell r="G5">
            <v>34190.046666666669</v>
          </cell>
          <cell r="H5">
            <v>34190</v>
          </cell>
          <cell r="I5">
            <v>0.84960000000000002</v>
          </cell>
          <cell r="J5">
            <v>29047.863648000002</v>
          </cell>
          <cell r="K5">
            <v>29048</v>
          </cell>
          <cell r="L5">
            <v>63238</v>
          </cell>
          <cell r="M5" t="str">
            <v>HC</v>
          </cell>
          <cell r="N5">
            <v>7905</v>
          </cell>
          <cell r="O5">
            <v>7905</v>
          </cell>
        </row>
        <row r="6">
          <cell r="A6" t="str">
            <v>2A</v>
          </cell>
          <cell r="B6" t="str">
            <v>2 Ayudantes</v>
          </cell>
          <cell r="C6" t="str">
            <v>AYUDANTE</v>
          </cell>
          <cell r="D6" t="str">
            <v>1.2 S.M.L.V.</v>
          </cell>
          <cell r="E6">
            <v>34190.046666666669</v>
          </cell>
          <cell r="F6">
            <v>2</v>
          </cell>
          <cell r="G6">
            <v>68380.093333333338</v>
          </cell>
          <cell r="H6">
            <v>68380</v>
          </cell>
          <cell r="I6">
            <v>0.84960000000000002</v>
          </cell>
          <cell r="J6">
            <v>58095.727296000005</v>
          </cell>
          <cell r="K6">
            <v>58096</v>
          </cell>
          <cell r="L6">
            <v>126476</v>
          </cell>
          <cell r="M6" t="str">
            <v>HC</v>
          </cell>
          <cell r="N6">
            <v>7905</v>
          </cell>
          <cell r="O6">
            <v>15810</v>
          </cell>
        </row>
        <row r="7">
          <cell r="A7" t="str">
            <v>AA</v>
          </cell>
          <cell r="B7" t="str">
            <v>Cuadrilla AA: Albañilería. (1 Of. + 1 Ayud.).</v>
          </cell>
          <cell r="C7" t="str">
            <v>OFICIAL</v>
          </cell>
          <cell r="D7" t="str">
            <v>1.5 S.M.L.V.</v>
          </cell>
          <cell r="E7">
            <v>42002.466666666667</v>
          </cell>
          <cell r="F7">
            <v>1</v>
          </cell>
          <cell r="G7">
            <v>42002.466666666667</v>
          </cell>
          <cell r="H7">
            <v>76193</v>
          </cell>
          <cell r="I7">
            <v>0.83950000000000002</v>
          </cell>
          <cell r="J7">
            <v>35261.070766666671</v>
          </cell>
          <cell r="K7">
            <v>64309</v>
          </cell>
          <cell r="L7">
            <v>140502</v>
          </cell>
          <cell r="M7" t="str">
            <v>HC</v>
          </cell>
          <cell r="N7">
            <v>9658</v>
          </cell>
          <cell r="O7">
            <v>17563</v>
          </cell>
        </row>
        <row r="8">
          <cell r="C8" t="str">
            <v>AYUDANTE</v>
          </cell>
          <cell r="D8" t="str">
            <v>1.2 S.M.L.V.</v>
          </cell>
          <cell r="E8">
            <v>34190.046666666669</v>
          </cell>
          <cell r="F8">
            <v>1</v>
          </cell>
          <cell r="G8">
            <v>34190.046666666669</v>
          </cell>
          <cell r="I8">
            <v>0.84960000000000002</v>
          </cell>
          <cell r="J8">
            <v>29047.863648000002</v>
          </cell>
          <cell r="N8">
            <v>7905</v>
          </cell>
        </row>
        <row r="9">
          <cell r="A9" t="str">
            <v>BB</v>
          </cell>
          <cell r="B9" t="str">
            <v>Cuadrilla BB: Instalaciones básicas. (1 Of. + 1 Ayud.).</v>
          </cell>
          <cell r="C9" t="str">
            <v>OFICIAL</v>
          </cell>
          <cell r="D9" t="str">
            <v>2.0 S.M.L.V.</v>
          </cell>
          <cell r="E9">
            <v>55023.166666666664</v>
          </cell>
          <cell r="F9">
            <v>1</v>
          </cell>
          <cell r="G9">
            <v>55023.166666666664</v>
          </cell>
          <cell r="H9">
            <v>89213</v>
          </cell>
          <cell r="I9">
            <v>0.82909999999999995</v>
          </cell>
          <cell r="J9">
            <v>45619.707483333332</v>
          </cell>
          <cell r="K9">
            <v>74668</v>
          </cell>
          <cell r="L9">
            <v>163881</v>
          </cell>
          <cell r="M9" t="str">
            <v>HC</v>
          </cell>
          <cell r="N9">
            <v>12580</v>
          </cell>
          <cell r="O9">
            <v>20485</v>
          </cell>
        </row>
        <row r="10">
          <cell r="C10" t="str">
            <v>AYUDANTE</v>
          </cell>
          <cell r="D10" t="str">
            <v>1.2 S.M.L.V.</v>
          </cell>
          <cell r="E10">
            <v>34190.046666666669</v>
          </cell>
          <cell r="F10">
            <v>1</v>
          </cell>
          <cell r="G10">
            <v>34190.046666666669</v>
          </cell>
          <cell r="I10">
            <v>0.84960000000000002</v>
          </cell>
          <cell r="J10">
            <v>29047.863648000002</v>
          </cell>
          <cell r="N10">
            <v>7905</v>
          </cell>
        </row>
        <row r="11">
          <cell r="A11" t="str">
            <v>CC</v>
          </cell>
          <cell r="B11" t="str">
            <v>Cuadrilla CC: Pinturas.(1 Of.Pint.+ 1 Estuc. + 1 Ayud.).</v>
          </cell>
          <cell r="C11" t="str">
            <v>OFICIAL DE PINTURA</v>
          </cell>
          <cell r="D11" t="str">
            <v>2.5 S.M.L.V.</v>
          </cell>
          <cell r="E11">
            <v>65103.5</v>
          </cell>
          <cell r="F11">
            <v>1</v>
          </cell>
          <cell r="G11">
            <v>65103.5</v>
          </cell>
          <cell r="H11">
            <v>154317</v>
          </cell>
          <cell r="I11">
            <v>0.81069999999999998</v>
          </cell>
          <cell r="J11">
            <v>52779.407449999999</v>
          </cell>
          <cell r="K11">
            <v>127447</v>
          </cell>
          <cell r="L11">
            <v>281764</v>
          </cell>
          <cell r="M11" t="str">
            <v>HC</v>
          </cell>
          <cell r="N11">
            <v>14735</v>
          </cell>
          <cell r="O11">
            <v>35221</v>
          </cell>
        </row>
        <row r="12">
          <cell r="C12" t="str">
            <v>ESTUCADOR</v>
          </cell>
          <cell r="D12" t="str">
            <v>1.5 S.M.L.V.</v>
          </cell>
          <cell r="E12">
            <v>55023.166666666664</v>
          </cell>
          <cell r="F12">
            <v>1</v>
          </cell>
          <cell r="G12">
            <v>55023.166666666664</v>
          </cell>
          <cell r="I12">
            <v>0.82909999999999995</v>
          </cell>
          <cell r="J12">
            <v>45619.707483333332</v>
          </cell>
          <cell r="N12">
            <v>12580</v>
          </cell>
        </row>
        <row r="13">
          <cell r="B13" t="str">
            <v>CUADRILLA T5</v>
          </cell>
          <cell r="C13" t="str">
            <v>AYUDANTE</v>
          </cell>
          <cell r="D13" t="str">
            <v>1.2 S.M.L.V.</v>
          </cell>
          <cell r="E13">
            <v>34190.046666666669</v>
          </cell>
          <cell r="F13">
            <v>1</v>
          </cell>
          <cell r="G13">
            <v>34190.046666666669</v>
          </cell>
          <cell r="I13">
            <v>0.84960000000000002</v>
          </cell>
          <cell r="J13">
            <v>29047.863648000002</v>
          </cell>
          <cell r="N13">
            <v>7905</v>
          </cell>
        </row>
        <row r="14">
          <cell r="A14" t="str">
            <v>DD</v>
          </cell>
          <cell r="B14" t="str">
            <v>Cuadrilla DD: Carpintería en madera. (1 Carp. + 1 Ayud.).</v>
          </cell>
          <cell r="C14" t="str">
            <v>CARPINTERO</v>
          </cell>
          <cell r="D14" t="str">
            <v>2.5 S.M.L.V.</v>
          </cell>
          <cell r="E14">
            <v>65103.5</v>
          </cell>
          <cell r="F14">
            <v>1</v>
          </cell>
          <cell r="G14">
            <v>65103.5</v>
          </cell>
          <cell r="H14">
            <v>107106</v>
          </cell>
          <cell r="I14">
            <v>0.81069999999999998</v>
          </cell>
          <cell r="J14">
            <v>52779.407449999999</v>
          </cell>
          <cell r="K14">
            <v>88040</v>
          </cell>
          <cell r="L14">
            <v>195146</v>
          </cell>
          <cell r="M14" t="str">
            <v>HC</v>
          </cell>
          <cell r="N14">
            <v>14735</v>
          </cell>
          <cell r="O14">
            <v>24393</v>
          </cell>
        </row>
        <row r="15">
          <cell r="B15" t="str">
            <v>CUADRILLA T6</v>
          </cell>
          <cell r="C15" t="str">
            <v>AYUDANTE</v>
          </cell>
          <cell r="D15" t="str">
            <v>1.5 S.M.L.V.</v>
          </cell>
          <cell r="E15">
            <v>42002.466666666667</v>
          </cell>
          <cell r="F15">
            <v>1</v>
          </cell>
          <cell r="G15">
            <v>42002.466666666667</v>
          </cell>
          <cell r="I15">
            <v>0.83950000000000002</v>
          </cell>
          <cell r="J15">
            <v>35261.070766666671</v>
          </cell>
          <cell r="N15">
            <v>9658</v>
          </cell>
        </row>
        <row r="16">
          <cell r="A16" t="str">
            <v>EE</v>
          </cell>
          <cell r="B16" t="str">
            <v>Cuadrilla EE: Cableado estructurado.(1 Of. Instal.).</v>
          </cell>
          <cell r="C16" t="str">
            <v>OFICIAL INSTALACIÓN</v>
          </cell>
          <cell r="D16" t="str">
            <v>2.5 S.M.L.V.</v>
          </cell>
          <cell r="E16">
            <v>65103.5</v>
          </cell>
          <cell r="F16">
            <v>2</v>
          </cell>
          <cell r="G16">
            <v>130207</v>
          </cell>
          <cell r="H16">
            <v>130207</v>
          </cell>
          <cell r="I16">
            <v>0.81069999999999998</v>
          </cell>
          <cell r="J16">
            <v>105558.8149</v>
          </cell>
          <cell r="K16">
            <v>105559</v>
          </cell>
          <cell r="L16">
            <v>235766</v>
          </cell>
          <cell r="M16" t="str">
            <v>HC</v>
          </cell>
          <cell r="N16">
            <v>14735</v>
          </cell>
          <cell r="O16">
            <v>29471</v>
          </cell>
        </row>
        <row r="17">
          <cell r="A17" t="str">
            <v>FF</v>
          </cell>
          <cell r="B17" t="str">
            <v>Cuadrilla FF: Eléctricas. (0.3 Encar. + 1 Of. + 1 Ayud.).</v>
          </cell>
          <cell r="C17" t="str">
            <v>ENCARGADO DE OBRA</v>
          </cell>
          <cell r="D17" t="str">
            <v>3.0 S.M.L.V.</v>
          </cell>
          <cell r="E17">
            <v>78124.2</v>
          </cell>
          <cell r="F17">
            <v>0.3</v>
          </cell>
          <cell r="G17">
            <v>23437.26</v>
          </cell>
          <cell r="H17">
            <v>120463</v>
          </cell>
          <cell r="I17">
            <v>0.80820000000000003</v>
          </cell>
          <cell r="J17">
            <v>18941.993532</v>
          </cell>
          <cell r="K17">
            <v>99823</v>
          </cell>
          <cell r="L17">
            <v>220286</v>
          </cell>
          <cell r="M17" t="str">
            <v>HC</v>
          </cell>
          <cell r="N17">
            <v>17658</v>
          </cell>
          <cell r="O17">
            <v>27536</v>
          </cell>
        </row>
        <row r="18">
          <cell r="C18" t="str">
            <v>OFICIAL</v>
          </cell>
          <cell r="D18" t="str">
            <v>2.0 S.M.L.V.</v>
          </cell>
          <cell r="E18">
            <v>55023.166666666664</v>
          </cell>
          <cell r="F18">
            <v>1</v>
          </cell>
          <cell r="G18">
            <v>55023.166666666664</v>
          </cell>
          <cell r="I18">
            <v>0.82909999999999995</v>
          </cell>
          <cell r="J18">
            <v>45619.707483333332</v>
          </cell>
          <cell r="N18">
            <v>12580</v>
          </cell>
        </row>
        <row r="19">
          <cell r="C19" t="str">
            <v>AYUDANTE</v>
          </cell>
          <cell r="D19" t="str">
            <v>1.5 S.M.L.V.</v>
          </cell>
          <cell r="E19">
            <v>42002.466666666667</v>
          </cell>
          <cell r="F19">
            <v>1</v>
          </cell>
          <cell r="G19">
            <v>42002.466666666667</v>
          </cell>
          <cell r="I19">
            <v>0.83950000000000002</v>
          </cell>
          <cell r="J19">
            <v>35261.070766666671</v>
          </cell>
          <cell r="N19">
            <v>9658</v>
          </cell>
        </row>
        <row r="20">
          <cell r="A20" t="str">
            <v>FF1</v>
          </cell>
          <cell r="B20" t="str">
            <v>Cuadrilla FF1: Eléctricas especializadas. (0.6 Encar. + 2 Of. + 1 Ayud).</v>
          </cell>
          <cell r="C20" t="str">
            <v>ENCARGADO DE OBRA</v>
          </cell>
          <cell r="D20" t="str">
            <v>3.0 S.M.L.V.</v>
          </cell>
          <cell r="E20">
            <v>78124.2</v>
          </cell>
          <cell r="F20">
            <v>0.6</v>
          </cell>
          <cell r="G20">
            <v>46874.52</v>
          </cell>
          <cell r="H20">
            <v>219084</v>
          </cell>
          <cell r="I20">
            <v>0.80820000000000003</v>
          </cell>
          <cell r="J20">
            <v>37883.987064000001</v>
          </cell>
          <cell r="K20">
            <v>178704</v>
          </cell>
          <cell r="L20">
            <v>397788</v>
          </cell>
          <cell r="M20" t="str">
            <v>HC</v>
          </cell>
          <cell r="N20">
            <v>17658</v>
          </cell>
          <cell r="O20">
            <v>49724</v>
          </cell>
        </row>
        <row r="21">
          <cell r="C21" t="str">
            <v>OFICIAL</v>
          </cell>
          <cell r="D21" t="str">
            <v>2.5 S.M.L.V.</v>
          </cell>
          <cell r="E21">
            <v>65103.5</v>
          </cell>
          <cell r="F21">
            <v>2</v>
          </cell>
          <cell r="G21">
            <v>130207</v>
          </cell>
          <cell r="I21">
            <v>0.81069999999999998</v>
          </cell>
          <cell r="J21">
            <v>105558.8149</v>
          </cell>
          <cell r="N21">
            <v>14735</v>
          </cell>
        </row>
        <row r="22">
          <cell r="C22" t="str">
            <v>AYUDANTE</v>
          </cell>
          <cell r="D22" t="str">
            <v>1.5 S.M.L.V.</v>
          </cell>
          <cell r="E22">
            <v>42002.466666666667</v>
          </cell>
          <cell r="F22">
            <v>1</v>
          </cell>
          <cell r="G22">
            <v>42002.466666666667</v>
          </cell>
          <cell r="I22">
            <v>0.83950000000000002</v>
          </cell>
          <cell r="J22">
            <v>35261.070766666671</v>
          </cell>
          <cell r="N22">
            <v>9658</v>
          </cell>
        </row>
        <row r="23">
          <cell r="A23" t="str">
            <v>GG</v>
          </cell>
          <cell r="B23" t="str">
            <v>Cuadrilla GG: Drywall. (1 Of.Acab. + 1 Of.2 + 1 Ayud.).</v>
          </cell>
          <cell r="C23" t="str">
            <v>OFICIAL DE ACABADOS 1</v>
          </cell>
          <cell r="D23" t="str">
            <v>2.0 S.M.L.V.</v>
          </cell>
          <cell r="E23">
            <v>55023.166666666664</v>
          </cell>
          <cell r="F23">
            <v>1</v>
          </cell>
          <cell r="G23">
            <v>55023.166666666664</v>
          </cell>
          <cell r="H23">
            <v>131216</v>
          </cell>
          <cell r="I23">
            <v>0.82909999999999995</v>
          </cell>
          <cell r="J23">
            <v>45619.707483333332</v>
          </cell>
          <cell r="K23">
            <v>109929</v>
          </cell>
          <cell r="L23">
            <v>241145</v>
          </cell>
          <cell r="M23" t="str">
            <v>HC</v>
          </cell>
          <cell r="N23">
            <v>12580</v>
          </cell>
          <cell r="O23">
            <v>30143</v>
          </cell>
        </row>
        <row r="24">
          <cell r="C24" t="str">
            <v>OFICIAL 2</v>
          </cell>
          <cell r="D24" t="str">
            <v>1.5 S.M.L.V.</v>
          </cell>
          <cell r="E24">
            <v>42002.466666666667</v>
          </cell>
          <cell r="F24">
            <v>1</v>
          </cell>
          <cell r="G24">
            <v>42002.466666666667</v>
          </cell>
          <cell r="I24">
            <v>0.83950000000000002</v>
          </cell>
          <cell r="J24">
            <v>35261.070766666671</v>
          </cell>
          <cell r="N24">
            <v>9658</v>
          </cell>
        </row>
        <row r="25">
          <cell r="C25" t="str">
            <v>AYUDANTE</v>
          </cell>
          <cell r="D25" t="str">
            <v>1.2 S.M.L.V.</v>
          </cell>
          <cell r="E25">
            <v>34190.046666666669</v>
          </cell>
          <cell r="F25">
            <v>1</v>
          </cell>
          <cell r="G25">
            <v>34190.046666666669</v>
          </cell>
          <cell r="I25">
            <v>0.84960000000000002</v>
          </cell>
          <cell r="J25">
            <v>29047.863648000002</v>
          </cell>
          <cell r="N25">
            <v>7905</v>
          </cell>
        </row>
        <row r="26">
          <cell r="A26" t="str">
            <v>HH</v>
          </cell>
          <cell r="B26" t="str">
            <v>Cuadrilla HH: Metálicas. (1 Sold. + 1 Of. + 1 Ayud.).</v>
          </cell>
          <cell r="C26" t="str">
            <v>SOLDADOR</v>
          </cell>
          <cell r="D26" t="str">
            <v>2.5 S.M.L.V.</v>
          </cell>
          <cell r="E26">
            <v>65103.5</v>
          </cell>
          <cell r="F26">
            <v>1</v>
          </cell>
          <cell r="G26">
            <v>65103.5</v>
          </cell>
          <cell r="H26">
            <v>141296</v>
          </cell>
          <cell r="I26">
            <v>0.81069999999999998</v>
          </cell>
          <cell r="J26">
            <v>52779.407449999999</v>
          </cell>
          <cell r="K26">
            <v>117088</v>
          </cell>
          <cell r="L26">
            <v>258384</v>
          </cell>
          <cell r="M26" t="str">
            <v>HC</v>
          </cell>
          <cell r="N26">
            <v>14735</v>
          </cell>
          <cell r="O26">
            <v>32298</v>
          </cell>
        </row>
        <row r="27">
          <cell r="C27" t="str">
            <v>OFICIAL</v>
          </cell>
          <cell r="D27" t="str">
            <v>1.5 S.M.L.V.</v>
          </cell>
          <cell r="E27">
            <v>42002.466666666667</v>
          </cell>
          <cell r="F27">
            <v>1</v>
          </cell>
          <cell r="G27">
            <v>42002.466666666667</v>
          </cell>
          <cell r="I27">
            <v>0.83950000000000002</v>
          </cell>
          <cell r="J27">
            <v>35261.070766666671</v>
          </cell>
          <cell r="N27">
            <v>9658</v>
          </cell>
        </row>
        <row r="28">
          <cell r="C28" t="str">
            <v>AYUDANTE</v>
          </cell>
          <cell r="D28" t="str">
            <v>1.2 S.M.L.V.</v>
          </cell>
          <cell r="E28">
            <v>34190.046666666669</v>
          </cell>
          <cell r="F28">
            <v>1</v>
          </cell>
          <cell r="G28">
            <v>34190.046666666669</v>
          </cell>
          <cell r="I28">
            <v>0.84960000000000002</v>
          </cell>
          <cell r="J28">
            <v>29047.863648000002</v>
          </cell>
          <cell r="N28">
            <v>7905</v>
          </cell>
        </row>
        <row r="29">
          <cell r="A29" t="str">
            <v>II</v>
          </cell>
          <cell r="B29" t="str">
            <v>Cuadrilla II: Topografía. (1 Top. + 1 Aux.Top.+ 1 Cade.).</v>
          </cell>
          <cell r="C29" t="str">
            <v>TOPÓGRAFO</v>
          </cell>
          <cell r="D29" t="str">
            <v>4.0 S.M.L.V.</v>
          </cell>
          <cell r="E29">
            <v>104165.6</v>
          </cell>
          <cell r="F29">
            <v>1</v>
          </cell>
          <cell r="G29">
            <v>104165.6</v>
          </cell>
          <cell r="H29">
            <v>247393</v>
          </cell>
          <cell r="I29">
            <v>0.80500000000000005</v>
          </cell>
          <cell r="J29">
            <v>83853.308000000005</v>
          </cell>
          <cell r="K29">
            <v>199773</v>
          </cell>
          <cell r="L29">
            <v>447166</v>
          </cell>
          <cell r="M29" t="str">
            <v>HC</v>
          </cell>
          <cell r="N29">
            <v>23502</v>
          </cell>
          <cell r="O29">
            <v>55896</v>
          </cell>
        </row>
        <row r="30">
          <cell r="C30" t="str">
            <v>AUX. DE TOPOGRAFÍA</v>
          </cell>
          <cell r="D30" t="str">
            <v>3.0 S.M.L.V.</v>
          </cell>
          <cell r="E30">
            <v>78124.2</v>
          </cell>
          <cell r="F30">
            <v>1</v>
          </cell>
          <cell r="G30">
            <v>78124.2</v>
          </cell>
          <cell r="I30">
            <v>0.80820000000000003</v>
          </cell>
          <cell r="J30">
            <v>63139.978439999999</v>
          </cell>
          <cell r="N30">
            <v>17658</v>
          </cell>
        </row>
        <row r="31">
          <cell r="C31" t="str">
            <v>CADENERO</v>
          </cell>
          <cell r="D31" t="str">
            <v>2.5 S.M.L.V.</v>
          </cell>
          <cell r="E31">
            <v>65103.5</v>
          </cell>
          <cell r="F31">
            <v>1</v>
          </cell>
          <cell r="G31">
            <v>65103.5</v>
          </cell>
          <cell r="I31">
            <v>0.81069999999999998</v>
          </cell>
          <cell r="J31">
            <v>52779.407449999999</v>
          </cell>
          <cell r="N31">
            <v>14735</v>
          </cell>
        </row>
        <row r="32">
          <cell r="A32" t="str">
            <v>JJ</v>
          </cell>
          <cell r="B32" t="str">
            <v>Cuadrilla JJ: Red contra incendios. (1 Jef. + 1 Of.1 + 1 Of.2 + 1 Ayud. ).</v>
          </cell>
          <cell r="C32" t="str">
            <v>JEFE DE OBRA</v>
          </cell>
          <cell r="D32" t="str">
            <v>3.0  S.M.L.V.</v>
          </cell>
          <cell r="E32">
            <v>78124.2</v>
          </cell>
          <cell r="F32">
            <v>1</v>
          </cell>
          <cell r="G32">
            <v>78124.2</v>
          </cell>
          <cell r="H32">
            <v>240253</v>
          </cell>
          <cell r="I32">
            <v>0.80820000000000003</v>
          </cell>
          <cell r="J32">
            <v>63139.978439999999</v>
          </cell>
          <cell r="K32">
            <v>196800</v>
          </cell>
          <cell r="L32">
            <v>437053</v>
          </cell>
          <cell r="M32" t="str">
            <v>HC</v>
          </cell>
          <cell r="N32">
            <v>17658</v>
          </cell>
          <cell r="O32">
            <v>54632</v>
          </cell>
        </row>
        <row r="33">
          <cell r="C33" t="str">
            <v>OFICIAL 1</v>
          </cell>
          <cell r="D33" t="str">
            <v>2.5  S.M.L.V.</v>
          </cell>
          <cell r="E33">
            <v>65103.5</v>
          </cell>
          <cell r="F33">
            <v>1</v>
          </cell>
          <cell r="G33">
            <v>65103.5</v>
          </cell>
          <cell r="I33">
            <v>0.81069999999999998</v>
          </cell>
          <cell r="J33">
            <v>52779.407449999999</v>
          </cell>
          <cell r="N33">
            <v>14735</v>
          </cell>
        </row>
        <row r="34">
          <cell r="C34" t="str">
            <v>OFICIAL 2</v>
          </cell>
          <cell r="D34" t="str">
            <v>2.0  S.M.L.V.</v>
          </cell>
          <cell r="E34">
            <v>55023.166666666664</v>
          </cell>
          <cell r="F34">
            <v>1</v>
          </cell>
          <cell r="G34">
            <v>55023.166666666664</v>
          </cell>
          <cell r="I34">
            <v>0.82909999999999995</v>
          </cell>
          <cell r="J34">
            <v>45619.707483333332</v>
          </cell>
          <cell r="N34">
            <v>12580</v>
          </cell>
        </row>
        <row r="35">
          <cell r="C35" t="str">
            <v>AYUDANTE</v>
          </cell>
          <cell r="D35" t="str">
            <v>1.5  S.M.L.V.</v>
          </cell>
          <cell r="E35">
            <v>42002.466666666667</v>
          </cell>
          <cell r="F35">
            <v>1</v>
          </cell>
          <cell r="G35">
            <v>42002.466666666667</v>
          </cell>
          <cell r="I35">
            <v>0.83950000000000002</v>
          </cell>
          <cell r="J35">
            <v>35261.070766666671</v>
          </cell>
          <cell r="N35">
            <v>9658</v>
          </cell>
        </row>
        <row r="36">
          <cell r="A36" t="str">
            <v>KK</v>
          </cell>
          <cell r="B36" t="str">
            <v>Cuadrilla KK: Aseo. (2 Ayudantes).</v>
          </cell>
          <cell r="C36" t="str">
            <v>AYUDANTE</v>
          </cell>
          <cell r="D36" t="str">
            <v>1.2  S.M.L.V.</v>
          </cell>
          <cell r="E36">
            <v>34190.046666666669</v>
          </cell>
          <cell r="F36">
            <v>2</v>
          </cell>
          <cell r="G36">
            <v>68380.093333333338</v>
          </cell>
          <cell r="H36">
            <v>68380</v>
          </cell>
          <cell r="I36">
            <v>0.84960000000000002</v>
          </cell>
          <cell r="J36">
            <v>58095.727296000005</v>
          </cell>
          <cell r="K36">
            <v>58096</v>
          </cell>
          <cell r="L36">
            <v>126476</v>
          </cell>
          <cell r="M36" t="str">
            <v>HC</v>
          </cell>
          <cell r="N36">
            <v>7905</v>
          </cell>
          <cell r="O36">
            <v>15810</v>
          </cell>
        </row>
        <row r="37">
          <cell r="A37" t="str">
            <v>LL</v>
          </cell>
          <cell r="B37" t="str">
            <v>Cuadrilla LL: Mezclas. (1 Of. + 3 Ayud.).</v>
          </cell>
          <cell r="C37" t="str">
            <v>OFICIAL</v>
          </cell>
          <cell r="D37" t="str">
            <v>2.0 S.M.L.V.</v>
          </cell>
          <cell r="E37">
            <v>55023.166666666664</v>
          </cell>
          <cell r="F37">
            <v>1</v>
          </cell>
          <cell r="G37">
            <v>55023.166666666664</v>
          </cell>
          <cell r="H37">
            <v>157593</v>
          </cell>
          <cell r="I37">
            <v>0.82909999999999995</v>
          </cell>
          <cell r="J37">
            <v>45619.707483333332</v>
          </cell>
          <cell r="K37">
            <v>132763</v>
          </cell>
          <cell r="L37">
            <v>290356</v>
          </cell>
          <cell r="M37" t="str">
            <v>HC</v>
          </cell>
          <cell r="N37">
            <v>12580</v>
          </cell>
          <cell r="O37">
            <v>36295</v>
          </cell>
        </row>
        <row r="38">
          <cell r="C38" t="str">
            <v>AYUDANTE</v>
          </cell>
          <cell r="D38" t="str">
            <v>1.2 S.M.L.V.</v>
          </cell>
          <cell r="E38">
            <v>34190.046666666669</v>
          </cell>
          <cell r="F38">
            <v>3</v>
          </cell>
          <cell r="G38">
            <v>102570.14000000001</v>
          </cell>
          <cell r="I38">
            <v>0.84960000000000002</v>
          </cell>
          <cell r="J38">
            <v>87143.59094400001</v>
          </cell>
          <cell r="N38">
            <v>7905</v>
          </cell>
        </row>
        <row r="39">
          <cell r="A39" t="str">
            <v>MM</v>
          </cell>
          <cell r="B39" t="str">
            <v>Cuadrilla MM: Pavimentos. (1 Of.Pav.+ 1 Rastr. + 4 Ayud.).</v>
          </cell>
          <cell r="C39" t="str">
            <v>OFICIAL PAVIMENTO</v>
          </cell>
          <cell r="D39" t="str">
            <v>3.0 S.M.L.V.</v>
          </cell>
          <cell r="E39">
            <v>78124.2</v>
          </cell>
          <cell r="F39">
            <v>1</v>
          </cell>
          <cell r="G39">
            <v>78124.2</v>
          </cell>
          <cell r="H39">
            <v>301157</v>
          </cell>
          <cell r="I39">
            <v>0.80820000000000003</v>
          </cell>
          <cell r="J39">
            <v>63139.978439999999</v>
          </cell>
          <cell r="K39">
            <v>249804</v>
          </cell>
          <cell r="L39">
            <v>550961</v>
          </cell>
          <cell r="M39" t="str">
            <v>HC</v>
          </cell>
          <cell r="N39">
            <v>17658</v>
          </cell>
          <cell r="O39">
            <v>68870</v>
          </cell>
        </row>
        <row r="40">
          <cell r="C40" t="str">
            <v>RASTRILLERO</v>
          </cell>
          <cell r="D40" t="str">
            <v>2.0 S.M.L.V.</v>
          </cell>
          <cell r="E40">
            <v>55023.166666666664</v>
          </cell>
          <cell r="F40">
            <v>1</v>
          </cell>
          <cell r="G40">
            <v>55023.166666666664</v>
          </cell>
          <cell r="I40">
            <v>0.82909999999999995</v>
          </cell>
          <cell r="J40">
            <v>45619.707483333332</v>
          </cell>
          <cell r="N40">
            <v>12580</v>
          </cell>
        </row>
        <row r="41">
          <cell r="C41" t="str">
            <v>AYUDANTE</v>
          </cell>
          <cell r="D41" t="str">
            <v>1.5 S.M.L.V.</v>
          </cell>
          <cell r="E41">
            <v>42002.466666666667</v>
          </cell>
          <cell r="F41">
            <v>4</v>
          </cell>
          <cell r="G41">
            <v>168009.86666666667</v>
          </cell>
          <cell r="I41">
            <v>0.83950000000000002</v>
          </cell>
          <cell r="J41">
            <v>141044.28306666669</v>
          </cell>
          <cell r="N41">
            <v>9658</v>
          </cell>
        </row>
        <row r="42">
          <cell r="A42" t="str">
            <v>NN</v>
          </cell>
          <cell r="B42" t="str">
            <v>Cuadrilla NN: Instalaciones hidrosanitarias. (1 Of.Insta.+ 2 Ayud.).</v>
          </cell>
          <cell r="C42" t="str">
            <v>OFICIAL INSTALADOR</v>
          </cell>
          <cell r="D42" t="str">
            <v>2.5 S.M.L.V.</v>
          </cell>
          <cell r="E42">
            <v>65103.5</v>
          </cell>
          <cell r="F42">
            <v>1</v>
          </cell>
          <cell r="G42">
            <v>65103.5</v>
          </cell>
          <cell r="H42">
            <v>191111</v>
          </cell>
          <cell r="I42">
            <v>0.81069999999999998</v>
          </cell>
          <cell r="J42">
            <v>52779.407449999999</v>
          </cell>
          <cell r="K42">
            <v>158563</v>
          </cell>
          <cell r="L42">
            <v>349674</v>
          </cell>
          <cell r="M42" t="str">
            <v>HC</v>
          </cell>
          <cell r="N42">
            <v>14735</v>
          </cell>
          <cell r="O42">
            <v>43709</v>
          </cell>
        </row>
        <row r="43">
          <cell r="C43" t="str">
            <v>AYUDANTE</v>
          </cell>
          <cell r="D43" t="str">
            <v>1.5 S.M.L.V.</v>
          </cell>
          <cell r="E43">
            <v>42002.466666666667</v>
          </cell>
          <cell r="F43">
            <v>3</v>
          </cell>
          <cell r="G43">
            <v>126007.4</v>
          </cell>
          <cell r="I43">
            <v>0.83950000000000002</v>
          </cell>
          <cell r="J43">
            <v>105783.2123</v>
          </cell>
          <cell r="N43">
            <v>9658</v>
          </cell>
        </row>
        <row r="44">
          <cell r="A44" t="str">
            <v>OO</v>
          </cell>
          <cell r="B44" t="str">
            <v xml:space="preserve">Operador de maquinaria pesada. </v>
          </cell>
          <cell r="C44" t="str">
            <v>OPERADOR</v>
          </cell>
          <cell r="D44" t="str">
            <v>3.0 S.M.L.V.</v>
          </cell>
          <cell r="E44">
            <v>78124.2</v>
          </cell>
          <cell r="F44">
            <v>1</v>
          </cell>
          <cell r="G44">
            <v>78124.2</v>
          </cell>
          <cell r="H44">
            <v>78124</v>
          </cell>
          <cell r="I44">
            <v>0.80820000000000003</v>
          </cell>
          <cell r="J44">
            <v>63139.978439999999</v>
          </cell>
          <cell r="K44">
            <v>63140</v>
          </cell>
          <cell r="L44">
            <v>141264</v>
          </cell>
          <cell r="M44" t="str">
            <v>HC</v>
          </cell>
          <cell r="N44">
            <v>17658</v>
          </cell>
          <cell r="O44">
            <v>17658</v>
          </cell>
        </row>
      </sheetData>
      <sheetData sheetId="5" refreshError="1"/>
      <sheetData sheetId="6">
        <row r="6">
          <cell r="H6">
            <v>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ILLA SAGRARIO"/>
      <sheetName val="RESUMEN"/>
      <sheetName val="TUBERIA"/>
      <sheetName val="DOMICILIARIAS"/>
      <sheetName val="ASFALTO"/>
      <sheetName val="PAVIMENTO"/>
      <sheetName val="ANDENES"/>
      <sheetName val="SOBREPISO"/>
      <sheetName val="ACOMETIDAS"/>
      <sheetName val="FACTORES"/>
      <sheetName val="OBRA NEIVA"/>
    </sheetNames>
    <sheetDataSet>
      <sheetData sheetId="0"/>
      <sheetData sheetId="1"/>
      <sheetData sheetId="2" refreshError="1">
        <row r="12">
          <cell r="S12">
            <v>1.2555959999999899</v>
          </cell>
        </row>
      </sheetData>
      <sheetData sheetId="3"/>
      <sheetData sheetId="4"/>
      <sheetData sheetId="5"/>
      <sheetData sheetId="6"/>
      <sheetData sheetId="7"/>
      <sheetData sheetId="8"/>
      <sheetData sheetId="9"/>
      <sheetData sheetId="1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MODELO APU"/>
      <sheetName val="APUB1"/>
      <sheetName val="APUB2"/>
      <sheetName val="APUB3"/>
      <sheetName val="APUB4"/>
      <sheetName val="APUB5"/>
      <sheetName val="PRESUPUESTO PUENTE CLL 10B"/>
      <sheetName val="LOCALIZACION Y REPLANTEO"/>
      <sheetName val="DEMOLICION"/>
      <sheetName val="DEMOLICION DE OBRAS EN CONC"/>
      <sheetName val="DEMOLICION  EN CONC CICLO"/>
      <sheetName val="EXCAV. MANUAL"/>
      <sheetName val="EXCAV.  MECANICA"/>
      <sheetName val="EXCAV.  MECANICA  BAJO AGUA"/>
      <sheetName val="EXCAV.  ROCA"/>
      <sheetName val="RELLENO"/>
      <sheetName val="CCTO. 3000 ESTRIB"/>
      <sheetName val="CCTO. 3000 PLACA P.V."/>
      <sheetName val="ACERO No.3"/>
      <sheetName val="ACERO No.4"/>
      <sheetName val="ACERO No.5 "/>
      <sheetName val="ACERO No.6"/>
      <sheetName val="ACERO No.7 "/>
      <sheetName val="BARANDA VEHICULAR"/>
      <sheetName val="BARANDA  PEATONAL"/>
      <sheetName val="Hoja1"/>
    </sheetNames>
    <sheetDataSet>
      <sheetData sheetId="0">
        <row r="2">
          <cell r="G2" t="str">
            <v>No.</v>
          </cell>
          <cell r="H2" t="str">
            <v>EQUIPO</v>
          </cell>
          <cell r="I2" t="str">
            <v>UNID.</v>
          </cell>
          <cell r="J2" t="str">
            <v>VR. UNIT.</v>
          </cell>
        </row>
        <row r="3">
          <cell r="G3">
            <v>1</v>
          </cell>
          <cell r="H3" t="str">
            <v>Canguro . Compactador</v>
          </cell>
          <cell r="I3" t="str">
            <v>Dia</v>
          </cell>
        </row>
        <row r="4">
          <cell r="G4">
            <v>2</v>
          </cell>
          <cell r="H4" t="str">
            <v>Cargador</v>
          </cell>
          <cell r="I4" t="str">
            <v>Hora</v>
          </cell>
        </row>
        <row r="5">
          <cell r="G5">
            <v>3</v>
          </cell>
          <cell r="H5" t="str">
            <v>Cilindro vibrocompactador</v>
          </cell>
          <cell r="I5" t="str">
            <v>Hora</v>
          </cell>
        </row>
        <row r="6">
          <cell r="G6">
            <v>4</v>
          </cell>
          <cell r="H6" t="str">
            <v>Compresor con martillo</v>
          </cell>
          <cell r="I6" t="str">
            <v>Hora</v>
          </cell>
          <cell r="J6">
            <v>46400</v>
          </cell>
        </row>
        <row r="7">
          <cell r="G7">
            <v>5</v>
          </cell>
          <cell r="H7" t="str">
            <v>Cortadora de disco para asfalto, incluye disco diamantado</v>
          </cell>
          <cell r="I7" t="str">
            <v>Dia</v>
          </cell>
          <cell r="J7">
            <v>150000</v>
          </cell>
        </row>
        <row r="8">
          <cell r="G8">
            <v>6</v>
          </cell>
          <cell r="H8" t="str">
            <v>Equipo de topografía</v>
          </cell>
          <cell r="I8" t="str">
            <v>Dia</v>
          </cell>
          <cell r="J8">
            <v>80000</v>
          </cell>
        </row>
        <row r="9">
          <cell r="G9">
            <v>7</v>
          </cell>
          <cell r="H9" t="str">
            <v>Grúa</v>
          </cell>
          <cell r="I9" t="str">
            <v>Hora</v>
          </cell>
        </row>
        <row r="10">
          <cell r="G10">
            <v>8</v>
          </cell>
          <cell r="H10" t="str">
            <v>Mezcladora de concreto</v>
          </cell>
          <cell r="I10" t="str">
            <v>Dia</v>
          </cell>
          <cell r="J10">
            <v>50000</v>
          </cell>
        </row>
        <row r="11">
          <cell r="G11">
            <v>9</v>
          </cell>
          <cell r="H11" t="str">
            <v>Pulidora, incluye disco diamantado</v>
          </cell>
          <cell r="I11" t="str">
            <v>Dia</v>
          </cell>
          <cell r="J11">
            <v>45000</v>
          </cell>
        </row>
        <row r="12">
          <cell r="G12">
            <v>10</v>
          </cell>
          <cell r="H12" t="str">
            <v xml:space="preserve">Vibrador de concreto </v>
          </cell>
          <cell r="I12" t="str">
            <v>Dia</v>
          </cell>
          <cell r="J12">
            <v>35000</v>
          </cell>
        </row>
        <row r="13">
          <cell r="G13">
            <v>11</v>
          </cell>
          <cell r="H13" t="str">
            <v>Vibrocompactador manual (rana)</v>
          </cell>
          <cell r="I13" t="str">
            <v>Dia</v>
          </cell>
          <cell r="J13">
            <v>35000</v>
          </cell>
        </row>
        <row r="14">
          <cell r="G14">
            <v>12</v>
          </cell>
          <cell r="H14" t="str">
            <v>Volqueta,  6 M3</v>
          </cell>
          <cell r="I14" t="str">
            <v>Hora</v>
          </cell>
          <cell r="J14">
            <v>60000</v>
          </cell>
        </row>
        <row r="15">
          <cell r="G15">
            <v>13</v>
          </cell>
        </row>
        <row r="16">
          <cell r="G16">
            <v>14</v>
          </cell>
          <cell r="H16" t="str">
            <v>Retrocargador sobre llanta CAT 910 o simi</v>
          </cell>
          <cell r="I16" t="str">
            <v>Hora</v>
          </cell>
          <cell r="J16">
            <v>90000</v>
          </cell>
        </row>
        <row r="17">
          <cell r="G17">
            <v>15</v>
          </cell>
          <cell r="H17" t="str">
            <v>Retrocargador sobre orugas 902 o simil</v>
          </cell>
          <cell r="I17" t="str">
            <v>Hora</v>
          </cell>
          <cell r="J17">
            <v>130000</v>
          </cell>
        </row>
        <row r="18">
          <cell r="G18">
            <v>16</v>
          </cell>
          <cell r="H18" t="str">
            <v>Buldózer CAT D4 o similar</v>
          </cell>
          <cell r="I18" t="str">
            <v>Hora</v>
          </cell>
          <cell r="J18">
            <v>60000</v>
          </cell>
        </row>
        <row r="19">
          <cell r="G19">
            <v>17</v>
          </cell>
          <cell r="H19" t="str">
            <v>Buldózer CAT D5 o similar</v>
          </cell>
          <cell r="I19" t="str">
            <v>Hora</v>
          </cell>
          <cell r="J19">
            <v>70000</v>
          </cell>
        </row>
        <row r="20">
          <cell r="G20">
            <v>18</v>
          </cell>
          <cell r="H20" t="str">
            <v>Buldózer CAT D6 o similar</v>
          </cell>
          <cell r="I20" t="str">
            <v>Hora</v>
          </cell>
          <cell r="J20">
            <v>80000</v>
          </cell>
        </row>
        <row r="21">
          <cell r="G21">
            <v>19</v>
          </cell>
          <cell r="H21" t="str">
            <v>Motoniveladora CAT 120 o similar</v>
          </cell>
          <cell r="I21" t="str">
            <v>Hora</v>
          </cell>
          <cell r="J21">
            <v>90000</v>
          </cell>
        </row>
        <row r="22">
          <cell r="G22">
            <v>20</v>
          </cell>
          <cell r="H22" t="str">
            <v xml:space="preserve">Compresor genérico </v>
          </cell>
          <cell r="I22" t="str">
            <v>Hora</v>
          </cell>
          <cell r="J22">
            <v>35180.172299999998</v>
          </cell>
        </row>
        <row r="23">
          <cell r="G23">
            <v>21</v>
          </cell>
          <cell r="H23" t="str">
            <v>Volqueta de  5 M3</v>
          </cell>
          <cell r="I23" t="str">
            <v>Hora</v>
          </cell>
          <cell r="J23">
            <v>28144.137839999999</v>
          </cell>
        </row>
        <row r="24">
          <cell r="G24">
            <v>22</v>
          </cell>
          <cell r="H24" t="str">
            <v>Irrigador 3000 Gl Dodge o simil</v>
          </cell>
          <cell r="I24" t="str">
            <v>Hora</v>
          </cell>
          <cell r="J24">
            <v>39870.861939999995</v>
          </cell>
        </row>
        <row r="25">
          <cell r="G25">
            <v>23</v>
          </cell>
          <cell r="H25" t="str">
            <v>Barredora Raygo o simil</v>
          </cell>
          <cell r="I25" t="str">
            <v>Hora</v>
          </cell>
          <cell r="J25">
            <v>29316.810249999999</v>
          </cell>
        </row>
        <row r="26">
          <cell r="G26">
            <v>24</v>
          </cell>
          <cell r="H26" t="str">
            <v>Cargador CAT 930 o similar</v>
          </cell>
          <cell r="I26" t="str">
            <v>Hora</v>
          </cell>
          <cell r="J26">
            <v>70000</v>
          </cell>
        </row>
        <row r="27">
          <cell r="G27">
            <v>25</v>
          </cell>
          <cell r="H27" t="str">
            <v>Vibriocompactador dinapac CAT 15A o simil</v>
          </cell>
          <cell r="I27" t="str">
            <v>Hora</v>
          </cell>
          <cell r="J27">
            <v>85000</v>
          </cell>
        </row>
        <row r="28">
          <cell r="G28">
            <v>26</v>
          </cell>
          <cell r="H28" t="str">
            <v>Vibriocompactador manual (Rana generico)</v>
          </cell>
          <cell r="I28" t="str">
            <v>Dia</v>
          </cell>
          <cell r="J28">
            <v>35180.172299999998</v>
          </cell>
        </row>
        <row r="29">
          <cell r="G29">
            <v>27</v>
          </cell>
          <cell r="H29" t="str">
            <v>Carrotanque Agua</v>
          </cell>
          <cell r="I29" t="str">
            <v>Hora</v>
          </cell>
          <cell r="J29">
            <v>35600</v>
          </cell>
        </row>
        <row r="30">
          <cell r="G30">
            <v>28</v>
          </cell>
          <cell r="H30" t="str">
            <v>FINISHR CMI AP1100</v>
          </cell>
          <cell r="I30" t="str">
            <v>Hora</v>
          </cell>
          <cell r="J30">
            <v>130000</v>
          </cell>
        </row>
        <row r="31">
          <cell r="G31">
            <v>29</v>
          </cell>
          <cell r="H31" t="str">
            <v>Motosierra</v>
          </cell>
          <cell r="I31" t="str">
            <v>Glob</v>
          </cell>
          <cell r="J31">
            <v>45000</v>
          </cell>
        </row>
        <row r="32">
          <cell r="G32">
            <v>30</v>
          </cell>
          <cell r="H32" t="str">
            <v>Andamios</v>
          </cell>
          <cell r="I32" t="str">
            <v>Hora</v>
          </cell>
          <cell r="J32">
            <v>15000</v>
          </cell>
        </row>
        <row r="33">
          <cell r="G33">
            <v>31</v>
          </cell>
          <cell r="H33" t="str">
            <v>Retroexcavadora</v>
          </cell>
          <cell r="I33" t="str">
            <v>Hora</v>
          </cell>
          <cell r="J33">
            <v>70000</v>
          </cell>
        </row>
        <row r="34">
          <cell r="G34">
            <v>32</v>
          </cell>
          <cell r="H34" t="str">
            <v>Motobomba 3"</v>
          </cell>
          <cell r="I34" t="str">
            <v>Hora</v>
          </cell>
          <cell r="J34">
            <v>30000</v>
          </cell>
        </row>
        <row r="35">
          <cell r="G35">
            <v>33</v>
          </cell>
          <cell r="H35" t="str">
            <v>Equipo de soldadura</v>
          </cell>
          <cell r="I35" t="str">
            <v>Dia</v>
          </cell>
          <cell r="J35">
            <v>45000</v>
          </cell>
        </row>
        <row r="36">
          <cell r="G36">
            <v>34</v>
          </cell>
        </row>
        <row r="37">
          <cell r="G37">
            <v>35</v>
          </cell>
        </row>
        <row r="38">
          <cell r="G38">
            <v>36</v>
          </cell>
        </row>
        <row r="39">
          <cell r="G39">
            <v>36</v>
          </cell>
        </row>
        <row r="40">
          <cell r="G40">
            <v>37</v>
          </cell>
        </row>
        <row r="41">
          <cell r="G41">
            <v>37</v>
          </cell>
        </row>
        <row r="42">
          <cell r="G42">
            <v>38</v>
          </cell>
        </row>
        <row r="43">
          <cell r="G43">
            <v>38</v>
          </cell>
        </row>
        <row r="44">
          <cell r="G44">
            <v>39</v>
          </cell>
        </row>
        <row r="45">
          <cell r="G45">
            <v>40</v>
          </cell>
        </row>
        <row r="46">
          <cell r="G46">
            <v>40</v>
          </cell>
        </row>
        <row r="47">
          <cell r="G47">
            <v>41</v>
          </cell>
        </row>
        <row r="48">
          <cell r="G48">
            <v>42</v>
          </cell>
        </row>
        <row r="49">
          <cell r="G49">
            <v>43</v>
          </cell>
        </row>
        <row r="50">
          <cell r="G50">
            <v>44</v>
          </cell>
        </row>
        <row r="51">
          <cell r="G51">
            <v>45</v>
          </cell>
        </row>
        <row r="52">
          <cell r="G52">
            <v>46</v>
          </cell>
        </row>
        <row r="53">
          <cell r="G53">
            <v>47</v>
          </cell>
        </row>
        <row r="54">
          <cell r="G54">
            <v>48</v>
          </cell>
        </row>
        <row r="55">
          <cell r="G55">
            <v>49</v>
          </cell>
        </row>
        <row r="56">
          <cell r="G56">
            <v>50</v>
          </cell>
        </row>
        <row r="57">
          <cell r="G57">
            <v>51</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MODELO APU"/>
      <sheetName val="APUB1"/>
      <sheetName val="APUB2"/>
      <sheetName val="APUB3"/>
      <sheetName val="APUB4"/>
      <sheetName val="APUB5"/>
      <sheetName val="PRESUPUESTO PUENTE CLL 10B"/>
      <sheetName val="LOCALIZACION Y REPLANTEO"/>
      <sheetName val="DEMOLICION"/>
      <sheetName val="DEMOLICION DE OBRAS EN CONC"/>
      <sheetName val="DEMOLICION  EN CONC CICLO"/>
      <sheetName val="EXCAV. MANUAL"/>
      <sheetName val="EXCAV.  MECANICA"/>
      <sheetName val="EXCAV.  MECANICA  BAJO AGUA"/>
      <sheetName val="EXCAV.  ROCA"/>
      <sheetName val="RELLENO"/>
      <sheetName val="CCTO. 3000 ESTRIB"/>
      <sheetName val="CCTO. 3000 PLACA P.V."/>
      <sheetName val="ACERO No.3"/>
      <sheetName val="ACERO No.4"/>
      <sheetName val="ACERO No.5 "/>
      <sheetName val="ACERO No.6"/>
      <sheetName val="ACERO No.7 "/>
      <sheetName val="BARANDA VEHICULAR"/>
      <sheetName val="BARANDA  PEATONAL"/>
      <sheetName val="Hoja1"/>
    </sheetNames>
    <sheetDataSet>
      <sheetData sheetId="0">
        <row r="2">
          <cell r="G2" t="str">
            <v>No.</v>
          </cell>
          <cell r="H2" t="str">
            <v>EQUIPO</v>
          </cell>
          <cell r="I2" t="str">
            <v>UNID.</v>
          </cell>
          <cell r="J2" t="str">
            <v>VR. UNIT.</v>
          </cell>
        </row>
        <row r="3">
          <cell r="G3">
            <v>1</v>
          </cell>
          <cell r="H3" t="str">
            <v>Canguro . Compactador</v>
          </cell>
          <cell r="I3" t="str">
            <v>Dia</v>
          </cell>
        </row>
        <row r="4">
          <cell r="G4">
            <v>2</v>
          </cell>
          <cell r="H4" t="str">
            <v>Cargador</v>
          </cell>
          <cell r="I4" t="str">
            <v>Hora</v>
          </cell>
        </row>
        <row r="5">
          <cell r="G5">
            <v>3</v>
          </cell>
          <cell r="H5" t="str">
            <v>Cilindro vibrocompactador</v>
          </cell>
          <cell r="I5" t="str">
            <v>Hora</v>
          </cell>
        </row>
        <row r="6">
          <cell r="G6">
            <v>4</v>
          </cell>
          <cell r="H6" t="str">
            <v>Compresor con martillo</v>
          </cell>
          <cell r="I6" t="str">
            <v>Hora</v>
          </cell>
          <cell r="J6">
            <v>46400</v>
          </cell>
        </row>
        <row r="7">
          <cell r="G7">
            <v>5</v>
          </cell>
          <cell r="H7" t="str">
            <v>Cortadora de disco para asfalto, incluye disco diamantado</v>
          </cell>
          <cell r="I7" t="str">
            <v>Dia</v>
          </cell>
          <cell r="J7">
            <v>150000</v>
          </cell>
        </row>
        <row r="8">
          <cell r="G8">
            <v>6</v>
          </cell>
          <cell r="H8" t="str">
            <v>Equipo de topografía</v>
          </cell>
          <cell r="I8" t="str">
            <v>Dia</v>
          </cell>
          <cell r="J8">
            <v>80000</v>
          </cell>
        </row>
        <row r="9">
          <cell r="G9">
            <v>7</v>
          </cell>
          <cell r="H9" t="str">
            <v>Grúa</v>
          </cell>
          <cell r="I9" t="str">
            <v>Hora</v>
          </cell>
        </row>
        <row r="10">
          <cell r="G10">
            <v>8</v>
          </cell>
          <cell r="H10" t="str">
            <v>Mezcladora de concreto</v>
          </cell>
          <cell r="I10" t="str">
            <v>Dia</v>
          </cell>
          <cell r="J10">
            <v>50000</v>
          </cell>
        </row>
        <row r="11">
          <cell r="G11">
            <v>9</v>
          </cell>
          <cell r="H11" t="str">
            <v>Pulidora, incluye disco diamantado</v>
          </cell>
          <cell r="I11" t="str">
            <v>Dia</v>
          </cell>
          <cell r="J11">
            <v>45000</v>
          </cell>
        </row>
        <row r="12">
          <cell r="G12">
            <v>10</v>
          </cell>
          <cell r="H12" t="str">
            <v xml:space="preserve">Vibrador de concreto </v>
          </cell>
          <cell r="I12" t="str">
            <v>Dia</v>
          </cell>
          <cell r="J12">
            <v>35000</v>
          </cell>
        </row>
        <row r="13">
          <cell r="G13">
            <v>11</v>
          </cell>
          <cell r="H13" t="str">
            <v>Vibrocompactador manual (rana)</v>
          </cell>
          <cell r="I13" t="str">
            <v>Dia</v>
          </cell>
          <cell r="J13">
            <v>35000</v>
          </cell>
        </row>
        <row r="14">
          <cell r="G14">
            <v>12</v>
          </cell>
          <cell r="H14" t="str">
            <v>Volqueta,  6 M3</v>
          </cell>
          <cell r="I14" t="str">
            <v>Hora</v>
          </cell>
          <cell r="J14">
            <v>60000</v>
          </cell>
        </row>
        <row r="15">
          <cell r="G15">
            <v>13</v>
          </cell>
        </row>
        <row r="16">
          <cell r="G16">
            <v>14</v>
          </cell>
          <cell r="H16" t="str">
            <v>Retrocargador sobre llanta CAT 910 o simi</v>
          </cell>
          <cell r="I16" t="str">
            <v>Hora</v>
          </cell>
          <cell r="J16">
            <v>90000</v>
          </cell>
        </row>
        <row r="17">
          <cell r="G17">
            <v>15</v>
          </cell>
          <cell r="H17" t="str">
            <v>Retrocargador sobre orugas 902 o simil</v>
          </cell>
          <cell r="I17" t="str">
            <v>Hora</v>
          </cell>
          <cell r="J17">
            <v>130000</v>
          </cell>
        </row>
        <row r="18">
          <cell r="G18">
            <v>16</v>
          </cell>
          <cell r="H18" t="str">
            <v>Buldózer CAT D4 o similar</v>
          </cell>
          <cell r="I18" t="str">
            <v>Hora</v>
          </cell>
          <cell r="J18">
            <v>60000</v>
          </cell>
        </row>
        <row r="19">
          <cell r="G19">
            <v>17</v>
          </cell>
          <cell r="H19" t="str">
            <v>Buldózer CAT D5 o similar</v>
          </cell>
          <cell r="I19" t="str">
            <v>Hora</v>
          </cell>
          <cell r="J19">
            <v>70000</v>
          </cell>
        </row>
        <row r="20">
          <cell r="G20">
            <v>18</v>
          </cell>
          <cell r="H20" t="str">
            <v>Buldózer CAT D6 o similar</v>
          </cell>
          <cell r="I20" t="str">
            <v>Hora</v>
          </cell>
          <cell r="J20">
            <v>80000</v>
          </cell>
        </row>
        <row r="21">
          <cell r="G21">
            <v>19</v>
          </cell>
          <cell r="H21" t="str">
            <v>Motoniveladora CAT 120 o similar</v>
          </cell>
          <cell r="I21" t="str">
            <v>Hora</v>
          </cell>
          <cell r="J21">
            <v>90000</v>
          </cell>
        </row>
        <row r="22">
          <cell r="G22">
            <v>20</v>
          </cell>
          <cell r="H22" t="str">
            <v xml:space="preserve">Compresor genérico </v>
          </cell>
          <cell r="I22" t="str">
            <v>Hora</v>
          </cell>
          <cell r="J22">
            <v>35180.172299999998</v>
          </cell>
        </row>
        <row r="23">
          <cell r="G23">
            <v>21</v>
          </cell>
          <cell r="H23" t="str">
            <v>Volqueta de  5 M3</v>
          </cell>
          <cell r="I23" t="str">
            <v>Hora</v>
          </cell>
          <cell r="J23">
            <v>28144.137839999999</v>
          </cell>
        </row>
        <row r="24">
          <cell r="G24">
            <v>22</v>
          </cell>
          <cell r="H24" t="str">
            <v>Irrigador 3000 Gl Dodge o simil</v>
          </cell>
          <cell r="I24" t="str">
            <v>Hora</v>
          </cell>
          <cell r="J24">
            <v>39870.861939999995</v>
          </cell>
        </row>
        <row r="25">
          <cell r="G25">
            <v>23</v>
          </cell>
          <cell r="H25" t="str">
            <v>Barredora Raygo o simil</v>
          </cell>
          <cell r="I25" t="str">
            <v>Hora</v>
          </cell>
          <cell r="J25">
            <v>29316.810249999999</v>
          </cell>
        </row>
        <row r="26">
          <cell r="G26">
            <v>24</v>
          </cell>
          <cell r="H26" t="str">
            <v>Cargador CAT 930 o similar</v>
          </cell>
          <cell r="I26" t="str">
            <v>Hora</v>
          </cell>
          <cell r="J26">
            <v>70000</v>
          </cell>
        </row>
        <row r="27">
          <cell r="G27">
            <v>25</v>
          </cell>
          <cell r="H27" t="str">
            <v>Vibriocompactador dinapac CAT 15A o simil</v>
          </cell>
          <cell r="I27" t="str">
            <v>Hora</v>
          </cell>
          <cell r="J27">
            <v>85000</v>
          </cell>
        </row>
        <row r="28">
          <cell r="G28">
            <v>26</v>
          </cell>
          <cell r="H28" t="str">
            <v>Vibriocompactador manual (Rana generico)</v>
          </cell>
          <cell r="I28" t="str">
            <v>Dia</v>
          </cell>
          <cell r="J28">
            <v>35180.172299999998</v>
          </cell>
        </row>
        <row r="29">
          <cell r="G29">
            <v>27</v>
          </cell>
          <cell r="H29" t="str">
            <v>Carrotanque Agua</v>
          </cell>
          <cell r="I29" t="str">
            <v>Hora</v>
          </cell>
          <cell r="J29">
            <v>35600</v>
          </cell>
        </row>
        <row r="30">
          <cell r="G30">
            <v>28</v>
          </cell>
          <cell r="H30" t="str">
            <v>FINISHR CMI AP1100</v>
          </cell>
          <cell r="I30" t="str">
            <v>Hora</v>
          </cell>
          <cell r="J30">
            <v>130000</v>
          </cell>
        </row>
        <row r="31">
          <cell r="G31">
            <v>29</v>
          </cell>
          <cell r="H31" t="str">
            <v>Motosierra</v>
          </cell>
          <cell r="I31" t="str">
            <v>Glob</v>
          </cell>
          <cell r="J31">
            <v>45000</v>
          </cell>
        </row>
        <row r="32">
          <cell r="G32">
            <v>30</v>
          </cell>
          <cell r="H32" t="str">
            <v>Andamios</v>
          </cell>
          <cell r="I32" t="str">
            <v>Hora</v>
          </cell>
          <cell r="J32">
            <v>15000</v>
          </cell>
        </row>
        <row r="33">
          <cell r="G33">
            <v>31</v>
          </cell>
          <cell r="H33" t="str">
            <v>Retroexcavadora</v>
          </cell>
          <cell r="I33" t="str">
            <v>Hora</v>
          </cell>
          <cell r="J33">
            <v>70000</v>
          </cell>
        </row>
        <row r="34">
          <cell r="G34">
            <v>32</v>
          </cell>
          <cell r="H34" t="str">
            <v>Motobomba 3"</v>
          </cell>
          <cell r="I34" t="str">
            <v>Hora</v>
          </cell>
          <cell r="J34">
            <v>30000</v>
          </cell>
        </row>
        <row r="35">
          <cell r="G35">
            <v>33</v>
          </cell>
          <cell r="H35" t="str">
            <v>Equipo de soldadura</v>
          </cell>
          <cell r="I35" t="str">
            <v>Dia</v>
          </cell>
          <cell r="J35">
            <v>45000</v>
          </cell>
        </row>
        <row r="36">
          <cell r="G36">
            <v>34</v>
          </cell>
        </row>
        <row r="37">
          <cell r="G37">
            <v>35</v>
          </cell>
        </row>
        <row r="38">
          <cell r="G38">
            <v>36</v>
          </cell>
        </row>
        <row r="39">
          <cell r="G39">
            <v>36</v>
          </cell>
        </row>
        <row r="40">
          <cell r="G40">
            <v>37</v>
          </cell>
        </row>
        <row r="41">
          <cell r="G41">
            <v>37</v>
          </cell>
        </row>
        <row r="42">
          <cell r="G42">
            <v>38</v>
          </cell>
        </row>
        <row r="43">
          <cell r="G43">
            <v>38</v>
          </cell>
        </row>
        <row r="44">
          <cell r="G44">
            <v>39</v>
          </cell>
        </row>
        <row r="45">
          <cell r="G45">
            <v>40</v>
          </cell>
        </row>
        <row r="46">
          <cell r="G46">
            <v>40</v>
          </cell>
        </row>
        <row r="47">
          <cell r="G47">
            <v>41</v>
          </cell>
        </row>
        <row r="48">
          <cell r="G48">
            <v>42</v>
          </cell>
        </row>
        <row r="49">
          <cell r="G49">
            <v>43</v>
          </cell>
        </row>
        <row r="50">
          <cell r="G50">
            <v>44</v>
          </cell>
        </row>
        <row r="51">
          <cell r="G51">
            <v>45</v>
          </cell>
        </row>
        <row r="52">
          <cell r="G52">
            <v>46</v>
          </cell>
        </row>
        <row r="53">
          <cell r="G53">
            <v>47</v>
          </cell>
        </row>
        <row r="54">
          <cell r="G54">
            <v>48</v>
          </cell>
        </row>
        <row r="55">
          <cell r="G55">
            <v>49</v>
          </cell>
        </row>
        <row r="56">
          <cell r="G56">
            <v>50</v>
          </cell>
        </row>
        <row r="57">
          <cell r="G57">
            <v>51</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m con"/>
      <sheetName val="FACTORES"/>
      <sheetName val="ACOMETIDAS"/>
      <sheetName val="SUMA TUBERIA"/>
      <sheetName val="TUBERIA"/>
      <sheetName val="CONST DOM"/>
      <sheetName val="PAVIMENTO"/>
      <sheetName val="dem poz"/>
      <sheetName val="RESUMEN"/>
      <sheetName val="SAN BASILIO N"/>
    </sheetNames>
    <sheetDataSet>
      <sheetData sheetId="0"/>
      <sheetData sheetId="1"/>
      <sheetData sheetId="2"/>
      <sheetData sheetId="3"/>
      <sheetData sheetId="4" refreshError="1">
        <row r="10">
          <cell r="AB10">
            <v>0</v>
          </cell>
        </row>
        <row r="14">
          <cell r="AB14">
            <v>0.56999999999999995</v>
          </cell>
        </row>
        <row r="15">
          <cell r="AB15">
            <v>0</v>
          </cell>
        </row>
        <row r="19">
          <cell r="AB19">
            <v>0.56999999999999995</v>
          </cell>
        </row>
        <row r="20">
          <cell r="AB20">
            <v>0</v>
          </cell>
        </row>
        <row r="24">
          <cell r="AB24">
            <v>0.56999999999999995</v>
          </cell>
        </row>
        <row r="25">
          <cell r="AB25">
            <v>0</v>
          </cell>
        </row>
        <row r="29">
          <cell r="AB29">
            <v>0.56999999999999995</v>
          </cell>
        </row>
        <row r="30">
          <cell r="AB30">
            <v>0</v>
          </cell>
        </row>
        <row r="34">
          <cell r="AB34">
            <v>0.56999999999999995</v>
          </cell>
        </row>
        <row r="35">
          <cell r="AB35">
            <v>0</v>
          </cell>
        </row>
        <row r="39">
          <cell r="AB39">
            <v>0</v>
          </cell>
        </row>
        <row r="40">
          <cell r="AB40">
            <v>0</v>
          </cell>
        </row>
        <row r="44">
          <cell r="AB44">
            <v>0.56999999999999995</v>
          </cell>
        </row>
        <row r="45">
          <cell r="AB45">
            <v>0</v>
          </cell>
        </row>
        <row r="49">
          <cell r="AB49">
            <v>0.56999999999999995</v>
          </cell>
        </row>
        <row r="50">
          <cell r="AB50">
            <v>0</v>
          </cell>
        </row>
        <row r="54">
          <cell r="AB54">
            <v>0.56999999999999995</v>
          </cell>
        </row>
        <row r="55">
          <cell r="AB55">
            <v>0</v>
          </cell>
        </row>
        <row r="59">
          <cell r="AB59">
            <v>0.56999999999999995</v>
          </cell>
        </row>
        <row r="60">
          <cell r="AB60">
            <v>0</v>
          </cell>
        </row>
        <row r="64">
          <cell r="AB64">
            <v>0.56999999999999995</v>
          </cell>
        </row>
        <row r="65">
          <cell r="AB65">
            <v>0</v>
          </cell>
        </row>
        <row r="69">
          <cell r="AB69">
            <v>0.56999999999999995</v>
          </cell>
        </row>
        <row r="70">
          <cell r="AB70">
            <v>0</v>
          </cell>
        </row>
        <row r="74">
          <cell r="AB74">
            <v>0.56999999999999995</v>
          </cell>
        </row>
        <row r="75">
          <cell r="AB75">
            <v>0</v>
          </cell>
        </row>
        <row r="79">
          <cell r="AB79">
            <v>0.56999999999999995</v>
          </cell>
        </row>
        <row r="80">
          <cell r="AB80">
            <v>0</v>
          </cell>
        </row>
        <row r="84">
          <cell r="AB84">
            <v>0.56999999999999995</v>
          </cell>
        </row>
      </sheetData>
      <sheetData sheetId="5"/>
      <sheetData sheetId="6"/>
      <sheetData sheetId="7"/>
      <sheetData sheetId="8"/>
      <sheetData sheetId="9"/>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ES"/>
      <sheetName val="TUBERIA"/>
    </sheetNames>
    <sheetDataSet>
      <sheetData sheetId="0" refreshError="1">
        <row r="8">
          <cell r="M8">
            <v>1.6584571641407996E-2</v>
          </cell>
        </row>
        <row r="9">
          <cell r="M9">
            <v>2.2426467938538669E-2</v>
          </cell>
        </row>
        <row r="10">
          <cell r="M10">
            <v>2.8274936599466664E-2</v>
          </cell>
        </row>
        <row r="11">
          <cell r="M11">
            <v>3.829661593736533E-2</v>
          </cell>
        </row>
        <row r="12">
          <cell r="M12">
            <v>4.5516980430421336E-2</v>
          </cell>
        </row>
        <row r="13">
          <cell r="M13">
            <v>5.3258333226048005E-2</v>
          </cell>
        </row>
        <row r="14">
          <cell r="M14">
            <v>6.1634517528832006E-2</v>
          </cell>
        </row>
        <row r="15">
          <cell r="M15">
            <v>7.0733394045866677E-2</v>
          </cell>
        </row>
        <row r="16">
          <cell r="M16">
            <v>9.5576087426047993E-2</v>
          </cell>
        </row>
        <row r="17">
          <cell r="M17">
            <v>0.12212833482117867</v>
          </cell>
        </row>
        <row r="18">
          <cell r="M18">
            <v>0.14359225586346663</v>
          </cell>
        </row>
        <row r="19">
          <cell r="M19">
            <v>0.17174652128076801</v>
          </cell>
        </row>
        <row r="20">
          <cell r="M20">
            <v>0.20882594236319996</v>
          </cell>
        </row>
        <row r="21">
          <cell r="M21">
            <v>0.24948355910860801</v>
          </cell>
        </row>
        <row r="22">
          <cell r="M22">
            <v>0.29331212464947198</v>
          </cell>
        </row>
        <row r="23">
          <cell r="M23">
            <v>0.50414299258879991</v>
          </cell>
        </row>
      </sheetData>
      <sheetData sheetId="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PRECIOS"/>
      <sheetName val="Listado"/>
      <sheetName val="PE_02"/>
      <sheetName val="UNITARIOS"/>
      <sheetName val="PE-02"/>
      <sheetName val="BASE"/>
      <sheetName val="DATOS GRAFICOS"/>
      <sheetName val="Estruc_ Tarif"/>
      <sheetName val="FICHA EBI 1 de 6 "/>
      <sheetName val="BASE DATOS"/>
      <sheetName val="RECIBO FINAL"/>
      <sheetName val="MANO DE OBRA"/>
      <sheetName val="EQUIPO"/>
      <sheetName val="MATERIALES"/>
      <sheetName val="5094-2003"/>
      <sheetName val="INSUMOS"/>
      <sheetName val="Hoja3"/>
      <sheetName val="1.1"/>
      <sheetName val="TUBERIA"/>
      <sheetName val="Hoja2"/>
      <sheetName val="Listas"/>
      <sheetName val="Desmonte y Limpieza"/>
      <sheetName val="Form5 _Pág_ 1"/>
      <sheetName val="Form5 _Pág_ 2"/>
      <sheetName val="Datos Generales"/>
      <sheetName val="ITEMS"/>
      <sheetName val="APU"/>
      <sheetName val="AIU"/>
      <sheetName val="CONS"/>
      <sheetName val="31"/>
      <sheetName val="7.12"/>
      <sheetName val="Tablas"/>
      <sheetName val="UNITARIOS GENERALES.xls"/>
      <sheetName val="Insum"/>
      <sheetName val="PESOS"/>
      <sheetName val="letra"/>
      <sheetName val="PRESUPUESTO"/>
      <sheetName val="5. MODIFICATORIA"/>
      <sheetName val="CRA.MODI"/>
      <sheetName val="ANEXO 9 (MATERIAL)"/>
      <sheetName val="ESTADO RED"/>
      <sheetName val="CARRETERAS"/>
      <sheetName val="GENERALIDADES "/>
      <sheetName val="INV"/>
      <sheetName val="AASHTO"/>
      <sheetName val="UNITARIOS_GENERALES"/>
      <sheetName val="5__MODIFICATORIA"/>
      <sheetName val="Anexo 13"/>
      <sheetName val="EBI-1"/>
      <sheetName val="\Documents and Settings\Adminis"/>
      <sheetName val="\Cofinanciacion\FICHAS Y FORMAT"/>
      <sheetName val="STRSUMM0"/>
      <sheetName val="Formato"/>
      <sheetName val="Parámetros"/>
    </sheetNames>
    <sheetDataSet>
      <sheetData sheetId="0" refreshError="1">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BASE"/>
      <sheetName val="PE-02"/>
      <sheetName val="PE_02"/>
      <sheetName val="Listado"/>
      <sheetName val="PRECIOS"/>
      <sheetName val="letra"/>
      <sheetName val="PESOS"/>
      <sheetName val="PRESUPUESTO"/>
      <sheetName val="5. MODIFICATORIA"/>
    </sheetNames>
    <sheetDataSet>
      <sheetData sheetId="0" refreshError="1">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ordenadas"/>
      <sheetName val="tramos"/>
      <sheetName val="Hoja6"/>
      <sheetName val="Hoja5"/>
      <sheetName val="Hoja4"/>
      <sheetName val="Hoja3"/>
      <sheetName val="Hoja2"/>
      <sheetName val="Hoja1"/>
    </sheetNames>
    <sheetDataSet>
      <sheetData sheetId="0">
        <row r="1">
          <cell r="A1" t="str">
            <v>ID NODO</v>
          </cell>
          <cell r="B1" t="str">
            <v>X</v>
          </cell>
          <cell r="C1" t="str">
            <v>Y</v>
          </cell>
          <cell r="D1" t="str">
            <v>Z</v>
          </cell>
        </row>
        <row r="2">
          <cell r="A2" t="str">
            <v>PE1</v>
          </cell>
          <cell r="B2">
            <v>864931.65</v>
          </cell>
          <cell r="C2">
            <v>815907.24</v>
          </cell>
          <cell r="D2">
            <v>431.34</v>
          </cell>
        </row>
        <row r="3">
          <cell r="A3" t="str">
            <v>PE2</v>
          </cell>
          <cell r="B3">
            <v>864879.41</v>
          </cell>
          <cell r="C3">
            <v>815890.9</v>
          </cell>
          <cell r="D3">
            <v>430.75</v>
          </cell>
        </row>
        <row r="4">
          <cell r="A4" t="str">
            <v>PE3</v>
          </cell>
          <cell r="B4">
            <v>864821.37</v>
          </cell>
          <cell r="C4">
            <v>815872.77</v>
          </cell>
          <cell r="D4">
            <v>432.5</v>
          </cell>
        </row>
        <row r="5">
          <cell r="A5" t="str">
            <v>PE4</v>
          </cell>
          <cell r="B5">
            <v>864798.02</v>
          </cell>
          <cell r="C5">
            <v>815933.1</v>
          </cell>
          <cell r="D5">
            <v>429.99</v>
          </cell>
        </row>
        <row r="6">
          <cell r="A6" t="str">
            <v>PE6</v>
          </cell>
          <cell r="B6">
            <v>864774.28</v>
          </cell>
          <cell r="C6">
            <v>815856.44</v>
          </cell>
          <cell r="D6">
            <v>434.94</v>
          </cell>
        </row>
        <row r="7">
          <cell r="A7" t="str">
            <v>PE5</v>
          </cell>
          <cell r="B7">
            <v>864781.41</v>
          </cell>
          <cell r="C7">
            <v>815975.71</v>
          </cell>
          <cell r="D7">
            <v>429.98</v>
          </cell>
        </row>
        <row r="8">
          <cell r="A8" t="str">
            <v>PE7</v>
          </cell>
          <cell r="B8">
            <v>864858.05</v>
          </cell>
          <cell r="C8">
            <v>815787.8</v>
          </cell>
          <cell r="D8">
            <v>432.5</v>
          </cell>
        </row>
        <row r="9">
          <cell r="A9" t="str">
            <v>SE1</v>
          </cell>
          <cell r="B9">
            <v>864889.3</v>
          </cell>
          <cell r="C9">
            <v>815897.48</v>
          </cell>
          <cell r="D9">
            <v>430.8</v>
          </cell>
        </row>
        <row r="10">
          <cell r="A10" t="str">
            <v>SE2</v>
          </cell>
          <cell r="B10">
            <v>864880.26</v>
          </cell>
          <cell r="C10">
            <v>815887.91</v>
          </cell>
          <cell r="D10">
            <v>430.8</v>
          </cell>
        </row>
        <row r="11">
          <cell r="A11" t="str">
            <v>SE3</v>
          </cell>
          <cell r="B11">
            <v>864876.84</v>
          </cell>
          <cell r="C11">
            <v>815886.01</v>
          </cell>
          <cell r="D11">
            <v>430.8</v>
          </cell>
        </row>
        <row r="12">
          <cell r="A12" t="str">
            <v>SE7</v>
          </cell>
          <cell r="B12">
            <v>864788.88</v>
          </cell>
          <cell r="C12">
            <v>815938.74</v>
          </cell>
          <cell r="D12">
            <v>430.5</v>
          </cell>
        </row>
        <row r="13">
          <cell r="A13" t="str">
            <v>SE6</v>
          </cell>
          <cell r="B13">
            <v>864791.11</v>
          </cell>
          <cell r="C13">
            <v>815932.61</v>
          </cell>
          <cell r="D13">
            <v>430.5</v>
          </cell>
        </row>
        <row r="14">
          <cell r="A14" t="str">
            <v>SE5</v>
          </cell>
          <cell r="B14">
            <v>864806</v>
          </cell>
          <cell r="C14">
            <v>815927.26</v>
          </cell>
          <cell r="D14">
            <v>430.2</v>
          </cell>
        </row>
        <row r="15">
          <cell r="A15" t="str">
            <v>SE4</v>
          </cell>
          <cell r="B15">
            <v>864804.73</v>
          </cell>
          <cell r="C15">
            <v>815921.43</v>
          </cell>
          <cell r="D15">
            <v>430.4</v>
          </cell>
        </row>
        <row r="34">
          <cell r="A34">
            <v>0</v>
          </cell>
        </row>
        <row r="36">
          <cell r="A36">
            <v>0</v>
          </cell>
        </row>
        <row r="154">
          <cell r="D154">
            <v>0</v>
          </cell>
        </row>
        <row r="243">
          <cell r="B243">
            <v>0</v>
          </cell>
          <cell r="C243">
            <v>0</v>
          </cell>
          <cell r="D243">
            <v>0</v>
          </cell>
        </row>
        <row r="245">
          <cell r="B245">
            <v>0</v>
          </cell>
          <cell r="C245">
            <v>0</v>
          </cell>
          <cell r="D245">
            <v>0</v>
          </cell>
        </row>
        <row r="247">
          <cell r="B247">
            <v>0</v>
          </cell>
          <cell r="C247">
            <v>0</v>
          </cell>
          <cell r="D247">
            <v>0</v>
          </cell>
        </row>
        <row r="252">
          <cell r="B252">
            <v>0</v>
          </cell>
          <cell r="C252">
            <v>0</v>
          </cell>
          <cell r="D252">
            <v>0</v>
          </cell>
        </row>
        <row r="253">
          <cell r="B253">
            <v>0</v>
          </cell>
          <cell r="C253">
            <v>0</v>
          </cell>
          <cell r="D253">
            <v>0</v>
          </cell>
        </row>
        <row r="254">
          <cell r="B254">
            <v>0</v>
          </cell>
          <cell r="C254">
            <v>0</v>
          </cell>
          <cell r="D254">
            <v>0</v>
          </cell>
        </row>
        <row r="276">
          <cell r="D276">
            <v>0</v>
          </cell>
        </row>
        <row r="282">
          <cell r="D282">
            <v>0</v>
          </cell>
        </row>
        <row r="301">
          <cell r="B301">
            <v>0</v>
          </cell>
          <cell r="C301">
            <v>0</v>
          </cell>
          <cell r="D301">
            <v>0</v>
          </cell>
        </row>
        <row r="302">
          <cell r="B302">
            <v>0</v>
          </cell>
          <cell r="C302">
            <v>0</v>
          </cell>
          <cell r="D302">
            <v>0</v>
          </cell>
        </row>
        <row r="303">
          <cell r="B303">
            <v>0</v>
          </cell>
          <cell r="C303">
            <v>0</v>
          </cell>
          <cell r="D303">
            <v>0</v>
          </cell>
        </row>
        <row r="304">
          <cell r="D304">
            <v>0</v>
          </cell>
        </row>
        <row r="305">
          <cell r="B305">
            <v>0</v>
          </cell>
          <cell r="C305">
            <v>0</v>
          </cell>
          <cell r="D305">
            <v>0</v>
          </cell>
        </row>
        <row r="306">
          <cell r="B306">
            <v>0</v>
          </cell>
          <cell r="C306">
            <v>0</v>
          </cell>
          <cell r="D306">
            <v>0</v>
          </cell>
        </row>
        <row r="314">
          <cell r="B314">
            <v>0</v>
          </cell>
          <cell r="C314">
            <v>0</v>
          </cell>
          <cell r="D314">
            <v>0</v>
          </cell>
        </row>
        <row r="315">
          <cell r="B315">
            <v>0</v>
          </cell>
          <cell r="C315">
            <v>0</v>
          </cell>
          <cell r="D315">
            <v>0</v>
          </cell>
        </row>
        <row r="316">
          <cell r="B316">
            <v>0</v>
          </cell>
          <cell r="C316">
            <v>0</v>
          </cell>
          <cell r="D316">
            <v>0</v>
          </cell>
        </row>
        <row r="319">
          <cell r="B319">
            <v>0</v>
          </cell>
          <cell r="C319">
            <v>0</v>
          </cell>
          <cell r="D319">
            <v>0</v>
          </cell>
        </row>
        <row r="330">
          <cell r="B330">
            <v>0</v>
          </cell>
          <cell r="C330">
            <v>0</v>
          </cell>
          <cell r="D330">
            <v>0</v>
          </cell>
        </row>
        <row r="331">
          <cell r="B331">
            <v>0</v>
          </cell>
          <cell r="C331">
            <v>0</v>
          </cell>
          <cell r="D331">
            <v>0</v>
          </cell>
        </row>
        <row r="332">
          <cell r="B332">
            <v>0</v>
          </cell>
          <cell r="C332">
            <v>0</v>
          </cell>
          <cell r="D332">
            <v>0</v>
          </cell>
        </row>
        <row r="333">
          <cell r="B333">
            <v>0</v>
          </cell>
          <cell r="C333">
            <v>0</v>
          </cell>
          <cell r="D333">
            <v>0</v>
          </cell>
        </row>
        <row r="334">
          <cell r="B334">
            <v>0</v>
          </cell>
          <cell r="C334">
            <v>0</v>
          </cell>
          <cell r="D334">
            <v>0</v>
          </cell>
        </row>
        <row r="335">
          <cell r="B335">
            <v>0</v>
          </cell>
          <cell r="C335">
            <v>0</v>
          </cell>
          <cell r="D335">
            <v>0</v>
          </cell>
        </row>
        <row r="336">
          <cell r="B336">
            <v>0</v>
          </cell>
          <cell r="C336">
            <v>0</v>
          </cell>
          <cell r="D336">
            <v>0</v>
          </cell>
        </row>
        <row r="337">
          <cell r="B337">
            <v>0</v>
          </cell>
          <cell r="C337">
            <v>0</v>
          </cell>
          <cell r="D337">
            <v>0</v>
          </cell>
        </row>
        <row r="338">
          <cell r="D338">
            <v>0</v>
          </cell>
        </row>
        <row r="339">
          <cell r="B339">
            <v>0</v>
          </cell>
          <cell r="C339">
            <v>0</v>
          </cell>
          <cell r="D339">
            <v>0</v>
          </cell>
        </row>
        <row r="340">
          <cell r="B340">
            <v>0</v>
          </cell>
          <cell r="C340">
            <v>0</v>
          </cell>
          <cell r="D340">
            <v>0</v>
          </cell>
        </row>
        <row r="342">
          <cell r="B342">
            <v>0</v>
          </cell>
          <cell r="C342">
            <v>0</v>
          </cell>
          <cell r="D342">
            <v>0</v>
          </cell>
        </row>
        <row r="343">
          <cell r="B343">
            <v>0</v>
          </cell>
          <cell r="C343">
            <v>0</v>
          </cell>
          <cell r="D343">
            <v>0</v>
          </cell>
        </row>
        <row r="344">
          <cell r="B344">
            <v>0</v>
          </cell>
          <cell r="C344">
            <v>0</v>
          </cell>
          <cell r="D344">
            <v>0</v>
          </cell>
        </row>
        <row r="345">
          <cell r="B345">
            <v>0</v>
          </cell>
          <cell r="C345">
            <v>0</v>
          </cell>
          <cell r="D345">
            <v>0</v>
          </cell>
        </row>
        <row r="346">
          <cell r="D346">
            <v>0</v>
          </cell>
        </row>
        <row r="404">
          <cell r="B404">
            <v>0</v>
          </cell>
          <cell r="C404">
            <v>0</v>
          </cell>
          <cell r="D404">
            <v>0</v>
          </cell>
        </row>
        <row r="431">
          <cell r="B431">
            <v>0</v>
          </cell>
          <cell r="C431">
            <v>0</v>
          </cell>
          <cell r="D431">
            <v>0</v>
          </cell>
        </row>
        <row r="464">
          <cell r="B464">
            <v>0</v>
          </cell>
          <cell r="C464">
            <v>0</v>
          </cell>
          <cell r="D464">
            <v>0</v>
          </cell>
        </row>
        <row r="466">
          <cell r="B466">
            <v>0</v>
          </cell>
          <cell r="C466">
            <v>0</v>
          </cell>
          <cell r="D466">
            <v>0</v>
          </cell>
        </row>
        <row r="468">
          <cell r="B468">
            <v>0</v>
          </cell>
          <cell r="C468">
            <v>0</v>
          </cell>
          <cell r="D468">
            <v>0</v>
          </cell>
        </row>
        <row r="480">
          <cell r="D480">
            <v>0</v>
          </cell>
        </row>
      </sheetData>
      <sheetData sheetId="1"/>
      <sheetData sheetId="2"/>
      <sheetData sheetId="3"/>
      <sheetData sheetId="4"/>
      <sheetData sheetId="5"/>
      <sheetData sheetId="6"/>
      <sheetData sheetId="7"/>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ESPECIFICACION"/>
      <sheetName val="BASICOS."/>
      <sheetName val="CUADRILLAS"/>
      <sheetName val="FORMALETA"/>
      <sheetName val="CANTIDADES"/>
      <sheetName val="ACTIVIDADES"/>
      <sheetName val="1"/>
      <sheetName val="2"/>
      <sheetName val="3"/>
      <sheetName val="4"/>
      <sheetName val="5"/>
      <sheetName val="6"/>
      <sheetName val="7"/>
      <sheetName val="8"/>
      <sheetName val="10"/>
      <sheetName val="11"/>
      <sheetName val="12"/>
      <sheetName val="13"/>
      <sheetName val="14"/>
      <sheetName val="15"/>
      <sheetName val="16"/>
      <sheetName val="17"/>
      <sheetName val="18"/>
      <sheetName val="19"/>
      <sheetName val="20"/>
      <sheetName val="21"/>
      <sheetName val="22"/>
      <sheetName val="24"/>
      <sheetName val="25"/>
      <sheetName val="26"/>
      <sheetName val="27"/>
    </sheetNames>
    <sheetDataSet>
      <sheetData sheetId="0"/>
      <sheetData sheetId="1"/>
      <sheetData sheetId="2">
        <row r="17">
          <cell r="H17">
            <v>344623</v>
          </cell>
        </row>
        <row r="53">
          <cell r="H53">
            <v>415384</v>
          </cell>
        </row>
        <row r="72">
          <cell r="H72">
            <v>320023</v>
          </cell>
        </row>
        <row r="92">
          <cell r="H92">
            <v>295349</v>
          </cell>
        </row>
        <row r="148">
          <cell r="H148">
            <v>263517</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
      <sheetName val="PRESUPUESTO"/>
      <sheetName val="INSUMOS"/>
      <sheetName val="Mem_CALCULO"/>
      <sheetName val="AIU"/>
      <sheetName val="PAGA"/>
      <sheetName val="PMT"/>
      <sheetName val="F. MULT"/>
      <sheetName val="INTERVENTORIA"/>
      <sheetName val="SMMV"/>
      <sheetName val="CUADRILLAS"/>
      <sheetName val="CRONOGRAMA"/>
      <sheetName val="FACTOR PRESTACIONAL"/>
      <sheetName val="BASICOS"/>
      <sheetName val="APU-Modelo"/>
      <sheetName val="Acero"/>
      <sheetName val="1.1.1"/>
      <sheetName val="1.1.2"/>
      <sheetName val="1.1.3"/>
      <sheetName val="1.1.4"/>
      <sheetName val="1.1.5"/>
      <sheetName val="1.2.1 (2)"/>
      <sheetName val="1.2.2 (2)"/>
      <sheetName val="1.2.3 (2)"/>
      <sheetName val="1.2.4 (2)"/>
      <sheetName val="1.2.5 (2)"/>
      <sheetName val="1.2.1"/>
      <sheetName val="1.2.2"/>
      <sheetName val="1.2.3"/>
      <sheetName val="1.2.4"/>
      <sheetName val="1.2.5"/>
      <sheetName val="1.3.1"/>
      <sheetName val="1.3.2"/>
      <sheetName val="1.4.1"/>
      <sheetName val="1.4.2"/>
      <sheetName val="1.4.3"/>
      <sheetName val="1.5.1 (2)"/>
      <sheetName val="1.5.2 (2)"/>
      <sheetName val="1.5.3 (2)"/>
      <sheetName val="1.5.4 (2)"/>
      <sheetName val="1.5.5 (2)"/>
      <sheetName val="1.5.1"/>
      <sheetName val="1.5.2"/>
      <sheetName val="1.5.3"/>
      <sheetName val="1.5.4"/>
      <sheetName val="1.5.5"/>
      <sheetName val="1.5.6"/>
      <sheetName val="1.5.7"/>
      <sheetName val="1.6.1"/>
      <sheetName val="1.6.2"/>
      <sheetName val="1.7.1"/>
      <sheetName val="1.7.2"/>
      <sheetName val="1.7.3"/>
      <sheetName val="1.8.1"/>
      <sheetName val="1.8.2"/>
      <sheetName val="2.1.1"/>
      <sheetName val="2.1.2"/>
      <sheetName val="2.1.3"/>
      <sheetName val="2.1.4"/>
      <sheetName val="2.1.5"/>
      <sheetName val="2.1.6"/>
      <sheetName val="2.1.7"/>
      <sheetName val="2.1.9"/>
      <sheetName val="2.1.10"/>
      <sheetName val="2.1.11"/>
      <sheetName val="2.1.12"/>
      <sheetName val="2.1.13"/>
      <sheetName val="2.1.15"/>
      <sheetName val="2.1.16"/>
      <sheetName val="2.1.17"/>
      <sheetName val="2.2.1"/>
      <sheetName val="2.2.2"/>
      <sheetName val="2.2.3"/>
      <sheetName val="2.2.4"/>
      <sheetName val="2.2.5"/>
      <sheetName val="2.2.6"/>
      <sheetName val="2.2.7"/>
      <sheetName val="2.2.8"/>
      <sheetName val="2.2.9"/>
      <sheetName val="2.2.11"/>
      <sheetName val="2.2.12"/>
      <sheetName val="2.2.13"/>
      <sheetName val="2.3.1"/>
      <sheetName val="2.3.2"/>
      <sheetName val="2.3.3"/>
      <sheetName val="2.3.4"/>
      <sheetName val="2.3.5"/>
      <sheetName val="2.3.6"/>
      <sheetName val="2.3.8"/>
      <sheetName val="2.3.9"/>
      <sheetName val="2.3.10"/>
      <sheetName val="2.3.11"/>
      <sheetName val="2.3.12"/>
      <sheetName val="2.3.13"/>
      <sheetName val="2.3.14"/>
      <sheetName val="2.3.15"/>
      <sheetName val="2.3.16"/>
      <sheetName val="2.3.17"/>
      <sheetName val="2.4.1"/>
      <sheetName val="2.4.2"/>
      <sheetName val="2.4.3"/>
      <sheetName val="2.4.4"/>
      <sheetName val="2.4.5"/>
      <sheetName val="2.4.6"/>
      <sheetName val="2.4.8"/>
      <sheetName val="2.4.9"/>
      <sheetName val="2.4.10"/>
      <sheetName val="2.4.11"/>
      <sheetName val="2.4.12"/>
      <sheetName val="2.4.13"/>
      <sheetName val="2.4.14"/>
      <sheetName val="2.4.15"/>
      <sheetName val="2.4.16"/>
      <sheetName val="2.4.17"/>
      <sheetName val="2.4.18"/>
      <sheetName val="2.4.19"/>
      <sheetName val="2.4.20"/>
      <sheetName val="2.4.21"/>
      <sheetName val="2.4.22"/>
      <sheetName val="2.4.23"/>
      <sheetName val="2.4.24"/>
      <sheetName val="2.5.1"/>
      <sheetName val="2.5.2"/>
      <sheetName val="2.5.3"/>
      <sheetName val="2.5.4"/>
      <sheetName val="2.5.5"/>
      <sheetName val="2.5.7"/>
      <sheetName val="2.5.8"/>
      <sheetName val="2.5.9"/>
      <sheetName val="2.6.1"/>
      <sheetName val="2.7.1"/>
      <sheetName val="2.7.2"/>
      <sheetName val="2.8.1"/>
    </sheetNames>
    <sheetDataSet>
      <sheetData sheetId="0"/>
      <sheetData sheetId="1">
        <row r="7">
          <cell r="A7" t="str">
            <v>PRESUPUESTO  DEL CONTRATO DE CONSULTORÍA No. 221 de 2021, "CONSTRUCCIÓN DEL SISTEMA DE ALCANTARILLADO SANITARIO Y PLANTA DE TRATAMIENTO DE AGUAS RESIDUALES DEL CENTRO POBLADO CACHIMBAL EN EL MUNICIPIO DE GUADALUPE, DEPARTAMENTO DEL HUILA"</v>
          </cell>
        </row>
        <row r="71">
          <cell r="A71">
            <v>1.9</v>
          </cell>
          <cell r="B71" t="str">
            <v>PASOS ELEVADOS</v>
          </cell>
        </row>
        <row r="72">
          <cell r="A72" t="str">
            <v>1.9.1</v>
          </cell>
          <cell r="B72" t="str">
            <v>Viaducto en estructura metálica tipo cercha, en ángulo de 1"x3/16"  de sección 0,50 m de ancho x 1,50 de alto para paso de tubería PVC alcantarillado de  Ø8" a Ø14" y Luz máxima de L:22.0 m . Incluye: Protección en lámina Cold rolled Cal.18,  pintura anticorrosiva, tornillos de fijación a pedestales de concreto.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
      <sheetName val="INSUMOS"/>
      <sheetName val="PRESUPUESTO"/>
      <sheetName val="AIU"/>
      <sheetName val="PAGA"/>
      <sheetName val="PMT"/>
      <sheetName val="F. MULT"/>
      <sheetName val="INTERVENTORIA"/>
      <sheetName val="SMMV"/>
      <sheetName val="FACTOR PRESTACIONAL"/>
      <sheetName val="CUADRILLAS"/>
      <sheetName val="BASICOS"/>
      <sheetName val="APU-Modelo"/>
      <sheetName val="CRONOGRAMA"/>
      <sheetName val="1.1.1"/>
      <sheetName val="1.1.2"/>
      <sheetName val="1.1.3"/>
      <sheetName val="1.2.1"/>
      <sheetName val="1.2.2"/>
      <sheetName val="1.2.3"/>
      <sheetName val="1.3.1"/>
      <sheetName val="1.4.1"/>
      <sheetName val="1.4.2"/>
      <sheetName val="1.4.3"/>
      <sheetName val="1.4.4"/>
      <sheetName val="1.4.5"/>
      <sheetName val="1.5.1"/>
      <sheetName val="1.5.2"/>
      <sheetName val="1.5.3"/>
      <sheetName val="1.5.4"/>
      <sheetName val="1.6.1"/>
      <sheetName val="2.1.1 A"/>
      <sheetName val="2.1.2 A"/>
      <sheetName val="2.2.1 A"/>
      <sheetName val="2.2.2 A"/>
      <sheetName val="2.2.3 A "/>
      <sheetName val="2.2.4 A"/>
      <sheetName val="2.2.5 A"/>
      <sheetName val="2.2.6 A"/>
      <sheetName val="2.3.1 A"/>
      <sheetName val="2.3.2 A"/>
      <sheetName val="2.3.3 A"/>
      <sheetName val="2.4.1 A"/>
      <sheetName val="2.4.2 A"/>
      <sheetName val="2.4.3 A"/>
      <sheetName val="2.4.4 A"/>
      <sheetName val="2.4.5 A"/>
      <sheetName val="2.4.6 A"/>
      <sheetName val="2.4.7 A"/>
      <sheetName val="2.5.1 A"/>
      <sheetName val="2.5.2 A"/>
      <sheetName val="2.6.1 A"/>
      <sheetName val="Hoja1"/>
    </sheetNames>
    <sheetDataSet>
      <sheetData sheetId="0"/>
      <sheetData sheetId="1">
        <row r="2">
          <cell r="A2" t="str">
            <v>EQUIPOS Y HERRAMIENTAS</v>
          </cell>
        </row>
      </sheetData>
      <sheetData sheetId="2">
        <row r="2">
          <cell r="B2" t="str">
            <v>DEPARTAMENTO DEL HUILA</v>
          </cell>
        </row>
        <row r="113">
          <cell r="A113" t="str">
            <v>__________________________________________</v>
          </cell>
        </row>
        <row r="114">
          <cell r="A114" t="str">
            <v>Ing. JHON FREDY GARCIA MENDEZ</v>
          </cell>
        </row>
        <row r="115">
          <cell r="A115" t="str">
            <v>M.P.  70268-326294 TLM.</v>
          </cell>
        </row>
        <row r="116">
          <cell r="A116" t="str">
            <v>CONSULTOR</v>
          </cell>
        </row>
      </sheetData>
      <sheetData sheetId="3"/>
      <sheetData sheetId="4"/>
      <sheetData sheetId="5"/>
      <sheetData sheetId="6"/>
      <sheetData sheetId="7"/>
      <sheetData sheetId="8"/>
      <sheetData sheetId="9"/>
      <sheetData sheetId="10">
        <row r="3">
          <cell r="A3">
            <v>1</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ctr"/>
      <a:lstStyle>
        <a:defPPr algn="ctr">
          <a:defRPr sz="1100"/>
        </a:defPPr>
      </a:lstStyle>
      <a:style>
        <a:lnRef idx="0">
          <a:schemeClr val="accent6"/>
        </a:lnRef>
        <a:fillRef idx="3">
          <a:schemeClr val="accent6"/>
        </a:fillRef>
        <a:effectRef idx="3">
          <a:schemeClr val="accent6"/>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12.bin"/><Relationship Id="rId4" Type="http://schemas.openxmlformats.org/officeDocument/2006/relationships/comments" Target="../comments5.xm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9.xml"/><Relationship Id="rId1" Type="http://schemas.openxmlformats.org/officeDocument/2006/relationships/printerSettings" Target="../printerSettings/printerSettings18.bin"/><Relationship Id="rId4" Type="http://schemas.openxmlformats.org/officeDocument/2006/relationships/comments" Target="../comments6.xml"/></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26.xml"/><Relationship Id="rId1" Type="http://schemas.openxmlformats.org/officeDocument/2006/relationships/printerSettings" Target="../printerSettings/printerSettings35.bin"/><Relationship Id="rId4" Type="http://schemas.openxmlformats.org/officeDocument/2006/relationships/comments" Target="../comments7.xml"/></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2" Type="http://schemas.openxmlformats.org/officeDocument/2006/relationships/drawing" Target="../drawings/drawing45.xml"/><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2" Type="http://schemas.openxmlformats.org/officeDocument/2006/relationships/drawing" Target="../drawings/drawing46.xml"/><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2" Type="http://schemas.openxmlformats.org/officeDocument/2006/relationships/drawing" Target="../drawings/drawing47.xml"/><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2" Type="http://schemas.openxmlformats.org/officeDocument/2006/relationships/drawing" Target="../drawings/drawing48.xml"/><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2" Type="http://schemas.openxmlformats.org/officeDocument/2006/relationships/drawing" Target="../drawings/drawing49.xml"/><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50.xml"/><Relationship Id="rId1" Type="http://schemas.openxmlformats.org/officeDocument/2006/relationships/printerSettings" Target="../printerSettings/printerSettings59.bin"/><Relationship Id="rId4" Type="http://schemas.openxmlformats.org/officeDocument/2006/relationships/comments" Target="../comments8.xml"/></Relationships>
</file>

<file path=xl/worksheets/_rels/sheet60.xml.rels><?xml version="1.0" encoding="UTF-8" standalone="yes"?>
<Relationships xmlns="http://schemas.openxmlformats.org/package/2006/relationships"><Relationship Id="rId2" Type="http://schemas.openxmlformats.org/officeDocument/2006/relationships/drawing" Target="../drawings/drawing51.xml"/><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2" Type="http://schemas.openxmlformats.org/officeDocument/2006/relationships/drawing" Target="../drawings/drawing52.xml"/><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2" Type="http://schemas.openxmlformats.org/officeDocument/2006/relationships/drawing" Target="../drawings/drawing53.xml"/><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2" Type="http://schemas.openxmlformats.org/officeDocument/2006/relationships/drawing" Target="../drawings/drawing54.xml"/><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2" Type="http://schemas.openxmlformats.org/officeDocument/2006/relationships/drawing" Target="../drawings/drawing55.xml"/><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2" Type="http://schemas.openxmlformats.org/officeDocument/2006/relationships/drawing" Target="../drawings/drawing56.xml"/><Relationship Id="rId1" Type="http://schemas.openxmlformats.org/officeDocument/2006/relationships/printerSettings" Target="../printerSettings/printerSettings65.bin"/></Relationships>
</file>

<file path=xl/worksheets/_rels/sheet66.xml.rels><?xml version="1.0" encoding="UTF-8" standalone="yes"?>
<Relationships xmlns="http://schemas.openxmlformats.org/package/2006/relationships"><Relationship Id="rId2" Type="http://schemas.openxmlformats.org/officeDocument/2006/relationships/drawing" Target="../drawings/drawing57.xml"/><Relationship Id="rId1" Type="http://schemas.openxmlformats.org/officeDocument/2006/relationships/printerSettings" Target="../printerSettings/printerSettings66.bin"/></Relationships>
</file>

<file path=xl/worksheets/_rels/sheet67.xml.rels><?xml version="1.0" encoding="UTF-8" standalone="yes"?>
<Relationships xmlns="http://schemas.openxmlformats.org/package/2006/relationships"><Relationship Id="rId2" Type="http://schemas.openxmlformats.org/officeDocument/2006/relationships/drawing" Target="../drawings/drawing58.xml"/><Relationship Id="rId1" Type="http://schemas.openxmlformats.org/officeDocument/2006/relationships/printerSettings" Target="../printerSettings/printerSettings67.bin"/></Relationships>
</file>

<file path=xl/worksheets/_rels/sheet68.xml.rels><?xml version="1.0" encoding="UTF-8" standalone="yes"?>
<Relationships xmlns="http://schemas.openxmlformats.org/package/2006/relationships"><Relationship Id="rId2" Type="http://schemas.openxmlformats.org/officeDocument/2006/relationships/drawing" Target="../drawings/drawing59.xml"/><Relationship Id="rId1" Type="http://schemas.openxmlformats.org/officeDocument/2006/relationships/printerSettings" Target="../printerSettings/printerSettings68.bin"/></Relationships>
</file>

<file path=xl/worksheets/_rels/sheet69.xml.rels><?xml version="1.0" encoding="UTF-8" standalone="yes"?>
<Relationships xmlns="http://schemas.openxmlformats.org/package/2006/relationships"><Relationship Id="rId2" Type="http://schemas.openxmlformats.org/officeDocument/2006/relationships/drawing" Target="../drawings/drawing60.xml"/><Relationship Id="rId1" Type="http://schemas.openxmlformats.org/officeDocument/2006/relationships/printerSettings" Target="../printerSettings/printerSettings69.bin"/></Relationships>
</file>

<file path=xl/worksheets/_rels/sheet70.xml.rels><?xml version="1.0" encoding="UTF-8" standalone="yes"?>
<Relationships xmlns="http://schemas.openxmlformats.org/package/2006/relationships"><Relationship Id="rId2" Type="http://schemas.openxmlformats.org/officeDocument/2006/relationships/drawing" Target="../drawings/drawing61.xml"/><Relationship Id="rId1" Type="http://schemas.openxmlformats.org/officeDocument/2006/relationships/printerSettings" Target="../printerSettings/printerSettings70.bin"/></Relationships>
</file>

<file path=xl/worksheets/_rels/sheet71.xml.rels><?xml version="1.0" encoding="UTF-8" standalone="yes"?>
<Relationships xmlns="http://schemas.openxmlformats.org/package/2006/relationships"><Relationship Id="rId2" Type="http://schemas.openxmlformats.org/officeDocument/2006/relationships/drawing" Target="../drawings/drawing62.xml"/><Relationship Id="rId1" Type="http://schemas.openxmlformats.org/officeDocument/2006/relationships/printerSettings" Target="../printerSettings/printerSettings71.bin"/></Relationships>
</file>

<file path=xl/worksheets/_rels/sheet72.xml.rels><?xml version="1.0" encoding="UTF-8" standalone="yes"?>
<Relationships xmlns="http://schemas.openxmlformats.org/package/2006/relationships"><Relationship Id="rId2" Type="http://schemas.openxmlformats.org/officeDocument/2006/relationships/drawing" Target="../drawings/drawing63.xml"/><Relationship Id="rId1" Type="http://schemas.openxmlformats.org/officeDocument/2006/relationships/printerSettings" Target="../printerSettings/printerSettings72.bin"/></Relationships>
</file>

<file path=xl/worksheets/_rels/sheet73.xml.rels><?xml version="1.0" encoding="UTF-8" standalone="yes"?>
<Relationships xmlns="http://schemas.openxmlformats.org/package/2006/relationships"><Relationship Id="rId2" Type="http://schemas.openxmlformats.org/officeDocument/2006/relationships/drawing" Target="../drawings/drawing64.xml"/><Relationship Id="rId1" Type="http://schemas.openxmlformats.org/officeDocument/2006/relationships/printerSettings" Target="../printerSettings/printerSettings73.bin"/></Relationships>
</file>

<file path=xl/worksheets/_rels/sheet74.xml.rels><?xml version="1.0" encoding="UTF-8" standalone="yes"?>
<Relationships xmlns="http://schemas.openxmlformats.org/package/2006/relationships"><Relationship Id="rId2" Type="http://schemas.openxmlformats.org/officeDocument/2006/relationships/drawing" Target="../drawings/drawing65.xml"/><Relationship Id="rId1" Type="http://schemas.openxmlformats.org/officeDocument/2006/relationships/printerSettings" Target="../printerSettings/printerSettings74.bin"/></Relationships>
</file>

<file path=xl/worksheets/_rels/sheet75.xml.rels><?xml version="1.0" encoding="UTF-8" standalone="yes"?>
<Relationships xmlns="http://schemas.openxmlformats.org/package/2006/relationships"><Relationship Id="rId2" Type="http://schemas.openxmlformats.org/officeDocument/2006/relationships/drawing" Target="../drawings/drawing66.xml"/><Relationship Id="rId1" Type="http://schemas.openxmlformats.org/officeDocument/2006/relationships/printerSettings" Target="../printerSettings/printerSettings75.bin"/></Relationships>
</file>

<file path=xl/worksheets/_rels/sheet76.xml.rels><?xml version="1.0" encoding="UTF-8" standalone="yes"?>
<Relationships xmlns="http://schemas.openxmlformats.org/package/2006/relationships"><Relationship Id="rId2" Type="http://schemas.openxmlformats.org/officeDocument/2006/relationships/drawing" Target="../drawings/drawing67.xml"/><Relationship Id="rId1" Type="http://schemas.openxmlformats.org/officeDocument/2006/relationships/printerSettings" Target="../printerSettings/printerSettings76.bin"/></Relationships>
</file>

<file path=xl/worksheets/_rels/sheet77.xml.rels><?xml version="1.0" encoding="UTF-8" standalone="yes"?>
<Relationships xmlns="http://schemas.openxmlformats.org/package/2006/relationships"><Relationship Id="rId2" Type="http://schemas.openxmlformats.org/officeDocument/2006/relationships/drawing" Target="../drawings/drawing68.xml"/><Relationship Id="rId1" Type="http://schemas.openxmlformats.org/officeDocument/2006/relationships/printerSettings" Target="../printerSettings/printerSettings77.bin"/></Relationships>
</file>

<file path=xl/worksheets/_rels/sheet78.xml.rels><?xml version="1.0" encoding="UTF-8" standalone="yes"?>
<Relationships xmlns="http://schemas.openxmlformats.org/package/2006/relationships"><Relationship Id="rId2" Type="http://schemas.openxmlformats.org/officeDocument/2006/relationships/drawing" Target="../drawings/drawing69.xml"/><Relationship Id="rId1" Type="http://schemas.openxmlformats.org/officeDocument/2006/relationships/printerSettings" Target="../printerSettings/printerSettings78.bin"/></Relationships>
</file>

<file path=xl/worksheets/_rels/sheet79.xml.rels><?xml version="1.0" encoding="UTF-8" standalone="yes"?>
<Relationships xmlns="http://schemas.openxmlformats.org/package/2006/relationships"><Relationship Id="rId2" Type="http://schemas.openxmlformats.org/officeDocument/2006/relationships/drawing" Target="../drawings/drawing70.xml"/><Relationship Id="rId1" Type="http://schemas.openxmlformats.org/officeDocument/2006/relationships/printerSettings" Target="../printerSettings/printerSettings79.bin"/></Relationships>
</file>

<file path=xl/worksheets/_rels/sheet80.xml.rels><?xml version="1.0" encoding="UTF-8" standalone="yes"?>
<Relationships xmlns="http://schemas.openxmlformats.org/package/2006/relationships"><Relationship Id="rId2" Type="http://schemas.openxmlformats.org/officeDocument/2006/relationships/drawing" Target="../drawings/drawing71.xml"/><Relationship Id="rId1" Type="http://schemas.openxmlformats.org/officeDocument/2006/relationships/printerSettings" Target="../printerSettings/printerSettings80.bin"/></Relationships>
</file>

<file path=xl/worksheets/_rels/sheet81.xml.rels><?xml version="1.0" encoding="UTF-8" standalone="yes"?>
<Relationships xmlns="http://schemas.openxmlformats.org/package/2006/relationships"><Relationship Id="rId2" Type="http://schemas.openxmlformats.org/officeDocument/2006/relationships/drawing" Target="../drawings/drawing72.xml"/><Relationship Id="rId1" Type="http://schemas.openxmlformats.org/officeDocument/2006/relationships/printerSettings" Target="../printerSettings/printerSettings81.bin"/></Relationships>
</file>

<file path=xl/worksheets/_rels/sheet82.xml.rels><?xml version="1.0" encoding="UTF-8" standalone="yes"?>
<Relationships xmlns="http://schemas.openxmlformats.org/package/2006/relationships"><Relationship Id="rId2" Type="http://schemas.openxmlformats.org/officeDocument/2006/relationships/drawing" Target="../drawings/drawing73.xml"/><Relationship Id="rId1" Type="http://schemas.openxmlformats.org/officeDocument/2006/relationships/printerSettings" Target="../printerSettings/printerSettings82.bin"/></Relationships>
</file>

<file path=xl/worksheets/_rels/sheet83.xml.rels><?xml version="1.0" encoding="UTF-8" standalone="yes"?>
<Relationships xmlns="http://schemas.openxmlformats.org/package/2006/relationships"><Relationship Id="rId2" Type="http://schemas.openxmlformats.org/officeDocument/2006/relationships/drawing" Target="../drawings/drawing74.xml"/><Relationship Id="rId1" Type="http://schemas.openxmlformats.org/officeDocument/2006/relationships/printerSettings" Target="../printerSettings/printerSettings83.bin"/></Relationships>
</file>

<file path=xl/worksheets/_rels/sheet84.xml.rels><?xml version="1.0" encoding="UTF-8" standalone="yes"?>
<Relationships xmlns="http://schemas.openxmlformats.org/package/2006/relationships"><Relationship Id="rId2" Type="http://schemas.openxmlformats.org/officeDocument/2006/relationships/drawing" Target="../drawings/drawing75.xml"/><Relationship Id="rId1" Type="http://schemas.openxmlformats.org/officeDocument/2006/relationships/printerSettings" Target="../printerSettings/printerSettings84.bin"/></Relationships>
</file>

<file path=xl/worksheets/_rels/sheet85.xml.rels><?xml version="1.0" encoding="UTF-8" standalone="yes"?>
<Relationships xmlns="http://schemas.openxmlformats.org/package/2006/relationships"><Relationship Id="rId2" Type="http://schemas.openxmlformats.org/officeDocument/2006/relationships/drawing" Target="../drawings/drawing76.xml"/><Relationship Id="rId1" Type="http://schemas.openxmlformats.org/officeDocument/2006/relationships/printerSettings" Target="../printerSettings/printerSettings85.bin"/></Relationships>
</file>

<file path=xl/worksheets/_rels/sheet86.xml.rels><?xml version="1.0" encoding="UTF-8" standalone="yes"?>
<Relationships xmlns="http://schemas.openxmlformats.org/package/2006/relationships"><Relationship Id="rId2" Type="http://schemas.openxmlformats.org/officeDocument/2006/relationships/drawing" Target="../drawings/drawing77.xml"/><Relationship Id="rId1" Type="http://schemas.openxmlformats.org/officeDocument/2006/relationships/printerSettings" Target="../printerSettings/printerSettings86.bin"/></Relationships>
</file>

<file path=xl/worksheets/_rels/sheet87.xml.rels><?xml version="1.0" encoding="UTF-8" standalone="yes"?>
<Relationships xmlns="http://schemas.openxmlformats.org/package/2006/relationships"><Relationship Id="rId2" Type="http://schemas.openxmlformats.org/officeDocument/2006/relationships/drawing" Target="../drawings/drawing78.xml"/><Relationship Id="rId1" Type="http://schemas.openxmlformats.org/officeDocument/2006/relationships/printerSettings" Target="../printerSettings/printerSettings87.bin"/></Relationships>
</file>

<file path=xl/worksheets/_rels/sheet88.xml.rels><?xml version="1.0" encoding="UTF-8" standalone="yes"?>
<Relationships xmlns="http://schemas.openxmlformats.org/package/2006/relationships"><Relationship Id="rId2" Type="http://schemas.openxmlformats.org/officeDocument/2006/relationships/drawing" Target="../drawings/drawing79.xml"/><Relationship Id="rId1" Type="http://schemas.openxmlformats.org/officeDocument/2006/relationships/printerSettings" Target="../printerSettings/printerSettings88.bin"/></Relationships>
</file>

<file path=xl/worksheets/_rels/sheet89.xml.rels><?xml version="1.0" encoding="UTF-8" standalone="yes"?>
<Relationships xmlns="http://schemas.openxmlformats.org/package/2006/relationships"><Relationship Id="rId2" Type="http://schemas.openxmlformats.org/officeDocument/2006/relationships/drawing" Target="../drawings/drawing80.xml"/><Relationship Id="rId1" Type="http://schemas.openxmlformats.org/officeDocument/2006/relationships/printerSettings" Target="../printerSettings/printerSettings89.bin"/></Relationships>
</file>

<file path=xl/worksheets/_rels/sheet90.xml.rels><?xml version="1.0" encoding="UTF-8" standalone="yes"?>
<Relationships xmlns="http://schemas.openxmlformats.org/package/2006/relationships"><Relationship Id="rId2" Type="http://schemas.openxmlformats.org/officeDocument/2006/relationships/drawing" Target="../drawings/drawing81.xml"/><Relationship Id="rId1" Type="http://schemas.openxmlformats.org/officeDocument/2006/relationships/printerSettings" Target="../printerSettings/printerSettings90.bin"/></Relationships>
</file>

<file path=xl/worksheets/_rels/sheet91.xml.rels><?xml version="1.0" encoding="UTF-8" standalone="yes"?>
<Relationships xmlns="http://schemas.openxmlformats.org/package/2006/relationships"><Relationship Id="rId2" Type="http://schemas.openxmlformats.org/officeDocument/2006/relationships/drawing" Target="../drawings/drawing82.xml"/><Relationship Id="rId1" Type="http://schemas.openxmlformats.org/officeDocument/2006/relationships/printerSettings" Target="../printerSettings/printerSettings91.bin"/></Relationships>
</file>

<file path=xl/worksheets/_rels/sheet92.xml.rels><?xml version="1.0" encoding="UTF-8" standalone="yes"?>
<Relationships xmlns="http://schemas.openxmlformats.org/package/2006/relationships"><Relationship Id="rId2" Type="http://schemas.openxmlformats.org/officeDocument/2006/relationships/drawing" Target="../drawings/drawing83.xml"/><Relationship Id="rId1" Type="http://schemas.openxmlformats.org/officeDocument/2006/relationships/printerSettings" Target="../printerSettings/printerSettings92.bin"/></Relationships>
</file>

<file path=xl/worksheets/_rels/sheet93.xml.rels><?xml version="1.0" encoding="UTF-8" standalone="yes"?>
<Relationships xmlns="http://schemas.openxmlformats.org/package/2006/relationships"><Relationship Id="rId2" Type="http://schemas.openxmlformats.org/officeDocument/2006/relationships/drawing" Target="../drawings/drawing84.xml"/><Relationship Id="rId1" Type="http://schemas.openxmlformats.org/officeDocument/2006/relationships/printerSettings" Target="../printerSettings/printerSettings93.bin"/></Relationships>
</file>

<file path=xl/worksheets/_rels/sheet94.xml.rels><?xml version="1.0" encoding="UTF-8" standalone="yes"?>
<Relationships xmlns="http://schemas.openxmlformats.org/package/2006/relationships"><Relationship Id="rId2" Type="http://schemas.openxmlformats.org/officeDocument/2006/relationships/drawing" Target="../drawings/drawing85.xml"/><Relationship Id="rId1" Type="http://schemas.openxmlformats.org/officeDocument/2006/relationships/printerSettings" Target="../printerSettings/printerSettings94.bin"/></Relationships>
</file>

<file path=xl/worksheets/_rels/sheet95.xml.rels><?xml version="1.0" encoding="UTF-8" standalone="yes"?>
<Relationships xmlns="http://schemas.openxmlformats.org/package/2006/relationships"><Relationship Id="rId2" Type="http://schemas.openxmlformats.org/officeDocument/2006/relationships/drawing" Target="../drawings/drawing86.xml"/><Relationship Id="rId1" Type="http://schemas.openxmlformats.org/officeDocument/2006/relationships/printerSettings" Target="../printerSettings/printerSettings95.bin"/></Relationships>
</file>

<file path=xl/worksheets/_rels/sheet96.xml.rels><?xml version="1.0" encoding="UTF-8" standalone="yes"?>
<Relationships xmlns="http://schemas.openxmlformats.org/package/2006/relationships"><Relationship Id="rId2" Type="http://schemas.openxmlformats.org/officeDocument/2006/relationships/drawing" Target="../drawings/drawing87.xml"/><Relationship Id="rId1" Type="http://schemas.openxmlformats.org/officeDocument/2006/relationships/printerSettings" Target="../printerSettings/printerSettings96.bin"/></Relationships>
</file>

<file path=xl/worksheets/_rels/sheet97.xml.rels><?xml version="1.0" encoding="UTF-8" standalone="yes"?>
<Relationships xmlns="http://schemas.openxmlformats.org/package/2006/relationships"><Relationship Id="rId2" Type="http://schemas.openxmlformats.org/officeDocument/2006/relationships/drawing" Target="../drawings/drawing88.xml"/><Relationship Id="rId1" Type="http://schemas.openxmlformats.org/officeDocument/2006/relationships/printerSettings" Target="../printerSettings/printerSettings97.bin"/></Relationships>
</file>

<file path=xl/worksheets/_rels/sheet98.xml.rels><?xml version="1.0" encoding="UTF-8" standalone="yes"?>
<Relationships xmlns="http://schemas.openxmlformats.org/package/2006/relationships"><Relationship Id="rId2" Type="http://schemas.openxmlformats.org/officeDocument/2006/relationships/drawing" Target="../drawings/drawing89.xml"/><Relationship Id="rId1" Type="http://schemas.openxmlformats.org/officeDocument/2006/relationships/printerSettings" Target="../printerSettings/printerSettings98.bin"/></Relationships>
</file>

<file path=xl/worksheets/_rels/sheet99.xml.rels><?xml version="1.0" encoding="UTF-8" standalone="yes"?>
<Relationships xmlns="http://schemas.openxmlformats.org/package/2006/relationships"><Relationship Id="rId2" Type="http://schemas.openxmlformats.org/officeDocument/2006/relationships/drawing" Target="../drawings/drawing90.xml"/><Relationship Id="rId1" Type="http://schemas.openxmlformats.org/officeDocument/2006/relationships/printerSettings" Target="../printerSettings/printerSettings99.bin"/></Relationships>
</file>

<file path=xl/worksheets/_rels/sheet100.xml.rels><?xml version="1.0" encoding="UTF-8" standalone="yes"?>
<Relationships xmlns="http://schemas.openxmlformats.org/package/2006/relationships"><Relationship Id="rId2" Type="http://schemas.openxmlformats.org/officeDocument/2006/relationships/drawing" Target="../drawings/drawing91.xml"/><Relationship Id="rId1" Type="http://schemas.openxmlformats.org/officeDocument/2006/relationships/printerSettings" Target="../printerSettings/printerSettings100.bin"/></Relationships>
</file>

<file path=xl/worksheets/_rels/sheet101.xml.rels><?xml version="1.0" encoding="UTF-8" standalone="yes"?>
<Relationships xmlns="http://schemas.openxmlformats.org/package/2006/relationships"><Relationship Id="rId2" Type="http://schemas.openxmlformats.org/officeDocument/2006/relationships/drawing" Target="../drawings/drawing92.xml"/><Relationship Id="rId1" Type="http://schemas.openxmlformats.org/officeDocument/2006/relationships/printerSettings" Target="../printerSettings/printerSettings101.bin"/></Relationships>
</file>

<file path=xl/worksheets/_rels/sheet102.xml.rels><?xml version="1.0" encoding="UTF-8" standalone="yes"?>
<Relationships xmlns="http://schemas.openxmlformats.org/package/2006/relationships"><Relationship Id="rId2" Type="http://schemas.openxmlformats.org/officeDocument/2006/relationships/drawing" Target="../drawings/drawing93.xml"/><Relationship Id="rId1" Type="http://schemas.openxmlformats.org/officeDocument/2006/relationships/printerSettings" Target="../printerSettings/printerSettings102.bin"/></Relationships>
</file>

<file path=xl/worksheets/_rels/sheet103.xml.rels><?xml version="1.0" encoding="UTF-8" standalone="yes"?>
<Relationships xmlns="http://schemas.openxmlformats.org/package/2006/relationships"><Relationship Id="rId2" Type="http://schemas.openxmlformats.org/officeDocument/2006/relationships/drawing" Target="../drawings/drawing94.xml"/><Relationship Id="rId1" Type="http://schemas.openxmlformats.org/officeDocument/2006/relationships/printerSettings" Target="../printerSettings/printerSettings103.bin"/></Relationships>
</file>

<file path=xl/worksheets/_rels/sheet104.xml.rels><?xml version="1.0" encoding="UTF-8" standalone="yes"?>
<Relationships xmlns="http://schemas.openxmlformats.org/package/2006/relationships"><Relationship Id="rId2" Type="http://schemas.openxmlformats.org/officeDocument/2006/relationships/drawing" Target="../drawings/drawing95.xml"/><Relationship Id="rId1" Type="http://schemas.openxmlformats.org/officeDocument/2006/relationships/printerSettings" Target="../printerSettings/printerSettings104.bin"/></Relationships>
</file>

<file path=xl/worksheets/_rels/sheet105.xml.rels><?xml version="1.0" encoding="UTF-8" standalone="yes"?>
<Relationships xmlns="http://schemas.openxmlformats.org/package/2006/relationships"><Relationship Id="rId2" Type="http://schemas.openxmlformats.org/officeDocument/2006/relationships/drawing" Target="../drawings/drawing96.xml"/><Relationship Id="rId1" Type="http://schemas.openxmlformats.org/officeDocument/2006/relationships/printerSettings" Target="../printerSettings/printerSettings105.bin"/></Relationships>
</file>

<file path=xl/worksheets/_rels/sheet106.xml.rels><?xml version="1.0" encoding="UTF-8" standalone="yes"?>
<Relationships xmlns="http://schemas.openxmlformats.org/package/2006/relationships"><Relationship Id="rId2" Type="http://schemas.openxmlformats.org/officeDocument/2006/relationships/drawing" Target="../drawings/drawing97.xml"/><Relationship Id="rId1" Type="http://schemas.openxmlformats.org/officeDocument/2006/relationships/printerSettings" Target="../printerSettings/printerSettings106.bin"/></Relationships>
</file>

<file path=xl/worksheets/_rels/sheet107.xml.rels><?xml version="1.0" encoding="UTF-8" standalone="yes"?>
<Relationships xmlns="http://schemas.openxmlformats.org/package/2006/relationships"><Relationship Id="rId2" Type="http://schemas.openxmlformats.org/officeDocument/2006/relationships/drawing" Target="../drawings/drawing98.xml"/><Relationship Id="rId1" Type="http://schemas.openxmlformats.org/officeDocument/2006/relationships/printerSettings" Target="../printerSettings/printerSettings107.bin"/></Relationships>
</file>

<file path=xl/worksheets/_rels/sheet108.xml.rels><?xml version="1.0" encoding="UTF-8" standalone="yes"?>
<Relationships xmlns="http://schemas.openxmlformats.org/package/2006/relationships"><Relationship Id="rId2" Type="http://schemas.openxmlformats.org/officeDocument/2006/relationships/drawing" Target="../drawings/drawing99.xml"/><Relationship Id="rId1" Type="http://schemas.openxmlformats.org/officeDocument/2006/relationships/printerSettings" Target="../printerSettings/printerSettings108.bin"/></Relationships>
</file>

<file path=xl/worksheets/_rels/sheet109.xml.rels><?xml version="1.0" encoding="UTF-8" standalone="yes"?>
<Relationships xmlns="http://schemas.openxmlformats.org/package/2006/relationships"><Relationship Id="rId2" Type="http://schemas.openxmlformats.org/officeDocument/2006/relationships/drawing" Target="../drawings/drawing100.xml"/><Relationship Id="rId1" Type="http://schemas.openxmlformats.org/officeDocument/2006/relationships/printerSettings" Target="../printerSettings/printerSettings109.bin"/></Relationships>
</file>

<file path=xl/worksheets/_rels/sheet110.xml.rels><?xml version="1.0" encoding="UTF-8" standalone="yes"?>
<Relationships xmlns="http://schemas.openxmlformats.org/package/2006/relationships"><Relationship Id="rId2" Type="http://schemas.openxmlformats.org/officeDocument/2006/relationships/drawing" Target="../drawings/drawing101.xml"/><Relationship Id="rId1" Type="http://schemas.openxmlformats.org/officeDocument/2006/relationships/printerSettings" Target="../printerSettings/printerSettings110.bin"/></Relationships>
</file>

<file path=xl/worksheets/_rels/sheet111.xml.rels><?xml version="1.0" encoding="UTF-8" standalone="yes"?>
<Relationships xmlns="http://schemas.openxmlformats.org/package/2006/relationships"><Relationship Id="rId2" Type="http://schemas.openxmlformats.org/officeDocument/2006/relationships/drawing" Target="../drawings/drawing102.xml"/><Relationship Id="rId1" Type="http://schemas.openxmlformats.org/officeDocument/2006/relationships/printerSettings" Target="../printerSettings/printerSettings111.bin"/></Relationships>
</file>

<file path=xl/worksheets/_rels/sheet112.xml.rels><?xml version="1.0" encoding="UTF-8" standalone="yes"?>
<Relationships xmlns="http://schemas.openxmlformats.org/package/2006/relationships"><Relationship Id="rId2" Type="http://schemas.openxmlformats.org/officeDocument/2006/relationships/drawing" Target="../drawings/drawing103.xml"/><Relationship Id="rId1" Type="http://schemas.openxmlformats.org/officeDocument/2006/relationships/printerSettings" Target="../printerSettings/printerSettings112.bin"/></Relationships>
</file>

<file path=xl/worksheets/_rels/sheet113.xml.rels><?xml version="1.0" encoding="UTF-8" standalone="yes"?>
<Relationships xmlns="http://schemas.openxmlformats.org/package/2006/relationships"><Relationship Id="rId2" Type="http://schemas.openxmlformats.org/officeDocument/2006/relationships/drawing" Target="../drawings/drawing104.xml"/><Relationship Id="rId1" Type="http://schemas.openxmlformats.org/officeDocument/2006/relationships/printerSettings" Target="../printerSettings/printerSettings113.bin"/></Relationships>
</file>

<file path=xl/worksheets/_rels/sheet114.xml.rels><?xml version="1.0" encoding="UTF-8" standalone="yes"?>
<Relationships xmlns="http://schemas.openxmlformats.org/package/2006/relationships"><Relationship Id="rId2" Type="http://schemas.openxmlformats.org/officeDocument/2006/relationships/drawing" Target="../drawings/drawing105.xml"/><Relationship Id="rId1" Type="http://schemas.openxmlformats.org/officeDocument/2006/relationships/printerSettings" Target="../printerSettings/printerSettings114.bin"/></Relationships>
</file>

<file path=xl/worksheets/_rels/sheet115.xml.rels><?xml version="1.0" encoding="UTF-8" standalone="yes"?>
<Relationships xmlns="http://schemas.openxmlformats.org/package/2006/relationships"><Relationship Id="rId2" Type="http://schemas.openxmlformats.org/officeDocument/2006/relationships/drawing" Target="../drawings/drawing106.xml"/><Relationship Id="rId1" Type="http://schemas.openxmlformats.org/officeDocument/2006/relationships/printerSettings" Target="../printerSettings/printerSettings115.bin"/></Relationships>
</file>

<file path=xl/worksheets/_rels/sheet116.xml.rels><?xml version="1.0" encoding="UTF-8" standalone="yes"?>
<Relationships xmlns="http://schemas.openxmlformats.org/package/2006/relationships"><Relationship Id="rId2" Type="http://schemas.openxmlformats.org/officeDocument/2006/relationships/drawing" Target="../drawings/drawing107.xml"/><Relationship Id="rId1" Type="http://schemas.openxmlformats.org/officeDocument/2006/relationships/printerSettings" Target="../printerSettings/printerSettings116.bin"/></Relationships>
</file>

<file path=xl/worksheets/_rels/sheet117.xml.rels><?xml version="1.0" encoding="UTF-8" standalone="yes"?>
<Relationships xmlns="http://schemas.openxmlformats.org/package/2006/relationships"><Relationship Id="rId2" Type="http://schemas.openxmlformats.org/officeDocument/2006/relationships/drawing" Target="../drawings/drawing108.xml"/><Relationship Id="rId1" Type="http://schemas.openxmlformats.org/officeDocument/2006/relationships/printerSettings" Target="../printerSettings/printerSettings117.bin"/></Relationships>
</file>

<file path=xl/worksheets/_rels/sheet118.xml.rels><?xml version="1.0" encoding="UTF-8" standalone="yes"?>
<Relationships xmlns="http://schemas.openxmlformats.org/package/2006/relationships"><Relationship Id="rId2" Type="http://schemas.openxmlformats.org/officeDocument/2006/relationships/drawing" Target="../drawings/drawing109.xml"/><Relationship Id="rId1" Type="http://schemas.openxmlformats.org/officeDocument/2006/relationships/printerSettings" Target="../printerSettings/printerSettings118.bin"/></Relationships>
</file>

<file path=xl/worksheets/_rels/sheet119.xml.rels><?xml version="1.0" encoding="UTF-8" standalone="yes"?>
<Relationships xmlns="http://schemas.openxmlformats.org/package/2006/relationships"><Relationship Id="rId2" Type="http://schemas.openxmlformats.org/officeDocument/2006/relationships/drawing" Target="../drawings/drawing110.xml"/><Relationship Id="rId1" Type="http://schemas.openxmlformats.org/officeDocument/2006/relationships/printerSettings" Target="../printerSettings/printerSettings119.bin"/></Relationships>
</file>

<file path=xl/worksheets/_rels/sheet120.xml.rels><?xml version="1.0" encoding="UTF-8" standalone="yes"?>
<Relationships xmlns="http://schemas.openxmlformats.org/package/2006/relationships"><Relationship Id="rId2" Type="http://schemas.openxmlformats.org/officeDocument/2006/relationships/drawing" Target="../drawings/drawing111.xml"/><Relationship Id="rId1" Type="http://schemas.openxmlformats.org/officeDocument/2006/relationships/printerSettings" Target="../printerSettings/printerSettings120.bin"/></Relationships>
</file>

<file path=xl/worksheets/_rels/sheet121.xml.rels><?xml version="1.0" encoding="UTF-8" standalone="yes"?>
<Relationships xmlns="http://schemas.openxmlformats.org/package/2006/relationships"><Relationship Id="rId2" Type="http://schemas.openxmlformats.org/officeDocument/2006/relationships/drawing" Target="../drawings/drawing112.xml"/><Relationship Id="rId1" Type="http://schemas.openxmlformats.org/officeDocument/2006/relationships/printerSettings" Target="../printerSettings/printerSettings121.bin"/></Relationships>
</file>

<file path=xl/worksheets/_rels/sheet122.xml.rels><?xml version="1.0" encoding="UTF-8" standalone="yes"?>
<Relationships xmlns="http://schemas.openxmlformats.org/package/2006/relationships"><Relationship Id="rId2" Type="http://schemas.openxmlformats.org/officeDocument/2006/relationships/drawing" Target="../drawings/drawing113.xml"/><Relationship Id="rId1" Type="http://schemas.openxmlformats.org/officeDocument/2006/relationships/printerSettings" Target="../printerSettings/printerSettings122.bin"/></Relationships>
</file>

<file path=xl/worksheets/_rels/sheet123.xml.rels><?xml version="1.0" encoding="UTF-8" standalone="yes"?>
<Relationships xmlns="http://schemas.openxmlformats.org/package/2006/relationships"><Relationship Id="rId2" Type="http://schemas.openxmlformats.org/officeDocument/2006/relationships/drawing" Target="../drawings/drawing114.xml"/><Relationship Id="rId1" Type="http://schemas.openxmlformats.org/officeDocument/2006/relationships/printerSettings" Target="../printerSettings/printerSettings123.bin"/></Relationships>
</file>

<file path=xl/worksheets/_rels/sheet124.xml.rels><?xml version="1.0" encoding="UTF-8" standalone="yes"?>
<Relationships xmlns="http://schemas.openxmlformats.org/package/2006/relationships"><Relationship Id="rId2" Type="http://schemas.openxmlformats.org/officeDocument/2006/relationships/drawing" Target="../drawings/drawing115.xml"/><Relationship Id="rId1" Type="http://schemas.openxmlformats.org/officeDocument/2006/relationships/printerSettings" Target="../printerSettings/printerSettings124.bin"/></Relationships>
</file>

<file path=xl/worksheets/_rels/sheet125.xml.rels><?xml version="1.0" encoding="UTF-8" standalone="yes"?>
<Relationships xmlns="http://schemas.openxmlformats.org/package/2006/relationships"><Relationship Id="rId2" Type="http://schemas.openxmlformats.org/officeDocument/2006/relationships/drawing" Target="../drawings/drawing116.xml"/><Relationship Id="rId1" Type="http://schemas.openxmlformats.org/officeDocument/2006/relationships/printerSettings" Target="../printerSettings/printerSettings125.bin"/></Relationships>
</file>

<file path=xl/worksheets/_rels/sheet126.xml.rels><?xml version="1.0" encoding="UTF-8" standalone="yes"?>
<Relationships xmlns="http://schemas.openxmlformats.org/package/2006/relationships"><Relationship Id="rId2" Type="http://schemas.openxmlformats.org/officeDocument/2006/relationships/drawing" Target="../drawings/drawing117.xml"/><Relationship Id="rId1" Type="http://schemas.openxmlformats.org/officeDocument/2006/relationships/printerSettings" Target="../printerSettings/printerSettings126.bin"/></Relationships>
</file>

<file path=xl/worksheets/_rels/sheet127.xml.rels><?xml version="1.0" encoding="UTF-8" standalone="yes"?>
<Relationships xmlns="http://schemas.openxmlformats.org/package/2006/relationships"><Relationship Id="rId2" Type="http://schemas.openxmlformats.org/officeDocument/2006/relationships/drawing" Target="../drawings/drawing118.xml"/><Relationship Id="rId1" Type="http://schemas.openxmlformats.org/officeDocument/2006/relationships/printerSettings" Target="../printerSettings/printerSettings127.bin"/></Relationships>
</file>

<file path=xl/worksheets/_rels/sheet128.xml.rels><?xml version="1.0" encoding="UTF-8" standalone="yes"?>
<Relationships xmlns="http://schemas.openxmlformats.org/package/2006/relationships"><Relationship Id="rId2" Type="http://schemas.openxmlformats.org/officeDocument/2006/relationships/drawing" Target="../drawings/drawing119.xml"/><Relationship Id="rId1" Type="http://schemas.openxmlformats.org/officeDocument/2006/relationships/printerSettings" Target="../printerSettings/printerSettings128.bin"/></Relationships>
</file>

<file path=xl/worksheets/_rels/sheet129.xml.rels><?xml version="1.0" encoding="UTF-8" standalone="yes"?>
<Relationships xmlns="http://schemas.openxmlformats.org/package/2006/relationships"><Relationship Id="rId2" Type="http://schemas.openxmlformats.org/officeDocument/2006/relationships/drawing" Target="../drawings/drawing120.xml"/><Relationship Id="rId1" Type="http://schemas.openxmlformats.org/officeDocument/2006/relationships/printerSettings" Target="../printerSettings/printerSettings129.bin"/></Relationships>
</file>

<file path=xl/worksheets/_rels/sheet130.xml.rels><?xml version="1.0" encoding="UTF-8" standalone="yes"?>
<Relationships xmlns="http://schemas.openxmlformats.org/package/2006/relationships"><Relationship Id="rId2" Type="http://schemas.openxmlformats.org/officeDocument/2006/relationships/drawing" Target="../drawings/drawing121.xml"/><Relationship Id="rId1" Type="http://schemas.openxmlformats.org/officeDocument/2006/relationships/printerSettings" Target="../printerSettings/printerSettings130.bin"/></Relationships>
</file>

<file path=xl/worksheets/_rels/sheet131.xml.rels><?xml version="1.0" encoding="UTF-8" standalone="yes"?>
<Relationships xmlns="http://schemas.openxmlformats.org/package/2006/relationships"><Relationship Id="rId2" Type="http://schemas.openxmlformats.org/officeDocument/2006/relationships/drawing" Target="../drawings/drawing122.xml"/><Relationship Id="rId1" Type="http://schemas.openxmlformats.org/officeDocument/2006/relationships/printerSettings" Target="../printerSettings/printerSettings131.bin"/></Relationships>
</file>

<file path=xl/worksheets/_rels/sheet132.xml.rels><?xml version="1.0" encoding="UTF-8" standalone="yes"?>
<Relationships xmlns="http://schemas.openxmlformats.org/package/2006/relationships"><Relationship Id="rId2" Type="http://schemas.openxmlformats.org/officeDocument/2006/relationships/drawing" Target="../drawings/drawing123.xml"/><Relationship Id="rId1" Type="http://schemas.openxmlformats.org/officeDocument/2006/relationships/printerSettings" Target="../printerSettings/printerSettings13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O354"/>
  <sheetViews>
    <sheetView workbookViewId="0"/>
  </sheetViews>
  <sheetFormatPr baseColWidth="10" defaultColWidth="11.42578125" defaultRowHeight="12.75"/>
  <cols>
    <col min="1" max="1" width="67.140625" style="24" customWidth="1"/>
    <col min="2" max="2" width="8.42578125" style="25" customWidth="1"/>
    <col min="3" max="3" width="11.42578125" style="25"/>
    <col min="4" max="4" width="16.42578125" style="26" customWidth="1"/>
    <col min="5" max="5" width="15" style="25" customWidth="1"/>
    <col min="6" max="6" width="5" style="24" customWidth="1"/>
    <col min="7" max="7" width="3.7109375" style="24" customWidth="1"/>
    <col min="8" max="8" width="14.5703125" style="24" customWidth="1"/>
    <col min="9" max="9" width="47.140625" style="24" customWidth="1"/>
    <col min="10" max="11" width="11.42578125" style="24"/>
    <col min="12" max="12" width="14.140625" style="24" bestFit="1" customWidth="1"/>
    <col min="13" max="16384" width="11.42578125" style="24"/>
  </cols>
  <sheetData>
    <row r="1" spans="1:14" ht="15">
      <c r="A1" s="23" t="s">
        <v>62</v>
      </c>
      <c r="B1" s="24"/>
    </row>
    <row r="2" spans="1:14" ht="13.5" thickBot="1">
      <c r="A2" s="1813" t="s">
        <v>63</v>
      </c>
      <c r="B2" s="1813"/>
      <c r="C2" s="1813"/>
      <c r="D2" s="1813"/>
      <c r="I2" s="1813" t="s">
        <v>64</v>
      </c>
      <c r="J2" s="1813"/>
      <c r="K2" s="1813"/>
      <c r="L2" s="1813"/>
    </row>
    <row r="3" spans="1:14" ht="21.6" customHeight="1" thickBot="1">
      <c r="A3" s="25" t="s">
        <v>65</v>
      </c>
      <c r="D3" s="25"/>
      <c r="I3" s="25"/>
      <c r="J3" s="25"/>
      <c r="K3" s="25"/>
      <c r="L3" s="25"/>
      <c r="N3" s="27">
        <v>2017</v>
      </c>
    </row>
    <row r="4" spans="1:14" ht="15" customHeight="1">
      <c r="A4" s="24" t="s">
        <v>66</v>
      </c>
      <c r="B4" s="24"/>
      <c r="C4" s="25" t="s">
        <v>67</v>
      </c>
      <c r="D4" s="28">
        <v>590</v>
      </c>
      <c r="I4" s="25"/>
      <c r="J4" s="25"/>
      <c r="K4" s="25"/>
      <c r="L4" s="25"/>
      <c r="N4" s="29"/>
    </row>
    <row r="5" spans="1:14" ht="15" customHeight="1">
      <c r="A5" s="24" t="s">
        <v>68</v>
      </c>
      <c r="B5" s="24"/>
      <c r="C5" s="25" t="s">
        <v>67</v>
      </c>
      <c r="D5" s="28">
        <f>ROUND((44900/40),0)</f>
        <v>1123</v>
      </c>
      <c r="I5" s="24" t="s">
        <v>69</v>
      </c>
      <c r="J5" s="25"/>
      <c r="K5" s="25" t="s">
        <v>70</v>
      </c>
      <c r="L5" s="30">
        <v>98600</v>
      </c>
      <c r="N5" s="31"/>
    </row>
    <row r="6" spans="1:14">
      <c r="A6" s="24" t="s">
        <v>71</v>
      </c>
      <c r="C6" s="25" t="s">
        <v>72</v>
      </c>
      <c r="D6" s="28">
        <f>+[25]BASICOS.!H53</f>
        <v>415384</v>
      </c>
      <c r="E6" s="32">
        <v>435759</v>
      </c>
      <c r="I6" s="24" t="s">
        <v>73</v>
      </c>
      <c r="J6" s="25"/>
      <c r="K6" s="25" t="s">
        <v>74</v>
      </c>
      <c r="L6" s="33">
        <v>35000</v>
      </c>
      <c r="N6" s="31"/>
    </row>
    <row r="7" spans="1:14">
      <c r="A7" s="24" t="s">
        <v>75</v>
      </c>
      <c r="B7" s="24"/>
      <c r="C7" s="25" t="s">
        <v>72</v>
      </c>
      <c r="D7" s="28">
        <f>+[25]BASICOS.!H17</f>
        <v>344623</v>
      </c>
      <c r="E7" s="32">
        <v>399590</v>
      </c>
      <c r="I7" s="24" t="s">
        <v>76</v>
      </c>
      <c r="J7" s="25"/>
      <c r="K7" s="34" t="s">
        <v>70</v>
      </c>
      <c r="L7" s="35">
        <v>30000</v>
      </c>
      <c r="N7" s="31"/>
    </row>
    <row r="8" spans="1:14">
      <c r="A8" s="24" t="s">
        <v>77</v>
      </c>
      <c r="B8" s="24"/>
      <c r="C8" s="25" t="s">
        <v>72</v>
      </c>
      <c r="D8" s="28">
        <f>+[25]BASICOS.!H72</f>
        <v>320023</v>
      </c>
      <c r="I8" s="24" t="s">
        <v>78</v>
      </c>
      <c r="J8" s="25"/>
      <c r="K8" s="25" t="s">
        <v>74</v>
      </c>
      <c r="L8" s="30">
        <v>75400</v>
      </c>
      <c r="N8" s="31"/>
    </row>
    <row r="9" spans="1:14" ht="15" customHeight="1">
      <c r="A9" s="24" t="s">
        <v>79</v>
      </c>
      <c r="B9" s="24"/>
      <c r="C9" s="25" t="s">
        <v>72</v>
      </c>
      <c r="D9" s="28">
        <f>+[25]BASICOS.!H92</f>
        <v>295349</v>
      </c>
      <c r="I9" s="36" t="s">
        <v>80</v>
      </c>
      <c r="J9" s="25"/>
      <c r="K9" s="25" t="s">
        <v>81</v>
      </c>
      <c r="L9" s="33">
        <v>126000</v>
      </c>
      <c r="N9" s="31"/>
    </row>
    <row r="10" spans="1:14">
      <c r="A10" s="24" t="s">
        <v>82</v>
      </c>
      <c r="C10" s="25" t="s">
        <v>72</v>
      </c>
      <c r="D10" s="32">
        <f>435759+30000</f>
        <v>465759</v>
      </c>
      <c r="I10" s="24" t="s">
        <v>83</v>
      </c>
      <c r="J10" s="25"/>
      <c r="K10" s="25" t="s">
        <v>74</v>
      </c>
      <c r="L10" s="33">
        <v>85000</v>
      </c>
      <c r="N10" s="31"/>
    </row>
    <row r="11" spans="1:14">
      <c r="A11" s="24" t="s">
        <v>84</v>
      </c>
      <c r="C11" s="25" t="s">
        <v>72</v>
      </c>
      <c r="D11" s="32">
        <v>278500</v>
      </c>
      <c r="J11" s="25"/>
      <c r="K11" s="25"/>
      <c r="L11" s="33"/>
      <c r="N11" s="31"/>
    </row>
    <row r="12" spans="1:14">
      <c r="A12" s="25" t="s">
        <v>85</v>
      </c>
      <c r="D12" s="32"/>
      <c r="J12" s="25"/>
      <c r="K12" s="25"/>
      <c r="L12" s="33"/>
      <c r="N12" s="31"/>
    </row>
    <row r="13" spans="1:14">
      <c r="A13" s="37" t="s">
        <v>86</v>
      </c>
      <c r="C13" s="25" t="s">
        <v>72</v>
      </c>
      <c r="D13" s="32">
        <v>348925</v>
      </c>
      <c r="E13" s="32">
        <v>349844</v>
      </c>
      <c r="I13" s="24" t="s">
        <v>87</v>
      </c>
      <c r="J13" s="25"/>
      <c r="K13" s="25" t="s">
        <v>72</v>
      </c>
      <c r="L13" s="33">
        <v>8000</v>
      </c>
      <c r="N13" s="31"/>
    </row>
    <row r="14" spans="1:14">
      <c r="A14" s="37" t="s">
        <v>88</v>
      </c>
      <c r="C14" s="25" t="s">
        <v>72</v>
      </c>
      <c r="D14" s="28">
        <v>302151</v>
      </c>
      <c r="E14" s="32">
        <v>300773</v>
      </c>
      <c r="I14" s="24" t="s">
        <v>89</v>
      </c>
      <c r="J14" s="25"/>
      <c r="K14" s="25" t="s">
        <v>90</v>
      </c>
      <c r="L14" s="33">
        <v>87000</v>
      </c>
      <c r="N14" s="31"/>
    </row>
    <row r="15" spans="1:14">
      <c r="A15" s="37" t="s">
        <v>91</v>
      </c>
      <c r="C15" s="25" t="s">
        <v>72</v>
      </c>
      <c r="D15" s="28">
        <f>+[25]BASICOS.!H148</f>
        <v>263517</v>
      </c>
      <c r="E15" s="32">
        <v>266181</v>
      </c>
      <c r="I15" s="24" t="s">
        <v>92</v>
      </c>
      <c r="J15" s="25"/>
      <c r="K15" s="25" t="s">
        <v>81</v>
      </c>
      <c r="L15" s="33">
        <v>120000</v>
      </c>
      <c r="M15" s="38">
        <v>140000</v>
      </c>
      <c r="N15" s="31"/>
    </row>
    <row r="16" spans="1:14">
      <c r="A16" s="24" t="s">
        <v>93</v>
      </c>
      <c r="C16" s="25" t="s">
        <v>72</v>
      </c>
      <c r="D16" s="39">
        <v>528574</v>
      </c>
      <c r="E16" s="32"/>
      <c r="J16" s="25"/>
      <c r="K16" s="25"/>
      <c r="L16" s="33"/>
      <c r="N16" s="31"/>
    </row>
    <row r="17" spans="1:15">
      <c r="D17" s="28"/>
      <c r="E17" s="32"/>
      <c r="J17" s="25"/>
      <c r="K17" s="25"/>
      <c r="L17" s="33"/>
      <c r="N17" s="31"/>
    </row>
    <row r="18" spans="1:15">
      <c r="A18" s="25" t="s">
        <v>94</v>
      </c>
      <c r="B18" s="24"/>
      <c r="D18" s="32"/>
      <c r="I18" s="24" t="s">
        <v>95</v>
      </c>
      <c r="J18" s="25"/>
      <c r="K18" s="25" t="s">
        <v>81</v>
      </c>
      <c r="L18" s="33">
        <v>140000</v>
      </c>
      <c r="N18" s="31"/>
    </row>
    <row r="19" spans="1:15">
      <c r="A19" s="24" t="s">
        <v>96</v>
      </c>
      <c r="B19" s="24"/>
      <c r="C19" s="25" t="s">
        <v>72</v>
      </c>
      <c r="D19" s="28">
        <v>98600</v>
      </c>
      <c r="I19" s="24" t="s">
        <v>97</v>
      </c>
      <c r="J19" s="25"/>
      <c r="K19" s="25" t="s">
        <v>90</v>
      </c>
      <c r="L19" s="30">
        <v>139200</v>
      </c>
      <c r="N19" s="31"/>
    </row>
    <row r="20" spans="1:15">
      <c r="A20" s="24" t="s">
        <v>98</v>
      </c>
      <c r="B20" s="24"/>
      <c r="C20" s="25" t="s">
        <v>72</v>
      </c>
      <c r="D20" s="28">
        <v>78184</v>
      </c>
      <c r="I20" s="24" t="s">
        <v>99</v>
      </c>
      <c r="J20" s="25"/>
      <c r="K20" s="25" t="s">
        <v>72</v>
      </c>
      <c r="L20" s="40">
        <v>1250</v>
      </c>
      <c r="N20" s="31"/>
    </row>
    <row r="21" spans="1:15">
      <c r="A21" s="24" t="s">
        <v>100</v>
      </c>
      <c r="B21" s="24"/>
      <c r="C21" s="25" t="s">
        <v>72</v>
      </c>
      <c r="D21" s="28">
        <f>+ROUND(76038*1.16,0)</f>
        <v>88204</v>
      </c>
      <c r="I21" s="24" t="s">
        <v>101</v>
      </c>
      <c r="J21" s="25"/>
      <c r="K21" s="25" t="s">
        <v>102</v>
      </c>
      <c r="L21" s="33">
        <v>30392</v>
      </c>
      <c r="N21" s="31"/>
    </row>
    <row r="22" spans="1:15">
      <c r="A22" s="24" t="s">
        <v>103</v>
      </c>
      <c r="B22" s="24"/>
      <c r="C22" s="25" t="s">
        <v>72</v>
      </c>
      <c r="D22" s="28">
        <f>+ROUND(49590*1.16,0)</f>
        <v>57524</v>
      </c>
      <c r="J22" s="25"/>
      <c r="K22" s="25"/>
      <c r="L22" s="33"/>
      <c r="N22" s="31"/>
    </row>
    <row r="23" spans="1:15">
      <c r="A23" s="24" t="s">
        <v>104</v>
      </c>
      <c r="B23" s="24"/>
      <c r="C23" s="25" t="s">
        <v>105</v>
      </c>
      <c r="D23" s="28">
        <v>31400</v>
      </c>
      <c r="E23" s="25">
        <f>98000*0.13</f>
        <v>12740</v>
      </c>
      <c r="J23" s="25"/>
      <c r="K23" s="25"/>
      <c r="L23" s="33"/>
      <c r="N23" s="31"/>
    </row>
    <row r="24" spans="1:15">
      <c r="A24" s="24" t="s">
        <v>106</v>
      </c>
      <c r="B24" s="24"/>
      <c r="C24" s="25" t="s">
        <v>72</v>
      </c>
      <c r="D24" s="28">
        <v>44080</v>
      </c>
      <c r="I24" s="24" t="s">
        <v>107</v>
      </c>
      <c r="J24" s="25"/>
      <c r="K24" s="25" t="s">
        <v>74</v>
      </c>
      <c r="L24" s="30">
        <v>108460</v>
      </c>
      <c r="N24" s="31"/>
    </row>
    <row r="25" spans="1:15">
      <c r="A25" s="24" t="s">
        <v>108</v>
      </c>
      <c r="B25" s="24"/>
      <c r="C25" s="25" t="s">
        <v>72</v>
      </c>
      <c r="D25" s="32">
        <v>69600</v>
      </c>
      <c r="I25" s="24" t="s">
        <v>109</v>
      </c>
      <c r="J25" s="25"/>
      <c r="K25" s="25" t="s">
        <v>102</v>
      </c>
      <c r="L25" s="40">
        <v>285000</v>
      </c>
      <c r="N25" s="31"/>
    </row>
    <row r="26" spans="1:15">
      <c r="A26" s="24" t="s">
        <v>110</v>
      </c>
      <c r="B26" s="24"/>
      <c r="C26" s="25" t="s">
        <v>72</v>
      </c>
      <c r="D26" s="28">
        <v>132472</v>
      </c>
      <c r="I26" s="24" t="s">
        <v>99</v>
      </c>
      <c r="J26" s="25"/>
      <c r="K26" s="25" t="s">
        <v>72</v>
      </c>
      <c r="L26" s="40">
        <v>1250</v>
      </c>
      <c r="N26" s="31"/>
    </row>
    <row r="27" spans="1:15">
      <c r="A27" s="24" t="s">
        <v>111</v>
      </c>
      <c r="B27" s="24"/>
      <c r="C27" s="25" t="s">
        <v>72</v>
      </c>
      <c r="D27" s="28">
        <v>61721</v>
      </c>
      <c r="I27" s="24" t="s">
        <v>112</v>
      </c>
      <c r="J27" s="25"/>
      <c r="K27" s="25" t="s">
        <v>74</v>
      </c>
      <c r="L27" s="33">
        <v>106000</v>
      </c>
      <c r="N27" s="31"/>
    </row>
    <row r="28" spans="1:15">
      <c r="A28" s="24" t="s">
        <v>113</v>
      </c>
      <c r="B28" s="24"/>
      <c r="C28" s="25" t="s">
        <v>72</v>
      </c>
      <c r="D28" s="28">
        <v>128000</v>
      </c>
      <c r="I28" s="24" t="s">
        <v>114</v>
      </c>
      <c r="J28" s="25"/>
      <c r="K28" s="25" t="s">
        <v>102</v>
      </c>
      <c r="L28" s="35">
        <v>37000</v>
      </c>
      <c r="N28" s="31"/>
    </row>
    <row r="29" spans="1:15">
      <c r="A29" s="24" t="s">
        <v>115</v>
      </c>
      <c r="B29" s="24"/>
      <c r="C29" s="25" t="s">
        <v>72</v>
      </c>
      <c r="D29" s="28">
        <v>46168</v>
      </c>
      <c r="I29" s="24" t="s">
        <v>116</v>
      </c>
      <c r="J29" s="25"/>
      <c r="K29" s="25" t="s">
        <v>102</v>
      </c>
      <c r="L29" s="33">
        <v>1100</v>
      </c>
      <c r="N29" s="31"/>
    </row>
    <row r="30" spans="1:15">
      <c r="A30" s="24" t="s">
        <v>117</v>
      </c>
      <c r="B30" s="24"/>
      <c r="C30" s="25" t="s">
        <v>72</v>
      </c>
      <c r="D30" s="28">
        <v>73080</v>
      </c>
      <c r="I30" s="24" t="s">
        <v>118</v>
      </c>
      <c r="K30" s="25" t="s">
        <v>102</v>
      </c>
      <c r="L30" s="35">
        <v>22000</v>
      </c>
      <c r="N30" s="31"/>
    </row>
    <row r="31" spans="1:15">
      <c r="A31" s="24" t="s">
        <v>119</v>
      </c>
      <c r="B31" s="24"/>
      <c r="C31" s="25" t="s">
        <v>72</v>
      </c>
      <c r="D31" s="28">
        <v>98600</v>
      </c>
      <c r="I31" s="24" t="s">
        <v>120</v>
      </c>
      <c r="K31" s="25" t="s">
        <v>102</v>
      </c>
      <c r="L31" s="33">
        <v>60000</v>
      </c>
      <c r="N31" s="31"/>
    </row>
    <row r="32" spans="1:15">
      <c r="A32" s="24" t="s">
        <v>121</v>
      </c>
      <c r="B32" s="24"/>
      <c r="C32" s="25" t="s">
        <v>72</v>
      </c>
      <c r="D32" s="28">
        <v>34800</v>
      </c>
      <c r="I32" s="24" t="s">
        <v>122</v>
      </c>
      <c r="K32" s="25" t="s">
        <v>102</v>
      </c>
      <c r="L32" s="30">
        <v>2000</v>
      </c>
      <c r="N32" s="41">
        <v>2040</v>
      </c>
      <c r="O32" s="42" t="s">
        <v>123</v>
      </c>
    </row>
    <row r="33" spans="1:14">
      <c r="A33" s="24" t="s">
        <v>124</v>
      </c>
      <c r="B33" s="24"/>
      <c r="C33" s="25" t="s">
        <v>72</v>
      </c>
      <c r="D33" s="28">
        <v>55680</v>
      </c>
      <c r="I33" s="24" t="s">
        <v>125</v>
      </c>
      <c r="K33" s="25" t="s">
        <v>102</v>
      </c>
      <c r="L33" s="35">
        <v>28000</v>
      </c>
      <c r="N33" s="31"/>
    </row>
    <row r="34" spans="1:14">
      <c r="A34" s="24" t="s">
        <v>126</v>
      </c>
      <c r="B34" s="24"/>
      <c r="C34" s="25" t="s">
        <v>72</v>
      </c>
      <c r="D34" s="28">
        <v>58334</v>
      </c>
      <c r="I34" s="1814" t="s">
        <v>127</v>
      </c>
      <c r="J34" s="1814"/>
      <c r="K34" s="25" t="s">
        <v>72</v>
      </c>
      <c r="L34" s="30">
        <v>46400</v>
      </c>
      <c r="N34" s="31"/>
    </row>
    <row r="35" spans="1:14">
      <c r="A35" s="24" t="s">
        <v>128</v>
      </c>
      <c r="B35" s="24"/>
      <c r="C35" s="25" t="s">
        <v>72</v>
      </c>
      <c r="D35" s="28">
        <v>32000</v>
      </c>
      <c r="I35" s="24" t="s">
        <v>129</v>
      </c>
      <c r="K35" s="25" t="s">
        <v>102</v>
      </c>
      <c r="L35" s="44">
        <v>16000</v>
      </c>
      <c r="N35" s="31"/>
    </row>
    <row r="36" spans="1:14">
      <c r="A36" s="24" t="s">
        <v>130</v>
      </c>
      <c r="B36" s="24"/>
      <c r="C36" s="25" t="s">
        <v>72</v>
      </c>
      <c r="D36" s="28">
        <v>15080</v>
      </c>
      <c r="I36" s="24" t="s">
        <v>131</v>
      </c>
      <c r="J36" s="25"/>
      <c r="K36" s="25" t="s">
        <v>102</v>
      </c>
      <c r="L36" s="35">
        <v>10000</v>
      </c>
      <c r="N36" s="31"/>
    </row>
    <row r="37" spans="1:14">
      <c r="A37" s="24" t="s">
        <v>132</v>
      </c>
      <c r="B37" s="24"/>
      <c r="C37" s="25" t="s">
        <v>72</v>
      </c>
      <c r="D37" s="28">
        <v>32500</v>
      </c>
      <c r="I37" s="24" t="s">
        <v>133</v>
      </c>
      <c r="J37" s="25"/>
      <c r="K37" s="25" t="s">
        <v>102</v>
      </c>
      <c r="L37" s="33">
        <v>55000</v>
      </c>
      <c r="N37" s="31"/>
    </row>
    <row r="38" spans="1:14">
      <c r="A38" s="24" t="s">
        <v>134</v>
      </c>
      <c r="B38" s="24"/>
      <c r="C38" s="25" t="s">
        <v>135</v>
      </c>
      <c r="D38" s="28">
        <v>20</v>
      </c>
      <c r="I38" s="24" t="s">
        <v>136</v>
      </c>
      <c r="J38" s="25"/>
      <c r="K38" s="25" t="s">
        <v>102</v>
      </c>
      <c r="L38" s="33">
        <v>40000</v>
      </c>
      <c r="N38" s="31"/>
    </row>
    <row r="39" spans="1:14">
      <c r="A39" s="24" t="s">
        <v>137</v>
      </c>
      <c r="B39" s="24"/>
      <c r="C39" s="25" t="s">
        <v>72</v>
      </c>
      <c r="D39" s="32">
        <v>60000</v>
      </c>
      <c r="I39" s="24" t="s">
        <v>138</v>
      </c>
      <c r="J39" s="25"/>
      <c r="K39" s="25" t="s">
        <v>139</v>
      </c>
      <c r="L39" s="33">
        <v>25000</v>
      </c>
      <c r="N39" s="31"/>
    </row>
    <row r="40" spans="1:14">
      <c r="A40" s="25" t="s">
        <v>140</v>
      </c>
      <c r="B40" s="24"/>
      <c r="D40" s="32"/>
      <c r="I40" s="24" t="s">
        <v>141</v>
      </c>
      <c r="J40" s="25"/>
      <c r="K40" s="25" t="s">
        <v>102</v>
      </c>
      <c r="L40" s="33">
        <v>33000</v>
      </c>
      <c r="N40" s="31"/>
    </row>
    <row r="41" spans="1:14" ht="15" customHeight="1">
      <c r="A41" s="24" t="s">
        <v>142</v>
      </c>
      <c r="B41" s="24"/>
      <c r="C41" s="45" t="s">
        <v>143</v>
      </c>
      <c r="D41" s="28">
        <v>7540</v>
      </c>
      <c r="J41" s="25"/>
      <c r="K41" s="25"/>
      <c r="L41" s="33"/>
    </row>
    <row r="42" spans="1:14" ht="15" customHeight="1">
      <c r="A42" s="24" t="s">
        <v>144</v>
      </c>
      <c r="B42" s="24"/>
      <c r="C42" s="45" t="s">
        <v>143</v>
      </c>
      <c r="D42" s="28">
        <v>9744</v>
      </c>
      <c r="F42" s="24" t="e">
        <f>INS!E1208900</f>
        <v>#NAME?</v>
      </c>
      <c r="J42" s="25"/>
      <c r="K42" s="25"/>
      <c r="L42" s="46"/>
    </row>
    <row r="43" spans="1:14" ht="15" customHeight="1">
      <c r="A43" s="24" t="s">
        <v>145</v>
      </c>
      <c r="B43" s="24"/>
      <c r="C43" s="45" t="s">
        <v>143</v>
      </c>
      <c r="D43" s="28">
        <v>12862</v>
      </c>
      <c r="J43" s="25"/>
      <c r="K43" s="25"/>
      <c r="L43" s="33"/>
    </row>
    <row r="44" spans="1:14" ht="15" customHeight="1">
      <c r="A44" s="24" t="s">
        <v>146</v>
      </c>
      <c r="B44" s="24"/>
      <c r="C44" s="45" t="s">
        <v>143</v>
      </c>
      <c r="D44" s="28">
        <v>14153</v>
      </c>
      <c r="J44" s="25"/>
      <c r="K44" s="25"/>
      <c r="L44" s="33"/>
    </row>
    <row r="45" spans="1:14" ht="15" customHeight="1">
      <c r="A45" s="24" t="s">
        <v>147</v>
      </c>
      <c r="B45" s="24"/>
      <c r="C45" s="45" t="s">
        <v>143</v>
      </c>
      <c r="D45" s="28">
        <v>19488</v>
      </c>
      <c r="J45" s="25"/>
      <c r="K45" s="25"/>
      <c r="L45" s="33"/>
    </row>
    <row r="46" spans="1:14" ht="15" customHeight="1">
      <c r="A46" s="24" t="s">
        <v>148</v>
      </c>
      <c r="C46" s="45" t="s">
        <v>143</v>
      </c>
      <c r="D46" s="28">
        <v>5684</v>
      </c>
      <c r="J46" s="25"/>
      <c r="K46" s="25"/>
      <c r="L46" s="33"/>
    </row>
    <row r="47" spans="1:14" ht="15" customHeight="1">
      <c r="A47" s="24" t="s">
        <v>149</v>
      </c>
      <c r="C47" s="45" t="s">
        <v>143</v>
      </c>
      <c r="D47" s="28">
        <v>8352</v>
      </c>
    </row>
    <row r="48" spans="1:14" ht="15" customHeight="1">
      <c r="A48" s="24" t="s">
        <v>150</v>
      </c>
      <c r="C48" s="45" t="s">
        <v>143</v>
      </c>
      <c r="D48" s="28">
        <v>9512</v>
      </c>
    </row>
    <row r="49" spans="1:9" ht="15" customHeight="1">
      <c r="A49" s="24" t="s">
        <v>151</v>
      </c>
      <c r="C49" s="45" t="s">
        <v>143</v>
      </c>
      <c r="D49" s="28">
        <v>11252</v>
      </c>
    </row>
    <row r="50" spans="1:9" ht="15" customHeight="1">
      <c r="A50" s="24" t="s">
        <v>152</v>
      </c>
      <c r="C50" s="45" t="s">
        <v>143</v>
      </c>
      <c r="D50" s="28">
        <v>14616</v>
      </c>
    </row>
    <row r="51" spans="1:9" ht="15" customHeight="1">
      <c r="A51" s="24" t="s">
        <v>153</v>
      </c>
      <c r="B51" s="24"/>
      <c r="C51" s="45" t="s">
        <v>143</v>
      </c>
      <c r="D51" s="28">
        <v>9744</v>
      </c>
    </row>
    <row r="52" spans="1:9" ht="15" customHeight="1">
      <c r="A52" s="24" t="s">
        <v>154</v>
      </c>
      <c r="B52" s="24"/>
      <c r="C52" s="45" t="s">
        <v>143</v>
      </c>
      <c r="D52" s="28">
        <v>4872</v>
      </c>
    </row>
    <row r="53" spans="1:9" ht="15" customHeight="1">
      <c r="A53" s="24" t="s">
        <v>155</v>
      </c>
      <c r="B53" s="24"/>
      <c r="C53" s="45" t="s">
        <v>143</v>
      </c>
      <c r="D53" s="28">
        <v>19488</v>
      </c>
    </row>
    <row r="54" spans="1:9" ht="15" customHeight="1">
      <c r="A54" s="24" t="s">
        <v>156</v>
      </c>
      <c r="B54" s="24"/>
      <c r="C54" s="45" t="s">
        <v>143</v>
      </c>
      <c r="D54" s="28">
        <v>24360</v>
      </c>
    </row>
    <row r="55" spans="1:9" ht="15" customHeight="1">
      <c r="A55" s="24" t="s">
        <v>157</v>
      </c>
      <c r="B55" s="24"/>
      <c r="C55" s="45" t="s">
        <v>143</v>
      </c>
      <c r="D55" s="28">
        <v>10962</v>
      </c>
    </row>
    <row r="56" spans="1:9" ht="15" customHeight="1">
      <c r="A56" s="25" t="s">
        <v>158</v>
      </c>
      <c r="B56" s="24"/>
      <c r="D56" s="28"/>
    </row>
    <row r="57" spans="1:9" ht="15" customHeight="1">
      <c r="A57" s="24" t="s">
        <v>159</v>
      </c>
      <c r="B57" s="24"/>
      <c r="C57" s="45" t="s">
        <v>143</v>
      </c>
      <c r="D57" s="28">
        <v>6577</v>
      </c>
    </row>
    <row r="58" spans="1:9" ht="15" customHeight="1">
      <c r="A58" s="24" t="s">
        <v>160</v>
      </c>
      <c r="B58" s="24"/>
      <c r="C58" s="45" t="s">
        <v>143</v>
      </c>
      <c r="D58" s="28">
        <v>6032</v>
      </c>
    </row>
    <row r="59" spans="1:9" ht="15" customHeight="1">
      <c r="A59" s="25" t="s">
        <v>161</v>
      </c>
      <c r="B59" s="24"/>
      <c r="C59" s="24"/>
      <c r="D59" s="24"/>
    </row>
    <row r="60" spans="1:9" ht="15" customHeight="1">
      <c r="A60" s="24" t="s">
        <v>162</v>
      </c>
      <c r="B60" s="24"/>
      <c r="C60" s="45" t="s">
        <v>67</v>
      </c>
      <c r="D60" s="28">
        <v>3900</v>
      </c>
    </row>
    <row r="61" spans="1:9" ht="15" customHeight="1">
      <c r="A61" s="37" t="s">
        <v>163</v>
      </c>
      <c r="C61" s="45" t="s">
        <v>67</v>
      </c>
      <c r="D61" s="32">
        <v>250</v>
      </c>
    </row>
    <row r="62" spans="1:9" ht="15" customHeight="1">
      <c r="A62" s="37" t="s">
        <v>164</v>
      </c>
      <c r="C62" s="45" t="s">
        <v>67</v>
      </c>
      <c r="D62" s="28">
        <v>2504</v>
      </c>
    </row>
    <row r="63" spans="1:9" ht="15" customHeight="1">
      <c r="A63" s="37" t="s">
        <v>165</v>
      </c>
      <c r="C63" s="45" t="s">
        <v>67</v>
      </c>
      <c r="D63" s="28">
        <v>2504</v>
      </c>
    </row>
    <row r="64" spans="1:9" ht="15" customHeight="1">
      <c r="A64" s="37" t="s">
        <v>166</v>
      </c>
      <c r="C64" s="45" t="s">
        <v>67</v>
      </c>
      <c r="D64" s="28">
        <v>2494</v>
      </c>
      <c r="E64" s="32">
        <v>44100</v>
      </c>
      <c r="F64" s="24">
        <v>18.73</v>
      </c>
      <c r="G64" s="25"/>
      <c r="H64" s="24">
        <f>+E64/F64</f>
        <v>2354.5114789108384</v>
      </c>
      <c r="I64" s="47"/>
    </row>
    <row r="65" spans="1:8" ht="15" customHeight="1">
      <c r="A65" s="37" t="s">
        <v>167</v>
      </c>
      <c r="C65" s="45" t="s">
        <v>67</v>
      </c>
      <c r="D65" s="28">
        <v>2504</v>
      </c>
    </row>
    <row r="66" spans="1:8" ht="15" customHeight="1">
      <c r="A66" s="37" t="s">
        <v>168</v>
      </c>
      <c r="C66" s="45" t="s">
        <v>67</v>
      </c>
      <c r="D66" s="28">
        <v>2347</v>
      </c>
    </row>
    <row r="67" spans="1:8" ht="15" customHeight="1">
      <c r="A67" s="37" t="s">
        <v>169</v>
      </c>
      <c r="C67" s="45" t="s">
        <v>67</v>
      </c>
      <c r="D67" s="28">
        <v>2262</v>
      </c>
    </row>
    <row r="68" spans="1:8" ht="15" customHeight="1">
      <c r="A68" s="25" t="s">
        <v>170</v>
      </c>
      <c r="C68" s="45"/>
      <c r="D68" s="32"/>
    </row>
    <row r="69" spans="1:8" ht="15" customHeight="1">
      <c r="A69" s="37" t="s">
        <v>171</v>
      </c>
      <c r="C69" s="25" t="s">
        <v>143</v>
      </c>
      <c r="D69" s="28">
        <v>969</v>
      </c>
      <c r="H69" s="24">
        <f>612/1.61</f>
        <v>380.12422360248445</v>
      </c>
    </row>
    <row r="70" spans="1:8">
      <c r="A70" s="37" t="s">
        <v>172</v>
      </c>
      <c r="C70" s="25" t="s">
        <v>143</v>
      </c>
      <c r="D70" s="28">
        <v>992</v>
      </c>
    </row>
    <row r="71" spans="1:8">
      <c r="A71" s="37" t="s">
        <v>173</v>
      </c>
      <c r="C71" s="25" t="s">
        <v>143</v>
      </c>
      <c r="D71" s="28">
        <v>1216</v>
      </c>
    </row>
    <row r="72" spans="1:8">
      <c r="A72" s="37" t="s">
        <v>174</v>
      </c>
      <c r="C72" s="25" t="s">
        <v>143</v>
      </c>
      <c r="D72" s="32">
        <v>950</v>
      </c>
    </row>
    <row r="73" spans="1:8">
      <c r="A73" s="37" t="s">
        <v>175</v>
      </c>
      <c r="C73" s="25" t="s">
        <v>143</v>
      </c>
      <c r="D73" s="28">
        <v>720</v>
      </c>
    </row>
    <row r="74" spans="1:8">
      <c r="A74" s="24" t="s">
        <v>176</v>
      </c>
      <c r="C74" s="25" t="s">
        <v>143</v>
      </c>
      <c r="D74" s="28">
        <v>783</v>
      </c>
    </row>
    <row r="75" spans="1:8">
      <c r="A75" s="24" t="s">
        <v>177</v>
      </c>
      <c r="C75" s="25" t="s">
        <v>143</v>
      </c>
      <c r="D75" s="32">
        <v>450</v>
      </c>
    </row>
    <row r="76" spans="1:8">
      <c r="A76" s="25" t="s">
        <v>178</v>
      </c>
      <c r="D76" s="32"/>
    </row>
    <row r="77" spans="1:8">
      <c r="A77" s="24" t="s">
        <v>179</v>
      </c>
      <c r="C77" s="25" t="s">
        <v>67</v>
      </c>
      <c r="D77" s="32">
        <v>5742</v>
      </c>
    </row>
    <row r="78" spans="1:8">
      <c r="A78" s="24" t="s">
        <v>180</v>
      </c>
      <c r="C78" s="25" t="s">
        <v>181</v>
      </c>
      <c r="D78" s="32">
        <v>1314</v>
      </c>
    </row>
    <row r="79" spans="1:8">
      <c r="A79" s="24" t="s">
        <v>182</v>
      </c>
      <c r="C79" s="25" t="s">
        <v>183</v>
      </c>
      <c r="D79" s="32">
        <v>2397</v>
      </c>
    </row>
    <row r="80" spans="1:8">
      <c r="A80" s="24" t="s">
        <v>184</v>
      </c>
      <c r="C80" s="25" t="s">
        <v>143</v>
      </c>
      <c r="D80" s="48">
        <v>17000</v>
      </c>
    </row>
    <row r="81" spans="1:4">
      <c r="A81" s="24" t="s">
        <v>185</v>
      </c>
      <c r="C81" s="25" t="s">
        <v>186</v>
      </c>
      <c r="D81" s="32">
        <v>37567</v>
      </c>
    </row>
    <row r="82" spans="1:4">
      <c r="A82" s="24" t="s">
        <v>187</v>
      </c>
      <c r="C82" s="25" t="s">
        <v>143</v>
      </c>
      <c r="D82" s="32">
        <v>2336</v>
      </c>
    </row>
    <row r="83" spans="1:4">
      <c r="A83" s="24" t="s">
        <v>188</v>
      </c>
      <c r="C83" s="25" t="s">
        <v>143</v>
      </c>
      <c r="D83" s="48">
        <v>38</v>
      </c>
    </row>
    <row r="84" spans="1:4">
      <c r="A84" s="24" t="s">
        <v>189</v>
      </c>
      <c r="C84" s="25" t="s">
        <v>143</v>
      </c>
      <c r="D84" s="48">
        <v>38</v>
      </c>
    </row>
    <row r="85" spans="1:4">
      <c r="A85" s="24" t="s">
        <v>190</v>
      </c>
      <c r="C85" s="25" t="s">
        <v>143</v>
      </c>
      <c r="D85" s="32">
        <v>2336</v>
      </c>
    </row>
    <row r="86" spans="1:4">
      <c r="A86" s="24" t="s">
        <v>191</v>
      </c>
      <c r="C86" s="25" t="s">
        <v>143</v>
      </c>
      <c r="D86" s="32">
        <v>7800</v>
      </c>
    </row>
    <row r="87" spans="1:4">
      <c r="A87" s="24" t="s">
        <v>192</v>
      </c>
      <c r="C87" s="25" t="s">
        <v>143</v>
      </c>
      <c r="D87" s="32">
        <v>380</v>
      </c>
    </row>
    <row r="88" spans="1:4">
      <c r="A88" s="24" t="s">
        <v>193</v>
      </c>
      <c r="C88" s="25" t="s">
        <v>183</v>
      </c>
      <c r="D88" s="32">
        <v>10500</v>
      </c>
    </row>
    <row r="89" spans="1:4">
      <c r="A89" s="24" t="s">
        <v>194</v>
      </c>
      <c r="C89" s="25" t="s">
        <v>143</v>
      </c>
      <c r="D89" s="32">
        <v>16300</v>
      </c>
    </row>
    <row r="90" spans="1:4">
      <c r="A90" s="24" t="s">
        <v>195</v>
      </c>
      <c r="C90" s="25" t="s">
        <v>143</v>
      </c>
      <c r="D90" s="32">
        <v>7500</v>
      </c>
    </row>
    <row r="91" spans="1:4">
      <c r="A91" s="24" t="s">
        <v>196</v>
      </c>
      <c r="C91" s="25" t="s">
        <v>143</v>
      </c>
      <c r="D91" s="32">
        <v>21</v>
      </c>
    </row>
    <row r="92" spans="1:4">
      <c r="A92" s="24" t="s">
        <v>197</v>
      </c>
      <c r="C92" s="25" t="s">
        <v>183</v>
      </c>
      <c r="D92" s="48">
        <v>23900</v>
      </c>
    </row>
    <row r="93" spans="1:4">
      <c r="A93" s="24" t="s">
        <v>198</v>
      </c>
      <c r="C93" s="25" t="s">
        <v>143</v>
      </c>
      <c r="D93" s="32">
        <v>22500</v>
      </c>
    </row>
    <row r="94" spans="1:4">
      <c r="A94" s="24" t="s">
        <v>199</v>
      </c>
      <c r="C94" s="25" t="s">
        <v>139</v>
      </c>
      <c r="D94" s="32">
        <v>22500</v>
      </c>
    </row>
    <row r="95" spans="1:4">
      <c r="A95" s="24" t="s">
        <v>200</v>
      </c>
      <c r="C95" s="25" t="s">
        <v>143</v>
      </c>
      <c r="D95" s="32">
        <v>17900</v>
      </c>
    </row>
    <row r="96" spans="1:4">
      <c r="A96" s="24" t="s">
        <v>201</v>
      </c>
      <c r="C96" s="25" t="s">
        <v>143</v>
      </c>
      <c r="D96" s="32">
        <v>17900</v>
      </c>
    </row>
    <row r="97" spans="1:9">
      <c r="A97" s="24" t="s">
        <v>202</v>
      </c>
      <c r="C97" s="25" t="s">
        <v>143</v>
      </c>
      <c r="D97" s="49">
        <v>33100</v>
      </c>
    </row>
    <row r="98" spans="1:9">
      <c r="D98" s="32"/>
    </row>
    <row r="99" spans="1:9">
      <c r="A99" s="25" t="s">
        <v>203</v>
      </c>
    </row>
    <row r="100" spans="1:9">
      <c r="A100" s="24" t="s">
        <v>204</v>
      </c>
      <c r="C100" s="25" t="s">
        <v>205</v>
      </c>
      <c r="D100" s="48">
        <v>25000</v>
      </c>
    </row>
    <row r="101" spans="1:9">
      <c r="A101" s="24" t="s">
        <v>206</v>
      </c>
      <c r="C101" s="25" t="s">
        <v>205</v>
      </c>
      <c r="D101" s="32">
        <v>35000</v>
      </c>
      <c r="I101" s="24">
        <f>17900/5</f>
        <v>3580</v>
      </c>
    </row>
    <row r="102" spans="1:9">
      <c r="A102" s="24" t="s">
        <v>207</v>
      </c>
      <c r="C102" s="25" t="s">
        <v>208</v>
      </c>
      <c r="D102" s="32">
        <v>2900</v>
      </c>
    </row>
    <row r="103" spans="1:9">
      <c r="A103" s="24" t="s">
        <v>209</v>
      </c>
      <c r="C103" s="25" t="s">
        <v>208</v>
      </c>
      <c r="D103" s="32">
        <v>3580</v>
      </c>
    </row>
    <row r="104" spans="1:9">
      <c r="A104" s="24" t="s">
        <v>210</v>
      </c>
      <c r="C104" s="25" t="s">
        <v>139</v>
      </c>
      <c r="D104" s="32">
        <v>46900</v>
      </c>
    </row>
    <row r="105" spans="1:9">
      <c r="A105" s="24" t="s">
        <v>211</v>
      </c>
      <c r="C105" s="25" t="s">
        <v>212</v>
      </c>
      <c r="D105" s="32">
        <v>2500</v>
      </c>
    </row>
    <row r="106" spans="1:9">
      <c r="A106" s="24" t="s">
        <v>213</v>
      </c>
      <c r="C106" s="25" t="s">
        <v>139</v>
      </c>
      <c r="D106" s="32">
        <v>26900</v>
      </c>
    </row>
    <row r="107" spans="1:9">
      <c r="A107" s="24" t="s">
        <v>214</v>
      </c>
      <c r="C107" s="25" t="s">
        <v>212</v>
      </c>
      <c r="D107" s="32">
        <v>12900</v>
      </c>
    </row>
    <row r="108" spans="1:9">
      <c r="A108" s="24" t="s">
        <v>215</v>
      </c>
      <c r="C108" s="25" t="s">
        <v>212</v>
      </c>
      <c r="D108" s="32">
        <f>ROUND(E108/3,0)</f>
        <v>1967</v>
      </c>
      <c r="E108" s="25">
        <v>5900</v>
      </c>
    </row>
    <row r="109" spans="1:9">
      <c r="A109" s="24" t="s">
        <v>216</v>
      </c>
      <c r="C109" s="25" t="s">
        <v>139</v>
      </c>
      <c r="D109" s="32">
        <v>37600</v>
      </c>
    </row>
    <row r="110" spans="1:9">
      <c r="A110" s="24" t="s">
        <v>217</v>
      </c>
      <c r="C110" s="25" t="s">
        <v>139</v>
      </c>
      <c r="D110" s="32">
        <v>9000</v>
      </c>
    </row>
    <row r="111" spans="1:9">
      <c r="A111" s="24" t="s">
        <v>218</v>
      </c>
      <c r="C111" s="25" t="s">
        <v>139</v>
      </c>
      <c r="D111" s="32">
        <v>120000</v>
      </c>
    </row>
    <row r="112" spans="1:9">
      <c r="A112" s="24" t="s">
        <v>219</v>
      </c>
      <c r="C112" s="25" t="s">
        <v>220</v>
      </c>
      <c r="D112" s="32">
        <v>50000</v>
      </c>
    </row>
    <row r="113" spans="1:15">
      <c r="A113" s="50" t="s">
        <v>217</v>
      </c>
      <c r="B113" s="51"/>
      <c r="C113" s="51" t="s">
        <v>139</v>
      </c>
      <c r="D113" s="52">
        <v>9000</v>
      </c>
    </row>
    <row r="114" spans="1:15">
      <c r="A114" s="50" t="s">
        <v>221</v>
      </c>
      <c r="B114" s="51"/>
      <c r="C114" s="51" t="s">
        <v>139</v>
      </c>
      <c r="D114" s="52">
        <v>30000</v>
      </c>
    </row>
    <row r="115" spans="1:15">
      <c r="A115" s="53" t="s">
        <v>222</v>
      </c>
      <c r="B115" s="51"/>
      <c r="C115" s="51" t="s">
        <v>67</v>
      </c>
      <c r="D115" s="54">
        <v>16000</v>
      </c>
    </row>
    <row r="116" spans="1:15">
      <c r="A116" s="55" t="s">
        <v>223</v>
      </c>
      <c r="B116" s="56"/>
      <c r="C116" s="56" t="s">
        <v>212</v>
      </c>
      <c r="D116" s="57">
        <v>7300</v>
      </c>
      <c r="E116" s="56"/>
      <c r="F116" s="58"/>
      <c r="G116" s="58"/>
      <c r="H116" s="58"/>
      <c r="I116" s="58"/>
      <c r="J116" s="58"/>
      <c r="K116" s="58"/>
      <c r="L116" s="58"/>
      <c r="M116" s="58"/>
      <c r="N116" s="41">
        <v>7300</v>
      </c>
      <c r="O116" s="59" t="s">
        <v>123</v>
      </c>
    </row>
    <row r="117" spans="1:15">
      <c r="A117" s="55" t="s">
        <v>224</v>
      </c>
      <c r="B117" s="56"/>
      <c r="C117" s="56" t="s">
        <v>135</v>
      </c>
      <c r="D117" s="57">
        <v>11000</v>
      </c>
      <c r="E117" s="56"/>
      <c r="F117" s="58"/>
      <c r="G117" s="58"/>
      <c r="H117" s="58"/>
      <c r="I117" s="58"/>
      <c r="J117" s="58"/>
      <c r="K117" s="58"/>
      <c r="L117" s="58"/>
      <c r="M117" s="58"/>
      <c r="N117" s="41">
        <v>11000</v>
      </c>
      <c r="O117" s="59" t="s">
        <v>123</v>
      </c>
    </row>
    <row r="118" spans="1:15">
      <c r="A118" s="25" t="s">
        <v>225</v>
      </c>
    </row>
    <row r="119" spans="1:15">
      <c r="A119" s="60" t="s">
        <v>226</v>
      </c>
      <c r="B119" s="56"/>
      <c r="C119" s="56" t="s">
        <v>186</v>
      </c>
      <c r="D119" s="61">
        <v>48500</v>
      </c>
      <c r="E119" s="56"/>
      <c r="F119" s="58"/>
      <c r="G119" s="58"/>
      <c r="H119" s="58"/>
      <c r="I119" s="58"/>
      <c r="J119" s="58"/>
      <c r="K119" s="58"/>
      <c r="L119" s="58"/>
      <c r="M119" s="58"/>
      <c r="N119" s="41">
        <v>54900</v>
      </c>
      <c r="O119" s="59" t="s">
        <v>123</v>
      </c>
    </row>
    <row r="120" spans="1:15" ht="15" customHeight="1">
      <c r="A120" s="24" t="s">
        <v>227</v>
      </c>
      <c r="C120" s="25" t="s">
        <v>105</v>
      </c>
      <c r="D120" s="32">
        <f>+E120/25</f>
        <v>396</v>
      </c>
      <c r="E120" s="25">
        <v>9900</v>
      </c>
    </row>
    <row r="121" spans="1:15" ht="15" customHeight="1">
      <c r="A121" s="24" t="s">
        <v>228</v>
      </c>
      <c r="C121" s="25" t="s">
        <v>229</v>
      </c>
      <c r="D121" s="32">
        <v>16000</v>
      </c>
    </row>
    <row r="122" spans="1:15" ht="15" customHeight="1">
      <c r="A122" s="60" t="s">
        <v>230</v>
      </c>
      <c r="B122" s="56"/>
      <c r="C122" s="56" t="s">
        <v>143</v>
      </c>
      <c r="D122" s="61">
        <v>6900</v>
      </c>
      <c r="E122" s="62">
        <v>8900</v>
      </c>
      <c r="F122" s="63" t="s">
        <v>231</v>
      </c>
      <c r="G122" s="58"/>
      <c r="H122" s="58"/>
      <c r="I122" s="58"/>
      <c r="J122" s="58"/>
      <c r="K122" s="58"/>
      <c r="L122" s="58"/>
      <c r="M122" s="58"/>
      <c r="N122" s="41">
        <v>9350</v>
      </c>
      <c r="O122" s="59" t="s">
        <v>123</v>
      </c>
    </row>
    <row r="123" spans="1:15" ht="15" customHeight="1">
      <c r="A123" s="24" t="s">
        <v>232</v>
      </c>
      <c r="C123" s="25" t="s">
        <v>233</v>
      </c>
      <c r="D123" s="32">
        <v>75000</v>
      </c>
      <c r="E123" s="32"/>
    </row>
    <row r="124" spans="1:15" ht="15" customHeight="1">
      <c r="A124" s="24" t="s">
        <v>234</v>
      </c>
      <c r="C124" s="25" t="s">
        <v>235</v>
      </c>
      <c r="D124" s="32">
        <f>+E124/5</f>
        <v>55380</v>
      </c>
      <c r="E124" s="25">
        <v>276900</v>
      </c>
    </row>
    <row r="125" spans="1:15" ht="15" customHeight="1">
      <c r="A125" s="24" t="s">
        <v>236</v>
      </c>
      <c r="C125" s="25" t="s">
        <v>235</v>
      </c>
      <c r="D125" s="39">
        <v>64900</v>
      </c>
      <c r="F125" s="64" t="s">
        <v>237</v>
      </c>
    </row>
    <row r="126" spans="1:15" ht="15" customHeight="1">
      <c r="A126" s="24" t="s">
        <v>238</v>
      </c>
      <c r="C126" s="25" t="s">
        <v>239</v>
      </c>
      <c r="D126" s="48">
        <f>+ROUND(E126/30,0)</f>
        <v>2777</v>
      </c>
      <c r="E126" s="25">
        <v>83300</v>
      </c>
    </row>
    <row r="127" spans="1:15" ht="15" customHeight="1">
      <c r="A127" s="24" t="s">
        <v>240</v>
      </c>
      <c r="C127" s="25" t="s">
        <v>241</v>
      </c>
      <c r="D127" s="32">
        <v>28000</v>
      </c>
    </row>
    <row r="128" spans="1:15" ht="15" customHeight="1">
      <c r="A128" s="24" t="s">
        <v>242</v>
      </c>
      <c r="C128" s="25" t="s">
        <v>186</v>
      </c>
      <c r="D128" s="32">
        <v>56900</v>
      </c>
      <c r="E128" s="39">
        <v>57900</v>
      </c>
      <c r="F128" s="64" t="s">
        <v>243</v>
      </c>
    </row>
    <row r="129" spans="1:15" ht="15" customHeight="1">
      <c r="A129" s="64" t="s">
        <v>244</v>
      </c>
      <c r="C129" s="25" t="s">
        <v>186</v>
      </c>
      <c r="D129" s="39">
        <v>57900</v>
      </c>
      <c r="E129" s="39"/>
      <c r="F129" s="64" t="s">
        <v>243</v>
      </c>
    </row>
    <row r="130" spans="1:15" ht="15" customHeight="1">
      <c r="A130" s="24" t="s">
        <v>245</v>
      </c>
      <c r="C130" s="25" t="s">
        <v>186</v>
      </c>
      <c r="D130" s="32">
        <v>36500</v>
      </c>
    </row>
    <row r="131" spans="1:15" ht="15" customHeight="1">
      <c r="A131" s="24" t="s">
        <v>246</v>
      </c>
      <c r="C131" s="25" t="s">
        <v>241</v>
      </c>
      <c r="D131" s="32">
        <v>59500</v>
      </c>
    </row>
    <row r="132" spans="1:15" ht="15" customHeight="1">
      <c r="A132" s="24" t="s">
        <v>247</v>
      </c>
      <c r="C132" s="25" t="s">
        <v>241</v>
      </c>
      <c r="D132" s="32">
        <v>92000</v>
      </c>
    </row>
    <row r="133" spans="1:15" ht="15" customHeight="1">
      <c r="A133" s="24" t="s">
        <v>248</v>
      </c>
      <c r="C133" s="25" t="s">
        <v>241</v>
      </c>
      <c r="D133" s="32">
        <v>29500</v>
      </c>
      <c r="E133" s="39">
        <v>10700</v>
      </c>
    </row>
    <row r="134" spans="1:15" ht="15" customHeight="1">
      <c r="A134" s="24" t="s">
        <v>249</v>
      </c>
      <c r="C134" s="25" t="s">
        <v>186</v>
      </c>
      <c r="D134" s="32">
        <f>+E134/5</f>
        <v>13920</v>
      </c>
      <c r="E134" s="25">
        <v>69600</v>
      </c>
    </row>
    <row r="135" spans="1:15" ht="15" customHeight="1">
      <c r="A135" s="24" t="s">
        <v>250</v>
      </c>
      <c r="C135" s="25" t="s">
        <v>186</v>
      </c>
      <c r="D135" s="32">
        <f>+E135/5</f>
        <v>18583.2</v>
      </c>
      <c r="E135" s="32">
        <v>92916</v>
      </c>
    </row>
    <row r="136" spans="1:15" ht="15" customHeight="1">
      <c r="A136" s="24" t="s">
        <v>251</v>
      </c>
      <c r="C136" s="25" t="s">
        <v>186</v>
      </c>
      <c r="D136" s="32">
        <f>+E136/5</f>
        <v>27980</v>
      </c>
      <c r="E136" s="49">
        <v>139900</v>
      </c>
    </row>
    <row r="137" spans="1:15" ht="15" customHeight="1">
      <c r="A137" s="24" t="s">
        <v>252</v>
      </c>
      <c r="C137" s="25" t="s">
        <v>105</v>
      </c>
      <c r="D137" s="32">
        <v>8700</v>
      </c>
    </row>
    <row r="138" spans="1:15" ht="15" customHeight="1">
      <c r="A138" s="24" t="s">
        <v>253</v>
      </c>
      <c r="C138" s="25" t="s">
        <v>254</v>
      </c>
      <c r="D138" s="32">
        <v>5900</v>
      </c>
    </row>
    <row r="139" spans="1:15" ht="15" customHeight="1">
      <c r="A139" s="24" t="s">
        <v>255</v>
      </c>
      <c r="C139" s="25" t="s">
        <v>186</v>
      </c>
      <c r="D139" s="26">
        <v>36500</v>
      </c>
    </row>
    <row r="140" spans="1:15" ht="15" customHeight="1">
      <c r="A140" s="64" t="s">
        <v>256</v>
      </c>
      <c r="C140" s="25" t="s">
        <v>186</v>
      </c>
      <c r="D140" s="65">
        <v>36800</v>
      </c>
      <c r="F140" s="64" t="s">
        <v>257</v>
      </c>
    </row>
    <row r="141" spans="1:15" ht="15" customHeight="1">
      <c r="A141" s="60" t="s">
        <v>258</v>
      </c>
      <c r="B141" s="56"/>
      <c r="C141" s="56" t="s">
        <v>259</v>
      </c>
      <c r="D141" s="66">
        <v>50000</v>
      </c>
      <c r="E141" s="67">
        <v>61900</v>
      </c>
      <c r="F141" s="63" t="s">
        <v>260</v>
      </c>
      <c r="G141" s="63"/>
      <c r="H141" s="63"/>
      <c r="I141" s="58" t="s">
        <v>261</v>
      </c>
      <c r="J141" s="58"/>
      <c r="K141" s="58"/>
      <c r="L141" s="58"/>
      <c r="M141" s="58"/>
      <c r="N141" s="41">
        <v>69900</v>
      </c>
      <c r="O141" s="42" t="s">
        <v>123</v>
      </c>
    </row>
    <row r="142" spans="1:15" ht="15" customHeight="1">
      <c r="A142" s="24" t="s">
        <v>262</v>
      </c>
      <c r="C142" s="25" t="s">
        <v>186</v>
      </c>
      <c r="D142" s="68">
        <v>226900</v>
      </c>
    </row>
    <row r="143" spans="1:15" ht="15" customHeight="1">
      <c r="A143" s="64" t="s">
        <v>263</v>
      </c>
      <c r="C143" s="25" t="s">
        <v>264</v>
      </c>
      <c r="D143" s="65">
        <v>6700</v>
      </c>
      <c r="F143" s="64" t="s">
        <v>265</v>
      </c>
    </row>
    <row r="144" spans="1:15" ht="15" customHeight="1">
      <c r="A144" s="55" t="s">
        <v>266</v>
      </c>
      <c r="B144" s="56"/>
      <c r="C144" s="56" t="s">
        <v>267</v>
      </c>
      <c r="D144" s="67">
        <v>2900</v>
      </c>
      <c r="E144" s="67"/>
      <c r="F144" s="63"/>
      <c r="G144" s="63"/>
      <c r="H144" s="63"/>
      <c r="I144" s="58"/>
      <c r="J144" s="58"/>
      <c r="K144" s="58"/>
      <c r="L144" s="58"/>
      <c r="M144" s="58" t="s">
        <v>212</v>
      </c>
      <c r="N144" s="41">
        <v>1208</v>
      </c>
      <c r="O144" s="42" t="s">
        <v>123</v>
      </c>
    </row>
    <row r="145" spans="1:5" ht="15" customHeight="1">
      <c r="A145" s="25" t="s">
        <v>268</v>
      </c>
    </row>
    <row r="146" spans="1:5" ht="15" customHeight="1">
      <c r="A146" s="24" t="s">
        <v>269</v>
      </c>
      <c r="C146" s="25" t="s">
        <v>143</v>
      </c>
      <c r="D146" s="32">
        <v>65888</v>
      </c>
    </row>
    <row r="147" spans="1:5" ht="15" customHeight="1">
      <c r="A147" s="64" t="s">
        <v>270</v>
      </c>
      <c r="C147" s="25" t="s">
        <v>143</v>
      </c>
      <c r="D147" s="39">
        <v>39900</v>
      </c>
      <c r="E147" s="69" t="s">
        <v>237</v>
      </c>
    </row>
    <row r="148" spans="1:5" ht="15" customHeight="1">
      <c r="A148" s="64" t="s">
        <v>271</v>
      </c>
      <c r="C148" s="25" t="s">
        <v>143</v>
      </c>
      <c r="D148" s="39">
        <v>34900</v>
      </c>
      <c r="E148" s="69" t="s">
        <v>237</v>
      </c>
    </row>
    <row r="149" spans="1:5" ht="15" customHeight="1">
      <c r="A149" s="24" t="s">
        <v>272</v>
      </c>
      <c r="C149" s="25" t="s">
        <v>143</v>
      </c>
      <c r="D149" s="32">
        <v>49900</v>
      </c>
    </row>
    <row r="150" spans="1:5" ht="15" customHeight="1">
      <c r="A150" s="24" t="s">
        <v>273</v>
      </c>
      <c r="C150" s="25" t="s">
        <v>143</v>
      </c>
      <c r="D150" s="32">
        <v>78900</v>
      </c>
    </row>
    <row r="151" spans="1:5" ht="15" customHeight="1">
      <c r="A151" s="24" t="s">
        <v>274</v>
      </c>
      <c r="C151" s="25" t="s">
        <v>143</v>
      </c>
      <c r="D151" s="32">
        <v>42500</v>
      </c>
    </row>
    <row r="152" spans="1:5" ht="15" customHeight="1">
      <c r="A152" s="24" t="s">
        <v>275</v>
      </c>
      <c r="C152" s="25" t="s">
        <v>143</v>
      </c>
      <c r="D152" s="32">
        <v>50000</v>
      </c>
    </row>
    <row r="153" spans="1:5" ht="15" customHeight="1">
      <c r="A153" s="24" t="s">
        <v>276</v>
      </c>
      <c r="C153" s="25" t="s">
        <v>277</v>
      </c>
      <c r="D153" s="26">
        <v>52000</v>
      </c>
    </row>
    <row r="154" spans="1:5" ht="15" customHeight="1"/>
    <row r="155" spans="1:5" ht="15" customHeight="1"/>
    <row r="156" spans="1:5" ht="15" customHeight="1">
      <c r="A156" s="25" t="s">
        <v>278</v>
      </c>
    </row>
    <row r="157" spans="1:5" ht="15" customHeight="1">
      <c r="A157" s="37" t="s">
        <v>279</v>
      </c>
      <c r="C157" s="25" t="s">
        <v>143</v>
      </c>
      <c r="D157" s="33">
        <v>250</v>
      </c>
    </row>
    <row r="158" spans="1:5" ht="15" customHeight="1">
      <c r="A158" s="37" t="s">
        <v>280</v>
      </c>
      <c r="C158" s="25" t="s">
        <v>143</v>
      </c>
      <c r="D158" s="33">
        <v>95000</v>
      </c>
    </row>
    <row r="159" spans="1:5" ht="15" customHeight="1">
      <c r="A159" s="24" t="s">
        <v>281</v>
      </c>
      <c r="C159" s="25" t="s">
        <v>282</v>
      </c>
      <c r="D159" s="26">
        <v>1500</v>
      </c>
    </row>
    <row r="160" spans="1:5" ht="15" customHeight="1">
      <c r="A160" s="37" t="s">
        <v>283</v>
      </c>
      <c r="C160" s="25" t="s">
        <v>143</v>
      </c>
      <c r="D160" s="33">
        <v>20900</v>
      </c>
    </row>
    <row r="161" spans="1:15" ht="15" customHeight="1">
      <c r="A161" s="24" t="s">
        <v>284</v>
      </c>
      <c r="C161" s="25" t="s">
        <v>143</v>
      </c>
      <c r="D161" s="26">
        <v>300</v>
      </c>
    </row>
    <row r="162" spans="1:15" ht="15" customHeight="1">
      <c r="A162" s="24" t="s">
        <v>285</v>
      </c>
      <c r="C162" s="25" t="s">
        <v>286</v>
      </c>
      <c r="D162" s="26">
        <v>6000</v>
      </c>
    </row>
    <row r="163" spans="1:15" ht="15" customHeight="1">
      <c r="A163" s="24" t="s">
        <v>211</v>
      </c>
      <c r="C163" s="25" t="s">
        <v>286</v>
      </c>
      <c r="D163" s="26">
        <v>2500</v>
      </c>
    </row>
    <row r="164" spans="1:15" ht="15" customHeight="1">
      <c r="A164" s="24" t="s">
        <v>287</v>
      </c>
      <c r="C164" s="25" t="s">
        <v>208</v>
      </c>
      <c r="D164" s="26">
        <v>4000</v>
      </c>
    </row>
    <row r="165" spans="1:15" ht="15" customHeight="1">
      <c r="A165" s="60" t="s">
        <v>288</v>
      </c>
      <c r="B165" s="56"/>
      <c r="C165" s="56" t="s">
        <v>282</v>
      </c>
      <c r="D165" s="66">
        <v>2000</v>
      </c>
      <c r="E165" s="56"/>
      <c r="F165" s="58"/>
      <c r="G165" s="58"/>
      <c r="H165" s="58"/>
      <c r="I165" s="58"/>
      <c r="J165" s="58"/>
      <c r="K165" s="58"/>
      <c r="L165" s="58"/>
      <c r="M165" s="58"/>
      <c r="N165" s="41">
        <v>1700</v>
      </c>
      <c r="O165" s="42" t="s">
        <v>123</v>
      </c>
    </row>
    <row r="166" spans="1:15" ht="15" customHeight="1">
      <c r="A166" s="37" t="s">
        <v>289</v>
      </c>
      <c r="C166" s="25" t="s">
        <v>143</v>
      </c>
      <c r="D166" s="33">
        <v>14000</v>
      </c>
    </row>
    <row r="167" spans="1:15">
      <c r="A167" s="70" t="s">
        <v>290</v>
      </c>
      <c r="B167" s="45"/>
      <c r="C167" s="45" t="s">
        <v>72</v>
      </c>
      <c r="D167" s="32">
        <v>179000</v>
      </c>
      <c r="G167" s="24" t="s">
        <v>205</v>
      </c>
      <c r="H167" s="24">
        <v>90000</v>
      </c>
    </row>
    <row r="168" spans="1:15">
      <c r="A168" s="37" t="s">
        <v>291</v>
      </c>
      <c r="C168" s="25" t="s">
        <v>254</v>
      </c>
      <c r="D168" s="35">
        <v>1800</v>
      </c>
    </row>
    <row r="169" spans="1:15">
      <c r="A169" s="24" t="s">
        <v>292</v>
      </c>
      <c r="C169" s="25" t="s">
        <v>293</v>
      </c>
      <c r="D169" s="44">
        <v>2300</v>
      </c>
    </row>
    <row r="170" spans="1:15">
      <c r="A170" s="24" t="s">
        <v>294</v>
      </c>
      <c r="C170" s="25" t="s">
        <v>293</v>
      </c>
      <c r="D170" s="44">
        <v>2300</v>
      </c>
    </row>
    <row r="171" spans="1:15">
      <c r="A171" s="24" t="s">
        <v>295</v>
      </c>
      <c r="C171" s="25" t="s">
        <v>293</v>
      </c>
      <c r="D171" s="44">
        <v>1800</v>
      </c>
    </row>
    <row r="172" spans="1:15">
      <c r="A172" s="24" t="s">
        <v>296</v>
      </c>
      <c r="C172" s="25" t="s">
        <v>297</v>
      </c>
      <c r="D172" s="26">
        <v>14000</v>
      </c>
    </row>
    <row r="173" spans="1:15">
      <c r="A173" s="37" t="s">
        <v>138</v>
      </c>
      <c r="C173" s="25" t="s">
        <v>139</v>
      </c>
      <c r="D173" s="33">
        <v>25000</v>
      </c>
    </row>
    <row r="174" spans="1:15">
      <c r="A174" s="37" t="s">
        <v>298</v>
      </c>
      <c r="C174" s="25" t="s">
        <v>143</v>
      </c>
      <c r="D174" s="33">
        <v>4000</v>
      </c>
    </row>
    <row r="175" spans="1:15">
      <c r="A175" s="37" t="s">
        <v>299</v>
      </c>
      <c r="C175" s="25" t="s">
        <v>212</v>
      </c>
      <c r="D175" s="33">
        <v>1900</v>
      </c>
    </row>
    <row r="176" spans="1:15">
      <c r="A176" s="24" t="s">
        <v>300</v>
      </c>
      <c r="C176" s="25" t="s">
        <v>212</v>
      </c>
      <c r="D176" s="33">
        <v>1300</v>
      </c>
      <c r="H176" s="36"/>
    </row>
    <row r="177" spans="1:9">
      <c r="A177" s="24" t="s">
        <v>301</v>
      </c>
      <c r="C177" s="25" t="s">
        <v>208</v>
      </c>
      <c r="D177" s="26">
        <v>5700</v>
      </c>
      <c r="G177" s="24" t="s">
        <v>302</v>
      </c>
    </row>
    <row r="178" spans="1:9">
      <c r="A178" s="24" t="s">
        <v>303</v>
      </c>
      <c r="C178" s="25" t="s">
        <v>233</v>
      </c>
      <c r="D178" s="26">
        <v>25000</v>
      </c>
    </row>
    <row r="179" spans="1:9">
      <c r="A179" s="24" t="s">
        <v>304</v>
      </c>
      <c r="C179" s="25" t="s">
        <v>208</v>
      </c>
      <c r="D179" s="26">
        <v>8000</v>
      </c>
    </row>
    <row r="180" spans="1:9">
      <c r="A180" s="24" t="s">
        <v>305</v>
      </c>
      <c r="C180" s="25" t="s">
        <v>282</v>
      </c>
      <c r="D180" s="26">
        <v>5000</v>
      </c>
    </row>
    <row r="181" spans="1:9">
      <c r="A181" s="24" t="s">
        <v>306</v>
      </c>
      <c r="B181" s="24"/>
      <c r="C181" s="25" t="s">
        <v>282</v>
      </c>
      <c r="D181" s="26">
        <v>15000</v>
      </c>
    </row>
    <row r="182" spans="1:9">
      <c r="A182" s="24" t="s">
        <v>307</v>
      </c>
      <c r="C182" s="25" t="s">
        <v>233</v>
      </c>
      <c r="D182" s="26">
        <v>68000</v>
      </c>
    </row>
    <row r="183" spans="1:9">
      <c r="A183" s="24" t="s">
        <v>308</v>
      </c>
      <c r="C183" s="25" t="s">
        <v>282</v>
      </c>
      <c r="D183" s="26">
        <v>200</v>
      </c>
    </row>
    <row r="184" spans="1:9">
      <c r="A184" s="24" t="s">
        <v>309</v>
      </c>
      <c r="C184" s="25" t="s">
        <v>282</v>
      </c>
      <c r="D184" s="26">
        <v>4000</v>
      </c>
    </row>
    <row r="185" spans="1:9">
      <c r="A185" s="24" t="s">
        <v>310</v>
      </c>
      <c r="C185" s="25" t="s">
        <v>282</v>
      </c>
      <c r="D185" s="44">
        <v>25800</v>
      </c>
    </row>
    <row r="186" spans="1:9">
      <c r="A186" s="43" t="s">
        <v>311</v>
      </c>
      <c r="B186" s="43"/>
      <c r="C186" s="25" t="s">
        <v>282</v>
      </c>
      <c r="D186" s="26">
        <f>+E186/F186</f>
        <v>3400</v>
      </c>
      <c r="E186" s="26">
        <v>17000</v>
      </c>
      <c r="F186" s="24">
        <v>5</v>
      </c>
    </row>
    <row r="187" spans="1:9">
      <c r="A187" s="24" t="s">
        <v>312</v>
      </c>
      <c r="B187" s="24"/>
      <c r="C187" s="24" t="s">
        <v>264</v>
      </c>
      <c r="D187" s="44">
        <v>49900</v>
      </c>
      <c r="E187" s="25" t="s">
        <v>313</v>
      </c>
    </row>
    <row r="188" spans="1:9">
      <c r="A188" s="24" t="s">
        <v>314</v>
      </c>
      <c r="B188" s="24"/>
      <c r="C188" s="24" t="s">
        <v>67</v>
      </c>
      <c r="D188" s="26">
        <v>10500</v>
      </c>
    </row>
    <row r="189" spans="1:9">
      <c r="A189" s="24" t="s">
        <v>315</v>
      </c>
      <c r="C189" s="25" t="s">
        <v>208</v>
      </c>
      <c r="D189" s="26">
        <v>6316</v>
      </c>
      <c r="E189" s="25">
        <v>58900</v>
      </c>
      <c r="F189" s="24">
        <v>5.5</v>
      </c>
    </row>
    <row r="190" spans="1:9">
      <c r="A190" s="24" t="s">
        <v>316</v>
      </c>
      <c r="C190" s="25" t="s">
        <v>208</v>
      </c>
      <c r="D190" s="26">
        <v>8681</v>
      </c>
      <c r="E190" s="25">
        <v>659900</v>
      </c>
      <c r="F190" s="24">
        <v>220</v>
      </c>
      <c r="H190" s="24">
        <v>1</v>
      </c>
      <c r="I190" s="24" t="e">
        <f>+H190*#REF!/#REF!</f>
        <v>#REF!</v>
      </c>
    </row>
    <row r="191" spans="1:9">
      <c r="A191" s="24" t="s">
        <v>317</v>
      </c>
      <c r="C191" s="25" t="s">
        <v>208</v>
      </c>
      <c r="D191" s="26">
        <v>10709</v>
      </c>
    </row>
    <row r="192" spans="1:9">
      <c r="A192" s="24" t="s">
        <v>318</v>
      </c>
      <c r="C192" s="25" t="s">
        <v>208</v>
      </c>
      <c r="D192" s="26">
        <v>3000</v>
      </c>
    </row>
    <row r="193" spans="1:7">
      <c r="A193" s="24" t="s">
        <v>319</v>
      </c>
      <c r="C193" s="25" t="s">
        <v>282</v>
      </c>
      <c r="D193" s="26">
        <v>21900</v>
      </c>
    </row>
    <row r="194" spans="1:7">
      <c r="A194" s="24" t="s">
        <v>296</v>
      </c>
      <c r="B194" s="24"/>
      <c r="C194" s="25" t="s">
        <v>282</v>
      </c>
      <c r="D194" s="26">
        <v>21900</v>
      </c>
    </row>
    <row r="195" spans="1:7">
      <c r="A195" s="24" t="s">
        <v>320</v>
      </c>
      <c r="C195" s="25" t="s">
        <v>205</v>
      </c>
      <c r="D195" s="26">
        <v>44735</v>
      </c>
    </row>
    <row r="196" spans="1:7">
      <c r="A196" s="24" t="s">
        <v>321</v>
      </c>
      <c r="C196" s="25" t="s">
        <v>286</v>
      </c>
      <c r="D196" s="26">
        <v>3200</v>
      </c>
    </row>
    <row r="197" spans="1:7">
      <c r="A197" s="24" t="s">
        <v>322</v>
      </c>
      <c r="C197" s="25" t="s">
        <v>323</v>
      </c>
      <c r="D197" s="26">
        <v>65000</v>
      </c>
      <c r="F197" s="24">
        <f>1.2*2.4</f>
        <v>2.88</v>
      </c>
      <c r="G197" s="24">
        <f>0.3*1</f>
        <v>0.3</v>
      </c>
    </row>
    <row r="198" spans="1:7">
      <c r="A198" s="24" t="s">
        <v>324</v>
      </c>
      <c r="C198" s="25" t="s">
        <v>208</v>
      </c>
      <c r="D198" s="26">
        <v>6200</v>
      </c>
    </row>
    <row r="199" spans="1:7">
      <c r="A199" s="71" t="s">
        <v>325</v>
      </c>
      <c r="C199" s="25" t="s">
        <v>282</v>
      </c>
      <c r="D199" s="26">
        <v>74240</v>
      </c>
    </row>
    <row r="200" spans="1:7">
      <c r="A200" s="24" t="s">
        <v>326</v>
      </c>
      <c r="C200" s="25" t="s">
        <v>208</v>
      </c>
      <c r="D200" s="26">
        <v>10000</v>
      </c>
    </row>
    <row r="201" spans="1:7">
      <c r="A201" s="24" t="s">
        <v>327</v>
      </c>
      <c r="C201" s="25" t="s">
        <v>241</v>
      </c>
      <c r="D201" s="26">
        <v>44000</v>
      </c>
    </row>
    <row r="202" spans="1:7">
      <c r="A202" s="24" t="s">
        <v>328</v>
      </c>
      <c r="B202" s="24"/>
      <c r="C202" s="25" t="s">
        <v>282</v>
      </c>
      <c r="D202" s="26">
        <v>27300</v>
      </c>
    </row>
    <row r="203" spans="1:7">
      <c r="A203" s="24" t="s">
        <v>329</v>
      </c>
      <c r="B203" s="24"/>
      <c r="C203" s="25" t="s">
        <v>282</v>
      </c>
      <c r="D203" s="26">
        <v>35000</v>
      </c>
    </row>
    <row r="204" spans="1:7">
      <c r="A204" s="25" t="s">
        <v>330</v>
      </c>
    </row>
    <row r="205" spans="1:7">
      <c r="A205" s="24" t="s">
        <v>331</v>
      </c>
      <c r="C205" s="25" t="s">
        <v>282</v>
      </c>
      <c r="D205" s="26">
        <f>350000*1.16</f>
        <v>406000</v>
      </c>
    </row>
    <row r="206" spans="1:7">
      <c r="A206" s="24" t="s">
        <v>332</v>
      </c>
      <c r="C206" s="25" t="s">
        <v>282</v>
      </c>
      <c r="D206" s="26">
        <v>272000</v>
      </c>
    </row>
    <row r="207" spans="1:7">
      <c r="A207" s="24" t="s">
        <v>333</v>
      </c>
      <c r="C207" s="25" t="s">
        <v>282</v>
      </c>
      <c r="D207" s="26">
        <v>2300</v>
      </c>
    </row>
    <row r="208" spans="1:7">
      <c r="A208" s="24" t="s">
        <v>334</v>
      </c>
      <c r="C208" s="25" t="s">
        <v>282</v>
      </c>
      <c r="D208" s="26">
        <v>414200</v>
      </c>
    </row>
    <row r="209" spans="1:5">
      <c r="A209" s="24" t="s">
        <v>335</v>
      </c>
      <c r="C209" s="25" t="s">
        <v>282</v>
      </c>
      <c r="D209" s="26">
        <v>117900</v>
      </c>
    </row>
    <row r="210" spans="1:5">
      <c r="A210" s="24" t="s">
        <v>336</v>
      </c>
      <c r="C210" s="25" t="s">
        <v>282</v>
      </c>
      <c r="D210" s="68">
        <v>109900</v>
      </c>
    </row>
    <row r="211" spans="1:5">
      <c r="A211" s="24" t="s">
        <v>337</v>
      </c>
      <c r="C211" s="25" t="s">
        <v>282</v>
      </c>
      <c r="D211" s="26">
        <f>140000*1.16</f>
        <v>162400</v>
      </c>
    </row>
    <row r="212" spans="1:5">
      <c r="A212" s="24" t="s">
        <v>338</v>
      </c>
      <c r="C212" s="25" t="s">
        <v>282</v>
      </c>
      <c r="D212" s="26">
        <v>8900</v>
      </c>
    </row>
    <row r="213" spans="1:5">
      <c r="A213" s="24" t="s">
        <v>339</v>
      </c>
      <c r="C213" s="25" t="s">
        <v>282</v>
      </c>
      <c r="D213" s="26">
        <v>8000</v>
      </c>
    </row>
    <row r="214" spans="1:5">
      <c r="A214" s="24" t="s">
        <v>340</v>
      </c>
      <c r="C214" s="25" t="s">
        <v>282</v>
      </c>
      <c r="D214" s="68">
        <v>356900</v>
      </c>
    </row>
    <row r="215" spans="1:5">
      <c r="A215" s="24" t="s">
        <v>341</v>
      </c>
      <c r="C215" s="25" t="s">
        <v>282</v>
      </c>
      <c r="D215" s="68">
        <v>335900</v>
      </c>
    </row>
    <row r="216" spans="1:5">
      <c r="A216" s="24" t="s">
        <v>342</v>
      </c>
      <c r="C216" s="25" t="s">
        <v>282</v>
      </c>
      <c r="D216" s="68">
        <v>4200</v>
      </c>
    </row>
    <row r="217" spans="1:5">
      <c r="A217" s="24" t="s">
        <v>343</v>
      </c>
      <c r="C217" s="25" t="s">
        <v>282</v>
      </c>
      <c r="D217" s="26">
        <f>480000*1.16</f>
        <v>556800</v>
      </c>
    </row>
    <row r="218" spans="1:5">
      <c r="A218" s="24" t="s">
        <v>344</v>
      </c>
      <c r="C218" s="25" t="s">
        <v>282</v>
      </c>
      <c r="D218" s="26">
        <v>138300</v>
      </c>
    </row>
    <row r="219" spans="1:5">
      <c r="A219" s="24" t="s">
        <v>345</v>
      </c>
      <c r="C219" s="25" t="s">
        <v>282</v>
      </c>
      <c r="D219" s="26">
        <v>161500</v>
      </c>
      <c r="E219" s="25">
        <f>88000+1.16+50000</f>
        <v>138001.16</v>
      </c>
    </row>
    <row r="220" spans="1:5">
      <c r="A220" s="24" t="s">
        <v>346</v>
      </c>
      <c r="C220" s="25" t="s">
        <v>282</v>
      </c>
      <c r="D220" s="26">
        <v>272900</v>
      </c>
    </row>
    <row r="221" spans="1:5">
      <c r="A221" s="24" t="s">
        <v>347</v>
      </c>
      <c r="C221" s="25" t="s">
        <v>286</v>
      </c>
      <c r="D221" s="26">
        <v>667000</v>
      </c>
    </row>
    <row r="222" spans="1:5">
      <c r="A222" s="24" t="s">
        <v>348</v>
      </c>
      <c r="C222" s="25" t="s">
        <v>282</v>
      </c>
      <c r="D222" s="26">
        <v>464000</v>
      </c>
    </row>
    <row r="223" spans="1:5">
      <c r="A223" s="24" t="s">
        <v>349</v>
      </c>
      <c r="C223" s="25" t="s">
        <v>72</v>
      </c>
      <c r="D223" s="26">
        <v>278500</v>
      </c>
    </row>
    <row r="224" spans="1:5">
      <c r="A224" s="24" t="s">
        <v>350</v>
      </c>
      <c r="C224" s="25" t="s">
        <v>241</v>
      </c>
      <c r="D224" s="26">
        <v>2200</v>
      </c>
    </row>
    <row r="225" spans="1:6">
      <c r="A225" s="24" t="s">
        <v>351</v>
      </c>
      <c r="C225" s="25" t="s">
        <v>352</v>
      </c>
      <c r="D225" s="26">
        <v>5634</v>
      </c>
    </row>
    <row r="226" spans="1:6">
      <c r="A226" s="24" t="s">
        <v>353</v>
      </c>
      <c r="C226" s="25" t="s">
        <v>205</v>
      </c>
      <c r="D226" s="26">
        <v>40800</v>
      </c>
    </row>
    <row r="227" spans="1:6">
      <c r="A227" s="24" t="s">
        <v>354</v>
      </c>
      <c r="C227" s="25" t="s">
        <v>208</v>
      </c>
      <c r="D227" s="26">
        <v>10000</v>
      </c>
    </row>
    <row r="228" spans="1:6">
      <c r="A228" s="24" t="s">
        <v>355</v>
      </c>
      <c r="C228" s="25" t="s">
        <v>282</v>
      </c>
      <c r="D228" s="26">
        <v>55900</v>
      </c>
    </row>
    <row r="229" spans="1:6">
      <c r="A229" s="24" t="s">
        <v>356</v>
      </c>
      <c r="C229" s="25" t="s">
        <v>282</v>
      </c>
      <c r="D229" s="26">
        <v>42900</v>
      </c>
    </row>
    <row r="230" spans="1:6">
      <c r="A230" s="24" t="s">
        <v>357</v>
      </c>
      <c r="C230" s="25" t="s">
        <v>282</v>
      </c>
      <c r="D230" s="26">
        <v>74900</v>
      </c>
    </row>
    <row r="231" spans="1:6">
      <c r="A231" s="24" t="s">
        <v>358</v>
      </c>
      <c r="C231" s="25" t="s">
        <v>282</v>
      </c>
      <c r="D231" s="26">
        <v>39900</v>
      </c>
    </row>
    <row r="232" spans="1:6">
      <c r="A232" s="24" t="s">
        <v>359</v>
      </c>
      <c r="C232" s="25" t="s">
        <v>282</v>
      </c>
      <c r="D232" s="26">
        <v>50000</v>
      </c>
    </row>
    <row r="233" spans="1:6">
      <c r="A233" s="24" t="s">
        <v>360</v>
      </c>
      <c r="C233" s="25" t="s">
        <v>286</v>
      </c>
      <c r="D233" s="26">
        <v>12500</v>
      </c>
    </row>
    <row r="234" spans="1:6">
      <c r="A234" s="24" t="s">
        <v>361</v>
      </c>
      <c r="C234" s="25" t="s">
        <v>208</v>
      </c>
      <c r="D234" s="26">
        <v>4850</v>
      </c>
    </row>
    <row r="235" spans="1:6">
      <c r="A235" s="24" t="s">
        <v>362</v>
      </c>
      <c r="C235" s="25" t="s">
        <v>205</v>
      </c>
      <c r="D235" s="26">
        <v>16790</v>
      </c>
      <c r="E235" s="25">
        <v>167900</v>
      </c>
      <c r="F235" s="24">
        <f>+E235/10</f>
        <v>16790</v>
      </c>
    </row>
    <row r="236" spans="1:6">
      <c r="A236" s="24" t="s">
        <v>363</v>
      </c>
      <c r="C236" s="25" t="s">
        <v>241</v>
      </c>
      <c r="D236" s="26">
        <v>12900</v>
      </c>
    </row>
    <row r="237" spans="1:6">
      <c r="A237" s="24" t="s">
        <v>364</v>
      </c>
      <c r="C237" s="25" t="s">
        <v>293</v>
      </c>
      <c r="D237" s="26">
        <v>1200</v>
      </c>
    </row>
    <row r="238" spans="1:6">
      <c r="A238" s="24" t="s">
        <v>365</v>
      </c>
      <c r="C238" s="25" t="s">
        <v>282</v>
      </c>
      <c r="D238" s="26">
        <v>6900</v>
      </c>
    </row>
    <row r="239" spans="1:6">
      <c r="B239" s="24"/>
      <c r="C239" s="24"/>
      <c r="D239" s="24"/>
      <c r="E239" s="25">
        <f>157900/25</f>
        <v>6316</v>
      </c>
    </row>
    <row r="240" spans="1:6">
      <c r="A240" s="25" t="s">
        <v>366</v>
      </c>
      <c r="B240" s="24"/>
      <c r="C240" s="24"/>
      <c r="D240" s="24"/>
      <c r="E240" s="25">
        <f>138900/16</f>
        <v>8681.25</v>
      </c>
    </row>
    <row r="241" spans="1:5">
      <c r="A241" s="43" t="s">
        <v>367</v>
      </c>
      <c r="B241" s="72"/>
      <c r="C241" s="45" t="s">
        <v>181</v>
      </c>
      <c r="D241" s="44">
        <v>1506</v>
      </c>
    </row>
    <row r="242" spans="1:5">
      <c r="A242" s="43" t="s">
        <v>368</v>
      </c>
      <c r="B242" s="72"/>
      <c r="C242" s="45" t="s">
        <v>143</v>
      </c>
      <c r="D242" s="44">
        <f>22900</f>
        <v>22900</v>
      </c>
    </row>
    <row r="243" spans="1:5">
      <c r="A243" s="43" t="s">
        <v>369</v>
      </c>
      <c r="B243" s="72"/>
      <c r="C243" s="45" t="s">
        <v>143</v>
      </c>
      <c r="D243" s="44">
        <f>47900</f>
        <v>47900</v>
      </c>
    </row>
    <row r="244" spans="1:5">
      <c r="A244" s="43" t="s">
        <v>370</v>
      </c>
      <c r="B244" s="43"/>
      <c r="C244" s="45" t="s">
        <v>143</v>
      </c>
      <c r="D244" s="44">
        <v>18900</v>
      </c>
    </row>
    <row r="245" spans="1:5">
      <c r="A245" s="43" t="s">
        <v>371</v>
      </c>
      <c r="B245" s="43"/>
      <c r="C245" s="45" t="s">
        <v>143</v>
      </c>
      <c r="D245" s="26">
        <v>300000</v>
      </c>
    </row>
    <row r="246" spans="1:5">
      <c r="A246" s="73" t="s">
        <v>372</v>
      </c>
      <c r="B246" s="73"/>
      <c r="C246" s="74" t="s">
        <v>143</v>
      </c>
      <c r="D246" s="44">
        <v>20000</v>
      </c>
    </row>
    <row r="247" spans="1:5">
      <c r="A247" s="1812" t="s">
        <v>373</v>
      </c>
      <c r="B247" s="1812"/>
      <c r="C247" s="45" t="s">
        <v>212</v>
      </c>
      <c r="D247" s="44">
        <v>15900</v>
      </c>
    </row>
    <row r="248" spans="1:5">
      <c r="A248" s="1812" t="s">
        <v>374</v>
      </c>
      <c r="B248" s="1812"/>
      <c r="C248" s="45" t="s">
        <v>212</v>
      </c>
      <c r="D248" s="44">
        <v>9400</v>
      </c>
      <c r="E248" s="26">
        <v>4633.333333333333</v>
      </c>
    </row>
    <row r="249" spans="1:5">
      <c r="A249" s="1812" t="s">
        <v>375</v>
      </c>
      <c r="B249" s="1812"/>
      <c r="C249" s="45" t="s">
        <v>212</v>
      </c>
      <c r="D249" s="44">
        <v>48900</v>
      </c>
    </row>
    <row r="250" spans="1:5">
      <c r="A250" s="1812" t="s">
        <v>376</v>
      </c>
      <c r="B250" s="1812"/>
      <c r="C250" s="45" t="s">
        <v>212</v>
      </c>
      <c r="D250" s="44">
        <v>22900</v>
      </c>
      <c r="E250" s="25">
        <f>38900/3</f>
        <v>12966.666666666666</v>
      </c>
    </row>
    <row r="251" spans="1:5">
      <c r="A251" s="1812" t="s">
        <v>377</v>
      </c>
      <c r="B251" s="1812"/>
      <c r="C251" s="45" t="s">
        <v>212</v>
      </c>
      <c r="D251" s="44">
        <v>10900</v>
      </c>
    </row>
    <row r="252" spans="1:5">
      <c r="A252" s="1812" t="s">
        <v>378</v>
      </c>
      <c r="B252" s="1812"/>
      <c r="C252" s="45" t="s">
        <v>212</v>
      </c>
      <c r="D252" s="44">
        <v>10900</v>
      </c>
      <c r="E252" s="25">
        <f>19900/3</f>
        <v>6633.333333333333</v>
      </c>
    </row>
    <row r="253" spans="1:5">
      <c r="A253" s="1812" t="s">
        <v>379</v>
      </c>
      <c r="B253" s="1812"/>
      <c r="C253" s="45" t="s">
        <v>212</v>
      </c>
      <c r="D253" s="44">
        <v>41715</v>
      </c>
    </row>
    <row r="254" spans="1:5">
      <c r="A254" s="1812" t="s">
        <v>380</v>
      </c>
      <c r="B254" s="1812"/>
      <c r="C254" s="25" t="s">
        <v>143</v>
      </c>
      <c r="D254" s="44">
        <v>12900</v>
      </c>
    </row>
    <row r="255" spans="1:5">
      <c r="A255" s="72" t="s">
        <v>381</v>
      </c>
      <c r="B255" s="72"/>
      <c r="C255" s="25" t="s">
        <v>143</v>
      </c>
      <c r="D255" s="44">
        <v>3900</v>
      </c>
    </row>
    <row r="256" spans="1:5">
      <c r="A256" s="1812" t="s">
        <v>382</v>
      </c>
      <c r="B256" s="1812"/>
      <c r="C256" s="25" t="s">
        <v>143</v>
      </c>
      <c r="D256" s="44">
        <v>2000</v>
      </c>
      <c r="E256" s="25">
        <f>6800/5</f>
        <v>1360</v>
      </c>
    </row>
    <row r="257" spans="1:5">
      <c r="A257" s="1812" t="s">
        <v>383</v>
      </c>
      <c r="B257" s="1812"/>
      <c r="C257" s="25" t="s">
        <v>143</v>
      </c>
      <c r="D257" s="44">
        <v>1400</v>
      </c>
      <c r="E257" s="25">
        <f>4750/5</f>
        <v>950</v>
      </c>
    </row>
    <row r="258" spans="1:5">
      <c r="A258" s="72" t="s">
        <v>384</v>
      </c>
      <c r="B258" s="72"/>
      <c r="C258" s="25" t="s">
        <v>143</v>
      </c>
      <c r="D258" s="44">
        <v>7100</v>
      </c>
    </row>
    <row r="259" spans="1:5">
      <c r="A259" s="1812" t="s">
        <v>385</v>
      </c>
      <c r="B259" s="1812"/>
      <c r="C259" s="25" t="s">
        <v>143</v>
      </c>
      <c r="D259" s="44">
        <v>4800</v>
      </c>
      <c r="E259" s="25">
        <f>13900/5</f>
        <v>2780</v>
      </c>
    </row>
    <row r="260" spans="1:5">
      <c r="A260" s="1812" t="s">
        <v>386</v>
      </c>
      <c r="B260" s="1812"/>
      <c r="C260" s="25" t="s">
        <v>143</v>
      </c>
      <c r="D260" s="44">
        <v>1290</v>
      </c>
      <c r="E260" s="25">
        <f>5900/5</f>
        <v>1180</v>
      </c>
    </row>
    <row r="261" spans="1:5">
      <c r="A261" s="72" t="s">
        <v>387</v>
      </c>
      <c r="B261" s="72"/>
      <c r="C261" s="25" t="s">
        <v>143</v>
      </c>
      <c r="D261" s="44">
        <v>10900</v>
      </c>
    </row>
    <row r="262" spans="1:5">
      <c r="A262" s="1812" t="s">
        <v>388</v>
      </c>
      <c r="B262" s="1812"/>
      <c r="C262" s="25" t="s">
        <v>143</v>
      </c>
      <c r="D262" s="44">
        <v>6000</v>
      </c>
    </row>
    <row r="263" spans="1:5">
      <c r="A263" s="1812" t="s">
        <v>389</v>
      </c>
      <c r="B263" s="1812"/>
      <c r="C263" s="25" t="s">
        <v>143</v>
      </c>
      <c r="D263" s="44">
        <v>4000</v>
      </c>
    </row>
    <row r="264" spans="1:5">
      <c r="A264" s="72" t="s">
        <v>390</v>
      </c>
      <c r="B264" s="72"/>
      <c r="C264" s="25" t="s">
        <v>143</v>
      </c>
      <c r="D264" s="44">
        <v>2350</v>
      </c>
    </row>
    <row r="265" spans="1:5">
      <c r="A265" s="1812" t="s">
        <v>391</v>
      </c>
      <c r="B265" s="1812"/>
      <c r="C265" s="25" t="s">
        <v>143</v>
      </c>
      <c r="D265" s="44">
        <v>1200</v>
      </c>
    </row>
    <row r="266" spans="1:5">
      <c r="A266" s="1812" t="s">
        <v>392</v>
      </c>
      <c r="B266" s="1812"/>
      <c r="C266" s="25" t="s">
        <v>143</v>
      </c>
      <c r="D266" s="44">
        <v>950</v>
      </c>
    </row>
    <row r="267" spans="1:5">
      <c r="A267" s="72" t="s">
        <v>393</v>
      </c>
      <c r="B267" s="72"/>
      <c r="C267" s="25" t="s">
        <v>143</v>
      </c>
      <c r="D267" s="44">
        <v>7500</v>
      </c>
    </row>
    <row r="268" spans="1:5">
      <c r="A268" s="1812" t="s">
        <v>394</v>
      </c>
      <c r="B268" s="1812"/>
      <c r="C268" s="25" t="s">
        <v>143</v>
      </c>
      <c r="D268" s="44">
        <v>5300</v>
      </c>
    </row>
    <row r="269" spans="1:5">
      <c r="A269" s="1812" t="s">
        <v>395</v>
      </c>
      <c r="B269" s="1812"/>
      <c r="C269" s="25" t="s">
        <v>143</v>
      </c>
      <c r="D269" s="44">
        <v>2000</v>
      </c>
    </row>
    <row r="270" spans="1:5">
      <c r="A270" s="1812" t="s">
        <v>396</v>
      </c>
      <c r="B270" s="1812"/>
      <c r="C270" s="25" t="s">
        <v>143</v>
      </c>
      <c r="D270" s="26">
        <v>35000</v>
      </c>
    </row>
    <row r="271" spans="1:5">
      <c r="A271" s="24" t="s">
        <v>397</v>
      </c>
      <c r="C271" s="25" t="s">
        <v>143</v>
      </c>
      <c r="D271" s="44">
        <v>6500</v>
      </c>
    </row>
    <row r="272" spans="1:5">
      <c r="A272" s="24" t="s">
        <v>398</v>
      </c>
      <c r="B272" s="24"/>
      <c r="C272" s="25" t="s">
        <v>143</v>
      </c>
      <c r="D272" s="44">
        <v>6700</v>
      </c>
    </row>
    <row r="273" spans="1:5">
      <c r="A273" s="75" t="s">
        <v>399</v>
      </c>
      <c r="B273" s="75"/>
      <c r="C273" s="25" t="s">
        <v>212</v>
      </c>
      <c r="D273" s="44">
        <v>33900</v>
      </c>
    </row>
    <row r="274" spans="1:5">
      <c r="A274" s="75" t="s">
        <v>400</v>
      </c>
      <c r="B274" s="75"/>
      <c r="C274" s="25" t="s">
        <v>212</v>
      </c>
      <c r="D274" s="44">
        <v>15900</v>
      </c>
    </row>
    <row r="275" spans="1:5">
      <c r="A275" s="75" t="s">
        <v>401</v>
      </c>
      <c r="B275" s="75"/>
      <c r="C275" s="25" t="s">
        <v>212</v>
      </c>
      <c r="D275" s="44">
        <v>9400</v>
      </c>
      <c r="E275" s="25">
        <f>14900/3</f>
        <v>4966.666666666667</v>
      </c>
    </row>
    <row r="276" spans="1:5">
      <c r="A276" s="75" t="s">
        <v>402</v>
      </c>
      <c r="B276" s="75"/>
      <c r="C276" s="25" t="s">
        <v>212</v>
      </c>
      <c r="D276" s="44">
        <v>7500</v>
      </c>
      <c r="E276" s="25">
        <f>27900/3</f>
        <v>9300</v>
      </c>
    </row>
    <row r="277" spans="1:5">
      <c r="A277" s="75" t="s">
        <v>403</v>
      </c>
      <c r="B277" s="75"/>
      <c r="C277" s="25" t="s">
        <v>212</v>
      </c>
      <c r="D277" s="44">
        <v>5800</v>
      </c>
    </row>
    <row r="278" spans="1:5">
      <c r="A278" s="75" t="s">
        <v>404</v>
      </c>
      <c r="B278" s="75"/>
      <c r="C278" s="25" t="s">
        <v>212</v>
      </c>
      <c r="D278" s="44">
        <v>4050</v>
      </c>
    </row>
    <row r="279" spans="1:5">
      <c r="A279" s="75" t="s">
        <v>405</v>
      </c>
      <c r="B279" s="75"/>
      <c r="C279" s="25" t="s">
        <v>212</v>
      </c>
      <c r="D279" s="44">
        <v>2700</v>
      </c>
    </row>
    <row r="280" spans="1:5">
      <c r="A280" s="75" t="s">
        <v>406</v>
      </c>
      <c r="B280" s="75"/>
      <c r="C280" s="25" t="s">
        <v>143</v>
      </c>
      <c r="D280" s="44">
        <v>32000</v>
      </c>
      <c r="E280" s="25">
        <f>(37036+39133+18931)/3</f>
        <v>31700</v>
      </c>
    </row>
    <row r="281" spans="1:5">
      <c r="A281" s="75" t="s">
        <v>407</v>
      </c>
      <c r="B281" s="75"/>
      <c r="C281" s="25" t="s">
        <v>143</v>
      </c>
      <c r="D281" s="44">
        <v>7100</v>
      </c>
      <c r="E281" s="25">
        <f>(5900+11900+4700+6200+10000+3350)/6</f>
        <v>7008.333333333333</v>
      </c>
    </row>
    <row r="282" spans="1:5">
      <c r="A282" s="75" t="s">
        <v>408</v>
      </c>
      <c r="B282" s="75"/>
      <c r="C282" s="25" t="s">
        <v>143</v>
      </c>
      <c r="D282" s="26">
        <v>3500</v>
      </c>
      <c r="E282" s="25">
        <f>(2100+2850+3150+4450+3800+5200+2250+2800)/8</f>
        <v>3325</v>
      </c>
    </row>
    <row r="283" spans="1:5">
      <c r="A283" s="75" t="s">
        <v>409</v>
      </c>
      <c r="B283" s="75"/>
      <c r="C283" s="25" t="s">
        <v>143</v>
      </c>
      <c r="D283" s="26">
        <v>2500</v>
      </c>
      <c r="E283" s="25">
        <f>(1370+2500+1890+3300+2250+3900+1690+2100)/8</f>
        <v>2375</v>
      </c>
    </row>
    <row r="284" spans="1:5">
      <c r="A284" s="75" t="s">
        <v>410</v>
      </c>
      <c r="B284" s="75"/>
      <c r="C284" s="25" t="s">
        <v>143</v>
      </c>
      <c r="D284" s="26">
        <v>1180</v>
      </c>
      <c r="E284" s="25">
        <f>(720+1460+1150+1890+850+1430+710+1210)/8</f>
        <v>1177.5</v>
      </c>
    </row>
    <row r="285" spans="1:5">
      <c r="A285" s="75" t="s">
        <v>411</v>
      </c>
      <c r="B285" s="75"/>
      <c r="C285" s="25" t="s">
        <v>143</v>
      </c>
      <c r="D285" s="26">
        <v>600</v>
      </c>
      <c r="E285" s="25">
        <f>(350+840+420+790+440+670+430+800)/8</f>
        <v>592.5</v>
      </c>
    </row>
    <row r="286" spans="1:5">
      <c r="A286" s="24" t="s">
        <v>412</v>
      </c>
      <c r="C286" s="25" t="s">
        <v>143</v>
      </c>
      <c r="D286" s="44">
        <v>18900</v>
      </c>
    </row>
    <row r="287" spans="1:5">
      <c r="A287" s="24" t="s">
        <v>413</v>
      </c>
      <c r="B287" s="75"/>
      <c r="C287" s="25" t="s">
        <v>143</v>
      </c>
      <c r="D287" s="44">
        <v>490</v>
      </c>
    </row>
    <row r="288" spans="1:5">
      <c r="A288" s="24" t="s">
        <v>414</v>
      </c>
      <c r="B288" s="75"/>
      <c r="C288" s="25" t="s">
        <v>143</v>
      </c>
      <c r="D288" s="44">
        <v>450</v>
      </c>
    </row>
    <row r="289" spans="1:5">
      <c r="A289" s="24" t="s">
        <v>415</v>
      </c>
      <c r="B289" s="75"/>
      <c r="C289" s="25" t="s">
        <v>143</v>
      </c>
      <c r="D289" s="44">
        <v>600</v>
      </c>
    </row>
    <row r="290" spans="1:5">
      <c r="A290" s="24" t="s">
        <v>416</v>
      </c>
      <c r="B290" s="75"/>
      <c r="C290" s="25" t="s">
        <v>143</v>
      </c>
      <c r="D290" s="44">
        <v>640</v>
      </c>
    </row>
    <row r="291" spans="1:5">
      <c r="A291" s="75" t="s">
        <v>417</v>
      </c>
      <c r="B291" s="75"/>
      <c r="C291" s="25" t="s">
        <v>143</v>
      </c>
      <c r="D291" s="44">
        <v>400</v>
      </c>
      <c r="E291" s="25">
        <f>(350+650+220+480+280+360+180+280)/8</f>
        <v>350</v>
      </c>
    </row>
    <row r="292" spans="1:5">
      <c r="A292" s="24" t="s">
        <v>418</v>
      </c>
      <c r="C292" s="25" t="s">
        <v>143</v>
      </c>
      <c r="D292" s="44">
        <v>10900</v>
      </c>
    </row>
    <row r="293" spans="1:5">
      <c r="A293" s="24" t="s">
        <v>419</v>
      </c>
      <c r="B293" s="75"/>
      <c r="C293" s="25" t="s">
        <v>143</v>
      </c>
      <c r="D293" s="44">
        <v>250</v>
      </c>
    </row>
    <row r="294" spans="1:5">
      <c r="A294" s="24" t="s">
        <v>420</v>
      </c>
      <c r="B294" s="75"/>
      <c r="C294" s="25" t="s">
        <v>143</v>
      </c>
      <c r="D294" s="44">
        <v>200</v>
      </c>
    </row>
    <row r="295" spans="1:5">
      <c r="A295" s="24" t="s">
        <v>421</v>
      </c>
      <c r="B295" s="75"/>
      <c r="C295" s="25" t="s">
        <v>143</v>
      </c>
      <c r="D295" s="44">
        <v>200</v>
      </c>
    </row>
    <row r="296" spans="1:5">
      <c r="A296" s="24" t="s">
        <v>422</v>
      </c>
      <c r="B296" s="75"/>
      <c r="C296" s="25" t="s">
        <v>143</v>
      </c>
      <c r="D296" s="44">
        <v>550</v>
      </c>
    </row>
    <row r="297" spans="1:5">
      <c r="A297" s="24" t="s">
        <v>423</v>
      </c>
      <c r="C297" s="25" t="s">
        <v>143</v>
      </c>
      <c r="D297" s="44">
        <v>53500</v>
      </c>
    </row>
    <row r="298" spans="1:5">
      <c r="A298" s="24" t="s">
        <v>424</v>
      </c>
      <c r="C298" s="25" t="s">
        <v>143</v>
      </c>
      <c r="D298" s="44">
        <v>730</v>
      </c>
    </row>
    <row r="299" spans="1:5">
      <c r="A299" s="24" t="s">
        <v>425</v>
      </c>
      <c r="C299" s="25" t="s">
        <v>143</v>
      </c>
      <c r="D299" s="44">
        <v>540</v>
      </c>
    </row>
    <row r="300" spans="1:5">
      <c r="A300" s="24" t="s">
        <v>426</v>
      </c>
      <c r="C300" s="25" t="s">
        <v>143</v>
      </c>
      <c r="D300" s="44">
        <v>950</v>
      </c>
    </row>
    <row r="301" spans="1:5">
      <c r="A301" s="24" t="s">
        <v>427</v>
      </c>
      <c r="C301" s="25" t="s">
        <v>143</v>
      </c>
      <c r="D301" s="44">
        <v>1850</v>
      </c>
    </row>
    <row r="302" spans="1:5">
      <c r="A302" s="24" t="s">
        <v>428</v>
      </c>
      <c r="C302" s="25" t="s">
        <v>143</v>
      </c>
      <c r="D302" s="44">
        <v>18930</v>
      </c>
    </row>
    <row r="303" spans="1:5">
      <c r="A303" s="24" t="s">
        <v>429</v>
      </c>
      <c r="C303" s="25" t="s">
        <v>143</v>
      </c>
      <c r="D303" s="44">
        <v>3350</v>
      </c>
    </row>
    <row r="304" spans="1:5">
      <c r="D304" s="44"/>
    </row>
    <row r="305" spans="1:7">
      <c r="D305" s="44"/>
    </row>
    <row r="307" spans="1:7">
      <c r="A307" s="25" t="s">
        <v>430</v>
      </c>
      <c r="E307" s="25" t="s">
        <v>431</v>
      </c>
    </row>
    <row r="308" spans="1:7">
      <c r="A308" s="24" t="s">
        <v>432</v>
      </c>
      <c r="C308" s="25" t="s">
        <v>212</v>
      </c>
      <c r="D308" s="26">
        <v>54430</v>
      </c>
      <c r="E308" s="76">
        <v>45000</v>
      </c>
    </row>
    <row r="309" spans="1:7">
      <c r="A309" s="77" t="s">
        <v>433</v>
      </c>
      <c r="B309" s="78"/>
      <c r="C309" s="25" t="s">
        <v>143</v>
      </c>
      <c r="D309" s="26">
        <v>150000</v>
      </c>
      <c r="E309" s="76">
        <v>25000</v>
      </c>
    </row>
    <row r="310" spans="1:7">
      <c r="A310" s="77" t="s">
        <v>434</v>
      </c>
      <c r="B310" s="78"/>
      <c r="C310" s="25" t="s">
        <v>143</v>
      </c>
      <c r="D310" s="26">
        <v>32045</v>
      </c>
      <c r="E310" s="76">
        <v>30000</v>
      </c>
    </row>
    <row r="311" spans="1:7">
      <c r="A311" s="77" t="s">
        <v>435</v>
      </c>
      <c r="B311" s="78"/>
      <c r="C311" s="25" t="s">
        <v>143</v>
      </c>
      <c r="D311" s="26">
        <v>13195</v>
      </c>
      <c r="E311" s="76">
        <v>25000</v>
      </c>
    </row>
    <row r="312" spans="1:7">
      <c r="A312" s="77" t="s">
        <v>436</v>
      </c>
      <c r="B312" s="78"/>
      <c r="C312" s="25" t="s">
        <v>143</v>
      </c>
      <c r="D312" s="26">
        <v>20000</v>
      </c>
      <c r="E312" s="76">
        <v>20000</v>
      </c>
    </row>
    <row r="313" spans="1:7" ht="13.5">
      <c r="A313" s="79" t="s">
        <v>437</v>
      </c>
      <c r="B313" s="80"/>
      <c r="C313" s="25" t="s">
        <v>143</v>
      </c>
      <c r="D313" s="26">
        <v>14000</v>
      </c>
      <c r="E313" s="76">
        <v>13500</v>
      </c>
    </row>
    <row r="314" spans="1:7">
      <c r="A314" s="77" t="s">
        <v>438</v>
      </c>
      <c r="B314" s="78"/>
      <c r="C314" s="25" t="s">
        <v>277</v>
      </c>
      <c r="D314" s="26">
        <v>10000</v>
      </c>
      <c r="E314" s="76">
        <v>10000</v>
      </c>
    </row>
    <row r="315" spans="1:7">
      <c r="A315" s="77" t="s">
        <v>439</v>
      </c>
      <c r="B315" s="78"/>
      <c r="C315" s="25" t="s">
        <v>277</v>
      </c>
      <c r="E315" s="81">
        <v>1900</v>
      </c>
      <c r="G315" s="64" t="s">
        <v>440</v>
      </c>
    </row>
    <row r="316" spans="1:7" ht="13.5">
      <c r="A316" s="79" t="s">
        <v>441</v>
      </c>
      <c r="B316" s="80"/>
      <c r="C316" s="25" t="s">
        <v>143</v>
      </c>
      <c r="D316" s="26">
        <v>60000</v>
      </c>
      <c r="E316" s="76">
        <v>60000</v>
      </c>
    </row>
    <row r="317" spans="1:7">
      <c r="A317" s="24" t="s">
        <v>442</v>
      </c>
      <c r="C317" s="25" t="s">
        <v>212</v>
      </c>
      <c r="D317" s="26">
        <v>54430</v>
      </c>
      <c r="E317" s="76">
        <v>45000</v>
      </c>
    </row>
    <row r="318" spans="1:7">
      <c r="A318" s="77" t="s">
        <v>443</v>
      </c>
      <c r="B318" s="78"/>
      <c r="C318" s="25" t="s">
        <v>143</v>
      </c>
      <c r="D318" s="26">
        <v>150000</v>
      </c>
      <c r="E318" s="76">
        <v>25000</v>
      </c>
    </row>
    <row r="319" spans="1:7">
      <c r="A319" s="77" t="s">
        <v>444</v>
      </c>
      <c r="B319" s="78"/>
      <c r="C319" s="25" t="s">
        <v>143</v>
      </c>
      <c r="D319" s="26">
        <v>32045</v>
      </c>
      <c r="E319" s="76">
        <v>30000</v>
      </c>
    </row>
    <row r="320" spans="1:7">
      <c r="A320" s="77" t="s">
        <v>445</v>
      </c>
      <c r="B320" s="78"/>
      <c r="C320" s="25" t="s">
        <v>143</v>
      </c>
      <c r="D320" s="26">
        <v>13195</v>
      </c>
      <c r="E320" s="76">
        <v>25000</v>
      </c>
    </row>
    <row r="321" spans="1:5">
      <c r="A321" s="77" t="s">
        <v>446</v>
      </c>
      <c r="B321" s="78"/>
      <c r="C321" s="25" t="s">
        <v>143</v>
      </c>
      <c r="D321" s="26">
        <v>20000</v>
      </c>
      <c r="E321" s="76">
        <v>20000</v>
      </c>
    </row>
    <row r="322" spans="1:5" ht="13.5">
      <c r="A322" s="79" t="s">
        <v>447</v>
      </c>
      <c r="B322" s="80"/>
      <c r="C322" s="25" t="s">
        <v>143</v>
      </c>
      <c r="D322" s="26">
        <v>13500</v>
      </c>
      <c r="E322" s="76">
        <v>13500</v>
      </c>
    </row>
    <row r="323" spans="1:5">
      <c r="A323" s="24" t="s">
        <v>448</v>
      </c>
      <c r="C323" s="25" t="s">
        <v>212</v>
      </c>
      <c r="D323" s="26">
        <v>41989</v>
      </c>
      <c r="E323" s="76">
        <v>38000</v>
      </c>
    </row>
    <row r="324" spans="1:5">
      <c r="A324" s="77" t="s">
        <v>449</v>
      </c>
      <c r="B324" s="78"/>
      <c r="C324" s="25" t="s">
        <v>143</v>
      </c>
      <c r="D324" s="26">
        <v>14892</v>
      </c>
      <c r="E324" s="76">
        <v>20000</v>
      </c>
    </row>
    <row r="325" spans="1:5">
      <c r="A325" s="77" t="s">
        <v>450</v>
      </c>
      <c r="B325" s="78"/>
      <c r="C325" s="25" t="s">
        <v>143</v>
      </c>
      <c r="D325" s="26">
        <v>25000</v>
      </c>
      <c r="E325" s="76">
        <v>25000</v>
      </c>
    </row>
    <row r="326" spans="1:5">
      <c r="A326" s="77" t="s">
        <v>451</v>
      </c>
      <c r="B326" s="78"/>
      <c r="C326" s="25" t="s">
        <v>143</v>
      </c>
      <c r="D326" s="26">
        <v>20000</v>
      </c>
      <c r="E326" s="76">
        <v>20000</v>
      </c>
    </row>
    <row r="327" spans="1:5">
      <c r="A327" s="77" t="s">
        <v>452</v>
      </c>
      <c r="B327" s="78"/>
      <c r="C327" s="25" t="s">
        <v>143</v>
      </c>
      <c r="D327" s="26">
        <v>17000</v>
      </c>
      <c r="E327" s="76">
        <v>17000</v>
      </c>
    </row>
    <row r="328" spans="1:5" ht="13.5">
      <c r="A328" s="79" t="s">
        <v>453</v>
      </c>
      <c r="B328" s="80"/>
      <c r="C328" s="25" t="s">
        <v>143</v>
      </c>
      <c r="D328" s="26">
        <v>10000</v>
      </c>
      <c r="E328" s="76">
        <v>10000</v>
      </c>
    </row>
    <row r="329" spans="1:5">
      <c r="A329" s="24" t="s">
        <v>454</v>
      </c>
      <c r="C329" s="25" t="s">
        <v>212</v>
      </c>
      <c r="D329" s="82">
        <v>25816</v>
      </c>
      <c r="E329" s="76">
        <v>30000</v>
      </c>
    </row>
    <row r="330" spans="1:5">
      <c r="A330" s="77" t="s">
        <v>455</v>
      </c>
      <c r="B330" s="78"/>
      <c r="C330" s="25" t="s">
        <v>143</v>
      </c>
      <c r="D330" s="82">
        <v>60320</v>
      </c>
      <c r="E330" s="76">
        <v>18000</v>
      </c>
    </row>
    <row r="331" spans="1:5">
      <c r="A331" s="77" t="s">
        <v>456</v>
      </c>
      <c r="B331" s="78"/>
      <c r="C331" s="25" t="s">
        <v>143</v>
      </c>
      <c r="D331" s="82">
        <v>10580</v>
      </c>
      <c r="E331" s="76">
        <v>22000</v>
      </c>
    </row>
    <row r="332" spans="1:5">
      <c r="A332" s="77" t="s">
        <v>457</v>
      </c>
      <c r="B332" s="78"/>
      <c r="C332" s="25" t="s">
        <v>143</v>
      </c>
      <c r="D332" s="82">
        <v>10179</v>
      </c>
      <c r="E332" s="76">
        <v>18000</v>
      </c>
    </row>
    <row r="333" spans="1:5">
      <c r="A333" s="77" t="s">
        <v>458</v>
      </c>
      <c r="B333" s="78"/>
      <c r="C333" s="25" t="s">
        <v>143</v>
      </c>
      <c r="D333" s="82">
        <v>15000</v>
      </c>
      <c r="E333" s="76">
        <v>15000</v>
      </c>
    </row>
    <row r="334" spans="1:5">
      <c r="A334" s="24" t="s">
        <v>459</v>
      </c>
      <c r="C334" s="25" t="s">
        <v>212</v>
      </c>
      <c r="D334" s="82">
        <v>11042</v>
      </c>
      <c r="E334" s="76">
        <v>25000</v>
      </c>
    </row>
    <row r="335" spans="1:5">
      <c r="A335" s="77" t="s">
        <v>460</v>
      </c>
      <c r="B335" s="78"/>
      <c r="C335" s="25" t="s">
        <v>143</v>
      </c>
      <c r="D335" s="82">
        <v>15000</v>
      </c>
      <c r="E335" s="76">
        <v>15000</v>
      </c>
    </row>
    <row r="336" spans="1:5">
      <c r="A336" s="77" t="s">
        <v>461</v>
      </c>
      <c r="B336" s="78"/>
      <c r="C336" s="25" t="s">
        <v>143</v>
      </c>
      <c r="D336" s="82">
        <v>20000</v>
      </c>
      <c r="E336" s="76">
        <v>20000</v>
      </c>
    </row>
    <row r="337" spans="1:5">
      <c r="A337" s="77" t="s">
        <v>462</v>
      </c>
      <c r="B337" s="78"/>
      <c r="C337" s="25" t="s">
        <v>143</v>
      </c>
      <c r="D337" s="82">
        <v>15000</v>
      </c>
      <c r="E337" s="76">
        <v>15000</v>
      </c>
    </row>
    <row r="338" spans="1:5">
      <c r="A338" s="77" t="s">
        <v>463</v>
      </c>
      <c r="B338" s="78"/>
      <c r="C338" s="25" t="s">
        <v>143</v>
      </c>
      <c r="D338" s="82">
        <v>12000</v>
      </c>
      <c r="E338" s="76">
        <v>12000</v>
      </c>
    </row>
    <row r="339" spans="1:5" ht="13.5">
      <c r="A339" s="79" t="s">
        <v>464</v>
      </c>
      <c r="B339" s="80"/>
      <c r="C339" s="25" t="s">
        <v>143</v>
      </c>
      <c r="D339" s="26">
        <v>7500</v>
      </c>
      <c r="E339" s="76">
        <v>7500</v>
      </c>
    </row>
    <row r="340" spans="1:5">
      <c r="A340" s="24" t="s">
        <v>465</v>
      </c>
      <c r="C340" s="25" t="s">
        <v>143</v>
      </c>
      <c r="D340" s="26">
        <v>672800</v>
      </c>
      <c r="E340" s="76">
        <v>860000</v>
      </c>
    </row>
    <row r="341" spans="1:5">
      <c r="A341" s="75" t="s">
        <v>466</v>
      </c>
      <c r="B341" s="75"/>
      <c r="C341" s="25" t="s">
        <v>143</v>
      </c>
      <c r="D341" s="26">
        <v>150000</v>
      </c>
      <c r="E341" s="76">
        <v>150000</v>
      </c>
    </row>
    <row r="342" spans="1:5">
      <c r="A342" s="75" t="s">
        <v>467</v>
      </c>
      <c r="B342" s="75"/>
      <c r="C342" s="25" t="s">
        <v>143</v>
      </c>
      <c r="D342" s="26">
        <v>20000</v>
      </c>
      <c r="E342" s="76">
        <v>20000</v>
      </c>
    </row>
    <row r="343" spans="1:5">
      <c r="A343" s="83" t="s">
        <v>468</v>
      </c>
      <c r="C343" s="25" t="s">
        <v>143</v>
      </c>
      <c r="D343" s="26">
        <v>118320</v>
      </c>
      <c r="E343" s="76">
        <v>65772</v>
      </c>
    </row>
    <row r="344" spans="1:5">
      <c r="A344" s="83" t="s">
        <v>469</v>
      </c>
      <c r="C344" s="25" t="s">
        <v>143</v>
      </c>
      <c r="D344" s="26">
        <v>67280</v>
      </c>
      <c r="E344" s="76">
        <v>75632</v>
      </c>
    </row>
    <row r="345" spans="1:5">
      <c r="A345" s="83" t="s">
        <v>470</v>
      </c>
      <c r="C345" s="25" t="s">
        <v>143</v>
      </c>
      <c r="D345" s="26">
        <v>42920</v>
      </c>
      <c r="E345" s="76">
        <v>45472</v>
      </c>
    </row>
    <row r="346" spans="1:5">
      <c r="A346" s="83" t="s">
        <v>471</v>
      </c>
      <c r="C346" s="25" t="s">
        <v>143</v>
      </c>
      <c r="D346" s="26">
        <v>18560</v>
      </c>
      <c r="E346" s="76">
        <v>22272</v>
      </c>
    </row>
    <row r="347" spans="1:5">
      <c r="A347" s="83" t="s">
        <v>472</v>
      </c>
      <c r="C347" s="25" t="s">
        <v>143</v>
      </c>
      <c r="D347" s="26">
        <v>31320</v>
      </c>
      <c r="E347" s="76">
        <v>33060</v>
      </c>
    </row>
    <row r="348" spans="1:5">
      <c r="A348" s="83" t="s">
        <v>473</v>
      </c>
      <c r="C348" s="25" t="s">
        <v>143</v>
      </c>
      <c r="D348" s="26">
        <v>149176</v>
      </c>
      <c r="E348" s="76">
        <v>371000</v>
      </c>
    </row>
    <row r="349" spans="1:5">
      <c r="A349" s="83" t="s">
        <v>474</v>
      </c>
      <c r="C349" s="25" t="s">
        <v>143</v>
      </c>
      <c r="D349" s="76">
        <v>89552</v>
      </c>
      <c r="E349" s="76">
        <v>89552</v>
      </c>
    </row>
    <row r="350" spans="1:5">
      <c r="A350" s="83" t="s">
        <v>475</v>
      </c>
      <c r="C350" s="25" t="s">
        <v>143</v>
      </c>
      <c r="D350" s="76">
        <v>232000</v>
      </c>
      <c r="E350" s="84">
        <v>232000</v>
      </c>
    </row>
    <row r="351" spans="1:5">
      <c r="A351" s="83" t="s">
        <v>476</v>
      </c>
      <c r="C351" s="25" t="s">
        <v>143</v>
      </c>
      <c r="D351" s="26">
        <v>111822</v>
      </c>
      <c r="E351" s="84">
        <v>85600</v>
      </c>
    </row>
    <row r="352" spans="1:5">
      <c r="A352" s="83" t="s">
        <v>477</v>
      </c>
      <c r="C352" s="25" t="s">
        <v>143</v>
      </c>
      <c r="D352" s="26">
        <v>22780</v>
      </c>
      <c r="E352" s="84">
        <v>24000</v>
      </c>
    </row>
    <row r="353" spans="1:5">
      <c r="A353" s="83" t="s">
        <v>478</v>
      </c>
      <c r="C353" s="25" t="s">
        <v>143</v>
      </c>
      <c r="D353" s="26">
        <v>5500</v>
      </c>
      <c r="E353" s="84">
        <v>6500</v>
      </c>
    </row>
    <row r="354" spans="1:5">
      <c r="A354" s="83" t="s">
        <v>479</v>
      </c>
      <c r="C354" s="25" t="s">
        <v>143</v>
      </c>
      <c r="D354" s="26">
        <v>40000</v>
      </c>
      <c r="E354" s="84">
        <v>40000</v>
      </c>
    </row>
  </sheetData>
  <mergeCells count="22">
    <mergeCell ref="A2:D2"/>
    <mergeCell ref="I2:L2"/>
    <mergeCell ref="I34:J34"/>
    <mergeCell ref="A247:B247"/>
    <mergeCell ref="A248:B248"/>
    <mergeCell ref="A249:B249"/>
    <mergeCell ref="A250:B250"/>
    <mergeCell ref="A251:B251"/>
    <mergeCell ref="A252:B252"/>
    <mergeCell ref="A253:B253"/>
    <mergeCell ref="A254:B254"/>
    <mergeCell ref="A256:B256"/>
    <mergeCell ref="A266:B266"/>
    <mergeCell ref="A268:B268"/>
    <mergeCell ref="A269:B269"/>
    <mergeCell ref="A270:B270"/>
    <mergeCell ref="A257:B257"/>
    <mergeCell ref="A259:B259"/>
    <mergeCell ref="A260:B260"/>
    <mergeCell ref="A262:B262"/>
    <mergeCell ref="A263:B263"/>
    <mergeCell ref="A265:B265"/>
  </mergeCells>
  <pageMargins left="0.7" right="0.7" top="0.75" bottom="0.75" header="0.3" footer="0.3"/>
  <pageSetup orientation="portrait" verticalDpi="599"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4"/>
  <dimension ref="A1:S769"/>
  <sheetViews>
    <sheetView topLeftCell="A634" workbookViewId="0">
      <selection activeCell="E638" sqref="E638"/>
    </sheetView>
  </sheetViews>
  <sheetFormatPr baseColWidth="10" defaultRowHeight="12.75"/>
  <cols>
    <col min="1" max="1" width="15.7109375" style="404" customWidth="1"/>
    <col min="2" max="2" width="61.28515625" customWidth="1"/>
    <col min="4" max="4" width="15.42578125" style="151" customWidth="1"/>
    <col min="5" max="5" width="16" style="151" customWidth="1"/>
    <col min="6" max="6" width="12.7109375" customWidth="1"/>
    <col min="7" max="9" width="14.140625" customWidth="1"/>
    <col min="10" max="10" width="13.140625" customWidth="1"/>
    <col min="11" max="11" width="16.42578125" customWidth="1"/>
    <col min="12" max="12" width="12.140625" bestFit="1" customWidth="1"/>
    <col min="16" max="16" width="12.5703125" bestFit="1" customWidth="1"/>
    <col min="17" max="17" width="15.7109375" style="583" customWidth="1"/>
    <col min="18" max="18" width="14.42578125" bestFit="1" customWidth="1"/>
    <col min="19" max="19" width="18.28515625" style="480" customWidth="1"/>
  </cols>
  <sheetData>
    <row r="1" spans="1:19" s="95" customFormat="1" ht="60.95" customHeight="1">
      <c r="A1" s="396" t="s">
        <v>2515</v>
      </c>
      <c r="Q1" s="582"/>
      <c r="S1" s="582"/>
    </row>
    <row r="2" spans="1:19">
      <c r="A2" s="1820" t="s">
        <v>480</v>
      </c>
      <c r="B2" s="1821"/>
      <c r="C2" s="1821"/>
      <c r="D2" s="1821"/>
      <c r="E2" s="1822"/>
      <c r="F2" s="1819" t="s">
        <v>518</v>
      </c>
      <c r="G2" s="1819"/>
      <c r="H2" s="1819"/>
      <c r="I2" s="1819"/>
      <c r="J2" s="1819"/>
      <c r="K2" s="1819"/>
      <c r="L2" s="1819"/>
      <c r="M2" s="1819"/>
      <c r="N2" s="1819"/>
      <c r="O2" s="1819"/>
      <c r="P2" s="1819"/>
      <c r="Q2" s="1819"/>
      <c r="R2" s="1819"/>
      <c r="S2" s="1819"/>
    </row>
    <row r="3" spans="1:19">
      <c r="A3" s="1823"/>
      <c r="B3" s="1824"/>
      <c r="C3" s="1824"/>
      <c r="D3" s="1824"/>
      <c r="E3" s="1825"/>
      <c r="F3" s="93">
        <v>2006</v>
      </c>
      <c r="G3" s="93">
        <v>2007</v>
      </c>
      <c r="H3" s="93">
        <v>2008</v>
      </c>
      <c r="I3" s="93">
        <v>2009</v>
      </c>
      <c r="J3" s="93">
        <v>2010</v>
      </c>
      <c r="K3" s="93">
        <v>2011</v>
      </c>
      <c r="L3" s="93">
        <v>2012</v>
      </c>
      <c r="M3" s="93">
        <v>2013</v>
      </c>
      <c r="N3" s="94">
        <v>2014</v>
      </c>
      <c r="O3" s="94">
        <v>2015</v>
      </c>
      <c r="P3" s="94">
        <v>2017</v>
      </c>
      <c r="Q3" s="94">
        <v>2018</v>
      </c>
      <c r="R3" s="94">
        <v>2019</v>
      </c>
      <c r="S3" s="94">
        <v>2022</v>
      </c>
    </row>
    <row r="4" spans="1:19">
      <c r="A4" s="397" t="s">
        <v>513</v>
      </c>
      <c r="B4" s="85" t="s">
        <v>514</v>
      </c>
      <c r="C4" s="86" t="s">
        <v>515</v>
      </c>
      <c r="D4" s="148" t="s">
        <v>516</v>
      </c>
      <c r="E4" s="149" t="s">
        <v>517</v>
      </c>
      <c r="F4" s="386">
        <v>408000</v>
      </c>
      <c r="G4" s="386">
        <v>433700</v>
      </c>
      <c r="H4" s="386">
        <v>516500</v>
      </c>
      <c r="I4" s="386">
        <v>556218</v>
      </c>
      <c r="J4" s="386">
        <v>580400</v>
      </c>
      <c r="K4" s="386">
        <v>599200</v>
      </c>
      <c r="L4" s="386">
        <v>634500</v>
      </c>
      <c r="M4" s="386">
        <v>660000</v>
      </c>
      <c r="N4" s="387">
        <v>689090</v>
      </c>
      <c r="O4" s="387">
        <v>718304</v>
      </c>
      <c r="P4" s="388">
        <v>737717</v>
      </c>
      <c r="Q4" s="407">
        <f t="shared" ref="Q4:Q12" si="0">ROUND(P4*1.07,0)</f>
        <v>789357</v>
      </c>
    </row>
    <row r="5" spans="1:19">
      <c r="A5" s="398" t="s">
        <v>481</v>
      </c>
      <c r="B5" s="89" t="s">
        <v>482</v>
      </c>
      <c r="C5" s="90" t="s">
        <v>483</v>
      </c>
      <c r="D5" s="169">
        <f t="shared" ref="D5:D12" si="1">+Q5</f>
        <v>95693</v>
      </c>
      <c r="E5" s="150"/>
      <c r="F5" s="91">
        <v>80000</v>
      </c>
      <c r="G5" s="87">
        <v>85100</v>
      </c>
      <c r="H5" s="87">
        <v>90000</v>
      </c>
      <c r="I5" s="87">
        <v>90000</v>
      </c>
      <c r="J5" s="87">
        <v>90000</v>
      </c>
      <c r="K5" s="87">
        <v>93600</v>
      </c>
      <c r="L5" s="87">
        <v>93600</v>
      </c>
      <c r="M5" s="87">
        <v>97812</v>
      </c>
      <c r="N5" s="88">
        <v>75000</v>
      </c>
      <c r="O5" s="88">
        <f>+N5*1.046</f>
        <v>78450</v>
      </c>
      <c r="P5" s="385">
        <f>+O5*1.14</f>
        <v>89432.999999999985</v>
      </c>
      <c r="Q5" s="407">
        <f t="shared" si="0"/>
        <v>95693</v>
      </c>
    </row>
    <row r="6" spans="1:19">
      <c r="A6" s="398" t="s">
        <v>484</v>
      </c>
      <c r="B6" s="89" t="s">
        <v>485</v>
      </c>
      <c r="C6" s="90" t="s">
        <v>483</v>
      </c>
      <c r="D6" s="169">
        <f t="shared" si="1"/>
        <v>63796</v>
      </c>
      <c r="E6" s="150"/>
      <c r="F6" s="91">
        <v>34000</v>
      </c>
      <c r="G6" s="87">
        <v>37300</v>
      </c>
      <c r="H6" s="87">
        <v>40000</v>
      </c>
      <c r="I6" s="87">
        <v>40000</v>
      </c>
      <c r="J6" s="87">
        <v>40000</v>
      </c>
      <c r="K6" s="87">
        <v>41600</v>
      </c>
      <c r="L6" s="87">
        <v>41600</v>
      </c>
      <c r="M6" s="87">
        <v>43472</v>
      </c>
      <c r="N6" s="88">
        <v>50000</v>
      </c>
      <c r="O6" s="88">
        <f t="shared" ref="O6:O32" si="2">+N6*1.046</f>
        <v>52300</v>
      </c>
      <c r="P6" s="385">
        <f t="shared" ref="P6:P13" si="3">+O6*1.14</f>
        <v>59621.999999999993</v>
      </c>
      <c r="Q6" s="407">
        <f t="shared" si="0"/>
        <v>63796</v>
      </c>
    </row>
    <row r="7" spans="1:19">
      <c r="A7" s="398" t="s">
        <v>486</v>
      </c>
      <c r="B7" s="89" t="s">
        <v>487</v>
      </c>
      <c r="C7" s="90" t="s">
        <v>483</v>
      </c>
      <c r="D7" s="169">
        <f t="shared" si="1"/>
        <v>318978</v>
      </c>
      <c r="E7" s="150"/>
      <c r="F7" s="91">
        <v>100000</v>
      </c>
      <c r="G7" s="87">
        <v>106300</v>
      </c>
      <c r="H7" s="87">
        <v>115000</v>
      </c>
      <c r="I7" s="87">
        <v>130000</v>
      </c>
      <c r="J7" s="87">
        <v>130000</v>
      </c>
      <c r="K7" s="87">
        <v>135200</v>
      </c>
      <c r="L7" s="87">
        <v>135200</v>
      </c>
      <c r="M7" s="87">
        <v>141284</v>
      </c>
      <c r="N7" s="88">
        <v>250000</v>
      </c>
      <c r="O7" s="88">
        <f t="shared" si="2"/>
        <v>261500</v>
      </c>
      <c r="P7" s="385">
        <f t="shared" si="3"/>
        <v>298110</v>
      </c>
      <c r="Q7" s="407">
        <f t="shared" si="0"/>
        <v>318978</v>
      </c>
    </row>
    <row r="8" spans="1:19">
      <c r="A8" s="398" t="s">
        <v>488</v>
      </c>
      <c r="B8" s="89" t="s">
        <v>489</v>
      </c>
      <c r="C8" s="90" t="s">
        <v>490</v>
      </c>
      <c r="D8" s="169">
        <f t="shared" si="1"/>
        <v>31898</v>
      </c>
      <c r="E8" s="150"/>
      <c r="F8" s="91">
        <v>10000</v>
      </c>
      <c r="G8" s="87">
        <v>10700</v>
      </c>
      <c r="H8" s="87">
        <v>15000</v>
      </c>
      <c r="I8" s="87">
        <v>20000</v>
      </c>
      <c r="J8" s="87">
        <v>20000</v>
      </c>
      <c r="K8" s="87">
        <v>20800</v>
      </c>
      <c r="L8" s="87">
        <v>20800</v>
      </c>
      <c r="M8" s="87">
        <v>21736</v>
      </c>
      <c r="N8" s="88">
        <v>25000</v>
      </c>
      <c r="O8" s="88">
        <f t="shared" si="2"/>
        <v>26150</v>
      </c>
      <c r="P8" s="385">
        <f t="shared" si="3"/>
        <v>29810.999999999996</v>
      </c>
      <c r="Q8" s="407">
        <f t="shared" si="0"/>
        <v>31898</v>
      </c>
    </row>
    <row r="9" spans="1:19">
      <c r="A9" s="398" t="s">
        <v>1620</v>
      </c>
      <c r="B9" s="89" t="s">
        <v>491</v>
      </c>
      <c r="C9" s="90" t="s">
        <v>493</v>
      </c>
      <c r="D9" s="169">
        <v>65000</v>
      </c>
      <c r="E9" s="150"/>
      <c r="F9" s="91">
        <v>14000</v>
      </c>
      <c r="G9" s="87">
        <v>16000</v>
      </c>
      <c r="H9" s="87">
        <v>20000</v>
      </c>
      <c r="I9" s="87">
        <v>20000</v>
      </c>
      <c r="J9" s="87">
        <v>3000</v>
      </c>
      <c r="K9" s="87">
        <v>20800</v>
      </c>
      <c r="L9" s="87">
        <v>3120</v>
      </c>
      <c r="M9" s="87">
        <v>3260.3999999999996</v>
      </c>
      <c r="N9" s="88">
        <v>5000</v>
      </c>
      <c r="O9" s="88">
        <f t="shared" si="2"/>
        <v>5230</v>
      </c>
      <c r="P9" s="385">
        <v>7289</v>
      </c>
      <c r="Q9" s="407">
        <f t="shared" si="0"/>
        <v>7799</v>
      </c>
    </row>
    <row r="10" spans="1:19">
      <c r="A10" s="398" t="s">
        <v>1621</v>
      </c>
      <c r="B10" s="89" t="s">
        <v>1638</v>
      </c>
      <c r="C10" s="90" t="s">
        <v>492</v>
      </c>
      <c r="D10" s="169">
        <v>95000</v>
      </c>
      <c r="E10" s="150"/>
      <c r="F10" s="91">
        <v>40000</v>
      </c>
      <c r="G10" s="87">
        <v>42600</v>
      </c>
      <c r="H10" s="87">
        <v>45000</v>
      </c>
      <c r="I10" s="87">
        <v>50000</v>
      </c>
      <c r="J10" s="87">
        <v>60000</v>
      </c>
      <c r="K10" s="87">
        <v>52000</v>
      </c>
      <c r="L10" s="87">
        <v>62400</v>
      </c>
      <c r="M10" s="87">
        <v>65207.999999999993</v>
      </c>
      <c r="N10" s="88">
        <v>70000</v>
      </c>
      <c r="O10" s="88">
        <v>75000</v>
      </c>
      <c r="P10" s="385">
        <v>75000</v>
      </c>
      <c r="Q10" s="407">
        <v>120000</v>
      </c>
    </row>
    <row r="11" spans="1:19">
      <c r="A11" s="398" t="s">
        <v>1622</v>
      </c>
      <c r="B11" s="89" t="s">
        <v>1636</v>
      </c>
      <c r="C11" s="90" t="s">
        <v>493</v>
      </c>
      <c r="D11" s="169">
        <v>160000</v>
      </c>
      <c r="E11" s="150"/>
      <c r="F11" s="91">
        <v>40000</v>
      </c>
      <c r="G11" s="87">
        <v>53200</v>
      </c>
      <c r="H11" s="87">
        <v>70000</v>
      </c>
      <c r="I11" s="87">
        <v>80000</v>
      </c>
      <c r="J11" s="87">
        <v>80000</v>
      </c>
      <c r="K11" s="87">
        <v>83200</v>
      </c>
      <c r="L11" s="87">
        <v>83200</v>
      </c>
      <c r="M11" s="87">
        <v>86944</v>
      </c>
      <c r="N11" s="88">
        <v>90856.48</v>
      </c>
      <c r="O11" s="88">
        <f t="shared" si="2"/>
        <v>95035.878079999995</v>
      </c>
      <c r="P11" s="385">
        <f t="shared" si="3"/>
        <v>108340.90101119998</v>
      </c>
      <c r="Q11" s="407">
        <f t="shared" si="0"/>
        <v>115925</v>
      </c>
    </row>
    <row r="12" spans="1:19">
      <c r="A12" s="398" t="s">
        <v>494</v>
      </c>
      <c r="B12" s="89" t="s">
        <v>495</v>
      </c>
      <c r="C12" s="90" t="s">
        <v>493</v>
      </c>
      <c r="D12" s="169">
        <f t="shared" si="1"/>
        <v>94189</v>
      </c>
      <c r="E12" s="150"/>
      <c r="F12" s="91">
        <v>40000</v>
      </c>
      <c r="G12" s="87">
        <v>53200</v>
      </c>
      <c r="H12" s="87">
        <v>60000</v>
      </c>
      <c r="I12" s="87">
        <v>60000</v>
      </c>
      <c r="J12" s="87">
        <v>65000</v>
      </c>
      <c r="K12" s="87">
        <v>62400</v>
      </c>
      <c r="L12" s="87">
        <v>67600</v>
      </c>
      <c r="M12" s="87">
        <v>70642</v>
      </c>
      <c r="N12" s="88">
        <v>73820.89</v>
      </c>
      <c r="O12" s="88">
        <f t="shared" si="2"/>
        <v>77216.650940000007</v>
      </c>
      <c r="P12" s="385">
        <f t="shared" si="3"/>
        <v>88026.982071599996</v>
      </c>
      <c r="Q12" s="407">
        <f t="shared" si="0"/>
        <v>94189</v>
      </c>
    </row>
    <row r="13" spans="1:19">
      <c r="A13" s="398" t="s">
        <v>1623</v>
      </c>
      <c r="B13" s="89" t="s">
        <v>496</v>
      </c>
      <c r="C13" s="90" t="s">
        <v>493</v>
      </c>
      <c r="D13" s="169">
        <v>115000</v>
      </c>
      <c r="E13" s="150"/>
      <c r="F13" s="91">
        <v>24000</v>
      </c>
      <c r="G13" s="87">
        <v>26600</v>
      </c>
      <c r="H13" s="87">
        <v>30000</v>
      </c>
      <c r="I13" s="87">
        <v>35000</v>
      </c>
      <c r="J13" s="87">
        <v>40000</v>
      </c>
      <c r="K13" s="87">
        <v>36400</v>
      </c>
      <c r="L13" s="87">
        <v>41600</v>
      </c>
      <c r="M13" s="87">
        <v>43472</v>
      </c>
      <c r="N13" s="88">
        <v>45428.24</v>
      </c>
      <c r="O13" s="88">
        <f t="shared" si="2"/>
        <v>47517.939039999997</v>
      </c>
      <c r="P13" s="385">
        <f t="shared" si="3"/>
        <v>54170.450505599991</v>
      </c>
      <c r="Q13" s="407">
        <v>80000</v>
      </c>
    </row>
    <row r="14" spans="1:19">
      <c r="A14" s="398" t="s">
        <v>1702</v>
      </c>
      <c r="B14" s="89" t="s">
        <v>1701</v>
      </c>
      <c r="C14" s="90" t="s">
        <v>493</v>
      </c>
      <c r="D14" s="169">
        <v>25000</v>
      </c>
      <c r="E14" s="150"/>
      <c r="F14" s="91"/>
      <c r="G14" s="87"/>
      <c r="H14" s="87"/>
      <c r="I14" s="87"/>
      <c r="J14" s="87"/>
      <c r="K14" s="87"/>
      <c r="L14" s="87"/>
      <c r="M14" s="87"/>
      <c r="N14" s="88"/>
      <c r="O14" s="88"/>
      <c r="P14" s="385"/>
      <c r="Q14" s="407"/>
    </row>
    <row r="15" spans="1:19">
      <c r="A15" s="398" t="s">
        <v>966</v>
      </c>
      <c r="B15" s="89" t="s">
        <v>968</v>
      </c>
      <c r="C15" s="90" t="s">
        <v>0</v>
      </c>
      <c r="D15" s="444">
        <v>0.05</v>
      </c>
      <c r="E15" s="438"/>
      <c r="F15" s="439"/>
      <c r="G15" s="440"/>
      <c r="H15" s="440"/>
      <c r="I15" s="440"/>
      <c r="J15" s="440"/>
      <c r="K15" s="440"/>
      <c r="L15" s="440"/>
      <c r="M15" s="440"/>
      <c r="N15" s="441"/>
      <c r="O15" s="441"/>
      <c r="P15" s="442"/>
      <c r="Q15" s="443"/>
    </row>
    <row r="16" spans="1:19">
      <c r="A16" s="398" t="s">
        <v>1693</v>
      </c>
      <c r="B16" s="89" t="s">
        <v>1694</v>
      </c>
      <c r="C16" s="90" t="s">
        <v>0</v>
      </c>
      <c r="D16" s="444">
        <v>0.03</v>
      </c>
      <c r="E16" s="438"/>
      <c r="F16" s="439"/>
      <c r="G16" s="440"/>
      <c r="H16" s="440"/>
      <c r="I16" s="440"/>
      <c r="J16" s="440"/>
      <c r="K16" s="440"/>
      <c r="L16" s="440"/>
      <c r="M16" s="440"/>
      <c r="N16" s="441"/>
      <c r="O16" s="441"/>
      <c r="P16" s="442"/>
      <c r="Q16" s="443"/>
    </row>
    <row r="17" spans="1:17">
      <c r="A17" s="398" t="s">
        <v>967</v>
      </c>
      <c r="B17" s="89" t="s">
        <v>922</v>
      </c>
      <c r="C17" s="90" t="s">
        <v>0</v>
      </c>
      <c r="D17" s="444">
        <v>0.1</v>
      </c>
      <c r="E17" s="438"/>
      <c r="F17" s="439"/>
      <c r="G17" s="440"/>
      <c r="H17" s="440"/>
      <c r="I17" s="440"/>
      <c r="J17" s="440"/>
      <c r="K17" s="440"/>
      <c r="L17" s="440"/>
      <c r="M17" s="440"/>
      <c r="N17" s="441"/>
      <c r="O17" s="441"/>
      <c r="P17" s="442"/>
      <c r="Q17" s="443"/>
    </row>
    <row r="18" spans="1:17">
      <c r="A18" s="398" t="s">
        <v>497</v>
      </c>
      <c r="B18" s="89" t="s">
        <v>2017</v>
      </c>
      <c r="C18" s="90" t="s">
        <v>483</v>
      </c>
      <c r="D18" s="169">
        <v>80000</v>
      </c>
      <c r="E18" s="150"/>
      <c r="F18" s="91">
        <v>40000</v>
      </c>
      <c r="G18" s="87">
        <v>42600</v>
      </c>
      <c r="H18" s="87">
        <v>45000</v>
      </c>
      <c r="I18" s="87">
        <v>50000</v>
      </c>
      <c r="J18" s="87">
        <v>60000</v>
      </c>
      <c r="K18" s="87">
        <v>52000</v>
      </c>
      <c r="L18" s="87">
        <v>62400</v>
      </c>
      <c r="M18" s="87">
        <v>65207.999999999993</v>
      </c>
      <c r="N18" s="88">
        <v>68142.359999999986</v>
      </c>
      <c r="O18" s="88">
        <f t="shared" si="2"/>
        <v>71276.908559999982</v>
      </c>
      <c r="P18" s="385">
        <v>55000</v>
      </c>
      <c r="Q18" s="407">
        <v>55000</v>
      </c>
    </row>
    <row r="19" spans="1:17">
      <c r="A19" s="398" t="s">
        <v>505</v>
      </c>
      <c r="B19" s="89" t="s">
        <v>1631</v>
      </c>
      <c r="C19" s="90" t="s">
        <v>483</v>
      </c>
      <c r="D19" s="169">
        <f t="shared" ref="D19:D32" si="4">+Q19</f>
        <v>41000</v>
      </c>
      <c r="E19" s="150"/>
      <c r="F19" s="91"/>
      <c r="G19" s="87"/>
      <c r="H19" s="87"/>
      <c r="I19" s="87"/>
      <c r="J19" s="87"/>
      <c r="K19" s="87"/>
      <c r="L19" s="87"/>
      <c r="M19" s="87"/>
      <c r="N19" s="88"/>
      <c r="O19" s="88">
        <v>50000</v>
      </c>
      <c r="P19" s="385">
        <v>50000</v>
      </c>
      <c r="Q19" s="407">
        <v>41000</v>
      </c>
    </row>
    <row r="20" spans="1:17">
      <c r="A20" s="398" t="s">
        <v>498</v>
      </c>
      <c r="B20" s="89" t="s">
        <v>499</v>
      </c>
      <c r="C20" s="90" t="s">
        <v>483</v>
      </c>
      <c r="D20" s="169">
        <f t="shared" si="4"/>
        <v>53000</v>
      </c>
      <c r="E20" s="150"/>
      <c r="F20" s="91"/>
      <c r="G20" s="87"/>
      <c r="H20" s="87"/>
      <c r="I20" s="87"/>
      <c r="J20" s="87"/>
      <c r="K20" s="87"/>
      <c r="L20" s="87"/>
      <c r="M20" s="87"/>
      <c r="N20" s="88"/>
      <c r="O20" s="88">
        <v>50000</v>
      </c>
      <c r="P20" s="385">
        <v>50000</v>
      </c>
      <c r="Q20" s="407">
        <v>53000</v>
      </c>
    </row>
    <row r="21" spans="1:17">
      <c r="A21" s="398" t="s">
        <v>1624</v>
      </c>
      <c r="B21" s="89" t="s">
        <v>500</v>
      </c>
      <c r="C21" s="90" t="s">
        <v>492</v>
      </c>
      <c r="D21" s="169">
        <v>135000</v>
      </c>
      <c r="E21" s="150"/>
      <c r="F21" s="91">
        <v>60000</v>
      </c>
      <c r="G21" s="87">
        <v>63800</v>
      </c>
      <c r="H21" s="87">
        <v>80000</v>
      </c>
      <c r="I21" s="87">
        <v>100000</v>
      </c>
      <c r="J21" s="87">
        <v>100000</v>
      </c>
      <c r="K21" s="87">
        <v>104000</v>
      </c>
      <c r="L21" s="87">
        <v>104000</v>
      </c>
      <c r="M21" s="87">
        <v>108679.99999999999</v>
      </c>
      <c r="N21" s="88">
        <v>113570.59999999998</v>
      </c>
      <c r="O21" s="88">
        <f t="shared" si="2"/>
        <v>118794.84759999998</v>
      </c>
      <c r="P21" s="385">
        <f t="shared" ref="P21:P32" si="5">+O21*1.14</f>
        <v>135426.12626399996</v>
      </c>
      <c r="Q21" s="407">
        <v>130000</v>
      </c>
    </row>
    <row r="22" spans="1:17">
      <c r="A22" s="398" t="s">
        <v>1625</v>
      </c>
      <c r="B22" s="89" t="s">
        <v>501</v>
      </c>
      <c r="C22" s="90" t="s">
        <v>492</v>
      </c>
      <c r="D22" s="169">
        <v>180000</v>
      </c>
      <c r="E22" s="150"/>
      <c r="F22" s="91">
        <v>80000</v>
      </c>
      <c r="G22" s="87">
        <v>85100</v>
      </c>
      <c r="H22" s="87">
        <v>120000</v>
      </c>
      <c r="I22" s="87">
        <v>130000</v>
      </c>
      <c r="J22" s="87">
        <v>130000</v>
      </c>
      <c r="K22" s="87">
        <v>135200</v>
      </c>
      <c r="L22" s="87">
        <v>135200</v>
      </c>
      <c r="M22" s="87">
        <v>141284</v>
      </c>
      <c r="N22" s="88">
        <v>147641.78</v>
      </c>
      <c r="O22" s="88">
        <f t="shared" si="2"/>
        <v>154433.30188000001</v>
      </c>
      <c r="P22" s="385">
        <f t="shared" si="5"/>
        <v>176053.96414319999</v>
      </c>
      <c r="Q22" s="407">
        <v>180000</v>
      </c>
    </row>
    <row r="23" spans="1:17">
      <c r="A23" s="398" t="s">
        <v>1626</v>
      </c>
      <c r="B23" s="89" t="s">
        <v>502</v>
      </c>
      <c r="C23" s="90" t="s">
        <v>492</v>
      </c>
      <c r="D23" s="169">
        <f t="shared" si="4"/>
        <v>110000</v>
      </c>
      <c r="E23" s="150"/>
      <c r="F23" s="91">
        <v>40000</v>
      </c>
      <c r="G23" s="87">
        <v>53200</v>
      </c>
      <c r="H23" s="87">
        <v>60000</v>
      </c>
      <c r="I23" s="87">
        <v>70000</v>
      </c>
      <c r="J23" s="87">
        <v>70000</v>
      </c>
      <c r="K23" s="87">
        <v>72800</v>
      </c>
      <c r="L23" s="87">
        <v>72800</v>
      </c>
      <c r="M23" s="87">
        <v>76076</v>
      </c>
      <c r="N23" s="88">
        <v>79499.42</v>
      </c>
      <c r="O23" s="88">
        <f t="shared" si="2"/>
        <v>83156.393320000003</v>
      </c>
      <c r="P23" s="385">
        <f t="shared" si="5"/>
        <v>94798.288384799991</v>
      </c>
      <c r="Q23" s="407">
        <v>110000</v>
      </c>
    </row>
    <row r="24" spans="1:17">
      <c r="A24" s="398" t="s">
        <v>503</v>
      </c>
      <c r="B24" s="89" t="s">
        <v>504</v>
      </c>
      <c r="C24" s="90" t="s">
        <v>492</v>
      </c>
      <c r="D24" s="169">
        <f t="shared" si="4"/>
        <v>63000</v>
      </c>
      <c r="E24" s="150"/>
      <c r="F24" s="91">
        <v>40000</v>
      </c>
      <c r="G24" s="87">
        <v>42600</v>
      </c>
      <c r="H24" s="87">
        <v>60000</v>
      </c>
      <c r="I24" s="87">
        <v>60000</v>
      </c>
      <c r="J24" s="87">
        <v>60000</v>
      </c>
      <c r="K24" s="87">
        <v>62400</v>
      </c>
      <c r="L24" s="87">
        <v>62400</v>
      </c>
      <c r="M24" s="87">
        <v>65207.999999999993</v>
      </c>
      <c r="N24" s="88">
        <v>68142.359999999986</v>
      </c>
      <c r="O24" s="88">
        <f t="shared" si="2"/>
        <v>71276.908559999982</v>
      </c>
      <c r="P24" s="385">
        <f t="shared" si="5"/>
        <v>81255.675758399972</v>
      </c>
      <c r="Q24" s="407">
        <v>63000</v>
      </c>
    </row>
    <row r="25" spans="1:17">
      <c r="A25" s="398" t="s">
        <v>1627</v>
      </c>
      <c r="B25" s="89" t="s">
        <v>506</v>
      </c>
      <c r="C25" s="90" t="s">
        <v>492</v>
      </c>
      <c r="D25" s="169">
        <f t="shared" si="4"/>
        <v>140000</v>
      </c>
      <c r="E25" s="150"/>
      <c r="F25" s="91"/>
      <c r="G25" s="87"/>
      <c r="H25" s="87"/>
      <c r="I25" s="87"/>
      <c r="J25" s="87">
        <v>100000</v>
      </c>
      <c r="K25" s="87">
        <v>0</v>
      </c>
      <c r="L25" s="87">
        <v>104000</v>
      </c>
      <c r="M25" s="87">
        <v>108679.99999999999</v>
      </c>
      <c r="N25" s="88">
        <v>113570.59999999998</v>
      </c>
      <c r="O25" s="88">
        <f t="shared" si="2"/>
        <v>118794.84759999998</v>
      </c>
      <c r="P25" s="385">
        <f t="shared" si="5"/>
        <v>135426.12626399996</v>
      </c>
      <c r="Q25" s="407">
        <v>140000</v>
      </c>
    </row>
    <row r="26" spans="1:17">
      <c r="A26" s="398" t="s">
        <v>507</v>
      </c>
      <c r="B26" s="89" t="s">
        <v>508</v>
      </c>
      <c r="C26" s="90" t="s">
        <v>493</v>
      </c>
      <c r="D26" s="169">
        <f t="shared" si="4"/>
        <v>695549</v>
      </c>
      <c r="E26" s="150"/>
      <c r="F26" s="91"/>
      <c r="G26" s="87"/>
      <c r="H26" s="87"/>
      <c r="I26" s="87"/>
      <c r="J26" s="87">
        <v>480000</v>
      </c>
      <c r="K26" s="87">
        <v>480000</v>
      </c>
      <c r="L26" s="87">
        <v>499200</v>
      </c>
      <c r="M26" s="87">
        <v>521663.99999999994</v>
      </c>
      <c r="N26" s="88">
        <v>545138.87999999989</v>
      </c>
      <c r="O26" s="88">
        <f t="shared" si="2"/>
        <v>570215.26847999985</v>
      </c>
      <c r="P26" s="385">
        <f t="shared" si="5"/>
        <v>650045.40606719977</v>
      </c>
      <c r="Q26" s="407">
        <f>ROUND(P26*1.07,0)</f>
        <v>695549</v>
      </c>
    </row>
    <row r="27" spans="1:17">
      <c r="A27" s="398" t="s">
        <v>509</v>
      </c>
      <c r="B27" s="89" t="s">
        <v>510</v>
      </c>
      <c r="C27" s="90" t="s">
        <v>492</v>
      </c>
      <c r="D27" s="169">
        <v>60000</v>
      </c>
      <c r="E27" s="150"/>
      <c r="F27" s="91"/>
      <c r="G27" s="87"/>
      <c r="H27" s="87"/>
      <c r="I27" s="87"/>
      <c r="J27" s="87">
        <v>350000</v>
      </c>
      <c r="K27" s="87">
        <v>0</v>
      </c>
      <c r="L27" s="87">
        <v>364000</v>
      </c>
      <c r="M27" s="87">
        <v>380380</v>
      </c>
      <c r="N27" s="88">
        <v>397497.1</v>
      </c>
      <c r="O27" s="88">
        <f t="shared" si="2"/>
        <v>415781.96659999999</v>
      </c>
      <c r="P27" s="385">
        <f t="shared" si="5"/>
        <v>473991.44192399993</v>
      </c>
      <c r="Q27" s="407">
        <f>ROUND(P27*1.07,0)</f>
        <v>507171</v>
      </c>
    </row>
    <row r="28" spans="1:17">
      <c r="A28" s="398" t="s">
        <v>1628</v>
      </c>
      <c r="B28" s="89" t="s">
        <v>1632</v>
      </c>
      <c r="C28" s="90" t="s">
        <v>493</v>
      </c>
      <c r="D28" s="169">
        <f>+Q28</f>
        <v>28800</v>
      </c>
      <c r="E28" s="150"/>
      <c r="F28" s="91"/>
      <c r="G28" s="87"/>
      <c r="H28" s="87"/>
      <c r="I28" s="87"/>
      <c r="J28" s="87"/>
      <c r="K28" s="87"/>
      <c r="L28" s="87"/>
      <c r="M28" s="87"/>
      <c r="N28" s="88"/>
      <c r="O28" s="88"/>
      <c r="P28" s="385"/>
      <c r="Q28" s="407">
        <f>24000*1.2</f>
        <v>28800</v>
      </c>
    </row>
    <row r="29" spans="1:17">
      <c r="A29" s="398" t="s">
        <v>1649</v>
      </c>
      <c r="B29" s="89" t="s">
        <v>1650</v>
      </c>
      <c r="C29" s="90" t="s">
        <v>493</v>
      </c>
      <c r="D29" s="169">
        <v>55000</v>
      </c>
      <c r="E29" s="150"/>
      <c r="F29" s="91"/>
      <c r="G29" s="87"/>
      <c r="H29" s="87"/>
      <c r="I29" s="87"/>
      <c r="J29" s="87"/>
      <c r="K29" s="87"/>
      <c r="L29" s="87"/>
      <c r="M29" s="87"/>
      <c r="N29" s="88"/>
      <c r="O29" s="88"/>
      <c r="P29" s="385"/>
      <c r="Q29" s="407"/>
    </row>
    <row r="30" spans="1:17">
      <c r="A30" s="398" t="s">
        <v>1676</v>
      </c>
      <c r="B30" s="89" t="s">
        <v>1675</v>
      </c>
      <c r="C30" s="90" t="s">
        <v>493</v>
      </c>
      <c r="D30" s="169">
        <v>80000</v>
      </c>
      <c r="E30" s="150"/>
      <c r="F30" s="91"/>
      <c r="G30" s="87"/>
      <c r="H30" s="87"/>
      <c r="I30" s="87"/>
      <c r="J30" s="87"/>
      <c r="K30" s="87"/>
      <c r="L30" s="87"/>
      <c r="M30" s="87"/>
      <c r="N30" s="88"/>
      <c r="O30" s="88"/>
      <c r="P30" s="385"/>
      <c r="Q30" s="407"/>
    </row>
    <row r="31" spans="1:17">
      <c r="A31" s="398" t="s">
        <v>1669</v>
      </c>
      <c r="B31" s="89" t="s">
        <v>1677</v>
      </c>
      <c r="C31" s="90" t="s">
        <v>493</v>
      </c>
      <c r="D31" s="169">
        <v>125000</v>
      </c>
      <c r="E31" s="150"/>
      <c r="F31" s="91"/>
      <c r="G31" s="87"/>
      <c r="H31" s="87"/>
      <c r="I31" s="87"/>
      <c r="J31" s="87"/>
      <c r="K31" s="87"/>
      <c r="L31" s="87"/>
      <c r="M31" s="87"/>
      <c r="N31" s="88"/>
      <c r="O31" s="88"/>
      <c r="P31" s="385"/>
      <c r="Q31" s="407"/>
    </row>
    <row r="32" spans="1:17">
      <c r="A32" s="398" t="s">
        <v>511</v>
      </c>
      <c r="B32" s="89" t="s">
        <v>512</v>
      </c>
      <c r="C32" s="90" t="s">
        <v>490</v>
      </c>
      <c r="D32" s="169">
        <f t="shared" si="4"/>
        <v>362265</v>
      </c>
      <c r="E32" s="150"/>
      <c r="F32" s="91"/>
      <c r="G32" s="87"/>
      <c r="H32" s="87"/>
      <c r="I32" s="87"/>
      <c r="J32" s="87">
        <v>250000</v>
      </c>
      <c r="K32" s="87">
        <v>0</v>
      </c>
      <c r="L32" s="87">
        <v>260000</v>
      </c>
      <c r="M32" s="87">
        <v>271700</v>
      </c>
      <c r="N32" s="88">
        <v>283926.5</v>
      </c>
      <c r="O32" s="88">
        <f t="shared" si="2"/>
        <v>296987.11900000001</v>
      </c>
      <c r="P32" s="385">
        <f t="shared" si="5"/>
        <v>338565.31565999996</v>
      </c>
      <c r="Q32" s="407">
        <f>ROUND(P32*1.07,0)</f>
        <v>362265</v>
      </c>
    </row>
    <row r="33" spans="1:17">
      <c r="A33" s="398"/>
      <c r="B33" s="89"/>
      <c r="C33" s="90"/>
      <c r="D33" s="169"/>
      <c r="E33" s="150"/>
      <c r="F33" s="91"/>
      <c r="G33" s="571"/>
      <c r="H33" s="571"/>
      <c r="I33" s="571"/>
      <c r="J33" s="571"/>
      <c r="K33" s="571"/>
      <c r="L33" s="571"/>
      <c r="M33" s="571"/>
      <c r="N33" s="572"/>
      <c r="O33" s="572"/>
      <c r="P33" s="573"/>
      <c r="Q33" s="574"/>
    </row>
    <row r="34" spans="1:17">
      <c r="A34" s="398"/>
      <c r="B34" s="89"/>
      <c r="C34" s="90"/>
      <c r="D34" s="169"/>
      <c r="E34" s="150"/>
      <c r="F34" s="91"/>
      <c r="G34" s="571"/>
      <c r="H34" s="571"/>
      <c r="I34" s="571"/>
      <c r="J34" s="571"/>
      <c r="K34" s="571"/>
      <c r="L34" s="571"/>
      <c r="M34" s="571"/>
      <c r="N34" s="572"/>
      <c r="O34" s="572"/>
      <c r="P34" s="573"/>
      <c r="Q34" s="574"/>
    </row>
    <row r="37" spans="1:17" ht="30" customHeight="1">
      <c r="A37" s="1816" t="s">
        <v>519</v>
      </c>
      <c r="B37" s="1817"/>
      <c r="C37" s="1817"/>
      <c r="D37" s="1817"/>
      <c r="E37" s="1817"/>
      <c r="F37" s="1817"/>
      <c r="G37" s="1818"/>
      <c r="H37" s="478"/>
      <c r="I37" s="478"/>
      <c r="J37" s="142"/>
      <c r="K37" s="142"/>
    </row>
    <row r="38" spans="1:17" ht="30" customHeight="1">
      <c r="A38" s="1826" t="s">
        <v>520</v>
      </c>
      <c r="B38" s="1827" t="s">
        <v>521</v>
      </c>
      <c r="C38" s="1815" t="s">
        <v>515</v>
      </c>
      <c r="D38" s="1828" t="s">
        <v>522</v>
      </c>
      <c r="E38" s="383" t="s">
        <v>523</v>
      </c>
      <c r="F38" s="1815" t="s">
        <v>824</v>
      </c>
      <c r="G38" s="1815"/>
      <c r="H38" s="479"/>
      <c r="I38" s="479"/>
      <c r="J38" s="143"/>
      <c r="K38" s="143"/>
    </row>
    <row r="39" spans="1:17" ht="28.5" customHeight="1">
      <c r="A39" s="1826"/>
      <c r="B39" s="1827"/>
      <c r="C39" s="1815"/>
      <c r="D39" s="1828"/>
      <c r="E39" s="384">
        <v>0.19</v>
      </c>
      <c r="F39" s="382" t="s">
        <v>826</v>
      </c>
      <c r="G39" s="1208" t="s">
        <v>2506</v>
      </c>
      <c r="H39" s="479"/>
      <c r="I39" s="479"/>
      <c r="J39" s="144"/>
      <c r="K39" s="144"/>
    </row>
    <row r="40" spans="1:17" ht="24.4" customHeight="1">
      <c r="A40" s="399" t="s">
        <v>957</v>
      </c>
      <c r="B40" s="140"/>
      <c r="C40" s="140"/>
      <c r="D40" s="152"/>
      <c r="E40" s="152"/>
      <c r="F40" s="140"/>
      <c r="G40" s="140"/>
      <c r="H40" s="147"/>
      <c r="I40" s="147"/>
    </row>
    <row r="41" spans="1:17">
      <c r="A41" s="400" t="s">
        <v>134</v>
      </c>
      <c r="B41" s="132" t="s">
        <v>559</v>
      </c>
      <c r="C41" s="134" t="s">
        <v>960</v>
      </c>
      <c r="D41" s="378"/>
      <c r="E41" s="379">
        <v>20</v>
      </c>
      <c r="F41" s="146"/>
      <c r="G41" s="145"/>
      <c r="H41" s="480"/>
      <c r="I41" s="480"/>
    </row>
    <row r="42" spans="1:17">
      <c r="A42" s="401" t="s">
        <v>560</v>
      </c>
      <c r="B42" s="136" t="s">
        <v>965</v>
      </c>
      <c r="C42" s="134" t="s">
        <v>352</v>
      </c>
      <c r="D42" s="380"/>
      <c r="E42" s="1266">
        <v>60000</v>
      </c>
      <c r="F42" s="146">
        <v>15</v>
      </c>
      <c r="G42" s="145">
        <v>1500</v>
      </c>
      <c r="H42" s="480"/>
      <c r="I42" s="480"/>
    </row>
    <row r="43" spans="1:17">
      <c r="A43" s="401" t="s">
        <v>561</v>
      </c>
      <c r="B43" s="136" t="s">
        <v>1995</v>
      </c>
      <c r="C43" s="134" t="s">
        <v>352</v>
      </c>
      <c r="D43" s="380"/>
      <c r="E43" s="1266">
        <v>122570</v>
      </c>
      <c r="F43" s="146">
        <v>60.5</v>
      </c>
      <c r="G43" s="145">
        <v>1500</v>
      </c>
      <c r="H43" s="480"/>
      <c r="I43" s="480"/>
    </row>
    <row r="44" spans="1:17">
      <c r="A44" s="401" t="s">
        <v>1600</v>
      </c>
      <c r="B44" s="138" t="s">
        <v>947</v>
      </c>
      <c r="C44" s="134" t="s">
        <v>352</v>
      </c>
      <c r="D44" s="380"/>
      <c r="E44" s="1266">
        <v>115430</v>
      </c>
      <c r="F44" s="146">
        <v>60.5</v>
      </c>
      <c r="G44" s="145">
        <v>1500</v>
      </c>
      <c r="H44" s="480"/>
      <c r="I44" s="557"/>
    </row>
    <row r="45" spans="1:17">
      <c r="A45" s="401" t="s">
        <v>1629</v>
      </c>
      <c r="B45" s="138" t="s">
        <v>1633</v>
      </c>
      <c r="C45" s="134" t="s">
        <v>352</v>
      </c>
      <c r="D45" s="380"/>
      <c r="E45" s="1266">
        <v>138040</v>
      </c>
      <c r="F45" s="146">
        <v>60.5</v>
      </c>
      <c r="G45" s="145">
        <v>1500</v>
      </c>
      <c r="H45" s="480"/>
      <c r="I45" s="480"/>
    </row>
    <row r="46" spans="1:17">
      <c r="A46" s="401" t="s">
        <v>1630</v>
      </c>
      <c r="B46" s="136" t="s">
        <v>1634</v>
      </c>
      <c r="C46" s="134" t="s">
        <v>352</v>
      </c>
      <c r="D46" s="380"/>
      <c r="E46" s="1266">
        <v>135660</v>
      </c>
      <c r="F46" s="146">
        <v>60.5</v>
      </c>
      <c r="G46" s="145">
        <v>1500</v>
      </c>
      <c r="H46" s="480"/>
      <c r="I46" s="480"/>
    </row>
    <row r="47" spans="1:17">
      <c r="A47" s="401" t="s">
        <v>563</v>
      </c>
      <c r="B47" s="136" t="s">
        <v>959</v>
      </c>
      <c r="C47" s="134" t="s">
        <v>352</v>
      </c>
      <c r="D47" s="380"/>
      <c r="E47" s="1266">
        <v>102340</v>
      </c>
      <c r="F47" s="146">
        <v>60.5</v>
      </c>
      <c r="G47" s="145">
        <v>1500</v>
      </c>
      <c r="H47" s="480"/>
      <c r="I47" s="480"/>
    </row>
    <row r="48" spans="1:17">
      <c r="A48" s="401" t="s">
        <v>596</v>
      </c>
      <c r="B48" s="136" t="s">
        <v>958</v>
      </c>
      <c r="C48" s="134" t="s">
        <v>352</v>
      </c>
      <c r="D48" s="380"/>
      <c r="E48" s="1266">
        <v>133280</v>
      </c>
      <c r="F48" s="146">
        <v>60.5</v>
      </c>
      <c r="G48" s="145">
        <v>1500</v>
      </c>
      <c r="H48" s="480"/>
      <c r="I48" s="480"/>
    </row>
    <row r="49" spans="1:9">
      <c r="A49" s="401" t="s">
        <v>562</v>
      </c>
      <c r="B49" s="819" t="s">
        <v>2609</v>
      </c>
      <c r="C49" s="134" t="s">
        <v>352</v>
      </c>
      <c r="D49" s="380"/>
      <c r="E49" s="1266">
        <v>173740</v>
      </c>
      <c r="F49" s="146">
        <v>60.5</v>
      </c>
      <c r="G49" s="145">
        <v>1500</v>
      </c>
      <c r="H49" s="480"/>
      <c r="I49" s="480"/>
    </row>
    <row r="50" spans="1:9">
      <c r="A50" s="401" t="s">
        <v>601</v>
      </c>
      <c r="B50" s="819" t="s">
        <v>2610</v>
      </c>
      <c r="C50" s="134" t="s">
        <v>352</v>
      </c>
      <c r="D50" s="389"/>
      <c r="E50" s="1266">
        <v>185640</v>
      </c>
      <c r="F50" s="146">
        <v>60.5</v>
      </c>
      <c r="G50" s="145">
        <v>1500</v>
      </c>
      <c r="H50" s="480"/>
      <c r="I50" s="480"/>
    </row>
    <row r="51" spans="1:9">
      <c r="A51" s="401"/>
      <c r="B51" s="136"/>
      <c r="C51" s="137"/>
      <c r="D51" s="380"/>
      <c r="F51" s="146"/>
      <c r="G51" s="145"/>
      <c r="H51" s="480"/>
      <c r="I51" s="480"/>
    </row>
    <row r="52" spans="1:9">
      <c r="A52" s="401"/>
      <c r="B52" s="136"/>
      <c r="C52" s="137"/>
      <c r="D52" s="380"/>
      <c r="E52" s="381"/>
      <c r="F52" s="146"/>
      <c r="G52" s="145"/>
      <c r="H52" s="480"/>
      <c r="I52" s="480"/>
    </row>
    <row r="53" spans="1:9" ht="25.15" customHeight="1">
      <c r="A53" s="402" t="s">
        <v>584</v>
      </c>
      <c r="B53" s="147"/>
      <c r="C53" s="147"/>
      <c r="D53" s="153"/>
      <c r="E53" s="153"/>
      <c r="F53" s="147"/>
      <c r="G53" s="147"/>
      <c r="H53" s="147"/>
      <c r="I53" s="147"/>
    </row>
    <row r="54" spans="1:9">
      <c r="A54" s="401" t="s">
        <v>1640</v>
      </c>
      <c r="B54" s="136" t="s">
        <v>1639</v>
      </c>
      <c r="C54" s="137" t="s">
        <v>352</v>
      </c>
      <c r="D54" s="380"/>
      <c r="E54" s="381"/>
      <c r="F54" s="146">
        <v>2</v>
      </c>
      <c r="G54" s="145">
        <v>1500</v>
      </c>
      <c r="H54" s="480"/>
      <c r="I54" s="480"/>
    </row>
    <row r="55" spans="1:9">
      <c r="A55" s="401" t="s">
        <v>1641</v>
      </c>
      <c r="B55" s="136" t="s">
        <v>1642</v>
      </c>
      <c r="C55" s="137" t="s">
        <v>233</v>
      </c>
      <c r="D55" s="380"/>
      <c r="E55" s="381">
        <v>9580</v>
      </c>
      <c r="F55" s="146"/>
      <c r="G55" s="145"/>
      <c r="H55" s="480"/>
      <c r="I55" s="480"/>
    </row>
    <row r="56" spans="1:9" ht="15.6" customHeight="1">
      <c r="A56" s="401" t="s">
        <v>1703</v>
      </c>
      <c r="B56" s="819" t="s">
        <v>2416</v>
      </c>
      <c r="C56" s="137" t="s">
        <v>208</v>
      </c>
      <c r="D56" s="380"/>
      <c r="E56" s="381">
        <v>5200</v>
      </c>
      <c r="F56" s="146"/>
      <c r="G56" s="145"/>
      <c r="H56" s="480"/>
      <c r="I56" s="480"/>
    </row>
    <row r="57" spans="1:9">
      <c r="A57" s="401"/>
      <c r="B57" s="136"/>
      <c r="C57" s="137"/>
      <c r="D57" s="380"/>
      <c r="E57" s="381"/>
      <c r="F57" s="146"/>
      <c r="G57" s="145"/>
      <c r="H57" s="480"/>
      <c r="I57" s="480"/>
    </row>
    <row r="58" spans="1:9" ht="24.4" customHeight="1">
      <c r="A58" s="402" t="s">
        <v>541</v>
      </c>
      <c r="B58" s="147"/>
      <c r="C58" s="147"/>
      <c r="D58" s="153"/>
      <c r="E58" s="153"/>
      <c r="F58" s="147"/>
      <c r="G58" s="147"/>
      <c r="H58" s="147"/>
      <c r="I58" s="147"/>
    </row>
    <row r="59" spans="1:9" ht="15.95" customHeight="1">
      <c r="A59" s="403" t="s">
        <v>949</v>
      </c>
      <c r="B59" s="133" t="s">
        <v>950</v>
      </c>
      <c r="C59" s="134" t="s">
        <v>352</v>
      </c>
      <c r="D59" s="394"/>
      <c r="E59" s="437">
        <f>+BASICOS!H51</f>
        <v>644619</v>
      </c>
      <c r="F59" s="599"/>
      <c r="G59" s="599"/>
      <c r="H59" s="143"/>
      <c r="I59" s="143"/>
    </row>
    <row r="60" spans="1:9" ht="15.95" customHeight="1">
      <c r="A60" s="400" t="s">
        <v>553</v>
      </c>
      <c r="B60" s="133" t="s">
        <v>545</v>
      </c>
      <c r="C60" s="134" t="s">
        <v>352</v>
      </c>
      <c r="D60" s="394"/>
      <c r="E60" s="437">
        <f>+BASICOS!H108</f>
        <v>670945</v>
      </c>
      <c r="F60" s="599"/>
      <c r="G60" s="599"/>
      <c r="H60" s="143"/>
      <c r="I60" s="143"/>
    </row>
    <row r="61" spans="1:9" ht="15.95" customHeight="1">
      <c r="A61" s="400" t="s">
        <v>552</v>
      </c>
      <c r="B61" s="133" t="s">
        <v>544</v>
      </c>
      <c r="C61" s="134" t="s">
        <v>352</v>
      </c>
      <c r="D61" s="394"/>
      <c r="E61" s="437">
        <f>+BASICOS!H171</f>
        <v>692114</v>
      </c>
      <c r="F61" s="599"/>
      <c r="G61" s="599"/>
      <c r="H61" s="143"/>
      <c r="I61" s="143"/>
    </row>
    <row r="62" spans="1:9" ht="15.95" customHeight="1">
      <c r="A62" s="400" t="s">
        <v>2496</v>
      </c>
      <c r="B62" s="1059" t="s">
        <v>2497</v>
      </c>
      <c r="C62" s="1060" t="s">
        <v>352</v>
      </c>
      <c r="D62" s="394"/>
      <c r="E62" s="437">
        <f>+BASICOS!H230</f>
        <v>707993</v>
      </c>
      <c r="F62" s="599"/>
      <c r="G62" s="599"/>
      <c r="H62" s="143"/>
      <c r="I62" s="143"/>
    </row>
    <row r="63" spans="1:9" ht="15.95" customHeight="1">
      <c r="A63" s="400" t="s">
        <v>551</v>
      </c>
      <c r="B63" s="133" t="s">
        <v>543</v>
      </c>
      <c r="C63" s="134" t="s">
        <v>352</v>
      </c>
      <c r="D63" s="394"/>
      <c r="E63" s="437">
        <f>+BASICOS!H291</f>
        <v>719212</v>
      </c>
      <c r="F63" s="599"/>
      <c r="G63" s="599"/>
      <c r="H63" s="143"/>
      <c r="I63" s="143"/>
    </row>
    <row r="64" spans="1:9" ht="15.95" customHeight="1">
      <c r="A64" s="400" t="s">
        <v>2448</v>
      </c>
      <c r="B64" s="1059" t="s">
        <v>2449</v>
      </c>
      <c r="C64" s="1060" t="s">
        <v>352</v>
      </c>
      <c r="D64" s="394"/>
      <c r="E64" s="437">
        <f>+BASICOS!H348</f>
        <v>762896</v>
      </c>
      <c r="F64" s="599"/>
      <c r="G64" s="599"/>
      <c r="H64" s="143"/>
      <c r="I64" s="143"/>
    </row>
    <row r="65" spans="1:9" ht="15.95" customHeight="1">
      <c r="A65" s="400" t="s">
        <v>945</v>
      </c>
      <c r="B65" s="133" t="s">
        <v>946</v>
      </c>
      <c r="C65" s="134" t="s">
        <v>352</v>
      </c>
      <c r="D65" s="394"/>
      <c r="E65" s="437">
        <f>+BASICOS!H408</f>
        <v>752984</v>
      </c>
      <c r="F65" s="599"/>
      <c r="G65" s="599"/>
      <c r="H65" s="143"/>
      <c r="I65" s="143"/>
    </row>
    <row r="66" spans="1:9" ht="15.95" customHeight="1">
      <c r="A66" s="400" t="s">
        <v>550</v>
      </c>
      <c r="B66" s="133" t="s">
        <v>542</v>
      </c>
      <c r="C66" s="134" t="s">
        <v>352</v>
      </c>
      <c r="D66" s="394"/>
      <c r="E66" s="437">
        <f>+BASICOS!H476</f>
        <v>773984</v>
      </c>
      <c r="F66" s="599"/>
      <c r="G66" s="599"/>
      <c r="H66" s="143"/>
      <c r="I66" s="143"/>
    </row>
    <row r="67" spans="1:9" ht="15.95" customHeight="1">
      <c r="A67" s="1043" t="s">
        <v>2420</v>
      </c>
      <c r="B67" s="1044" t="s">
        <v>2421</v>
      </c>
      <c r="C67" s="1045" t="s">
        <v>352</v>
      </c>
      <c r="D67" s="1046"/>
      <c r="E67" s="1047">
        <f>+BASICOS!H536</f>
        <v>837338</v>
      </c>
      <c r="F67" s="1048"/>
      <c r="G67" s="1048"/>
      <c r="H67" s="143"/>
      <c r="I67" s="143"/>
    </row>
    <row r="68" spans="1:9" ht="15.95" customHeight="1">
      <c r="A68" s="603" t="s">
        <v>1725</v>
      </c>
      <c r="B68" s="604" t="s">
        <v>1726</v>
      </c>
      <c r="C68" s="605" t="s">
        <v>352</v>
      </c>
      <c r="D68" s="606"/>
      <c r="E68" s="607">
        <v>534000</v>
      </c>
      <c r="F68" s="608">
        <v>40</v>
      </c>
      <c r="G68" s="609">
        <v>1500</v>
      </c>
      <c r="H68" s="143"/>
      <c r="I68" s="143"/>
    </row>
    <row r="69" spans="1:9" ht="15.95" customHeight="1">
      <c r="A69" s="603" t="s">
        <v>1723</v>
      </c>
      <c r="B69" s="604" t="s">
        <v>1724</v>
      </c>
      <c r="C69" s="605" t="s">
        <v>352</v>
      </c>
      <c r="D69" s="606"/>
      <c r="E69" s="607">
        <v>554300</v>
      </c>
      <c r="F69" s="608">
        <v>40</v>
      </c>
      <c r="G69" s="609">
        <v>1500</v>
      </c>
      <c r="H69" s="143"/>
      <c r="I69" s="143"/>
    </row>
    <row r="70" spans="1:9" ht="15.95" customHeight="1">
      <c r="A70" s="400" t="s">
        <v>951</v>
      </c>
      <c r="B70" s="133" t="s">
        <v>952</v>
      </c>
      <c r="C70" s="134" t="s">
        <v>352</v>
      </c>
      <c r="D70" s="394"/>
      <c r="E70" s="437">
        <f>+BASICOS!H601</f>
        <v>619487</v>
      </c>
      <c r="F70" s="599"/>
      <c r="G70" s="599"/>
      <c r="H70" s="143"/>
      <c r="I70" s="143"/>
    </row>
    <row r="71" spans="1:9" ht="15.95" customHeight="1">
      <c r="A71" s="400" t="s">
        <v>557</v>
      </c>
      <c r="B71" s="133" t="s">
        <v>549</v>
      </c>
      <c r="C71" s="134" t="s">
        <v>352</v>
      </c>
      <c r="D71" s="394"/>
      <c r="E71" s="437">
        <f>+BASICOS!H669</f>
        <v>519987</v>
      </c>
      <c r="F71" s="599"/>
      <c r="G71" s="599"/>
      <c r="H71" s="143"/>
      <c r="I71" s="143"/>
    </row>
    <row r="72" spans="1:9" ht="15.95" customHeight="1">
      <c r="A72" s="400" t="s">
        <v>953</v>
      </c>
      <c r="B72" s="133" t="s">
        <v>955</v>
      </c>
      <c r="C72" s="134" t="s">
        <v>352</v>
      </c>
      <c r="D72" s="394"/>
      <c r="E72" s="437">
        <f>+BASICOS!H737</f>
        <v>792572</v>
      </c>
      <c r="F72" s="599"/>
      <c r="G72" s="599"/>
      <c r="H72" s="143"/>
      <c r="I72" s="143"/>
    </row>
    <row r="73" spans="1:9" ht="15.95" customHeight="1">
      <c r="A73" s="400" t="s">
        <v>556</v>
      </c>
      <c r="B73" s="133" t="s">
        <v>548</v>
      </c>
      <c r="C73" s="134" t="s">
        <v>352</v>
      </c>
      <c r="D73" s="394"/>
      <c r="E73" s="437">
        <f>+BASICOS!H805</f>
        <v>462362</v>
      </c>
      <c r="F73" s="599"/>
      <c r="G73" s="599"/>
      <c r="H73" s="143"/>
      <c r="I73" s="143"/>
    </row>
    <row r="74" spans="1:9" ht="15.95" customHeight="1">
      <c r="A74" s="400" t="s">
        <v>954</v>
      </c>
      <c r="B74" s="133" t="s">
        <v>956</v>
      </c>
      <c r="C74" s="134" t="s">
        <v>352</v>
      </c>
      <c r="D74" s="394"/>
      <c r="E74" s="437">
        <f>+BASICOS!H873</f>
        <v>734947</v>
      </c>
      <c r="F74" s="599"/>
      <c r="G74" s="599"/>
      <c r="H74" s="143"/>
      <c r="I74" s="143"/>
    </row>
    <row r="75" spans="1:9" ht="15.95" customHeight="1">
      <c r="A75" s="400" t="s">
        <v>555</v>
      </c>
      <c r="B75" s="133" t="s">
        <v>547</v>
      </c>
      <c r="C75" s="134" t="s">
        <v>352</v>
      </c>
      <c r="D75" s="394"/>
      <c r="E75" s="437">
        <f>+BASICOS!H941</f>
        <v>421502</v>
      </c>
      <c r="F75" s="599"/>
      <c r="G75" s="599"/>
      <c r="H75" s="143"/>
      <c r="I75" s="143"/>
    </row>
    <row r="76" spans="1:9" ht="15.95" customHeight="1">
      <c r="A76" s="400" t="s">
        <v>554</v>
      </c>
      <c r="B76" s="133" t="s">
        <v>546</v>
      </c>
      <c r="C76" s="134" t="s">
        <v>352</v>
      </c>
      <c r="D76" s="394"/>
      <c r="E76" s="437">
        <f>+BASICOS!H1009</f>
        <v>392322</v>
      </c>
      <c r="F76" s="599"/>
      <c r="G76" s="599"/>
      <c r="H76" s="143"/>
      <c r="I76" s="143"/>
    </row>
    <row r="77" spans="1:9" ht="15.95" customHeight="1">
      <c r="A77" s="434"/>
      <c r="B77" s="92"/>
      <c r="C77" s="435"/>
      <c r="D77" s="393"/>
      <c r="E77" s="393"/>
      <c r="F77" s="143"/>
      <c r="G77" s="143"/>
      <c r="H77" s="143"/>
      <c r="I77" s="143"/>
    </row>
    <row r="78" spans="1:9" ht="15.95" customHeight="1">
      <c r="A78" s="434"/>
      <c r="B78" s="92"/>
      <c r="C78" s="435"/>
      <c r="D78" s="393"/>
      <c r="E78" s="393"/>
      <c r="F78" s="143"/>
      <c r="G78" s="143"/>
      <c r="H78" s="143"/>
      <c r="I78" s="143"/>
    </row>
    <row r="79" spans="1:9" ht="29.1" customHeight="1">
      <c r="A79" s="402" t="s">
        <v>970</v>
      </c>
      <c r="B79" s="147"/>
      <c r="C79" s="147"/>
      <c r="D79" s="153"/>
      <c r="E79" s="153"/>
      <c r="F79" s="147"/>
      <c r="G79" s="147"/>
      <c r="H79" s="147"/>
      <c r="I79" s="147"/>
    </row>
    <row r="80" spans="1:9" ht="15.95" customHeight="1">
      <c r="A80" s="401" t="s">
        <v>1601</v>
      </c>
      <c r="B80" s="136" t="s">
        <v>567</v>
      </c>
      <c r="C80" s="137" t="s">
        <v>208</v>
      </c>
      <c r="D80" s="389">
        <v>8500</v>
      </c>
      <c r="E80" s="381">
        <f>ROUND(D80*(1+$E$39),0)</f>
        <v>10115</v>
      </c>
      <c r="F80" s="436"/>
      <c r="G80" s="436"/>
      <c r="H80" s="481"/>
      <c r="I80" s="481"/>
    </row>
    <row r="81" spans="1:9" ht="15.95" customHeight="1">
      <c r="A81" s="400" t="s">
        <v>971</v>
      </c>
      <c r="B81" s="133" t="s">
        <v>1670</v>
      </c>
      <c r="C81" s="137" t="s">
        <v>208</v>
      </c>
      <c r="D81" s="436"/>
      <c r="E81" s="437">
        <v>24710</v>
      </c>
      <c r="F81" s="436"/>
      <c r="G81" s="436"/>
      <c r="H81" s="481"/>
      <c r="I81" s="481"/>
    </row>
    <row r="82" spans="1:9" ht="15.95" customHeight="1">
      <c r="A82" s="400" t="s">
        <v>1646</v>
      </c>
      <c r="B82" s="133" t="s">
        <v>1647</v>
      </c>
      <c r="C82" s="134" t="s">
        <v>1648</v>
      </c>
      <c r="D82" s="436"/>
      <c r="E82" s="437">
        <v>3950</v>
      </c>
      <c r="F82" s="436"/>
      <c r="G82" s="436"/>
      <c r="H82" s="481"/>
      <c r="I82" s="481"/>
    </row>
    <row r="83" spans="1:9" ht="15.95" customHeight="1">
      <c r="A83" s="400" t="s">
        <v>1671</v>
      </c>
      <c r="B83" s="133" t="s">
        <v>1672</v>
      </c>
      <c r="C83" s="134" t="s">
        <v>208</v>
      </c>
      <c r="D83" s="436"/>
      <c r="E83" s="437">
        <v>24962</v>
      </c>
      <c r="F83" s="436"/>
      <c r="G83" s="436"/>
      <c r="H83" s="481"/>
      <c r="I83" s="481"/>
    </row>
    <row r="84" spans="1:9" ht="15.95" customHeight="1">
      <c r="A84" s="400" t="s">
        <v>1705</v>
      </c>
      <c r="B84" s="133" t="s">
        <v>1704</v>
      </c>
      <c r="C84" s="134" t="s">
        <v>208</v>
      </c>
      <c r="D84" s="436"/>
      <c r="E84" s="437">
        <v>5250</v>
      </c>
      <c r="F84" s="436"/>
      <c r="G84" s="436"/>
      <c r="H84" s="481"/>
      <c r="I84" s="481"/>
    </row>
    <row r="85" spans="1:9" ht="15.95" customHeight="1">
      <c r="A85" s="400" t="s">
        <v>1720</v>
      </c>
      <c r="B85" s="133" t="s">
        <v>1719</v>
      </c>
      <c r="C85" s="134" t="s">
        <v>1654</v>
      </c>
      <c r="D85" s="436"/>
      <c r="E85" s="437">
        <v>780</v>
      </c>
      <c r="F85" s="436"/>
      <c r="G85" s="436"/>
      <c r="H85" s="481"/>
      <c r="I85" s="481"/>
    </row>
    <row r="86" spans="1:9" ht="15.95" customHeight="1">
      <c r="A86" s="400" t="s">
        <v>1722</v>
      </c>
      <c r="B86" s="133" t="s">
        <v>1721</v>
      </c>
      <c r="C86" s="134" t="s">
        <v>241</v>
      </c>
      <c r="D86" s="436"/>
      <c r="E86" s="437">
        <v>125000</v>
      </c>
      <c r="F86" s="436"/>
      <c r="G86" s="436"/>
      <c r="H86" s="481"/>
      <c r="I86" s="481"/>
    </row>
    <row r="87" spans="1:9" ht="15.95" customHeight="1">
      <c r="A87" s="400"/>
      <c r="B87" s="133"/>
      <c r="C87" s="134"/>
      <c r="D87" s="436"/>
      <c r="E87" s="437"/>
      <c r="F87" s="436"/>
      <c r="G87" s="436"/>
      <c r="H87" s="481"/>
      <c r="I87" s="481"/>
    </row>
    <row r="88" spans="1:9" ht="15.95" customHeight="1">
      <c r="A88" s="400"/>
      <c r="B88" s="133"/>
      <c r="C88" s="134"/>
      <c r="D88" s="436"/>
      <c r="E88" s="437"/>
      <c r="F88" s="436"/>
      <c r="G88" s="436"/>
      <c r="H88" s="481"/>
      <c r="I88" s="481"/>
    </row>
    <row r="89" spans="1:9" ht="15.95" customHeight="1">
      <c r="A89" s="400"/>
      <c r="B89" s="133"/>
      <c r="C89" s="134"/>
      <c r="D89" s="436"/>
      <c r="E89" s="436"/>
      <c r="F89" s="436"/>
      <c r="G89" s="436"/>
      <c r="H89" s="481"/>
      <c r="I89" s="481"/>
    </row>
    <row r="90" spans="1:9" ht="24.4" customHeight="1">
      <c r="A90" s="402" t="s">
        <v>564</v>
      </c>
      <c r="B90" s="147"/>
      <c r="C90" s="147"/>
      <c r="D90" s="153"/>
      <c r="E90" s="153"/>
      <c r="F90" s="147"/>
      <c r="G90" s="147"/>
      <c r="H90" s="147"/>
      <c r="I90" s="147"/>
    </row>
    <row r="91" spans="1:9">
      <c r="A91" s="401" t="s">
        <v>565</v>
      </c>
      <c r="B91" s="136" t="s">
        <v>566</v>
      </c>
      <c r="C91" s="137" t="s">
        <v>962</v>
      </c>
      <c r="D91" s="389"/>
      <c r="E91" s="381">
        <v>5200</v>
      </c>
      <c r="F91" s="575">
        <v>40</v>
      </c>
      <c r="G91" s="407">
        <v>1700</v>
      </c>
    </row>
    <row r="92" spans="1:9">
      <c r="A92" s="401" t="s">
        <v>568</v>
      </c>
      <c r="B92" s="136" t="s">
        <v>569</v>
      </c>
      <c r="C92" s="137" t="s">
        <v>962</v>
      </c>
      <c r="D92" s="389"/>
      <c r="E92" s="381">
        <v>8500</v>
      </c>
      <c r="F92" s="575"/>
      <c r="G92" s="407"/>
    </row>
    <row r="93" spans="1:9">
      <c r="A93" s="401" t="s">
        <v>570</v>
      </c>
      <c r="B93" s="136" t="s">
        <v>571</v>
      </c>
      <c r="C93" s="137" t="s">
        <v>962</v>
      </c>
      <c r="D93" s="389">
        <v>4500</v>
      </c>
      <c r="E93" s="381">
        <f t="shared" ref="E93:E124" si="6">ROUND(D93*(1+$E$39),0)</f>
        <v>5355</v>
      </c>
      <c r="F93" s="575"/>
      <c r="G93" s="407"/>
    </row>
    <row r="94" spans="1:9">
      <c r="A94" s="401" t="s">
        <v>2489</v>
      </c>
      <c r="B94" s="819" t="s">
        <v>2417</v>
      </c>
      <c r="C94" s="137" t="s">
        <v>2418</v>
      </c>
      <c r="D94" s="389"/>
      <c r="E94" s="381">
        <v>8384</v>
      </c>
      <c r="F94" s="575"/>
      <c r="G94" s="407"/>
    </row>
    <row r="95" spans="1:9">
      <c r="A95" s="401" t="s">
        <v>2509</v>
      </c>
      <c r="B95" s="819" t="s">
        <v>2508</v>
      </c>
      <c r="C95" s="137" t="s">
        <v>1681</v>
      </c>
      <c r="D95" s="389"/>
      <c r="E95" s="381">
        <v>3740</v>
      </c>
      <c r="F95" s="575"/>
      <c r="G95" s="407"/>
    </row>
    <row r="96" spans="1:9">
      <c r="A96" s="401"/>
      <c r="B96" s="819" t="s">
        <v>2426</v>
      </c>
      <c r="C96" s="137" t="s">
        <v>2418</v>
      </c>
      <c r="D96" s="389"/>
      <c r="E96" s="381">
        <v>16340</v>
      </c>
      <c r="F96" s="575"/>
      <c r="G96" s="407"/>
    </row>
    <row r="97" spans="1:7">
      <c r="A97" s="401" t="s">
        <v>572</v>
      </c>
      <c r="B97" s="136" t="s">
        <v>573</v>
      </c>
      <c r="C97" s="137" t="s">
        <v>212</v>
      </c>
      <c r="D97" s="389">
        <v>12000</v>
      </c>
      <c r="E97" s="381">
        <v>14641</v>
      </c>
      <c r="F97" s="575"/>
      <c r="G97" s="407"/>
    </row>
    <row r="98" spans="1:7">
      <c r="A98" s="401"/>
      <c r="B98" s="136" t="s">
        <v>573</v>
      </c>
      <c r="C98" s="137"/>
      <c r="D98" s="389"/>
      <c r="E98" s="381">
        <f t="shared" si="6"/>
        <v>0</v>
      </c>
      <c r="F98" s="575"/>
      <c r="G98" s="407"/>
    </row>
    <row r="99" spans="1:7">
      <c r="A99" s="401" t="s">
        <v>1602</v>
      </c>
      <c r="B99" s="136" t="s">
        <v>574</v>
      </c>
      <c r="C99" s="137" t="s">
        <v>212</v>
      </c>
      <c r="D99" s="389">
        <v>21640</v>
      </c>
      <c r="E99" s="381">
        <f t="shared" si="6"/>
        <v>25752</v>
      </c>
      <c r="F99" s="575"/>
      <c r="G99" s="132"/>
    </row>
    <row r="100" spans="1:7">
      <c r="A100" s="401" t="s">
        <v>827</v>
      </c>
      <c r="B100" s="136" t="s">
        <v>575</v>
      </c>
      <c r="C100" s="137" t="s">
        <v>212</v>
      </c>
      <c r="D100" s="389">
        <v>19362.641979999997</v>
      </c>
      <c r="E100" s="381">
        <f t="shared" si="6"/>
        <v>23042</v>
      </c>
      <c r="F100" s="575"/>
      <c r="G100" s="132"/>
    </row>
    <row r="101" spans="1:7">
      <c r="A101" s="401" t="s">
        <v>576</v>
      </c>
      <c r="B101" s="136" t="s">
        <v>961</v>
      </c>
      <c r="C101" s="137" t="s">
        <v>962</v>
      </c>
      <c r="D101" s="389"/>
      <c r="E101" s="381">
        <v>700</v>
      </c>
      <c r="F101" s="139"/>
      <c r="G101" s="132"/>
    </row>
    <row r="102" spans="1:7">
      <c r="A102" s="401" t="s">
        <v>577</v>
      </c>
      <c r="B102" s="136" t="s">
        <v>578</v>
      </c>
      <c r="C102" s="137" t="s">
        <v>143</v>
      </c>
      <c r="D102" s="389">
        <v>31380</v>
      </c>
      <c r="E102" s="381">
        <f t="shared" si="6"/>
        <v>37342</v>
      </c>
      <c r="F102" s="139"/>
      <c r="G102" s="132"/>
    </row>
    <row r="103" spans="1:7">
      <c r="A103" s="401" t="s">
        <v>579</v>
      </c>
      <c r="B103" s="136" t="s">
        <v>580</v>
      </c>
      <c r="C103" s="137" t="s">
        <v>143</v>
      </c>
      <c r="D103" s="389">
        <v>1255.2</v>
      </c>
      <c r="E103" s="381">
        <v>8580</v>
      </c>
      <c r="F103" s="139"/>
      <c r="G103" s="132"/>
    </row>
    <row r="104" spans="1:7">
      <c r="A104" s="401" t="s">
        <v>581</v>
      </c>
      <c r="B104" s="136" t="s">
        <v>582</v>
      </c>
      <c r="C104" s="137" t="s">
        <v>583</v>
      </c>
      <c r="D104" s="389">
        <v>1710.1033080000002</v>
      </c>
      <c r="E104" s="381">
        <f t="shared" si="6"/>
        <v>2035</v>
      </c>
      <c r="F104" s="139"/>
      <c r="G104" s="132"/>
    </row>
    <row r="105" spans="1:7">
      <c r="A105" s="401" t="s">
        <v>584</v>
      </c>
      <c r="B105" s="136" t="s">
        <v>585</v>
      </c>
      <c r="C105" s="137" t="s">
        <v>583</v>
      </c>
      <c r="D105" s="389">
        <v>20000</v>
      </c>
      <c r="E105" s="381">
        <f t="shared" si="6"/>
        <v>23800</v>
      </c>
      <c r="F105" s="139"/>
      <c r="G105" s="132"/>
    </row>
    <row r="106" spans="1:7">
      <c r="A106" s="401" t="s">
        <v>586</v>
      </c>
      <c r="B106" s="136" t="s">
        <v>587</v>
      </c>
      <c r="C106" s="137" t="s">
        <v>588</v>
      </c>
      <c r="D106" s="389">
        <v>11970.723156</v>
      </c>
      <c r="E106" s="381">
        <f t="shared" si="6"/>
        <v>14245</v>
      </c>
      <c r="F106" s="139"/>
      <c r="G106" s="132"/>
    </row>
    <row r="107" spans="1:7">
      <c r="A107" s="401" t="s">
        <v>589</v>
      </c>
      <c r="B107" s="136" t="s">
        <v>590</v>
      </c>
      <c r="C107" s="137" t="s">
        <v>143</v>
      </c>
      <c r="D107" s="389">
        <v>28501.721799999999</v>
      </c>
      <c r="E107" s="381">
        <f t="shared" si="6"/>
        <v>33917</v>
      </c>
      <c r="F107" s="139"/>
      <c r="G107" s="132"/>
    </row>
    <row r="108" spans="1:7">
      <c r="A108" s="401"/>
      <c r="B108" s="819" t="s">
        <v>2510</v>
      </c>
      <c r="C108" s="137" t="s">
        <v>2418</v>
      </c>
      <c r="D108" s="389">
        <v>2333</v>
      </c>
      <c r="E108" s="381">
        <f t="shared" si="6"/>
        <v>2776</v>
      </c>
      <c r="F108" s="139"/>
      <c r="G108" s="132"/>
    </row>
    <row r="109" spans="1:7">
      <c r="A109" s="401" t="s">
        <v>591</v>
      </c>
      <c r="B109" s="136" t="s">
        <v>592</v>
      </c>
      <c r="C109" s="137" t="s">
        <v>139</v>
      </c>
      <c r="D109" s="389">
        <v>25000</v>
      </c>
      <c r="E109" s="381">
        <f t="shared" si="6"/>
        <v>29750</v>
      </c>
      <c r="F109" s="139"/>
      <c r="G109" s="132"/>
    </row>
    <row r="110" spans="1:7">
      <c r="A110" s="401" t="s">
        <v>2511</v>
      </c>
      <c r="B110" s="819" t="s">
        <v>1766</v>
      </c>
      <c r="C110" s="137" t="s">
        <v>1654</v>
      </c>
      <c r="D110" s="389">
        <v>1008</v>
      </c>
      <c r="E110" s="381">
        <f t="shared" si="6"/>
        <v>1200</v>
      </c>
      <c r="F110" s="139"/>
      <c r="G110" s="132"/>
    </row>
    <row r="111" spans="1:7">
      <c r="A111" s="401" t="s">
        <v>593</v>
      </c>
      <c r="B111" s="136" t="s">
        <v>594</v>
      </c>
      <c r="C111" s="137" t="s">
        <v>595</v>
      </c>
      <c r="D111" s="389">
        <v>56000</v>
      </c>
      <c r="E111" s="381">
        <f t="shared" si="6"/>
        <v>66640</v>
      </c>
      <c r="F111" s="139"/>
      <c r="G111" s="132"/>
    </row>
    <row r="112" spans="1:7">
      <c r="A112" s="401" t="s">
        <v>597</v>
      </c>
      <c r="B112" s="136" t="s">
        <v>598</v>
      </c>
      <c r="C112" s="137" t="s">
        <v>72</v>
      </c>
      <c r="D112" s="389">
        <v>396743.96745600004</v>
      </c>
      <c r="E112" s="381">
        <f t="shared" si="6"/>
        <v>472125</v>
      </c>
      <c r="F112" s="139"/>
      <c r="G112" s="132"/>
    </row>
    <row r="113" spans="1:9">
      <c r="A113" s="401" t="s">
        <v>599</v>
      </c>
      <c r="B113" s="136" t="s">
        <v>600</v>
      </c>
      <c r="C113" s="137" t="s">
        <v>143</v>
      </c>
      <c r="D113" s="389">
        <v>14250.8609</v>
      </c>
      <c r="E113" s="381">
        <f t="shared" si="6"/>
        <v>16959</v>
      </c>
      <c r="F113" s="139"/>
      <c r="G113" s="132"/>
    </row>
    <row r="114" spans="1:9">
      <c r="A114" s="401" t="s">
        <v>602</v>
      </c>
      <c r="B114" s="136" t="s">
        <v>603</v>
      </c>
      <c r="C114" s="137" t="s">
        <v>212</v>
      </c>
      <c r="D114" s="389">
        <v>6954.420119200001</v>
      </c>
      <c r="E114" s="381">
        <v>23210</v>
      </c>
      <c r="F114" s="139"/>
      <c r="G114" s="132"/>
    </row>
    <row r="115" spans="1:9">
      <c r="A115" s="401" t="s">
        <v>604</v>
      </c>
      <c r="B115" s="136" t="s">
        <v>605</v>
      </c>
      <c r="C115" s="137" t="s">
        <v>606</v>
      </c>
      <c r="D115" s="389">
        <v>2000</v>
      </c>
      <c r="E115" s="381">
        <f t="shared" si="6"/>
        <v>2380</v>
      </c>
      <c r="F115" s="139"/>
      <c r="G115" s="132"/>
    </row>
    <row r="116" spans="1:9" ht="51">
      <c r="A116" s="401" t="s">
        <v>607</v>
      </c>
      <c r="B116" s="136" t="s">
        <v>608</v>
      </c>
      <c r="C116" s="137" t="s">
        <v>143</v>
      </c>
      <c r="D116" s="389"/>
      <c r="E116" s="381">
        <f t="shared" si="6"/>
        <v>0</v>
      </c>
      <c r="F116" s="139"/>
      <c r="G116" s="132"/>
    </row>
    <row r="117" spans="1:9" ht="51">
      <c r="A117" s="401" t="s">
        <v>609</v>
      </c>
      <c r="B117" s="136" t="s">
        <v>610</v>
      </c>
      <c r="C117" s="137" t="s">
        <v>143</v>
      </c>
      <c r="D117" s="389"/>
      <c r="E117" s="381">
        <f t="shared" si="6"/>
        <v>0</v>
      </c>
      <c r="F117" s="139"/>
      <c r="G117" s="132"/>
    </row>
    <row r="118" spans="1:9" ht="51">
      <c r="A118" s="401" t="s">
        <v>611</v>
      </c>
      <c r="B118" s="136" t="s">
        <v>612</v>
      </c>
      <c r="C118" s="137" t="s">
        <v>143</v>
      </c>
      <c r="D118" s="389"/>
      <c r="E118" s="381">
        <f t="shared" si="6"/>
        <v>0</v>
      </c>
      <c r="F118" s="139"/>
      <c r="G118" s="132"/>
    </row>
    <row r="119" spans="1:9" ht="51">
      <c r="A119" s="401" t="s">
        <v>613</v>
      </c>
      <c r="B119" s="136" t="s">
        <v>614</v>
      </c>
      <c r="C119" s="137" t="s">
        <v>143</v>
      </c>
      <c r="D119" s="389"/>
      <c r="E119" s="381">
        <f t="shared" si="6"/>
        <v>0</v>
      </c>
      <c r="F119" s="139"/>
      <c r="G119" s="132"/>
    </row>
    <row r="120" spans="1:9">
      <c r="A120" s="401" t="s">
        <v>615</v>
      </c>
      <c r="B120" s="136" t="s">
        <v>616</v>
      </c>
      <c r="C120" s="137" t="s">
        <v>72</v>
      </c>
      <c r="D120" s="389">
        <v>4560.2754880000002</v>
      </c>
      <c r="E120" s="381">
        <f t="shared" si="6"/>
        <v>5427</v>
      </c>
      <c r="F120" s="139"/>
      <c r="G120" s="132"/>
    </row>
    <row r="121" spans="1:9">
      <c r="A121" s="401" t="s">
        <v>617</v>
      </c>
      <c r="B121" s="819" t="s">
        <v>2274</v>
      </c>
      <c r="C121" s="137" t="s">
        <v>143</v>
      </c>
      <c r="D121" s="389"/>
      <c r="E121" s="381">
        <v>950000</v>
      </c>
      <c r="F121" s="139"/>
      <c r="G121" s="132"/>
    </row>
    <row r="122" spans="1:9">
      <c r="A122" s="401" t="s">
        <v>618</v>
      </c>
      <c r="B122" s="136" t="s">
        <v>619</v>
      </c>
      <c r="C122" s="137" t="s">
        <v>143</v>
      </c>
      <c r="D122" s="389">
        <v>4195453.4489600006</v>
      </c>
      <c r="E122" s="381">
        <f t="shared" si="6"/>
        <v>4992590</v>
      </c>
      <c r="F122" s="139"/>
      <c r="G122" s="132"/>
    </row>
    <row r="123" spans="1:9" ht="30.95" customHeight="1">
      <c r="A123" s="402" t="s">
        <v>1678</v>
      </c>
      <c r="B123" s="147"/>
      <c r="C123" s="147"/>
      <c r="D123" s="390"/>
      <c r="E123" s="390"/>
      <c r="F123" s="147"/>
      <c r="G123" s="147"/>
      <c r="H123" s="147"/>
      <c r="I123" s="147"/>
    </row>
    <row r="124" spans="1:9">
      <c r="A124" s="403" t="s">
        <v>1680</v>
      </c>
      <c r="B124" s="136" t="s">
        <v>1679</v>
      </c>
      <c r="C124" s="137" t="s">
        <v>1681</v>
      </c>
      <c r="D124" s="391">
        <v>260000</v>
      </c>
      <c r="E124" s="381">
        <f t="shared" si="6"/>
        <v>309400</v>
      </c>
      <c r="F124" s="395"/>
      <c r="G124" s="395"/>
      <c r="H124" s="143"/>
      <c r="I124" s="143"/>
    </row>
    <row r="125" spans="1:9" ht="15.95" customHeight="1">
      <c r="A125" s="403" t="s">
        <v>1683</v>
      </c>
      <c r="B125" s="136" t="s">
        <v>1684</v>
      </c>
      <c r="C125" s="137" t="s">
        <v>1681</v>
      </c>
      <c r="D125" s="391">
        <v>305000</v>
      </c>
      <c r="E125" s="381">
        <f>ROUND(D125*(1+$E$39),0)</f>
        <v>362950</v>
      </c>
      <c r="F125" s="395"/>
      <c r="G125" s="395"/>
      <c r="H125" s="143"/>
      <c r="I125" s="143"/>
    </row>
    <row r="126" spans="1:9" ht="15.95" customHeight="1">
      <c r="A126" s="403" t="s">
        <v>1685</v>
      </c>
      <c r="B126" s="136" t="s">
        <v>1686</v>
      </c>
      <c r="C126" s="137" t="s">
        <v>1681</v>
      </c>
      <c r="D126" s="391">
        <v>360000</v>
      </c>
      <c r="E126" s="381">
        <f>ROUND(D126*(1+$E$39),0)</f>
        <v>428400</v>
      </c>
      <c r="F126" s="395"/>
      <c r="G126" s="395"/>
      <c r="H126" s="143"/>
      <c r="I126" s="143"/>
    </row>
    <row r="127" spans="1:9">
      <c r="A127" s="401" t="s">
        <v>1688</v>
      </c>
      <c r="B127" s="136" t="s">
        <v>1687</v>
      </c>
      <c r="C127" s="137" t="s">
        <v>1681</v>
      </c>
      <c r="D127" s="391">
        <v>135000</v>
      </c>
      <c r="E127" s="381">
        <f>ROUND(D127*(1+$E$39),0)</f>
        <v>160650</v>
      </c>
      <c r="F127" s="139"/>
      <c r="G127" s="132"/>
    </row>
    <row r="128" spans="1:9">
      <c r="A128" s="401" t="s">
        <v>1689</v>
      </c>
      <c r="B128" s="136" t="s">
        <v>1690</v>
      </c>
      <c r="C128" s="137" t="s">
        <v>1681</v>
      </c>
      <c r="D128" s="391">
        <v>170000</v>
      </c>
      <c r="E128" s="381">
        <f>ROUND(D128*(1+$E$39),0)</f>
        <v>202300</v>
      </c>
      <c r="F128" s="139"/>
      <c r="G128" s="132"/>
    </row>
    <row r="129" spans="1:9">
      <c r="A129" s="401"/>
      <c r="B129" s="136"/>
      <c r="C129" s="137"/>
      <c r="D129" s="389"/>
      <c r="E129" s="381"/>
      <c r="F129" s="139"/>
      <c r="G129" s="132"/>
    </row>
    <row r="130" spans="1:9">
      <c r="A130" s="401"/>
      <c r="B130" s="136"/>
      <c r="C130" s="137"/>
      <c r="D130" s="389"/>
      <c r="E130" s="381"/>
      <c r="F130" s="139"/>
      <c r="G130" s="132"/>
    </row>
    <row r="131" spans="1:9">
      <c r="A131" s="401"/>
      <c r="B131" s="136"/>
      <c r="C131" s="137"/>
      <c r="D131" s="389"/>
      <c r="E131" s="381"/>
      <c r="F131" s="139"/>
      <c r="G131" s="132"/>
    </row>
    <row r="132" spans="1:9" ht="36" customHeight="1">
      <c r="A132" s="402" t="s">
        <v>1707</v>
      </c>
      <c r="B132" s="147"/>
      <c r="C132" s="147"/>
      <c r="D132" s="390"/>
      <c r="E132" s="390"/>
      <c r="F132" s="147"/>
      <c r="G132" s="147"/>
      <c r="H132" s="147"/>
      <c r="I132" s="147"/>
    </row>
    <row r="133" spans="1:9">
      <c r="A133" s="401" t="s">
        <v>1709</v>
      </c>
      <c r="B133" s="136" t="s">
        <v>1708</v>
      </c>
      <c r="C133" s="137" t="s">
        <v>282</v>
      </c>
      <c r="D133" s="389"/>
      <c r="E133" s="381">
        <v>29500</v>
      </c>
      <c r="F133" s="602"/>
      <c r="G133" s="601"/>
    </row>
    <row r="134" spans="1:9">
      <c r="A134" s="401"/>
      <c r="B134" s="136"/>
      <c r="C134" s="137"/>
      <c r="D134" s="389"/>
      <c r="E134" s="381"/>
      <c r="F134" s="600"/>
      <c r="G134" s="601"/>
    </row>
    <row r="135" spans="1:9">
      <c r="A135" s="401"/>
      <c r="B135" s="136"/>
      <c r="C135" s="137"/>
      <c r="D135" s="389"/>
      <c r="E135" s="381"/>
      <c r="F135" s="600"/>
      <c r="G135" s="601"/>
    </row>
    <row r="136" spans="1:9">
      <c r="A136" s="401"/>
      <c r="B136" s="136"/>
      <c r="C136" s="137"/>
      <c r="D136" s="389"/>
      <c r="E136" s="381"/>
      <c r="F136" s="600"/>
      <c r="G136" s="601"/>
    </row>
    <row r="137" spans="1:9">
      <c r="A137" s="401"/>
      <c r="B137" s="136"/>
      <c r="C137" s="137"/>
      <c r="D137" s="389"/>
      <c r="E137" s="381"/>
      <c r="F137" s="600"/>
      <c r="G137" s="601"/>
    </row>
    <row r="138" spans="1:9">
      <c r="A138" s="401"/>
      <c r="B138" s="136"/>
      <c r="C138" s="137"/>
      <c r="D138" s="389"/>
      <c r="E138" s="381"/>
      <c r="F138" s="600"/>
      <c r="G138" s="601"/>
    </row>
    <row r="139" spans="1:9">
      <c r="A139" s="402" t="s">
        <v>1710</v>
      </c>
      <c r="B139" s="147"/>
      <c r="C139" s="147"/>
      <c r="D139" s="390"/>
      <c r="E139" s="390"/>
      <c r="F139" s="147"/>
      <c r="G139" s="147"/>
      <c r="H139" s="147"/>
      <c r="I139" s="147"/>
    </row>
    <row r="140" spans="1:9">
      <c r="A140" s="401" t="s">
        <v>1713</v>
      </c>
      <c r="B140" s="136" t="s">
        <v>1711</v>
      </c>
      <c r="C140" s="137" t="s">
        <v>208</v>
      </c>
      <c r="D140" s="389"/>
      <c r="E140" s="381">
        <v>3850</v>
      </c>
      <c r="F140" s="600"/>
      <c r="G140" s="601"/>
    </row>
    <row r="141" spans="1:9">
      <c r="A141" s="401" t="s">
        <v>1714</v>
      </c>
      <c r="B141" s="136" t="s">
        <v>1712</v>
      </c>
      <c r="C141" s="137" t="s">
        <v>241</v>
      </c>
      <c r="D141" s="389"/>
      <c r="E141" s="381">
        <v>85600</v>
      </c>
      <c r="F141" s="139"/>
      <c r="G141" s="132"/>
    </row>
    <row r="142" spans="1:9">
      <c r="A142" s="401" t="s">
        <v>1716</v>
      </c>
      <c r="B142" s="136" t="s">
        <v>1715</v>
      </c>
      <c r="C142" s="137" t="s">
        <v>282</v>
      </c>
      <c r="D142" s="389"/>
      <c r="E142" s="381">
        <v>52600</v>
      </c>
      <c r="F142" s="139"/>
      <c r="G142" s="132"/>
    </row>
    <row r="143" spans="1:9">
      <c r="A143" s="401" t="s">
        <v>1718</v>
      </c>
      <c r="B143" s="136" t="s">
        <v>1717</v>
      </c>
      <c r="C143" s="137" t="s">
        <v>282</v>
      </c>
      <c r="D143" s="389"/>
      <c r="E143" s="381">
        <v>365900</v>
      </c>
      <c r="F143" s="139"/>
      <c r="G143" s="132"/>
    </row>
    <row r="144" spans="1:9">
      <c r="A144" s="401"/>
      <c r="B144" s="136"/>
      <c r="C144" s="137"/>
      <c r="D144" s="389"/>
      <c r="E144" s="381"/>
      <c r="F144" s="139"/>
      <c r="G144" s="132"/>
    </row>
    <row r="145" spans="1:9">
      <c r="A145" s="401"/>
      <c r="B145" s="136"/>
      <c r="C145" s="137"/>
      <c r="D145" s="389"/>
      <c r="E145" s="381"/>
      <c r="F145" s="139"/>
      <c r="G145" s="132"/>
    </row>
    <row r="146" spans="1:9">
      <c r="A146" s="401"/>
      <c r="B146" s="136"/>
      <c r="C146" s="137"/>
      <c r="D146" s="389"/>
      <c r="E146" s="381"/>
      <c r="F146" s="139"/>
      <c r="G146" s="132"/>
    </row>
    <row r="147" spans="1:9">
      <c r="A147" s="401"/>
      <c r="B147" s="136"/>
      <c r="C147" s="137"/>
      <c r="D147" s="389"/>
      <c r="E147" s="381"/>
      <c r="F147" s="139"/>
      <c r="G147" s="132"/>
    </row>
    <row r="148" spans="1:9">
      <c r="A148" s="401"/>
      <c r="B148" s="136"/>
      <c r="C148" s="137"/>
      <c r="D148" s="389"/>
      <c r="E148" s="381"/>
      <c r="F148" s="139"/>
      <c r="G148" s="132"/>
    </row>
    <row r="149" spans="1:9">
      <c r="A149" s="401"/>
      <c r="B149" s="136"/>
      <c r="C149" s="137"/>
      <c r="D149" s="389"/>
      <c r="E149" s="381"/>
      <c r="F149" s="139"/>
      <c r="G149" s="132"/>
    </row>
    <row r="150" spans="1:9">
      <c r="A150" s="401"/>
      <c r="B150" s="136"/>
      <c r="C150" s="137"/>
      <c r="D150" s="389"/>
      <c r="E150" s="381"/>
      <c r="F150" s="139"/>
      <c r="G150" s="132"/>
    </row>
    <row r="151" spans="1:9">
      <c r="A151" s="401"/>
      <c r="B151" s="136"/>
      <c r="C151" s="137"/>
      <c r="D151" s="389"/>
      <c r="E151" s="381"/>
      <c r="F151" s="139"/>
      <c r="G151" s="132"/>
    </row>
    <row r="152" spans="1:9">
      <c r="A152" s="401"/>
      <c r="B152" s="136"/>
      <c r="C152" s="137"/>
      <c r="D152" s="389"/>
      <c r="E152" s="381"/>
      <c r="F152" s="139"/>
      <c r="G152" s="132"/>
    </row>
    <row r="153" spans="1:9">
      <c r="A153" s="401"/>
      <c r="B153" s="136"/>
      <c r="C153" s="137"/>
      <c r="D153" s="389"/>
      <c r="E153" s="381"/>
      <c r="F153" s="139"/>
      <c r="G153" s="132"/>
    </row>
    <row r="154" spans="1:9">
      <c r="A154" s="401"/>
      <c r="B154" s="136"/>
      <c r="C154" s="137"/>
      <c r="D154" s="389"/>
      <c r="E154" s="381"/>
      <c r="F154" s="139"/>
      <c r="G154" s="132"/>
    </row>
    <row r="155" spans="1:9">
      <c r="A155" s="402" t="s">
        <v>810</v>
      </c>
      <c r="B155" s="147"/>
      <c r="C155" s="147"/>
      <c r="D155" s="390"/>
      <c r="E155" s="390"/>
      <c r="F155" s="147"/>
      <c r="G155" s="147"/>
      <c r="H155" s="147"/>
      <c r="I155" s="147"/>
    </row>
    <row r="156" spans="1:9">
      <c r="A156" s="403" t="s">
        <v>1658</v>
      </c>
      <c r="B156" s="136" t="s">
        <v>1656</v>
      </c>
      <c r="C156" s="137" t="s">
        <v>622</v>
      </c>
      <c r="D156" s="391">
        <v>620000</v>
      </c>
      <c r="E156" s="381">
        <f t="shared" ref="E156:E161" si="7">ROUND(D156*(1+$E$39),0)</f>
        <v>737800</v>
      </c>
      <c r="F156" s="395"/>
      <c r="G156" s="395"/>
      <c r="H156" s="143"/>
      <c r="I156" s="143"/>
    </row>
    <row r="157" spans="1:9">
      <c r="A157" s="403" t="s">
        <v>1655</v>
      </c>
      <c r="B157" s="136" t="s">
        <v>1657</v>
      </c>
      <c r="C157" s="137" t="s">
        <v>622</v>
      </c>
      <c r="D157" s="391">
        <v>570000</v>
      </c>
      <c r="E157" s="381">
        <f t="shared" si="7"/>
        <v>678300</v>
      </c>
      <c r="F157" s="395"/>
      <c r="G157" s="395"/>
      <c r="H157" s="143"/>
      <c r="I157" s="143"/>
    </row>
    <row r="158" spans="1:9" ht="25.5">
      <c r="A158" s="403" t="s">
        <v>1661</v>
      </c>
      <c r="B158" s="136" t="s">
        <v>1665</v>
      </c>
      <c r="C158" s="137" t="s">
        <v>622</v>
      </c>
      <c r="D158" s="391">
        <v>5850000</v>
      </c>
      <c r="E158" s="381">
        <f t="shared" si="7"/>
        <v>6961500</v>
      </c>
      <c r="F158" s="395"/>
      <c r="G158" s="395"/>
      <c r="H158" s="143"/>
      <c r="I158" s="143"/>
    </row>
    <row r="159" spans="1:9">
      <c r="A159" s="403" t="s">
        <v>1662</v>
      </c>
      <c r="B159" s="136" t="s">
        <v>1659</v>
      </c>
      <c r="C159" s="137" t="s">
        <v>622</v>
      </c>
      <c r="D159" s="391">
        <v>135000</v>
      </c>
      <c r="E159" s="381">
        <f t="shared" si="7"/>
        <v>160650</v>
      </c>
      <c r="F159" s="395"/>
      <c r="G159" s="395"/>
      <c r="H159" s="143"/>
      <c r="I159" s="143"/>
    </row>
    <row r="160" spans="1:9">
      <c r="A160" s="403" t="s">
        <v>1663</v>
      </c>
      <c r="B160" s="136" t="s">
        <v>1666</v>
      </c>
      <c r="C160" s="137" t="s">
        <v>622</v>
      </c>
      <c r="D160" s="391">
        <v>433534.85</v>
      </c>
      <c r="E160" s="381">
        <f t="shared" si="7"/>
        <v>515906</v>
      </c>
      <c r="F160" s="395"/>
      <c r="G160" s="395"/>
      <c r="H160" s="143"/>
      <c r="I160" s="143"/>
    </row>
    <row r="161" spans="1:9">
      <c r="A161" s="403" t="s">
        <v>1664</v>
      </c>
      <c r="B161" s="136" t="s">
        <v>1660</v>
      </c>
      <c r="C161" s="137" t="s">
        <v>622</v>
      </c>
      <c r="D161" s="391">
        <v>813435.25</v>
      </c>
      <c r="E161" s="381">
        <f t="shared" si="7"/>
        <v>967988</v>
      </c>
      <c r="F161" s="395"/>
      <c r="G161" s="395"/>
      <c r="H161" s="143"/>
      <c r="I161" s="143"/>
    </row>
    <row r="162" spans="1:9" ht="25.5">
      <c r="A162" s="401" t="s">
        <v>620</v>
      </c>
      <c r="B162" s="136" t="s">
        <v>621</v>
      </c>
      <c r="C162" s="137" t="s">
        <v>622</v>
      </c>
      <c r="D162" s="391">
        <v>788264.66399999999</v>
      </c>
      <c r="E162" s="381">
        <f t="shared" ref="E162:E193" si="8">ROUND(D162*(1+$E$39),0)</f>
        <v>938035</v>
      </c>
      <c r="F162" s="139"/>
      <c r="G162" s="132"/>
    </row>
    <row r="163" spans="1:9" ht="25.5">
      <c r="A163" s="401" t="s">
        <v>623</v>
      </c>
      <c r="B163" s="136" t="s">
        <v>624</v>
      </c>
      <c r="C163" s="137" t="s">
        <v>622</v>
      </c>
      <c r="D163" s="391">
        <v>1387606.3920000002</v>
      </c>
      <c r="E163" s="381">
        <f t="shared" si="8"/>
        <v>1651252</v>
      </c>
      <c r="F163" s="139"/>
      <c r="G163" s="132"/>
    </row>
    <row r="164" spans="1:9" ht="25.5">
      <c r="A164" s="401" t="s">
        <v>625</v>
      </c>
      <c r="B164" s="136" t="s">
        <v>626</v>
      </c>
      <c r="C164" s="137" t="s">
        <v>622</v>
      </c>
      <c r="D164" s="391">
        <v>117262.512</v>
      </c>
      <c r="E164" s="381">
        <f t="shared" si="8"/>
        <v>139542</v>
      </c>
      <c r="F164" s="139"/>
      <c r="G164" s="132"/>
    </row>
    <row r="165" spans="1:9" ht="25.5">
      <c r="A165" s="401" t="s">
        <v>627</v>
      </c>
      <c r="B165" s="136" t="s">
        <v>628</v>
      </c>
      <c r="C165" s="137" t="s">
        <v>622</v>
      </c>
      <c r="D165" s="391">
        <v>153744.18239999999</v>
      </c>
      <c r="E165" s="381">
        <f t="shared" si="8"/>
        <v>182956</v>
      </c>
      <c r="F165" s="139"/>
      <c r="G165" s="132"/>
    </row>
    <row r="166" spans="1:9" ht="25.5">
      <c r="A166" s="401" t="s">
        <v>629</v>
      </c>
      <c r="B166" s="136" t="s">
        <v>630</v>
      </c>
      <c r="C166" s="137" t="s">
        <v>622</v>
      </c>
      <c r="D166" s="391">
        <v>295762.11359999998</v>
      </c>
      <c r="E166" s="381">
        <f t="shared" si="8"/>
        <v>351957</v>
      </c>
      <c r="F166" s="139"/>
      <c r="G166" s="132"/>
    </row>
    <row r="167" spans="1:9" ht="25.5">
      <c r="A167" s="401" t="s">
        <v>631</v>
      </c>
      <c r="B167" s="136" t="s">
        <v>632</v>
      </c>
      <c r="C167" s="137" t="s">
        <v>622</v>
      </c>
      <c r="D167" s="391">
        <v>429962.54399999999</v>
      </c>
      <c r="E167" s="381">
        <f t="shared" si="8"/>
        <v>511655</v>
      </c>
      <c r="F167" s="139"/>
      <c r="G167" s="132"/>
    </row>
    <row r="168" spans="1:9" ht="25.5">
      <c r="A168" s="401" t="s">
        <v>633</v>
      </c>
      <c r="B168" s="136" t="s">
        <v>634</v>
      </c>
      <c r="C168" s="137" t="s">
        <v>622</v>
      </c>
      <c r="D168" s="391">
        <v>945917.59679999994</v>
      </c>
      <c r="E168" s="381">
        <f t="shared" si="8"/>
        <v>1125642</v>
      </c>
      <c r="F168" s="139"/>
      <c r="G168" s="132"/>
    </row>
    <row r="169" spans="1:9" ht="25.5">
      <c r="A169" s="401" t="s">
        <v>635</v>
      </c>
      <c r="B169" s="136" t="s">
        <v>636</v>
      </c>
      <c r="C169" s="137" t="s">
        <v>622</v>
      </c>
      <c r="D169" s="391">
        <v>1227347.6256000001</v>
      </c>
      <c r="E169" s="381">
        <f t="shared" si="8"/>
        <v>1460544</v>
      </c>
      <c r="F169" s="139"/>
      <c r="G169" s="132"/>
    </row>
    <row r="170" spans="1:9" ht="25.5">
      <c r="A170" s="401" t="s">
        <v>637</v>
      </c>
      <c r="B170" s="136" t="s">
        <v>638</v>
      </c>
      <c r="C170" s="137" t="s">
        <v>622</v>
      </c>
      <c r="D170" s="391">
        <v>126382.9296</v>
      </c>
      <c r="E170" s="381">
        <f t="shared" si="8"/>
        <v>150396</v>
      </c>
      <c r="F170" s="139"/>
      <c r="G170" s="132"/>
    </row>
    <row r="171" spans="1:9" ht="25.5">
      <c r="A171" s="401" t="s">
        <v>639</v>
      </c>
      <c r="B171" s="136" t="s">
        <v>640</v>
      </c>
      <c r="C171" s="137" t="s">
        <v>622</v>
      </c>
      <c r="D171" s="391">
        <v>126382.9296</v>
      </c>
      <c r="E171" s="381">
        <f t="shared" si="8"/>
        <v>150396</v>
      </c>
      <c r="F171" s="139"/>
      <c r="G171" s="132"/>
    </row>
    <row r="172" spans="1:9" ht="25.5">
      <c r="A172" s="401" t="s">
        <v>641</v>
      </c>
      <c r="B172" s="136" t="s">
        <v>642</v>
      </c>
      <c r="C172" s="137" t="s">
        <v>622</v>
      </c>
      <c r="D172" s="391">
        <v>286641.696</v>
      </c>
      <c r="E172" s="381">
        <f t="shared" si="8"/>
        <v>341104</v>
      </c>
      <c r="F172" s="139"/>
      <c r="G172" s="132"/>
    </row>
    <row r="173" spans="1:9" ht="25.5">
      <c r="A173" s="401" t="s">
        <v>643</v>
      </c>
      <c r="B173" s="136" t="s">
        <v>644</v>
      </c>
      <c r="C173" s="137" t="s">
        <v>622</v>
      </c>
      <c r="D173" s="391">
        <v>644943.81599999999</v>
      </c>
      <c r="E173" s="381">
        <f t="shared" si="8"/>
        <v>767483</v>
      </c>
      <c r="F173" s="139"/>
      <c r="G173" s="132"/>
    </row>
    <row r="174" spans="1:9" ht="25.5">
      <c r="A174" s="401" t="s">
        <v>645</v>
      </c>
      <c r="B174" s="136" t="s">
        <v>646</v>
      </c>
      <c r="C174" s="137" t="s">
        <v>622</v>
      </c>
      <c r="D174" s="391">
        <v>1117902.6143999998</v>
      </c>
      <c r="E174" s="381">
        <f t="shared" si="8"/>
        <v>1330304</v>
      </c>
      <c r="F174" s="139"/>
      <c r="G174" s="132"/>
    </row>
    <row r="175" spans="1:9" ht="25.5">
      <c r="A175" s="401" t="s">
        <v>647</v>
      </c>
      <c r="B175" s="136" t="s">
        <v>648</v>
      </c>
      <c r="C175" s="137" t="s">
        <v>622</v>
      </c>
      <c r="D175" s="391">
        <v>1335489.72</v>
      </c>
      <c r="E175" s="381">
        <f t="shared" si="8"/>
        <v>1589233</v>
      </c>
      <c r="F175" s="139"/>
      <c r="G175" s="132"/>
    </row>
    <row r="176" spans="1:9">
      <c r="A176" s="401" t="s">
        <v>649</v>
      </c>
      <c r="B176" s="136" t="s">
        <v>650</v>
      </c>
      <c r="C176" s="137" t="s">
        <v>622</v>
      </c>
      <c r="D176" s="391">
        <v>118565.42879999999</v>
      </c>
      <c r="E176" s="381">
        <f t="shared" si="8"/>
        <v>141093</v>
      </c>
      <c r="F176" s="139"/>
      <c r="G176" s="132"/>
    </row>
    <row r="177" spans="1:7">
      <c r="A177" s="401" t="s">
        <v>651</v>
      </c>
      <c r="B177" s="136" t="s">
        <v>652</v>
      </c>
      <c r="C177" s="137" t="s">
        <v>622</v>
      </c>
      <c r="D177" s="391">
        <v>122474.1792</v>
      </c>
      <c r="E177" s="381">
        <f t="shared" si="8"/>
        <v>145744</v>
      </c>
      <c r="F177" s="139"/>
      <c r="G177" s="132"/>
    </row>
    <row r="178" spans="1:7" ht="25.5">
      <c r="A178" s="401" t="s">
        <v>653</v>
      </c>
      <c r="B178" s="136" t="s">
        <v>654</v>
      </c>
      <c r="C178" s="137" t="s">
        <v>622</v>
      </c>
      <c r="D178" s="391">
        <v>317911.69920000003</v>
      </c>
      <c r="E178" s="381">
        <f t="shared" si="8"/>
        <v>378315</v>
      </c>
      <c r="F178" s="139"/>
      <c r="G178" s="132"/>
    </row>
    <row r="179" spans="1:7" ht="25.5">
      <c r="A179" s="401" t="s">
        <v>655</v>
      </c>
      <c r="B179" s="136" t="s">
        <v>656</v>
      </c>
      <c r="C179" s="137" t="s">
        <v>622</v>
      </c>
      <c r="D179" s="391">
        <v>601947.56160000002</v>
      </c>
      <c r="E179" s="381">
        <f t="shared" si="8"/>
        <v>716318</v>
      </c>
      <c r="F179" s="139"/>
      <c r="G179" s="132"/>
    </row>
    <row r="180" spans="1:7" ht="25.5">
      <c r="A180" s="401" t="s">
        <v>657</v>
      </c>
      <c r="B180" s="136" t="s">
        <v>658</v>
      </c>
      <c r="C180" s="137" t="s">
        <v>622</v>
      </c>
      <c r="D180" s="391">
        <v>1768058.0976000002</v>
      </c>
      <c r="E180" s="381">
        <f t="shared" si="8"/>
        <v>2103989</v>
      </c>
      <c r="F180" s="139"/>
      <c r="G180" s="132"/>
    </row>
    <row r="181" spans="1:7" ht="25.5">
      <c r="A181" s="401" t="s">
        <v>659</v>
      </c>
      <c r="B181" s="136" t="s">
        <v>660</v>
      </c>
      <c r="C181" s="137" t="s">
        <v>622</v>
      </c>
      <c r="D181" s="391">
        <v>2465118.5855999999</v>
      </c>
      <c r="E181" s="381">
        <f t="shared" si="8"/>
        <v>2933491</v>
      </c>
      <c r="F181" s="139"/>
      <c r="G181" s="132"/>
    </row>
    <row r="182" spans="1:7" ht="25.5">
      <c r="A182" s="401" t="s">
        <v>661</v>
      </c>
      <c r="B182" s="136" t="s">
        <v>662</v>
      </c>
      <c r="C182" s="137" t="s">
        <v>622</v>
      </c>
      <c r="D182" s="391">
        <v>158955.84960000002</v>
      </c>
      <c r="E182" s="381">
        <f t="shared" si="8"/>
        <v>189157</v>
      </c>
      <c r="F182" s="139"/>
      <c r="G182" s="132"/>
    </row>
    <row r="183" spans="1:7" ht="25.5">
      <c r="A183" s="401" t="s">
        <v>663</v>
      </c>
      <c r="B183" s="136" t="s">
        <v>664</v>
      </c>
      <c r="C183" s="137" t="s">
        <v>622</v>
      </c>
      <c r="D183" s="391">
        <v>242342.52480000001</v>
      </c>
      <c r="E183" s="381">
        <f t="shared" si="8"/>
        <v>288388</v>
      </c>
      <c r="F183" s="139"/>
      <c r="G183" s="132"/>
    </row>
    <row r="184" spans="1:7" ht="25.5">
      <c r="A184" s="401" t="s">
        <v>665</v>
      </c>
      <c r="B184" s="136" t="s">
        <v>666</v>
      </c>
      <c r="C184" s="137" t="s">
        <v>622</v>
      </c>
      <c r="D184" s="391">
        <v>519863.80319999997</v>
      </c>
      <c r="E184" s="381">
        <f t="shared" si="8"/>
        <v>618638</v>
      </c>
      <c r="F184" s="139"/>
      <c r="G184" s="132"/>
    </row>
    <row r="185" spans="1:7" ht="25.5">
      <c r="A185" s="401" t="s">
        <v>667</v>
      </c>
      <c r="B185" s="136" t="s">
        <v>668</v>
      </c>
      <c r="C185" s="137" t="s">
        <v>622</v>
      </c>
      <c r="D185" s="391">
        <v>320517.53279999999</v>
      </c>
      <c r="E185" s="381">
        <f t="shared" si="8"/>
        <v>381416</v>
      </c>
      <c r="F185" s="139"/>
      <c r="G185" s="132"/>
    </row>
    <row r="186" spans="1:7" ht="25.5">
      <c r="A186" s="401" t="s">
        <v>669</v>
      </c>
      <c r="B186" s="136" t="s">
        <v>670</v>
      </c>
      <c r="C186" s="137" t="s">
        <v>622</v>
      </c>
      <c r="D186" s="391">
        <v>962855.51520000002</v>
      </c>
      <c r="E186" s="381">
        <f t="shared" si="8"/>
        <v>1145798</v>
      </c>
      <c r="F186" s="139"/>
      <c r="G186" s="132"/>
    </row>
    <row r="187" spans="1:7" ht="25.5">
      <c r="A187" s="401" t="s">
        <v>671</v>
      </c>
      <c r="B187" s="136" t="s">
        <v>672</v>
      </c>
      <c r="C187" s="137" t="s">
        <v>622</v>
      </c>
      <c r="D187" s="391">
        <v>642200</v>
      </c>
      <c r="E187" s="381">
        <f t="shared" si="8"/>
        <v>764218</v>
      </c>
      <c r="F187" s="139"/>
      <c r="G187" s="132"/>
    </row>
    <row r="188" spans="1:7" ht="25.5">
      <c r="A188" s="401" t="s">
        <v>673</v>
      </c>
      <c r="B188" s="136" t="s">
        <v>674</v>
      </c>
      <c r="C188" s="137" t="s">
        <v>622</v>
      </c>
      <c r="D188" s="391">
        <v>1734182.2608</v>
      </c>
      <c r="E188" s="381">
        <f t="shared" si="8"/>
        <v>2063677</v>
      </c>
      <c r="F188" s="139"/>
      <c r="G188" s="132"/>
    </row>
    <row r="189" spans="1:7" ht="25.5">
      <c r="A189" s="401" t="s">
        <v>675</v>
      </c>
      <c r="B189" s="136" t="s">
        <v>676</v>
      </c>
      <c r="C189" s="137" t="s">
        <v>622</v>
      </c>
      <c r="D189" s="391">
        <v>2492479.8384000002</v>
      </c>
      <c r="E189" s="381">
        <f t="shared" si="8"/>
        <v>2966051</v>
      </c>
      <c r="F189" s="139"/>
      <c r="G189" s="132"/>
    </row>
    <row r="190" spans="1:7" ht="25.5">
      <c r="A190" s="401" t="s">
        <v>677</v>
      </c>
      <c r="B190" s="136" t="s">
        <v>678</v>
      </c>
      <c r="C190" s="137" t="s">
        <v>622</v>
      </c>
      <c r="D190" s="391">
        <v>2561534.4288000003</v>
      </c>
      <c r="E190" s="381">
        <f t="shared" si="8"/>
        <v>3048226</v>
      </c>
      <c r="F190" s="139"/>
      <c r="G190" s="132"/>
    </row>
    <row r="191" spans="1:7">
      <c r="A191" s="401" t="s">
        <v>679</v>
      </c>
      <c r="B191" s="136" t="s">
        <v>680</v>
      </c>
      <c r="C191" s="137" t="s">
        <v>622</v>
      </c>
      <c r="D191" s="391">
        <v>100100</v>
      </c>
      <c r="E191" s="381">
        <f t="shared" si="8"/>
        <v>119119</v>
      </c>
      <c r="F191" s="139"/>
      <c r="G191" s="132"/>
    </row>
    <row r="192" spans="1:7">
      <c r="A192" s="401" t="s">
        <v>681</v>
      </c>
      <c r="B192" s="136" t="s">
        <v>682</v>
      </c>
      <c r="C192" s="137" t="s">
        <v>622</v>
      </c>
      <c r="D192" s="391">
        <v>162500</v>
      </c>
      <c r="E192" s="381">
        <f t="shared" si="8"/>
        <v>193375</v>
      </c>
      <c r="F192" s="139"/>
      <c r="G192" s="132"/>
    </row>
    <row r="193" spans="1:7">
      <c r="A193" s="401" t="s">
        <v>683</v>
      </c>
      <c r="B193" s="136" t="s">
        <v>684</v>
      </c>
      <c r="C193" s="137" t="s">
        <v>622</v>
      </c>
      <c r="D193" s="391">
        <v>197600</v>
      </c>
      <c r="E193" s="381">
        <f t="shared" si="8"/>
        <v>235144</v>
      </c>
      <c r="F193" s="139"/>
      <c r="G193" s="132"/>
    </row>
    <row r="194" spans="1:7">
      <c r="A194" s="401" t="s">
        <v>685</v>
      </c>
      <c r="B194" s="136" t="s">
        <v>686</v>
      </c>
      <c r="C194" s="137" t="s">
        <v>622</v>
      </c>
      <c r="D194" s="391">
        <v>250900</v>
      </c>
      <c r="E194" s="381">
        <f t="shared" ref="E194:E225" si="9">ROUND(D194*(1+$E$39),0)</f>
        <v>298571</v>
      </c>
      <c r="F194" s="139"/>
      <c r="G194" s="132"/>
    </row>
    <row r="195" spans="1:7">
      <c r="A195" s="401" t="s">
        <v>687</v>
      </c>
      <c r="B195" s="136" t="s">
        <v>688</v>
      </c>
      <c r="C195" s="137" t="s">
        <v>622</v>
      </c>
      <c r="D195" s="391">
        <v>295100</v>
      </c>
      <c r="E195" s="381">
        <f t="shared" si="9"/>
        <v>351169</v>
      </c>
      <c r="F195" s="139"/>
      <c r="G195" s="132"/>
    </row>
    <row r="196" spans="1:7">
      <c r="A196" s="401" t="s">
        <v>689</v>
      </c>
      <c r="B196" s="136" t="s">
        <v>690</v>
      </c>
      <c r="C196" s="137" t="s">
        <v>622</v>
      </c>
      <c r="D196" s="391">
        <v>327600</v>
      </c>
      <c r="E196" s="381">
        <f t="shared" si="9"/>
        <v>389844</v>
      </c>
      <c r="F196" s="139"/>
      <c r="G196" s="132"/>
    </row>
    <row r="197" spans="1:7">
      <c r="A197" s="401" t="s">
        <v>691</v>
      </c>
      <c r="B197" s="136" t="s">
        <v>692</v>
      </c>
      <c r="C197" s="137" t="s">
        <v>622</v>
      </c>
      <c r="D197" s="391">
        <v>523900</v>
      </c>
      <c r="E197" s="381">
        <f t="shared" si="9"/>
        <v>623441</v>
      </c>
      <c r="F197" s="139"/>
      <c r="G197" s="132"/>
    </row>
    <row r="198" spans="1:7">
      <c r="A198" s="401" t="s">
        <v>693</v>
      </c>
      <c r="B198" s="136" t="s">
        <v>694</v>
      </c>
      <c r="C198" s="137" t="s">
        <v>622</v>
      </c>
      <c r="D198" s="391">
        <v>621400</v>
      </c>
      <c r="E198" s="381">
        <f t="shared" si="9"/>
        <v>739466</v>
      </c>
      <c r="F198" s="139"/>
      <c r="G198" s="132"/>
    </row>
    <row r="199" spans="1:7">
      <c r="A199" s="401" t="s">
        <v>695</v>
      </c>
      <c r="B199" s="136" t="s">
        <v>696</v>
      </c>
      <c r="C199" s="137" t="s">
        <v>622</v>
      </c>
      <c r="D199" s="391">
        <v>14332.084800000001</v>
      </c>
      <c r="E199" s="381">
        <f t="shared" si="9"/>
        <v>17055</v>
      </c>
      <c r="F199" s="139"/>
      <c r="G199" s="132"/>
    </row>
    <row r="200" spans="1:7">
      <c r="A200" s="401" t="s">
        <v>697</v>
      </c>
      <c r="B200" s="136" t="s">
        <v>698</v>
      </c>
      <c r="C200" s="137" t="s">
        <v>622</v>
      </c>
      <c r="D200" s="391">
        <v>26275.488800000003</v>
      </c>
      <c r="E200" s="381">
        <f t="shared" si="9"/>
        <v>31268</v>
      </c>
      <c r="F200" s="139"/>
      <c r="G200" s="132"/>
    </row>
    <row r="201" spans="1:7">
      <c r="A201" s="401" t="s">
        <v>699</v>
      </c>
      <c r="B201" s="136" t="s">
        <v>700</v>
      </c>
      <c r="C201" s="137" t="s">
        <v>622</v>
      </c>
      <c r="D201" s="391">
        <v>14332.084800000001</v>
      </c>
      <c r="E201" s="381">
        <f t="shared" si="9"/>
        <v>17055</v>
      </c>
      <c r="F201" s="139"/>
      <c r="G201" s="132"/>
    </row>
    <row r="202" spans="1:7">
      <c r="A202" s="401" t="s">
        <v>701</v>
      </c>
      <c r="B202" s="136" t="s">
        <v>702</v>
      </c>
      <c r="C202" s="137" t="s">
        <v>622</v>
      </c>
      <c r="D202" s="391">
        <v>26275.488800000003</v>
      </c>
      <c r="E202" s="381">
        <f t="shared" si="9"/>
        <v>31268</v>
      </c>
      <c r="F202" s="139"/>
      <c r="G202" s="132"/>
    </row>
    <row r="203" spans="1:7" ht="38.25">
      <c r="A203" s="401" t="s">
        <v>703</v>
      </c>
      <c r="B203" s="136" t="s">
        <v>704</v>
      </c>
      <c r="C203" s="137" t="s">
        <v>622</v>
      </c>
      <c r="D203" s="391">
        <v>97935.912800000006</v>
      </c>
      <c r="E203" s="381">
        <f t="shared" si="9"/>
        <v>116544</v>
      </c>
      <c r="F203" s="139"/>
      <c r="G203" s="132"/>
    </row>
    <row r="204" spans="1:7" ht="25.5">
      <c r="A204" s="401" t="s">
        <v>705</v>
      </c>
      <c r="B204" s="136" t="s">
        <v>706</v>
      </c>
      <c r="C204" s="137" t="s">
        <v>622</v>
      </c>
      <c r="D204" s="391">
        <v>1410516.0124000001</v>
      </c>
      <c r="E204" s="381">
        <f t="shared" si="9"/>
        <v>1678514</v>
      </c>
      <c r="F204" s="139"/>
      <c r="G204" s="132"/>
    </row>
    <row r="205" spans="1:7" ht="25.5">
      <c r="A205" s="401" t="s">
        <v>707</v>
      </c>
      <c r="B205" s="136" t="s">
        <v>708</v>
      </c>
      <c r="C205" s="137" t="s">
        <v>622</v>
      </c>
      <c r="D205" s="391">
        <v>875451.51320000004</v>
      </c>
      <c r="E205" s="381">
        <f t="shared" si="9"/>
        <v>1041787</v>
      </c>
      <c r="F205" s="139"/>
      <c r="G205" s="132"/>
    </row>
    <row r="206" spans="1:7" ht="25.5">
      <c r="A206" s="401" t="s">
        <v>709</v>
      </c>
      <c r="B206" s="136" t="s">
        <v>710</v>
      </c>
      <c r="C206" s="137" t="s">
        <v>622</v>
      </c>
      <c r="D206" s="391">
        <v>906504.36360000016</v>
      </c>
      <c r="E206" s="381">
        <f t="shared" si="9"/>
        <v>1078740</v>
      </c>
      <c r="F206" s="139"/>
      <c r="G206" s="132"/>
    </row>
    <row r="207" spans="1:7" ht="25.5">
      <c r="A207" s="401" t="s">
        <v>711</v>
      </c>
      <c r="B207" s="136" t="s">
        <v>712</v>
      </c>
      <c r="C207" s="137" t="s">
        <v>622</v>
      </c>
      <c r="D207" s="391">
        <v>954277.97960000008</v>
      </c>
      <c r="E207" s="381">
        <f t="shared" si="9"/>
        <v>1135591</v>
      </c>
      <c r="F207" s="139"/>
      <c r="G207" s="132"/>
    </row>
    <row r="208" spans="1:7" ht="25.5">
      <c r="A208" s="401" t="s">
        <v>713</v>
      </c>
      <c r="B208" s="136" t="s">
        <v>714</v>
      </c>
      <c r="C208" s="137" t="s">
        <v>622</v>
      </c>
      <c r="D208" s="391">
        <v>1113125.2528000001</v>
      </c>
      <c r="E208" s="381">
        <f t="shared" si="9"/>
        <v>1324619</v>
      </c>
      <c r="F208" s="139"/>
      <c r="G208" s="132"/>
    </row>
    <row r="209" spans="1:7" ht="25.5">
      <c r="A209" s="401" t="s">
        <v>715</v>
      </c>
      <c r="B209" s="136" t="s">
        <v>716</v>
      </c>
      <c r="C209" s="137" t="s">
        <v>622</v>
      </c>
      <c r="D209" s="391">
        <v>2066208.8920000002</v>
      </c>
      <c r="E209" s="381">
        <f t="shared" si="9"/>
        <v>2458789</v>
      </c>
      <c r="F209" s="139"/>
      <c r="G209" s="132"/>
    </row>
    <row r="210" spans="1:7" ht="25.5">
      <c r="A210" s="401" t="s">
        <v>717</v>
      </c>
      <c r="B210" s="136" t="s">
        <v>718</v>
      </c>
      <c r="C210" s="137" t="s">
        <v>622</v>
      </c>
      <c r="D210" s="391">
        <v>2385097.7788000004</v>
      </c>
      <c r="E210" s="381">
        <f t="shared" si="9"/>
        <v>2838266</v>
      </c>
      <c r="F210" s="139"/>
      <c r="G210" s="132"/>
    </row>
    <row r="211" spans="1:7" ht="25.5">
      <c r="A211" s="401" t="s">
        <v>719</v>
      </c>
      <c r="B211" s="136" t="s">
        <v>720</v>
      </c>
      <c r="C211" s="137" t="s">
        <v>622</v>
      </c>
      <c r="D211" s="391">
        <v>1271972.5260000003</v>
      </c>
      <c r="E211" s="381">
        <f t="shared" si="9"/>
        <v>1513647</v>
      </c>
      <c r="F211" s="139"/>
      <c r="G211" s="132"/>
    </row>
    <row r="212" spans="1:7" ht="25.5">
      <c r="A212" s="401" t="s">
        <v>721</v>
      </c>
      <c r="B212" s="136" t="s">
        <v>722</v>
      </c>
      <c r="C212" s="137" t="s">
        <v>622</v>
      </c>
      <c r="D212" s="391">
        <v>1303025.3764000002</v>
      </c>
      <c r="E212" s="381">
        <f t="shared" si="9"/>
        <v>1550600</v>
      </c>
      <c r="F212" s="139"/>
      <c r="G212" s="132"/>
    </row>
    <row r="213" spans="1:7" ht="25.5">
      <c r="A213" s="401" t="s">
        <v>723</v>
      </c>
      <c r="B213" s="136" t="s">
        <v>724</v>
      </c>
      <c r="C213" s="137" t="s">
        <v>622</v>
      </c>
      <c r="D213" s="391">
        <v>1589667.0724000002</v>
      </c>
      <c r="E213" s="381">
        <f t="shared" si="9"/>
        <v>1891704</v>
      </c>
      <c r="F213" s="139"/>
      <c r="G213" s="132"/>
    </row>
    <row r="214" spans="1:7" ht="25.5">
      <c r="A214" s="401" t="s">
        <v>725</v>
      </c>
      <c r="B214" s="136" t="s">
        <v>726</v>
      </c>
      <c r="C214" s="137" t="s">
        <v>622</v>
      </c>
      <c r="D214" s="391">
        <v>1748514.3456000001</v>
      </c>
      <c r="E214" s="381">
        <f t="shared" si="9"/>
        <v>2080732</v>
      </c>
      <c r="F214" s="139"/>
      <c r="G214" s="132"/>
    </row>
    <row r="215" spans="1:7">
      <c r="A215" s="401" t="s">
        <v>727</v>
      </c>
      <c r="B215" s="136" t="s">
        <v>728</v>
      </c>
      <c r="C215" s="137" t="s">
        <v>622</v>
      </c>
      <c r="D215" s="391">
        <v>72800</v>
      </c>
      <c r="E215" s="381">
        <f t="shared" si="9"/>
        <v>86632</v>
      </c>
      <c r="F215" s="139"/>
      <c r="G215" s="132"/>
    </row>
    <row r="216" spans="1:7">
      <c r="A216" s="401" t="s">
        <v>729</v>
      </c>
      <c r="B216" s="136" t="s">
        <v>730</v>
      </c>
      <c r="C216" s="137" t="s">
        <v>622</v>
      </c>
      <c r="D216" s="391">
        <v>136500</v>
      </c>
      <c r="E216" s="381">
        <f t="shared" si="9"/>
        <v>162435</v>
      </c>
      <c r="F216" s="139"/>
      <c r="G216" s="132"/>
    </row>
    <row r="217" spans="1:7">
      <c r="A217" s="401" t="s">
        <v>731</v>
      </c>
      <c r="B217" s="136" t="s">
        <v>732</v>
      </c>
      <c r="C217" s="137" t="s">
        <v>622</v>
      </c>
      <c r="D217" s="391">
        <v>92300</v>
      </c>
      <c r="E217" s="381">
        <f t="shared" si="9"/>
        <v>109837</v>
      </c>
      <c r="F217" s="139"/>
      <c r="G217" s="132"/>
    </row>
    <row r="218" spans="1:7">
      <c r="A218" s="401" t="s">
        <v>733</v>
      </c>
      <c r="B218" s="136" t="s">
        <v>734</v>
      </c>
      <c r="C218" s="137" t="s">
        <v>622</v>
      </c>
      <c r="D218" s="391">
        <v>144300</v>
      </c>
      <c r="E218" s="381">
        <f t="shared" si="9"/>
        <v>171717</v>
      </c>
      <c r="F218" s="139"/>
      <c r="G218" s="132"/>
    </row>
    <row r="219" spans="1:7">
      <c r="A219" s="401" t="s">
        <v>735</v>
      </c>
      <c r="B219" s="136" t="s">
        <v>736</v>
      </c>
      <c r="C219" s="137" t="s">
        <v>622</v>
      </c>
      <c r="D219" s="391">
        <v>179400</v>
      </c>
      <c r="E219" s="381">
        <f t="shared" si="9"/>
        <v>213486</v>
      </c>
      <c r="F219" s="139"/>
      <c r="G219" s="132"/>
    </row>
    <row r="220" spans="1:7">
      <c r="A220" s="401" t="s">
        <v>737</v>
      </c>
      <c r="B220" s="136" t="s">
        <v>738</v>
      </c>
      <c r="C220" s="137" t="s">
        <v>622</v>
      </c>
      <c r="D220" s="391">
        <v>289000</v>
      </c>
      <c r="E220" s="381">
        <f t="shared" si="9"/>
        <v>343910</v>
      </c>
      <c r="F220" s="139"/>
      <c r="G220" s="132"/>
    </row>
    <row r="221" spans="1:7">
      <c r="A221" s="401" t="s">
        <v>739</v>
      </c>
      <c r="B221" s="136" t="s">
        <v>740</v>
      </c>
      <c r="C221" s="137" t="s">
        <v>622</v>
      </c>
      <c r="D221" s="391">
        <v>306800</v>
      </c>
      <c r="E221" s="381">
        <f t="shared" si="9"/>
        <v>365092</v>
      </c>
      <c r="F221" s="139"/>
      <c r="G221" s="132"/>
    </row>
    <row r="222" spans="1:7">
      <c r="A222" s="401" t="s">
        <v>741</v>
      </c>
      <c r="B222" s="136" t="s">
        <v>742</v>
      </c>
      <c r="C222" s="137" t="s">
        <v>622</v>
      </c>
      <c r="D222" s="391">
        <v>400000</v>
      </c>
      <c r="E222" s="381">
        <f t="shared" si="9"/>
        <v>476000</v>
      </c>
      <c r="F222" s="139"/>
      <c r="G222" s="132"/>
    </row>
    <row r="223" spans="1:7">
      <c r="A223" s="401" t="s">
        <v>743</v>
      </c>
      <c r="B223" s="136" t="s">
        <v>744</v>
      </c>
      <c r="C223" s="137" t="s">
        <v>622</v>
      </c>
      <c r="D223" s="391">
        <v>449800</v>
      </c>
      <c r="E223" s="381">
        <f t="shared" si="9"/>
        <v>535262</v>
      </c>
      <c r="F223" s="139"/>
      <c r="G223" s="132"/>
    </row>
    <row r="224" spans="1:7">
      <c r="A224" s="401" t="s">
        <v>745</v>
      </c>
      <c r="B224" s="136" t="s">
        <v>746</v>
      </c>
      <c r="C224" s="137" t="s">
        <v>622</v>
      </c>
      <c r="D224" s="391">
        <v>549900</v>
      </c>
      <c r="E224" s="381">
        <f t="shared" si="9"/>
        <v>654381</v>
      </c>
      <c r="F224" s="139"/>
      <c r="G224" s="132"/>
    </row>
    <row r="225" spans="1:7">
      <c r="A225" s="401" t="s">
        <v>747</v>
      </c>
      <c r="B225" s="136" t="s">
        <v>748</v>
      </c>
      <c r="C225" s="137" t="s">
        <v>622</v>
      </c>
      <c r="D225" s="391">
        <v>630500</v>
      </c>
      <c r="E225" s="381">
        <f t="shared" si="9"/>
        <v>750295</v>
      </c>
      <c r="F225" s="139"/>
      <c r="G225" s="132"/>
    </row>
    <row r="226" spans="1:7">
      <c r="A226" s="401" t="s">
        <v>749</v>
      </c>
      <c r="B226" s="136" t="s">
        <v>750</v>
      </c>
      <c r="C226" s="137" t="s">
        <v>622</v>
      </c>
      <c r="D226" s="391">
        <v>718900</v>
      </c>
      <c r="E226" s="381">
        <f t="shared" ref="E226:E234" si="10">ROUND(D226*(1+$E$39),0)</f>
        <v>855491</v>
      </c>
      <c r="F226" s="139"/>
      <c r="G226" s="132"/>
    </row>
    <row r="227" spans="1:7">
      <c r="A227" s="401" t="s">
        <v>751</v>
      </c>
      <c r="B227" s="136" t="s">
        <v>752</v>
      </c>
      <c r="C227" s="137" t="s">
        <v>622</v>
      </c>
      <c r="D227" s="391">
        <v>755300</v>
      </c>
      <c r="E227" s="381">
        <f t="shared" si="10"/>
        <v>898807</v>
      </c>
      <c r="F227" s="139"/>
      <c r="G227" s="132"/>
    </row>
    <row r="228" spans="1:7">
      <c r="A228" s="401" t="s">
        <v>753</v>
      </c>
      <c r="B228" s="136" t="s">
        <v>754</v>
      </c>
      <c r="C228" s="137" t="s">
        <v>622</v>
      </c>
      <c r="D228" s="391">
        <v>811200</v>
      </c>
      <c r="E228" s="381">
        <f t="shared" si="10"/>
        <v>965328</v>
      </c>
      <c r="F228" s="139"/>
      <c r="G228" s="132"/>
    </row>
    <row r="229" spans="1:7" ht="25.5">
      <c r="A229" s="401" t="s">
        <v>755</v>
      </c>
      <c r="B229" s="136" t="s">
        <v>706</v>
      </c>
      <c r="C229" s="137" t="s">
        <v>622</v>
      </c>
      <c r="D229" s="391">
        <v>1596400</v>
      </c>
      <c r="E229" s="381">
        <f t="shared" si="10"/>
        <v>1899716</v>
      </c>
      <c r="F229" s="139"/>
      <c r="G229" s="132"/>
    </row>
    <row r="230" spans="1:7" ht="25.5">
      <c r="A230" s="401" t="s">
        <v>756</v>
      </c>
      <c r="B230" s="136" t="s">
        <v>718</v>
      </c>
      <c r="C230" s="137" t="s">
        <v>622</v>
      </c>
      <c r="D230" s="391">
        <v>2454000</v>
      </c>
      <c r="E230" s="381">
        <f t="shared" si="10"/>
        <v>2920260</v>
      </c>
      <c r="F230" s="139"/>
      <c r="G230" s="132"/>
    </row>
    <row r="231" spans="1:7">
      <c r="A231" s="401" t="s">
        <v>757</v>
      </c>
      <c r="B231" s="136" t="s">
        <v>758</v>
      </c>
      <c r="C231" s="134" t="s">
        <v>286</v>
      </c>
      <c r="D231" s="391">
        <v>0</v>
      </c>
      <c r="E231" s="381">
        <f t="shared" si="10"/>
        <v>0</v>
      </c>
      <c r="F231" s="139"/>
      <c r="G231" s="132"/>
    </row>
    <row r="232" spans="1:7">
      <c r="A232" s="401" t="s">
        <v>759</v>
      </c>
      <c r="B232" s="136" t="s">
        <v>760</v>
      </c>
      <c r="C232" s="134" t="s">
        <v>286</v>
      </c>
      <c r="D232" s="391">
        <v>0</v>
      </c>
      <c r="E232" s="381">
        <f t="shared" si="10"/>
        <v>0</v>
      </c>
      <c r="F232" s="139"/>
      <c r="G232" s="132"/>
    </row>
    <row r="233" spans="1:7">
      <c r="A233" s="401" t="s">
        <v>761</v>
      </c>
      <c r="B233" s="136" t="s">
        <v>762</v>
      </c>
      <c r="C233" s="134" t="s">
        <v>286</v>
      </c>
      <c r="D233" s="391">
        <v>0</v>
      </c>
      <c r="E233" s="381">
        <f t="shared" si="10"/>
        <v>0</v>
      </c>
      <c r="F233" s="139"/>
      <c r="G233" s="132"/>
    </row>
    <row r="234" spans="1:7">
      <c r="A234" s="401" t="s">
        <v>763</v>
      </c>
      <c r="B234" s="136" t="s">
        <v>764</v>
      </c>
      <c r="C234" s="134" t="s">
        <v>286</v>
      </c>
      <c r="D234" s="391">
        <v>0</v>
      </c>
      <c r="E234" s="381">
        <f t="shared" si="10"/>
        <v>0</v>
      </c>
      <c r="F234" s="139"/>
      <c r="G234" s="132"/>
    </row>
    <row r="235" spans="1:7">
      <c r="A235" s="401" t="s">
        <v>765</v>
      </c>
      <c r="B235" s="136" t="s">
        <v>766</v>
      </c>
      <c r="C235" s="134" t="s">
        <v>286</v>
      </c>
      <c r="D235" s="391">
        <v>0</v>
      </c>
      <c r="E235" s="381">
        <f t="shared" ref="E235:E261" si="11">ROUND(D235*(1+$E$39),0)</f>
        <v>0</v>
      </c>
      <c r="F235" s="139"/>
      <c r="G235" s="132"/>
    </row>
    <row r="236" spans="1:7">
      <c r="A236" s="401" t="s">
        <v>767</v>
      </c>
      <c r="B236" s="136" t="s">
        <v>768</v>
      </c>
      <c r="C236" s="134" t="s">
        <v>286</v>
      </c>
      <c r="D236" s="391">
        <v>0</v>
      </c>
      <c r="E236" s="381">
        <f t="shared" si="11"/>
        <v>0</v>
      </c>
      <c r="F236" s="139"/>
      <c r="G236" s="132"/>
    </row>
    <row r="237" spans="1:7">
      <c r="A237" s="401" t="s">
        <v>769</v>
      </c>
      <c r="B237" s="136" t="s">
        <v>770</v>
      </c>
      <c r="C237" s="134" t="s">
        <v>286</v>
      </c>
      <c r="D237" s="391">
        <v>0</v>
      </c>
      <c r="E237" s="381">
        <f t="shared" si="11"/>
        <v>0</v>
      </c>
      <c r="F237" s="139"/>
      <c r="G237" s="132"/>
    </row>
    <row r="238" spans="1:7">
      <c r="A238" s="401" t="s">
        <v>771</v>
      </c>
      <c r="B238" s="136" t="s">
        <v>772</v>
      </c>
      <c r="C238" s="134" t="s">
        <v>286</v>
      </c>
      <c r="D238" s="391">
        <v>0</v>
      </c>
      <c r="E238" s="381">
        <f t="shared" si="11"/>
        <v>0</v>
      </c>
      <c r="F238" s="139"/>
      <c r="G238" s="132"/>
    </row>
    <row r="239" spans="1:7">
      <c r="A239" s="401" t="s">
        <v>773</v>
      </c>
      <c r="B239" s="136" t="s">
        <v>774</v>
      </c>
      <c r="C239" s="134" t="s">
        <v>286</v>
      </c>
      <c r="D239" s="391">
        <v>0</v>
      </c>
      <c r="E239" s="381">
        <f t="shared" si="11"/>
        <v>0</v>
      </c>
      <c r="F239" s="139"/>
      <c r="G239" s="132"/>
    </row>
    <row r="240" spans="1:7">
      <c r="A240" s="401" t="s">
        <v>775</v>
      </c>
      <c r="B240" s="136" t="s">
        <v>776</v>
      </c>
      <c r="C240" s="134" t="s">
        <v>286</v>
      </c>
      <c r="D240" s="391">
        <v>0</v>
      </c>
      <c r="E240" s="381">
        <f t="shared" si="11"/>
        <v>0</v>
      </c>
      <c r="F240" s="139"/>
      <c r="G240" s="132"/>
    </row>
    <row r="241" spans="1:7">
      <c r="A241" s="401" t="s">
        <v>777</v>
      </c>
      <c r="B241" s="136" t="s">
        <v>778</v>
      </c>
      <c r="C241" s="134" t="s">
        <v>286</v>
      </c>
      <c r="D241" s="391">
        <v>0</v>
      </c>
      <c r="E241" s="381">
        <f t="shared" si="11"/>
        <v>0</v>
      </c>
      <c r="F241" s="139"/>
      <c r="G241" s="132"/>
    </row>
    <row r="242" spans="1:7">
      <c r="A242" s="401" t="s">
        <v>779</v>
      </c>
      <c r="B242" s="136" t="s">
        <v>780</v>
      </c>
      <c r="C242" s="134" t="s">
        <v>286</v>
      </c>
      <c r="D242" s="391">
        <v>0</v>
      </c>
      <c r="E242" s="381">
        <f t="shared" si="11"/>
        <v>0</v>
      </c>
      <c r="F242" s="139"/>
      <c r="G242" s="132"/>
    </row>
    <row r="243" spans="1:7">
      <c r="A243" s="401" t="s">
        <v>781</v>
      </c>
      <c r="B243" s="136" t="s">
        <v>782</v>
      </c>
      <c r="C243" s="134" t="s">
        <v>286</v>
      </c>
      <c r="D243" s="391">
        <v>0</v>
      </c>
      <c r="E243" s="381">
        <f t="shared" si="11"/>
        <v>0</v>
      </c>
      <c r="F243" s="139"/>
      <c r="G243" s="132"/>
    </row>
    <row r="244" spans="1:7">
      <c r="A244" s="401" t="s">
        <v>783</v>
      </c>
      <c r="B244" s="136" t="s">
        <v>784</v>
      </c>
      <c r="C244" s="134" t="s">
        <v>286</v>
      </c>
      <c r="D244" s="391">
        <v>0</v>
      </c>
      <c r="E244" s="381">
        <f t="shared" si="11"/>
        <v>0</v>
      </c>
      <c r="F244" s="139"/>
      <c r="G244" s="132"/>
    </row>
    <row r="245" spans="1:7">
      <c r="A245" s="401" t="s">
        <v>785</v>
      </c>
      <c r="B245" s="136" t="s">
        <v>786</v>
      </c>
      <c r="C245" s="137" t="s">
        <v>622</v>
      </c>
      <c r="D245" s="391">
        <v>397800</v>
      </c>
      <c r="E245" s="381">
        <f t="shared" si="11"/>
        <v>473382</v>
      </c>
      <c r="F245" s="139"/>
      <c r="G245" s="132"/>
    </row>
    <row r="246" spans="1:7">
      <c r="A246" s="401" t="s">
        <v>787</v>
      </c>
      <c r="B246" s="136" t="s">
        <v>788</v>
      </c>
      <c r="C246" s="137" t="s">
        <v>622</v>
      </c>
      <c r="D246" s="391">
        <v>578500</v>
      </c>
      <c r="E246" s="381">
        <f t="shared" si="11"/>
        <v>688415</v>
      </c>
      <c r="F246" s="139"/>
      <c r="G246" s="132"/>
    </row>
    <row r="247" spans="1:7" ht="25.5">
      <c r="A247" s="401" t="s">
        <v>1603</v>
      </c>
      <c r="B247" s="136" t="s">
        <v>790</v>
      </c>
      <c r="C247" s="137" t="s">
        <v>622</v>
      </c>
      <c r="D247" s="391">
        <v>102700</v>
      </c>
      <c r="E247" s="381">
        <f t="shared" si="11"/>
        <v>122213</v>
      </c>
      <c r="F247" s="139"/>
      <c r="G247" s="132"/>
    </row>
    <row r="248" spans="1:7" ht="25.5">
      <c r="A248" s="401" t="s">
        <v>1604</v>
      </c>
      <c r="B248" s="136" t="s">
        <v>791</v>
      </c>
      <c r="C248" s="137" t="s">
        <v>622</v>
      </c>
      <c r="D248" s="391">
        <v>85000</v>
      </c>
      <c r="E248" s="381">
        <f t="shared" si="11"/>
        <v>101150</v>
      </c>
      <c r="F248" s="139"/>
      <c r="G248" s="132"/>
    </row>
    <row r="249" spans="1:7" ht="25.5">
      <c r="A249" s="401" t="s">
        <v>1605</v>
      </c>
      <c r="B249" s="136" t="s">
        <v>792</v>
      </c>
      <c r="C249" s="137" t="s">
        <v>622</v>
      </c>
      <c r="D249" s="391">
        <v>95000</v>
      </c>
      <c r="E249" s="381">
        <f t="shared" si="11"/>
        <v>113050</v>
      </c>
      <c r="F249" s="139"/>
      <c r="G249" s="132"/>
    </row>
    <row r="250" spans="1:7" ht="25.5">
      <c r="A250" s="401" t="s">
        <v>1606</v>
      </c>
      <c r="B250" s="136" t="s">
        <v>1682</v>
      </c>
      <c r="C250" s="137" t="s">
        <v>622</v>
      </c>
      <c r="D250" s="391">
        <v>180000</v>
      </c>
      <c r="E250" s="381">
        <f t="shared" si="11"/>
        <v>214200</v>
      </c>
      <c r="F250" s="139"/>
      <c r="G250" s="132"/>
    </row>
    <row r="251" spans="1:7">
      <c r="A251" s="401" t="s">
        <v>1607</v>
      </c>
      <c r="B251" s="136" t="s">
        <v>793</v>
      </c>
      <c r="C251" s="137" t="s">
        <v>622</v>
      </c>
      <c r="D251" s="391">
        <v>235000</v>
      </c>
      <c r="E251" s="381">
        <f t="shared" si="11"/>
        <v>279650</v>
      </c>
      <c r="F251" s="139"/>
      <c r="G251" s="132"/>
    </row>
    <row r="252" spans="1:7" ht="38.25">
      <c r="A252" s="401" t="s">
        <v>794</v>
      </c>
      <c r="B252" s="136" t="s">
        <v>1674</v>
      </c>
      <c r="C252" s="137" t="s">
        <v>622</v>
      </c>
      <c r="D252" s="391">
        <v>358000</v>
      </c>
      <c r="E252" s="381">
        <f t="shared" si="11"/>
        <v>426020</v>
      </c>
      <c r="F252" s="139"/>
      <c r="G252" s="132"/>
    </row>
    <row r="253" spans="1:7" ht="38.25">
      <c r="A253" s="401" t="s">
        <v>795</v>
      </c>
      <c r="B253" s="136" t="s">
        <v>796</v>
      </c>
      <c r="C253" s="137" t="s">
        <v>622</v>
      </c>
      <c r="D253" s="391">
        <v>400000</v>
      </c>
      <c r="E253" s="381">
        <f t="shared" si="11"/>
        <v>476000</v>
      </c>
      <c r="F253" s="139"/>
      <c r="G253" s="132"/>
    </row>
    <row r="254" spans="1:7" ht="38.25">
      <c r="A254" s="401" t="s">
        <v>797</v>
      </c>
      <c r="B254" s="136" t="s">
        <v>798</v>
      </c>
      <c r="C254" s="137" t="s">
        <v>622</v>
      </c>
      <c r="D254" s="391">
        <v>530000</v>
      </c>
      <c r="E254" s="381">
        <f t="shared" si="11"/>
        <v>630700</v>
      </c>
      <c r="F254" s="139"/>
      <c r="G254" s="132"/>
    </row>
    <row r="255" spans="1:7" ht="38.25">
      <c r="A255" s="401" t="s">
        <v>799</v>
      </c>
      <c r="B255" s="136" t="s">
        <v>1668</v>
      </c>
      <c r="C255" s="137" t="s">
        <v>622</v>
      </c>
      <c r="D255" s="391">
        <v>1025000</v>
      </c>
      <c r="E255" s="586">
        <f t="shared" si="11"/>
        <v>1219750</v>
      </c>
      <c r="F255" s="579">
        <v>40</v>
      </c>
      <c r="G255" s="579">
        <v>1000</v>
      </c>
    </row>
    <row r="256" spans="1:7" ht="38.25">
      <c r="A256" s="401" t="s">
        <v>800</v>
      </c>
      <c r="B256" s="136" t="s">
        <v>1667</v>
      </c>
      <c r="C256" s="137" t="s">
        <v>622</v>
      </c>
      <c r="D256" s="391">
        <v>1500000</v>
      </c>
      <c r="E256" s="586">
        <f t="shared" si="11"/>
        <v>1785000</v>
      </c>
      <c r="F256" s="579">
        <v>40</v>
      </c>
      <c r="G256" s="579">
        <v>1000</v>
      </c>
    </row>
    <row r="257" spans="1:12" ht="38.25">
      <c r="A257" s="401" t="s">
        <v>801</v>
      </c>
      <c r="B257" s="136" t="s">
        <v>802</v>
      </c>
      <c r="C257" s="137" t="s">
        <v>622</v>
      </c>
      <c r="D257" s="391">
        <v>3303000</v>
      </c>
      <c r="E257" s="381">
        <f t="shared" si="11"/>
        <v>3930570</v>
      </c>
      <c r="F257" s="139"/>
      <c r="G257" s="132"/>
    </row>
    <row r="258" spans="1:12" ht="38.25">
      <c r="A258" s="401" t="s">
        <v>803</v>
      </c>
      <c r="B258" s="136" t="s">
        <v>804</v>
      </c>
      <c r="C258" s="137" t="s">
        <v>622</v>
      </c>
      <c r="D258" s="391">
        <v>4130000</v>
      </c>
      <c r="E258" s="381">
        <f t="shared" si="11"/>
        <v>4914700</v>
      </c>
      <c r="F258" s="139"/>
      <c r="G258" s="132"/>
    </row>
    <row r="259" spans="1:12" ht="25.5">
      <c r="A259" s="401" t="s">
        <v>805</v>
      </c>
      <c r="B259" s="136" t="s">
        <v>806</v>
      </c>
      <c r="C259" s="137" t="s">
        <v>622</v>
      </c>
      <c r="D259" s="391">
        <v>652800</v>
      </c>
      <c r="E259" s="381">
        <f t="shared" si="11"/>
        <v>776832</v>
      </c>
      <c r="F259" s="139"/>
      <c r="G259" s="132"/>
    </row>
    <row r="260" spans="1:12" ht="25.5">
      <c r="A260" s="401" t="s">
        <v>807</v>
      </c>
      <c r="B260" s="136" t="s">
        <v>808</v>
      </c>
      <c r="C260" s="137" t="s">
        <v>622</v>
      </c>
      <c r="D260" s="391">
        <v>897600</v>
      </c>
      <c r="E260" s="381">
        <f t="shared" si="11"/>
        <v>1068144</v>
      </c>
      <c r="F260" s="139"/>
      <c r="G260" s="132"/>
    </row>
    <row r="261" spans="1:12" ht="25.5">
      <c r="A261" s="401" t="s">
        <v>809</v>
      </c>
      <c r="B261" s="136" t="s">
        <v>1673</v>
      </c>
      <c r="C261" s="137" t="s">
        <v>622</v>
      </c>
      <c r="D261" s="391">
        <v>780000</v>
      </c>
      <c r="E261" s="381">
        <f t="shared" si="11"/>
        <v>928200</v>
      </c>
      <c r="F261" s="139"/>
      <c r="G261" s="132"/>
    </row>
    <row r="262" spans="1:12" ht="27.2" customHeight="1">
      <c r="A262" s="402" t="s">
        <v>818</v>
      </c>
      <c r="B262" s="147"/>
      <c r="C262" s="147"/>
      <c r="D262" s="390"/>
      <c r="E262" s="390"/>
      <c r="F262" s="147"/>
      <c r="G262" s="147"/>
      <c r="H262" s="147"/>
      <c r="I262" s="147"/>
    </row>
    <row r="263" spans="1:12" ht="27.2" customHeight="1">
      <c r="A263" s="1816" t="s">
        <v>519</v>
      </c>
      <c r="B263" s="1817"/>
      <c r="C263" s="1817"/>
      <c r="D263" s="1817"/>
      <c r="E263" s="1817"/>
      <c r="F263" s="1817"/>
      <c r="G263" s="1818"/>
      <c r="H263" s="478"/>
      <c r="I263" s="478"/>
      <c r="K263" s="1829" t="s">
        <v>977</v>
      </c>
      <c r="L263" s="1829"/>
    </row>
    <row r="264" spans="1:12" ht="27.2" customHeight="1">
      <c r="A264" s="1826" t="s">
        <v>520</v>
      </c>
      <c r="B264" s="1827" t="s">
        <v>521</v>
      </c>
      <c r="C264" s="1815" t="s">
        <v>515</v>
      </c>
      <c r="D264" s="1828" t="s">
        <v>522</v>
      </c>
      <c r="E264" s="383" t="s">
        <v>523</v>
      </c>
      <c r="F264" s="1815" t="s">
        <v>824</v>
      </c>
      <c r="G264" s="1815"/>
      <c r="H264" s="479"/>
      <c r="I264" s="479"/>
      <c r="K264" s="447" t="s">
        <v>975</v>
      </c>
      <c r="L264" s="445" t="s">
        <v>976</v>
      </c>
    </row>
    <row r="265" spans="1:12" ht="27.2" customHeight="1">
      <c r="A265" s="1826"/>
      <c r="B265" s="1827"/>
      <c r="C265" s="1815"/>
      <c r="D265" s="1828"/>
      <c r="E265" s="384">
        <v>0.19</v>
      </c>
      <c r="F265" s="382" t="s">
        <v>826</v>
      </c>
      <c r="G265" s="382" t="s">
        <v>825</v>
      </c>
      <c r="H265" s="479"/>
      <c r="I265" s="479" t="s">
        <v>1014</v>
      </c>
      <c r="K265" s="448">
        <v>43040</v>
      </c>
      <c r="L265" s="446">
        <v>43009</v>
      </c>
    </row>
    <row r="266" spans="1:12" ht="27.2" customHeight="1" thickBot="1">
      <c r="A266" s="464" t="s">
        <v>978</v>
      </c>
      <c r="B266" s="465"/>
      <c r="C266" s="465"/>
      <c r="D266" s="465"/>
      <c r="E266" s="465"/>
      <c r="F266" s="465"/>
      <c r="G266" s="465"/>
      <c r="H266" s="465"/>
      <c r="I266" s="465"/>
      <c r="J266" s="466"/>
      <c r="K266" s="463"/>
      <c r="L266" s="463"/>
    </row>
    <row r="267" spans="1:12" ht="13.5" thickTop="1">
      <c r="A267" s="504" t="s">
        <v>981</v>
      </c>
      <c r="B267" s="467"/>
      <c r="C267" s="468"/>
      <c r="D267" s="469"/>
      <c r="E267" s="470"/>
      <c r="F267" s="471"/>
      <c r="G267" s="472"/>
      <c r="H267" s="482"/>
      <c r="I267" s="482"/>
      <c r="K267" s="457"/>
      <c r="L267" s="458"/>
    </row>
    <row r="268" spans="1:12">
      <c r="A268" s="401" t="s">
        <v>1235</v>
      </c>
      <c r="B268" s="136" t="s">
        <v>982</v>
      </c>
      <c r="C268" s="473" t="s">
        <v>998</v>
      </c>
      <c r="D268" s="392">
        <f>ROUND(K268/6,0)</f>
        <v>2513</v>
      </c>
      <c r="E268" s="381">
        <f t="shared" ref="E268:E286" si="12">ROUND(D268*(1+$E$39),0)</f>
        <v>2990</v>
      </c>
      <c r="F268" s="139"/>
      <c r="G268" s="132"/>
      <c r="I268" s="475" t="s">
        <v>1002</v>
      </c>
      <c r="J268" s="92" t="s">
        <v>1102</v>
      </c>
      <c r="K268" s="457">
        <v>15076</v>
      </c>
      <c r="L268" s="458"/>
    </row>
    <row r="269" spans="1:12">
      <c r="A269" s="401" t="s">
        <v>1236</v>
      </c>
      <c r="B269" s="136" t="s">
        <v>983</v>
      </c>
      <c r="C269" s="473" t="s">
        <v>998</v>
      </c>
      <c r="D269" s="392">
        <f t="shared" ref="D269:D286" si="13">ROUND(K269/6,0)</f>
        <v>3347</v>
      </c>
      <c r="E269" s="381">
        <f t="shared" si="12"/>
        <v>3983</v>
      </c>
      <c r="F269" s="139"/>
      <c r="G269" s="132"/>
      <c r="I269" s="476" t="s">
        <v>1003</v>
      </c>
      <c r="J269" s="92" t="s">
        <v>1102</v>
      </c>
      <c r="K269" s="457">
        <v>20079</v>
      </c>
      <c r="L269" s="458"/>
    </row>
    <row r="270" spans="1:12">
      <c r="A270" s="401" t="s">
        <v>1250</v>
      </c>
      <c r="B270" s="136" t="s">
        <v>984</v>
      </c>
      <c r="C270" s="473" t="s">
        <v>998</v>
      </c>
      <c r="D270" s="392">
        <f t="shared" si="13"/>
        <v>1794</v>
      </c>
      <c r="E270" s="381">
        <f t="shared" si="12"/>
        <v>2135</v>
      </c>
      <c r="F270" s="139"/>
      <c r="G270" s="132"/>
      <c r="I270" s="476" t="s">
        <v>1002</v>
      </c>
      <c r="J270" s="92" t="s">
        <v>1102</v>
      </c>
      <c r="K270" s="457">
        <v>10766</v>
      </c>
      <c r="L270" s="458"/>
    </row>
    <row r="271" spans="1:12">
      <c r="A271" s="401" t="s">
        <v>1251</v>
      </c>
      <c r="B271" s="136" t="s">
        <v>985</v>
      </c>
      <c r="C271" s="473" t="s">
        <v>998</v>
      </c>
      <c r="D271" s="392">
        <f t="shared" si="13"/>
        <v>4517</v>
      </c>
      <c r="E271" s="381">
        <f t="shared" si="12"/>
        <v>5375</v>
      </c>
      <c r="F271" s="139"/>
      <c r="G271" s="132"/>
      <c r="I271" s="476" t="s">
        <v>1004</v>
      </c>
      <c r="J271" s="92" t="s">
        <v>1102</v>
      </c>
      <c r="K271" s="457">
        <v>27100</v>
      </c>
      <c r="L271" s="458"/>
    </row>
    <row r="272" spans="1:12">
      <c r="A272" s="401" t="s">
        <v>1237</v>
      </c>
      <c r="B272" s="136" t="s">
        <v>986</v>
      </c>
      <c r="C272" s="473" t="s">
        <v>998</v>
      </c>
      <c r="D272" s="392">
        <f t="shared" si="13"/>
        <v>2221</v>
      </c>
      <c r="E272" s="381">
        <f t="shared" si="12"/>
        <v>2643</v>
      </c>
      <c r="F272" s="139"/>
      <c r="G272" s="132"/>
      <c r="I272" s="476" t="s">
        <v>1003</v>
      </c>
      <c r="J272" s="92" t="s">
        <v>1102</v>
      </c>
      <c r="K272" s="457">
        <v>13328</v>
      </c>
      <c r="L272" s="458"/>
    </row>
    <row r="273" spans="1:12">
      <c r="A273" s="401" t="s">
        <v>1238</v>
      </c>
      <c r="B273" s="136" t="s">
        <v>987</v>
      </c>
      <c r="C273" s="473" t="s">
        <v>998</v>
      </c>
      <c r="D273" s="392">
        <f t="shared" si="13"/>
        <v>3118</v>
      </c>
      <c r="E273" s="381">
        <f t="shared" si="12"/>
        <v>3710</v>
      </c>
      <c r="F273" s="139"/>
      <c r="G273" s="132"/>
      <c r="I273" s="476" t="s">
        <v>1004</v>
      </c>
      <c r="J273" s="92" t="s">
        <v>1102</v>
      </c>
      <c r="K273" s="457">
        <v>18709</v>
      </c>
      <c r="L273" s="458"/>
    </row>
    <row r="274" spans="1:12">
      <c r="A274" s="401" t="s">
        <v>1239</v>
      </c>
      <c r="B274" s="136" t="s">
        <v>988</v>
      </c>
      <c r="C274" s="473" t="s">
        <v>998</v>
      </c>
      <c r="D274" s="392">
        <f t="shared" si="13"/>
        <v>5619</v>
      </c>
      <c r="E274" s="381">
        <f t="shared" si="12"/>
        <v>6687</v>
      </c>
      <c r="F274" s="139"/>
      <c r="G274" s="132"/>
      <c r="I274" s="476" t="s">
        <v>1005</v>
      </c>
      <c r="J274" s="92" t="s">
        <v>1102</v>
      </c>
      <c r="K274" s="457">
        <v>33713</v>
      </c>
      <c r="L274" s="458"/>
    </row>
    <row r="275" spans="1:12">
      <c r="A275" s="401" t="s">
        <v>1240</v>
      </c>
      <c r="B275" s="136" t="s">
        <v>989</v>
      </c>
      <c r="C275" s="473" t="s">
        <v>998</v>
      </c>
      <c r="D275" s="392">
        <f t="shared" si="13"/>
        <v>7337</v>
      </c>
      <c r="E275" s="381">
        <f t="shared" si="12"/>
        <v>8731</v>
      </c>
      <c r="F275" s="139"/>
      <c r="G275" s="132"/>
      <c r="I275" s="476" t="s">
        <v>1006</v>
      </c>
      <c r="J275" s="92" t="s">
        <v>1102</v>
      </c>
      <c r="K275" s="457">
        <v>44020</v>
      </c>
      <c r="L275" s="458"/>
    </row>
    <row r="276" spans="1:12">
      <c r="A276" s="401" t="s">
        <v>1241</v>
      </c>
      <c r="B276" s="136" t="s">
        <v>990</v>
      </c>
      <c r="C276" s="473" t="s">
        <v>998</v>
      </c>
      <c r="D276" s="392">
        <f t="shared" si="13"/>
        <v>11251</v>
      </c>
      <c r="E276" s="381">
        <f t="shared" si="12"/>
        <v>13389</v>
      </c>
      <c r="F276" s="139"/>
      <c r="G276" s="132"/>
      <c r="I276" s="476" t="s">
        <v>1007</v>
      </c>
      <c r="J276" s="92" t="s">
        <v>1102</v>
      </c>
      <c r="K276" s="457">
        <v>67503</v>
      </c>
      <c r="L276" s="458"/>
    </row>
    <row r="277" spans="1:12">
      <c r="A277" s="401" t="s">
        <v>1242</v>
      </c>
      <c r="B277" s="136" t="s">
        <v>991</v>
      </c>
      <c r="C277" s="473" t="s">
        <v>998</v>
      </c>
      <c r="D277" s="392">
        <f t="shared" si="13"/>
        <v>18233</v>
      </c>
      <c r="E277" s="381">
        <f t="shared" si="12"/>
        <v>21697</v>
      </c>
      <c r="F277" s="139"/>
      <c r="G277" s="132"/>
      <c r="I277" s="476" t="s">
        <v>1008</v>
      </c>
      <c r="J277" s="92" t="s">
        <v>1102</v>
      </c>
      <c r="K277" s="457">
        <v>109399</v>
      </c>
      <c r="L277" s="458"/>
    </row>
    <row r="278" spans="1:12">
      <c r="A278" s="401" t="s">
        <v>1243</v>
      </c>
      <c r="B278" s="136" t="s">
        <v>992</v>
      </c>
      <c r="C278" s="473" t="s">
        <v>998</v>
      </c>
      <c r="D278" s="392">
        <f t="shared" si="13"/>
        <v>24344</v>
      </c>
      <c r="E278" s="381">
        <f t="shared" si="12"/>
        <v>28969</v>
      </c>
      <c r="F278" s="139"/>
      <c r="G278" s="132"/>
      <c r="I278" s="476" t="s">
        <v>1009</v>
      </c>
      <c r="J278" s="92" t="s">
        <v>1102</v>
      </c>
      <c r="K278" s="457">
        <v>146064</v>
      </c>
      <c r="L278" s="458"/>
    </row>
    <row r="279" spans="1:12">
      <c r="A279" s="401" t="s">
        <v>1244</v>
      </c>
      <c r="B279" s="136" t="s">
        <v>993</v>
      </c>
      <c r="C279" s="473" t="s">
        <v>998</v>
      </c>
      <c r="D279" s="392">
        <f t="shared" si="13"/>
        <v>41523</v>
      </c>
      <c r="E279" s="381">
        <f t="shared" si="12"/>
        <v>49412</v>
      </c>
      <c r="F279" s="139"/>
      <c r="G279" s="132"/>
      <c r="I279" s="476" t="s">
        <v>1010</v>
      </c>
      <c r="J279" s="92" t="s">
        <v>1102</v>
      </c>
      <c r="K279" s="457">
        <v>249135</v>
      </c>
      <c r="L279" s="458"/>
    </row>
    <row r="280" spans="1:12">
      <c r="A280" s="401" t="s">
        <v>1245</v>
      </c>
      <c r="B280" s="136" t="s">
        <v>994</v>
      </c>
      <c r="C280" s="473" t="s">
        <v>998</v>
      </c>
      <c r="D280" s="392">
        <f t="shared" si="13"/>
        <v>9289</v>
      </c>
      <c r="E280" s="381">
        <f t="shared" si="12"/>
        <v>11054</v>
      </c>
      <c r="F280" s="139"/>
      <c r="G280" s="132"/>
      <c r="I280" s="476" t="s">
        <v>1007</v>
      </c>
      <c r="J280" s="92" t="s">
        <v>1102</v>
      </c>
      <c r="K280" s="457">
        <v>55731</v>
      </c>
      <c r="L280" s="458"/>
    </row>
    <row r="281" spans="1:12">
      <c r="A281" s="401" t="s">
        <v>1246</v>
      </c>
      <c r="B281" s="136" t="s">
        <v>995</v>
      </c>
      <c r="C281" s="473" t="s">
        <v>998</v>
      </c>
      <c r="D281" s="392">
        <f t="shared" si="13"/>
        <v>14073</v>
      </c>
      <c r="E281" s="381">
        <f t="shared" si="12"/>
        <v>16747</v>
      </c>
      <c r="F281" s="139"/>
      <c r="G281" s="132"/>
      <c r="I281" s="476" t="s">
        <v>1008</v>
      </c>
      <c r="J281" s="92" t="s">
        <v>1102</v>
      </c>
      <c r="K281" s="457">
        <v>84436</v>
      </c>
      <c r="L281" s="458"/>
    </row>
    <row r="282" spans="1:12">
      <c r="A282" s="401" t="s">
        <v>1247</v>
      </c>
      <c r="B282" s="136" t="s">
        <v>996</v>
      </c>
      <c r="C282" s="473" t="s">
        <v>998</v>
      </c>
      <c r="D282" s="392">
        <f t="shared" si="13"/>
        <v>19845</v>
      </c>
      <c r="E282" s="381">
        <f t="shared" si="12"/>
        <v>23616</v>
      </c>
      <c r="F282" s="139"/>
      <c r="G282" s="132"/>
      <c r="I282" s="476" t="s">
        <v>1009</v>
      </c>
      <c r="J282" s="92" t="s">
        <v>1102</v>
      </c>
      <c r="K282" s="457">
        <v>119067</v>
      </c>
      <c r="L282" s="458"/>
    </row>
    <row r="283" spans="1:12">
      <c r="A283" s="401" t="s">
        <v>1248</v>
      </c>
      <c r="B283" s="136" t="s">
        <v>997</v>
      </c>
      <c r="C283" s="473" t="s">
        <v>998</v>
      </c>
      <c r="D283" s="392">
        <f t="shared" si="13"/>
        <v>32979</v>
      </c>
      <c r="E283" s="381">
        <f t="shared" si="12"/>
        <v>39245</v>
      </c>
      <c r="F283" s="139"/>
      <c r="G283" s="132"/>
      <c r="I283" s="476" t="s">
        <v>1010</v>
      </c>
      <c r="J283" s="92" t="s">
        <v>1102</v>
      </c>
      <c r="K283" s="457">
        <v>197873</v>
      </c>
      <c r="L283" s="458"/>
    </row>
    <row r="284" spans="1:12">
      <c r="A284" s="401" t="s">
        <v>1252</v>
      </c>
      <c r="B284" s="136" t="s">
        <v>1001</v>
      </c>
      <c r="C284" s="473" t="s">
        <v>998</v>
      </c>
      <c r="D284" s="392">
        <f t="shared" si="13"/>
        <v>16689</v>
      </c>
      <c r="E284" s="381">
        <f t="shared" si="12"/>
        <v>19860</v>
      </c>
      <c r="F284" s="139"/>
      <c r="G284" s="132"/>
      <c r="I284" s="476" t="s">
        <v>1009</v>
      </c>
      <c r="J284" s="92" t="s">
        <v>1102</v>
      </c>
      <c r="K284" s="457">
        <v>100134</v>
      </c>
      <c r="L284" s="458"/>
    </row>
    <row r="285" spans="1:12">
      <c r="A285" s="401" t="s">
        <v>1253</v>
      </c>
      <c r="B285" s="136" t="s">
        <v>999</v>
      </c>
      <c r="C285" s="473" t="s">
        <v>998</v>
      </c>
      <c r="D285" s="392">
        <f t="shared" si="13"/>
        <v>26454</v>
      </c>
      <c r="E285" s="381">
        <f t="shared" si="12"/>
        <v>31480</v>
      </c>
      <c r="F285" s="139"/>
      <c r="G285" s="132"/>
      <c r="I285" s="476" t="s">
        <v>1010</v>
      </c>
      <c r="J285" s="92" t="s">
        <v>1102</v>
      </c>
      <c r="K285" s="457">
        <v>158721</v>
      </c>
      <c r="L285" s="458"/>
    </row>
    <row r="286" spans="1:12">
      <c r="A286" s="401" t="s">
        <v>1249</v>
      </c>
      <c r="B286" s="136" t="s">
        <v>1000</v>
      </c>
      <c r="C286" s="473" t="s">
        <v>998</v>
      </c>
      <c r="D286" s="392">
        <f t="shared" si="13"/>
        <v>22714</v>
      </c>
      <c r="E286" s="381">
        <f t="shared" si="12"/>
        <v>27030</v>
      </c>
      <c r="F286" s="139"/>
      <c r="G286" s="132"/>
      <c r="I286" s="476" t="s">
        <v>1010</v>
      </c>
      <c r="J286" s="92" t="s">
        <v>1102</v>
      </c>
      <c r="K286" s="457">
        <v>136285</v>
      </c>
      <c r="L286" s="458"/>
    </row>
    <row r="287" spans="1:12">
      <c r="A287" s="401"/>
      <c r="B287" s="136"/>
      <c r="C287" s="135"/>
      <c r="D287" s="392"/>
      <c r="E287" s="381"/>
      <c r="F287" s="139"/>
      <c r="G287" s="132"/>
      <c r="K287" s="457"/>
      <c r="L287" s="458"/>
    </row>
    <row r="288" spans="1:12">
      <c r="A288" s="504" t="s">
        <v>1011</v>
      </c>
      <c r="B288" s="467"/>
      <c r="C288" s="468"/>
      <c r="D288" s="469"/>
      <c r="E288" s="470"/>
      <c r="F288" s="471"/>
      <c r="G288" s="472"/>
      <c r="H288" s="482"/>
      <c r="I288" s="482"/>
      <c r="K288" s="457"/>
      <c r="L288" s="458"/>
    </row>
    <row r="289" spans="1:12">
      <c r="A289" s="525"/>
      <c r="B289" s="483" t="s">
        <v>1015</v>
      </c>
      <c r="C289" s="473"/>
      <c r="D289" s="392"/>
      <c r="E289" s="381"/>
      <c r="F289" s="139"/>
      <c r="G289" s="132"/>
      <c r="I289" s="487"/>
      <c r="K289" s="457"/>
      <c r="L289" s="458"/>
    </row>
    <row r="290" spans="1:12">
      <c r="A290" s="525" t="s">
        <v>1273</v>
      </c>
      <c r="B290" s="136" t="str">
        <f t="shared" ref="B290:B300" si="14">+CONCATENATE($B$289," de ", I290)</f>
        <v>Adaptador Hembra PVC de 1/2"x1/4"</v>
      </c>
      <c r="C290" s="473" t="s">
        <v>622</v>
      </c>
      <c r="D290" s="392">
        <f>+K290</f>
        <v>585</v>
      </c>
      <c r="E290" s="381">
        <f t="shared" ref="E290:E300" si="15">ROUND(D290*(1+$E$39),0)</f>
        <v>696</v>
      </c>
      <c r="F290" s="139"/>
      <c r="G290" s="132"/>
      <c r="I290" s="488" t="s">
        <v>1012</v>
      </c>
      <c r="K290" s="457">
        <v>585</v>
      </c>
      <c r="L290" s="458"/>
    </row>
    <row r="291" spans="1:12">
      <c r="A291" s="525" t="s">
        <v>1274</v>
      </c>
      <c r="B291" s="136" t="str">
        <f t="shared" si="14"/>
        <v>Adaptador Hembra PVC de 1/2"x3/8"</v>
      </c>
      <c r="C291" s="473" t="s">
        <v>622</v>
      </c>
      <c r="D291" s="392">
        <f t="shared" ref="D291:D300" si="16">+K291</f>
        <v>1084</v>
      </c>
      <c r="E291" s="381">
        <f t="shared" si="15"/>
        <v>1290</v>
      </c>
      <c r="F291" s="139"/>
      <c r="G291" s="132"/>
      <c r="I291" s="488" t="s">
        <v>1013</v>
      </c>
      <c r="K291" s="457">
        <v>1084</v>
      </c>
      <c r="L291" s="458"/>
    </row>
    <row r="292" spans="1:12">
      <c r="A292" s="525" t="s">
        <v>1254</v>
      </c>
      <c r="B292" s="136" t="str">
        <f t="shared" si="14"/>
        <v>Adaptador Hembra PVC de 1/2"</v>
      </c>
      <c r="C292" s="473" t="s">
        <v>622</v>
      </c>
      <c r="D292" s="392">
        <f t="shared" si="16"/>
        <v>316</v>
      </c>
      <c r="E292" s="381">
        <f t="shared" si="15"/>
        <v>376</v>
      </c>
      <c r="F292" s="139"/>
      <c r="G292" s="132"/>
      <c r="I292" s="488" t="s">
        <v>1002</v>
      </c>
      <c r="K292" s="457">
        <v>316</v>
      </c>
      <c r="L292" s="458"/>
    </row>
    <row r="293" spans="1:12">
      <c r="A293" s="525" t="s">
        <v>1255</v>
      </c>
      <c r="B293" s="136" t="str">
        <f t="shared" si="14"/>
        <v>Adaptador Hembra PVC de 3/4"</v>
      </c>
      <c r="C293" s="473" t="s">
        <v>622</v>
      </c>
      <c r="D293" s="392">
        <f t="shared" si="16"/>
        <v>572</v>
      </c>
      <c r="E293" s="381">
        <f t="shared" si="15"/>
        <v>681</v>
      </c>
      <c r="F293" s="139"/>
      <c r="G293" s="132"/>
      <c r="I293" s="488" t="s">
        <v>1003</v>
      </c>
      <c r="K293" s="457">
        <v>572</v>
      </c>
      <c r="L293" s="458"/>
    </row>
    <row r="294" spans="1:12">
      <c r="A294" s="525" t="s">
        <v>1256</v>
      </c>
      <c r="B294" s="136" t="str">
        <f t="shared" si="14"/>
        <v>Adaptador Hembra PVC de 1"</v>
      </c>
      <c r="C294" s="473" t="s">
        <v>622</v>
      </c>
      <c r="D294" s="392">
        <f t="shared" si="16"/>
        <v>1275</v>
      </c>
      <c r="E294" s="381">
        <f t="shared" si="15"/>
        <v>1517</v>
      </c>
      <c r="F294" s="139"/>
      <c r="G294" s="132"/>
      <c r="I294" s="488" t="s">
        <v>1004</v>
      </c>
      <c r="K294" s="457">
        <v>1275</v>
      </c>
      <c r="L294" s="458"/>
    </row>
    <row r="295" spans="1:12">
      <c r="A295" s="525" t="s">
        <v>1257</v>
      </c>
      <c r="B295" s="136" t="str">
        <f t="shared" si="14"/>
        <v>Adaptador Hembra PVC de 1 1/4"</v>
      </c>
      <c r="C295" s="473" t="s">
        <v>622</v>
      </c>
      <c r="D295" s="392">
        <f t="shared" si="16"/>
        <v>2086</v>
      </c>
      <c r="E295" s="381">
        <f t="shared" si="15"/>
        <v>2482</v>
      </c>
      <c r="F295" s="139"/>
      <c r="G295" s="132"/>
      <c r="I295" s="488" t="s">
        <v>1005</v>
      </c>
      <c r="K295" s="457">
        <v>2086</v>
      </c>
      <c r="L295" s="458"/>
    </row>
    <row r="296" spans="1:12">
      <c r="A296" s="525" t="s">
        <v>1258</v>
      </c>
      <c r="B296" s="136" t="str">
        <f t="shared" si="14"/>
        <v>Adaptador Hembra PVC de 1 1/2"</v>
      </c>
      <c r="C296" s="473" t="s">
        <v>622</v>
      </c>
      <c r="D296" s="392">
        <f t="shared" si="16"/>
        <v>3529</v>
      </c>
      <c r="E296" s="381">
        <f t="shared" si="15"/>
        <v>4200</v>
      </c>
      <c r="F296" s="139"/>
      <c r="G296" s="132"/>
      <c r="I296" s="488" t="s">
        <v>1006</v>
      </c>
      <c r="K296" s="457">
        <v>3529</v>
      </c>
      <c r="L296" s="458"/>
    </row>
    <row r="297" spans="1:12">
      <c r="A297" s="525" t="s">
        <v>1259</v>
      </c>
      <c r="B297" s="136" t="str">
        <f t="shared" si="14"/>
        <v>Adaptador Hembra PVC de 2"</v>
      </c>
      <c r="C297" s="473" t="s">
        <v>622</v>
      </c>
      <c r="D297" s="392">
        <f t="shared" si="16"/>
        <v>6285</v>
      </c>
      <c r="E297" s="381">
        <f t="shared" si="15"/>
        <v>7479</v>
      </c>
      <c r="F297" s="139"/>
      <c r="G297" s="132"/>
      <c r="I297" s="488" t="s">
        <v>1007</v>
      </c>
      <c r="K297" s="457">
        <v>6285</v>
      </c>
      <c r="L297" s="458"/>
    </row>
    <row r="298" spans="1:12">
      <c r="A298" s="525" t="s">
        <v>1260</v>
      </c>
      <c r="B298" s="136" t="str">
        <f t="shared" si="14"/>
        <v>Adaptador Hembra PVC de 2 1/2"</v>
      </c>
      <c r="C298" s="473" t="s">
        <v>622</v>
      </c>
      <c r="D298" s="392">
        <f t="shared" si="16"/>
        <v>11699</v>
      </c>
      <c r="E298" s="381">
        <f t="shared" si="15"/>
        <v>13922</v>
      </c>
      <c r="F298" s="139"/>
      <c r="G298" s="132"/>
      <c r="I298" s="488" t="s">
        <v>1008</v>
      </c>
      <c r="K298" s="457">
        <v>11699</v>
      </c>
      <c r="L298" s="458"/>
    </row>
    <row r="299" spans="1:12">
      <c r="A299" s="525" t="s">
        <v>1261</v>
      </c>
      <c r="B299" s="136" t="str">
        <f t="shared" si="14"/>
        <v>Adaptador Hembra PVC de 3"</v>
      </c>
      <c r="C299" s="473" t="s">
        <v>622</v>
      </c>
      <c r="D299" s="392">
        <f t="shared" si="16"/>
        <v>18460</v>
      </c>
      <c r="E299" s="381">
        <f t="shared" si="15"/>
        <v>21967</v>
      </c>
      <c r="F299" s="139"/>
      <c r="G299" s="132"/>
      <c r="I299" s="488" t="s">
        <v>1009</v>
      </c>
      <c r="K299" s="457">
        <v>18460</v>
      </c>
      <c r="L299" s="458"/>
    </row>
    <row r="300" spans="1:12">
      <c r="A300" s="525" t="s">
        <v>1262</v>
      </c>
      <c r="B300" s="136" t="str">
        <f t="shared" si="14"/>
        <v>Adaptador Hembra PVC de 4"</v>
      </c>
      <c r="C300" s="473" t="s">
        <v>622</v>
      </c>
      <c r="D300" s="392">
        <f t="shared" si="16"/>
        <v>33351</v>
      </c>
      <c r="E300" s="381">
        <f t="shared" si="15"/>
        <v>39688</v>
      </c>
      <c r="F300" s="139"/>
      <c r="G300" s="132"/>
      <c r="I300" s="488" t="s">
        <v>1010</v>
      </c>
      <c r="K300" s="457">
        <v>33351</v>
      </c>
      <c r="L300" s="458"/>
    </row>
    <row r="301" spans="1:12">
      <c r="A301" s="525"/>
      <c r="B301" s="136"/>
      <c r="C301" s="135"/>
      <c r="D301" s="392"/>
      <c r="E301" s="381"/>
      <c r="F301" s="139"/>
      <c r="G301" s="132"/>
      <c r="I301" s="487"/>
      <c r="K301" s="457"/>
      <c r="L301" s="458"/>
    </row>
    <row r="302" spans="1:12">
      <c r="A302" s="525"/>
      <c r="B302" s="483" t="s">
        <v>1016</v>
      </c>
      <c r="C302" s="135"/>
      <c r="D302" s="392"/>
      <c r="E302" s="381"/>
      <c r="F302" s="139"/>
      <c r="G302" s="132"/>
      <c r="I302" s="487"/>
      <c r="K302" s="457"/>
      <c r="L302" s="458"/>
    </row>
    <row r="303" spans="1:12">
      <c r="A303" s="525" t="s">
        <v>1263</v>
      </c>
      <c r="B303" s="136" t="str">
        <f>+CONCATENATE($B$302," de ", I303)</f>
        <v>Adaptador Macho PVC de 1/2"</v>
      </c>
      <c r="C303" s="473" t="s">
        <v>622</v>
      </c>
      <c r="D303" s="392">
        <f>+K303</f>
        <v>280</v>
      </c>
      <c r="E303" s="381">
        <f>ROUND(D303*(1+$E$39),0)</f>
        <v>333</v>
      </c>
      <c r="F303" s="139"/>
      <c r="G303" s="132"/>
      <c r="I303" s="489" t="s">
        <v>1002</v>
      </c>
      <c r="K303" s="457">
        <v>280</v>
      </c>
      <c r="L303" s="458"/>
    </row>
    <row r="304" spans="1:12">
      <c r="A304" s="525" t="s">
        <v>1264</v>
      </c>
      <c r="B304" s="136" t="str">
        <f t="shared" ref="B304:B311" si="17">+CONCATENATE($B$302," de ", I304)</f>
        <v>Adaptador Macho PVC de 3/4"</v>
      </c>
      <c r="C304" s="473" t="s">
        <v>622</v>
      </c>
      <c r="D304" s="392">
        <f t="shared" ref="D304:D311" si="18">+K304</f>
        <v>509</v>
      </c>
      <c r="E304" s="381">
        <f t="shared" ref="E304:E311" si="19">ROUND(D304*(1+$E$39),0)</f>
        <v>606</v>
      </c>
      <c r="F304" s="139"/>
      <c r="G304" s="132"/>
      <c r="I304" s="489" t="s">
        <v>1003</v>
      </c>
      <c r="K304" s="457">
        <v>509</v>
      </c>
      <c r="L304" s="458"/>
    </row>
    <row r="305" spans="1:12">
      <c r="A305" s="525" t="s">
        <v>1265</v>
      </c>
      <c r="B305" s="136" t="str">
        <f t="shared" si="17"/>
        <v>Adaptador Macho PVC de 1"</v>
      </c>
      <c r="C305" s="473" t="s">
        <v>622</v>
      </c>
      <c r="D305" s="392">
        <f t="shared" si="18"/>
        <v>1066</v>
      </c>
      <c r="E305" s="381">
        <f t="shared" si="19"/>
        <v>1269</v>
      </c>
      <c r="F305" s="139"/>
      <c r="G305" s="132"/>
      <c r="I305" s="489" t="s">
        <v>1004</v>
      </c>
      <c r="K305" s="457">
        <v>1066</v>
      </c>
      <c r="L305" s="458"/>
    </row>
    <row r="306" spans="1:12">
      <c r="A306" s="525" t="s">
        <v>1269</v>
      </c>
      <c r="B306" s="136" t="str">
        <f t="shared" si="17"/>
        <v>Adaptador Macho PVC de 1 1/4"</v>
      </c>
      <c r="C306" s="473" t="s">
        <v>622</v>
      </c>
      <c r="D306" s="392">
        <f t="shared" si="18"/>
        <v>2244</v>
      </c>
      <c r="E306" s="381">
        <f t="shared" si="19"/>
        <v>2670</v>
      </c>
      <c r="F306" s="139"/>
      <c r="G306" s="132"/>
      <c r="I306" s="489" t="s">
        <v>1005</v>
      </c>
      <c r="K306" s="457">
        <v>2244</v>
      </c>
      <c r="L306" s="458"/>
    </row>
    <row r="307" spans="1:12">
      <c r="A307" s="525" t="s">
        <v>1270</v>
      </c>
      <c r="B307" s="136" t="str">
        <f t="shared" si="17"/>
        <v>Adaptador Macho PVC de 1 1/2"</v>
      </c>
      <c r="C307" s="473" t="s">
        <v>622</v>
      </c>
      <c r="D307" s="392">
        <f t="shared" si="18"/>
        <v>2630</v>
      </c>
      <c r="E307" s="381">
        <f t="shared" si="19"/>
        <v>3130</v>
      </c>
      <c r="F307" s="139"/>
      <c r="G307" s="132"/>
      <c r="I307" s="489" t="s">
        <v>1006</v>
      </c>
      <c r="K307" s="457">
        <v>2630</v>
      </c>
      <c r="L307" s="458"/>
    </row>
    <row r="308" spans="1:12">
      <c r="A308" s="525" t="s">
        <v>1266</v>
      </c>
      <c r="B308" s="136" t="str">
        <f t="shared" si="17"/>
        <v>Adaptador Macho PVC de 2"</v>
      </c>
      <c r="C308" s="473" t="s">
        <v>622</v>
      </c>
      <c r="D308" s="392">
        <f t="shared" si="18"/>
        <v>3756</v>
      </c>
      <c r="E308" s="381">
        <f t="shared" si="19"/>
        <v>4470</v>
      </c>
      <c r="F308" s="139"/>
      <c r="G308" s="132"/>
      <c r="I308" s="489" t="s">
        <v>1007</v>
      </c>
      <c r="K308" s="457">
        <v>3756</v>
      </c>
      <c r="L308" s="458"/>
    </row>
    <row r="309" spans="1:12">
      <c r="A309" s="525" t="s">
        <v>1271</v>
      </c>
      <c r="B309" s="136" t="str">
        <f t="shared" si="17"/>
        <v>Adaptador Macho PVC de 2 1/2"</v>
      </c>
      <c r="C309" s="473" t="s">
        <v>622</v>
      </c>
      <c r="D309" s="392">
        <f t="shared" si="18"/>
        <v>9773</v>
      </c>
      <c r="E309" s="381">
        <f t="shared" si="19"/>
        <v>11630</v>
      </c>
      <c r="F309" s="139"/>
      <c r="G309" s="132"/>
      <c r="I309" s="489" t="s">
        <v>1008</v>
      </c>
      <c r="K309" s="457">
        <v>9773</v>
      </c>
      <c r="L309" s="458"/>
    </row>
    <row r="310" spans="1:12">
      <c r="A310" s="525" t="s">
        <v>1267</v>
      </c>
      <c r="B310" s="136" t="str">
        <f t="shared" si="17"/>
        <v>Adaptador Macho PVC de 3"</v>
      </c>
      <c r="C310" s="473" t="s">
        <v>622</v>
      </c>
      <c r="D310" s="392">
        <f t="shared" si="18"/>
        <v>14765</v>
      </c>
      <c r="E310" s="381">
        <f t="shared" si="19"/>
        <v>17570</v>
      </c>
      <c r="F310" s="139"/>
      <c r="G310" s="132"/>
      <c r="I310" s="489" t="s">
        <v>1009</v>
      </c>
      <c r="K310" s="457">
        <v>14765</v>
      </c>
      <c r="L310" s="458"/>
    </row>
    <row r="311" spans="1:12">
      <c r="A311" s="525" t="s">
        <v>1268</v>
      </c>
      <c r="B311" s="136" t="str">
        <f t="shared" si="17"/>
        <v>Adaptador Macho PVC de 4"</v>
      </c>
      <c r="C311" s="473" t="s">
        <v>622</v>
      </c>
      <c r="D311" s="392">
        <f t="shared" si="18"/>
        <v>27177</v>
      </c>
      <c r="E311" s="381">
        <f t="shared" si="19"/>
        <v>32341</v>
      </c>
      <c r="F311" s="139"/>
      <c r="G311" s="132"/>
      <c r="I311" s="489" t="s">
        <v>1010</v>
      </c>
      <c r="K311" s="457">
        <v>27177</v>
      </c>
      <c r="L311" s="458"/>
    </row>
    <row r="312" spans="1:12">
      <c r="A312" s="525"/>
      <c r="B312" s="136"/>
      <c r="C312" s="135"/>
      <c r="D312" s="392"/>
      <c r="E312" s="381"/>
      <c r="F312" s="139"/>
      <c r="G312" s="132"/>
      <c r="I312" s="487"/>
      <c r="K312" s="457"/>
      <c r="L312" s="458"/>
    </row>
    <row r="313" spans="1:12">
      <c r="A313" s="525"/>
      <c r="B313" s="483" t="s">
        <v>1036</v>
      </c>
      <c r="C313" s="135"/>
      <c r="D313" s="392"/>
      <c r="E313" s="381"/>
      <c r="F313" s="139"/>
      <c r="G313" s="132"/>
      <c r="I313" s="487"/>
      <c r="K313" s="457"/>
      <c r="L313" s="458"/>
    </row>
    <row r="314" spans="1:12">
      <c r="A314" s="525" t="s">
        <v>1275</v>
      </c>
      <c r="B314" s="136" t="str">
        <f>+CONCATENATE($B$313," de ", I314)</f>
        <v>Buje Roscado de 1/2"x1/4"</v>
      </c>
      <c r="C314" s="473" t="s">
        <v>622</v>
      </c>
      <c r="D314" s="392">
        <f>+K314</f>
        <v>736</v>
      </c>
      <c r="E314" s="381">
        <f>ROUND(D314*(1+$E$39),0)</f>
        <v>876</v>
      </c>
      <c r="F314" s="139"/>
      <c r="G314" s="132"/>
      <c r="I314" s="490" t="s">
        <v>1012</v>
      </c>
      <c r="K314" s="457">
        <v>736</v>
      </c>
      <c r="L314" s="458"/>
    </row>
    <row r="315" spans="1:12">
      <c r="A315" s="525" t="s">
        <v>1276</v>
      </c>
      <c r="B315" s="136" t="str">
        <f t="shared" ref="B315:B333" si="20">+CONCATENATE($B$313," de ", I315)</f>
        <v>Buje Roscado de 1/2"x3/8"</v>
      </c>
      <c r="C315" s="473" t="s">
        <v>622</v>
      </c>
      <c r="D315" s="392">
        <f t="shared" ref="D315:D333" si="21">+K315</f>
        <v>733</v>
      </c>
      <c r="E315" s="381">
        <f t="shared" ref="E315:E333" si="22">ROUND(D315*(1+$E$39),0)</f>
        <v>872</v>
      </c>
      <c r="F315" s="139"/>
      <c r="G315" s="132"/>
      <c r="I315" s="490" t="s">
        <v>1013</v>
      </c>
      <c r="K315" s="457">
        <v>733</v>
      </c>
      <c r="L315" s="458"/>
    </row>
    <row r="316" spans="1:12">
      <c r="A316" s="525" t="s">
        <v>1277</v>
      </c>
      <c r="B316" s="136" t="str">
        <f t="shared" si="20"/>
        <v>Buje Roscado de 3/4"x1/2"</v>
      </c>
      <c r="C316" s="473" t="s">
        <v>622</v>
      </c>
      <c r="D316" s="392">
        <f t="shared" si="21"/>
        <v>921</v>
      </c>
      <c r="E316" s="381">
        <f t="shared" si="22"/>
        <v>1096</v>
      </c>
      <c r="F316" s="139"/>
      <c r="G316" s="132"/>
      <c r="I316" s="490" t="s">
        <v>1018</v>
      </c>
      <c r="K316" s="457">
        <v>921</v>
      </c>
      <c r="L316" s="458"/>
    </row>
    <row r="317" spans="1:12">
      <c r="A317" s="525" t="s">
        <v>1278</v>
      </c>
      <c r="B317" s="136" t="str">
        <f t="shared" si="20"/>
        <v>Buje Roscado de 1"x1/2"</v>
      </c>
      <c r="C317" s="473" t="s">
        <v>622</v>
      </c>
      <c r="D317" s="392">
        <f t="shared" si="21"/>
        <v>1606</v>
      </c>
      <c r="E317" s="381">
        <f t="shared" si="22"/>
        <v>1911</v>
      </c>
      <c r="F317" s="139"/>
      <c r="G317" s="132"/>
      <c r="I317" s="490" t="s">
        <v>1019</v>
      </c>
      <c r="K317" s="457">
        <v>1606</v>
      </c>
      <c r="L317" s="458"/>
    </row>
    <row r="318" spans="1:12">
      <c r="A318" s="525" t="s">
        <v>1279</v>
      </c>
      <c r="B318" s="136" t="str">
        <f t="shared" si="20"/>
        <v>Buje Roscado de 1"x3/4"</v>
      </c>
      <c r="C318" s="473" t="s">
        <v>622</v>
      </c>
      <c r="D318" s="392">
        <f t="shared" si="21"/>
        <v>1606</v>
      </c>
      <c r="E318" s="381">
        <f t="shared" si="22"/>
        <v>1911</v>
      </c>
      <c r="F318" s="139"/>
      <c r="G318" s="132"/>
      <c r="I318" s="490" t="s">
        <v>1020</v>
      </c>
      <c r="K318" s="457">
        <v>1606</v>
      </c>
      <c r="L318" s="458"/>
    </row>
    <row r="319" spans="1:12">
      <c r="A319" s="525" t="s">
        <v>1280</v>
      </c>
      <c r="B319" s="136" t="str">
        <f t="shared" si="20"/>
        <v>Buje Roscado de 1 1/4"x1/2"</v>
      </c>
      <c r="C319" s="473" t="s">
        <v>622</v>
      </c>
      <c r="D319" s="392">
        <f t="shared" si="21"/>
        <v>2695</v>
      </c>
      <c r="E319" s="381">
        <f t="shared" si="22"/>
        <v>3207</v>
      </c>
      <c r="F319" s="139"/>
      <c r="G319" s="132"/>
      <c r="I319" s="490" t="s">
        <v>1021</v>
      </c>
      <c r="K319" s="457">
        <v>2695</v>
      </c>
      <c r="L319" s="458"/>
    </row>
    <row r="320" spans="1:12">
      <c r="A320" s="525" t="s">
        <v>1281</v>
      </c>
      <c r="B320" s="136" t="str">
        <f t="shared" si="20"/>
        <v>Buje Roscado de 1 1/4"x3/4"</v>
      </c>
      <c r="C320" s="473" t="s">
        <v>622</v>
      </c>
      <c r="D320" s="392">
        <f t="shared" si="21"/>
        <v>2695</v>
      </c>
      <c r="E320" s="381">
        <f t="shared" si="22"/>
        <v>3207</v>
      </c>
      <c r="F320" s="139"/>
      <c r="G320" s="132"/>
      <c r="I320" s="490" t="s">
        <v>1022</v>
      </c>
      <c r="K320" s="457">
        <v>2695</v>
      </c>
      <c r="L320" s="458"/>
    </row>
    <row r="321" spans="1:12">
      <c r="A321" s="525" t="s">
        <v>1282</v>
      </c>
      <c r="B321" s="136" t="str">
        <f t="shared" si="20"/>
        <v>Buje Roscado de 1 1/4"x1"</v>
      </c>
      <c r="C321" s="473" t="s">
        <v>622</v>
      </c>
      <c r="D321" s="392">
        <f t="shared" si="21"/>
        <v>2695</v>
      </c>
      <c r="E321" s="381">
        <f t="shared" si="22"/>
        <v>3207</v>
      </c>
      <c r="F321" s="139"/>
      <c r="G321" s="132"/>
      <c r="I321" s="490" t="s">
        <v>1023</v>
      </c>
      <c r="K321" s="457">
        <v>2695</v>
      </c>
      <c r="L321" s="458"/>
    </row>
    <row r="322" spans="1:12">
      <c r="A322" s="525" t="s">
        <v>1283</v>
      </c>
      <c r="B322" s="136" t="str">
        <f t="shared" si="20"/>
        <v>Buje Roscado de 1 1/2"x1 1/2"</v>
      </c>
      <c r="C322" s="473" t="s">
        <v>622</v>
      </c>
      <c r="D322" s="392">
        <f t="shared" si="21"/>
        <v>3214</v>
      </c>
      <c r="E322" s="381">
        <f t="shared" si="22"/>
        <v>3825</v>
      </c>
      <c r="F322" s="139"/>
      <c r="G322" s="132"/>
      <c r="I322" s="490" t="s">
        <v>1024</v>
      </c>
      <c r="K322" s="457">
        <v>3214</v>
      </c>
      <c r="L322" s="458"/>
    </row>
    <row r="323" spans="1:12">
      <c r="A323" s="525" t="s">
        <v>1284</v>
      </c>
      <c r="B323" s="136" t="str">
        <f t="shared" si="20"/>
        <v>Buje Roscado de 1 1/2"x1 3/4"</v>
      </c>
      <c r="C323" s="473" t="s">
        <v>622</v>
      </c>
      <c r="D323" s="392">
        <f t="shared" si="21"/>
        <v>3214</v>
      </c>
      <c r="E323" s="381">
        <f t="shared" si="22"/>
        <v>3825</v>
      </c>
      <c r="F323" s="139"/>
      <c r="G323" s="132"/>
      <c r="I323" s="490" t="s">
        <v>1025</v>
      </c>
      <c r="K323" s="457">
        <v>3214</v>
      </c>
      <c r="L323" s="458"/>
    </row>
    <row r="324" spans="1:12">
      <c r="A324" s="525" t="s">
        <v>1285</v>
      </c>
      <c r="B324" s="136" t="str">
        <f t="shared" si="20"/>
        <v>Buje Roscado de 1 1/2"x1"</v>
      </c>
      <c r="C324" s="473" t="s">
        <v>622</v>
      </c>
      <c r="D324" s="392">
        <f t="shared" si="21"/>
        <v>3214</v>
      </c>
      <c r="E324" s="381">
        <f t="shared" si="22"/>
        <v>3825</v>
      </c>
      <c r="F324" s="139"/>
      <c r="G324" s="132"/>
      <c r="I324" s="490" t="s">
        <v>1026</v>
      </c>
      <c r="K324" s="457">
        <v>3214</v>
      </c>
      <c r="L324" s="458"/>
    </row>
    <row r="325" spans="1:12">
      <c r="A325" s="525" t="s">
        <v>1286</v>
      </c>
      <c r="B325" s="136" t="str">
        <f t="shared" si="20"/>
        <v>Buje Roscado de 1 1/2x1 1/4"</v>
      </c>
      <c r="C325" s="473" t="s">
        <v>622</v>
      </c>
      <c r="D325" s="392">
        <f t="shared" si="21"/>
        <v>3214</v>
      </c>
      <c r="E325" s="381">
        <f t="shared" si="22"/>
        <v>3825</v>
      </c>
      <c r="F325" s="139"/>
      <c r="G325" s="132"/>
      <c r="I325" s="490" t="s">
        <v>1027</v>
      </c>
      <c r="K325" s="457">
        <v>3214</v>
      </c>
      <c r="L325" s="458"/>
    </row>
    <row r="326" spans="1:12">
      <c r="A326" s="525" t="s">
        <v>1287</v>
      </c>
      <c r="B326" s="136" t="str">
        <f t="shared" si="20"/>
        <v>Buje Roscado de 2"x3/4"</v>
      </c>
      <c r="C326" s="473" t="s">
        <v>622</v>
      </c>
      <c r="D326" s="392">
        <f t="shared" si="21"/>
        <v>5171</v>
      </c>
      <c r="E326" s="381">
        <f t="shared" si="22"/>
        <v>6153</v>
      </c>
      <c r="F326" s="139"/>
      <c r="G326" s="132"/>
      <c r="I326" s="490" t="s">
        <v>1028</v>
      </c>
      <c r="K326" s="457">
        <v>5171</v>
      </c>
      <c r="L326" s="458"/>
    </row>
    <row r="327" spans="1:12">
      <c r="A327" s="525" t="s">
        <v>1288</v>
      </c>
      <c r="B327" s="136" t="str">
        <f t="shared" si="20"/>
        <v>Buje Roscado de 2"x1"</v>
      </c>
      <c r="C327" s="473" t="s">
        <v>622</v>
      </c>
      <c r="D327" s="392">
        <f t="shared" si="21"/>
        <v>5171</v>
      </c>
      <c r="E327" s="381">
        <f t="shared" si="22"/>
        <v>6153</v>
      </c>
      <c r="F327" s="139"/>
      <c r="G327" s="132"/>
      <c r="I327" s="490" t="s">
        <v>1029</v>
      </c>
      <c r="K327" s="457">
        <v>5171</v>
      </c>
      <c r="L327" s="458"/>
    </row>
    <row r="328" spans="1:12">
      <c r="A328" s="525" t="s">
        <v>1289</v>
      </c>
      <c r="B328" s="136" t="str">
        <f t="shared" si="20"/>
        <v>Buje Roscado de 2"x1 1/4"</v>
      </c>
      <c r="C328" s="473" t="s">
        <v>622</v>
      </c>
      <c r="D328" s="392">
        <f t="shared" si="21"/>
        <v>5171</v>
      </c>
      <c r="E328" s="381">
        <f t="shared" si="22"/>
        <v>6153</v>
      </c>
      <c r="F328" s="139"/>
      <c r="G328" s="132"/>
      <c r="I328" s="490" t="s">
        <v>1030</v>
      </c>
      <c r="K328" s="457">
        <v>5171</v>
      </c>
      <c r="L328" s="458"/>
    </row>
    <row r="329" spans="1:12">
      <c r="A329" s="525" t="s">
        <v>1290</v>
      </c>
      <c r="B329" s="136" t="str">
        <f t="shared" si="20"/>
        <v>Buje Roscado de 2"x1 1/2"</v>
      </c>
      <c r="C329" s="473" t="s">
        <v>622</v>
      </c>
      <c r="D329" s="392">
        <f t="shared" si="21"/>
        <v>5168</v>
      </c>
      <c r="E329" s="381">
        <f t="shared" si="22"/>
        <v>6150</v>
      </c>
      <c r="F329" s="139"/>
      <c r="G329" s="132"/>
      <c r="I329" s="490" t="s">
        <v>1031</v>
      </c>
      <c r="K329" s="457">
        <v>5168</v>
      </c>
      <c r="L329" s="458"/>
    </row>
    <row r="330" spans="1:12">
      <c r="A330" s="525" t="s">
        <v>1291</v>
      </c>
      <c r="B330" s="136" t="str">
        <f t="shared" si="20"/>
        <v>Buje Roscado de 2 1/2"x1"</v>
      </c>
      <c r="C330" s="473" t="s">
        <v>622</v>
      </c>
      <c r="D330" s="392">
        <f t="shared" si="21"/>
        <v>3795</v>
      </c>
      <c r="E330" s="381">
        <f t="shared" si="22"/>
        <v>4516</v>
      </c>
      <c r="F330" s="139"/>
      <c r="G330" s="132"/>
      <c r="I330" s="490" t="s">
        <v>1032</v>
      </c>
      <c r="K330" s="457">
        <v>3795</v>
      </c>
      <c r="L330" s="458"/>
    </row>
    <row r="331" spans="1:12">
      <c r="A331" s="525" t="s">
        <v>1292</v>
      </c>
      <c r="B331" s="136" t="str">
        <f t="shared" si="20"/>
        <v>Buje Roscado de 2 1/2"x2"</v>
      </c>
      <c r="C331" s="473" t="s">
        <v>622</v>
      </c>
      <c r="D331" s="392">
        <f t="shared" si="21"/>
        <v>5180</v>
      </c>
      <c r="E331" s="381">
        <f t="shared" si="22"/>
        <v>6164</v>
      </c>
      <c r="F331" s="139"/>
      <c r="G331" s="132"/>
      <c r="I331" s="490" t="s">
        <v>1033</v>
      </c>
      <c r="K331" s="457">
        <v>5180</v>
      </c>
      <c r="L331" s="458"/>
    </row>
    <row r="332" spans="1:12">
      <c r="A332" s="525" t="s">
        <v>1293</v>
      </c>
      <c r="B332" s="136" t="str">
        <f t="shared" si="20"/>
        <v>Buje Roscado de 3"x2"</v>
      </c>
      <c r="C332" s="473" t="s">
        <v>622</v>
      </c>
      <c r="D332" s="392">
        <f t="shared" si="21"/>
        <v>22717</v>
      </c>
      <c r="E332" s="381">
        <f t="shared" si="22"/>
        <v>27033</v>
      </c>
      <c r="F332" s="139"/>
      <c r="G332" s="132"/>
      <c r="I332" s="490" t="s">
        <v>1034</v>
      </c>
      <c r="K332" s="457">
        <v>22717</v>
      </c>
      <c r="L332" s="458"/>
    </row>
    <row r="333" spans="1:12">
      <c r="A333" s="525" t="s">
        <v>1294</v>
      </c>
      <c r="B333" s="136" t="str">
        <f t="shared" si="20"/>
        <v>Buje Roscado de 4"x2 1/2"</v>
      </c>
      <c r="C333" s="473" t="s">
        <v>622</v>
      </c>
      <c r="D333" s="392">
        <f t="shared" si="21"/>
        <v>16672</v>
      </c>
      <c r="E333" s="381">
        <f t="shared" si="22"/>
        <v>19840</v>
      </c>
      <c r="F333" s="139"/>
      <c r="G333" s="132"/>
      <c r="I333" s="490" t="s">
        <v>1035</v>
      </c>
      <c r="K333" s="457">
        <v>16672</v>
      </c>
      <c r="L333" s="458"/>
    </row>
    <row r="334" spans="1:12">
      <c r="A334" s="525"/>
      <c r="B334" s="136"/>
      <c r="C334" s="135"/>
      <c r="D334" s="392"/>
      <c r="E334" s="381"/>
      <c r="F334" s="139"/>
      <c r="G334" s="132"/>
      <c r="I334" s="487"/>
      <c r="K334" s="457"/>
      <c r="L334" s="458"/>
    </row>
    <row r="335" spans="1:12">
      <c r="A335" s="525"/>
      <c r="B335" s="483" t="s">
        <v>1017</v>
      </c>
      <c r="C335" s="135"/>
      <c r="D335" s="392"/>
      <c r="E335" s="381"/>
      <c r="F335" s="139"/>
      <c r="G335" s="132"/>
      <c r="I335" s="487"/>
      <c r="K335" s="457"/>
      <c r="L335" s="458"/>
    </row>
    <row r="336" spans="1:12">
      <c r="A336" s="525" t="s">
        <v>1272</v>
      </c>
      <c r="B336" s="136" t="str">
        <f>+CONCATENATE($B$335," de ", I336)</f>
        <v>Buje Soldado de 3/4 x 1/2</v>
      </c>
      <c r="C336" s="473" t="s">
        <v>622</v>
      </c>
      <c r="D336" s="392">
        <f>+K336</f>
        <v>394</v>
      </c>
      <c r="E336" s="381">
        <f>ROUND(D336*(1+$E$39),0)</f>
        <v>469</v>
      </c>
      <c r="F336" s="139"/>
      <c r="G336" s="132"/>
      <c r="I336" s="490" t="s">
        <v>1037</v>
      </c>
      <c r="K336" s="457">
        <v>394</v>
      </c>
      <c r="L336" s="458"/>
    </row>
    <row r="337" spans="1:12">
      <c r="A337" s="525" t="s">
        <v>1295</v>
      </c>
      <c r="B337" s="136" t="str">
        <f t="shared" ref="B337:B358" si="23">+CONCATENATE($B$335," de ", I337)</f>
        <v>Buje Soldado de 1 x 1/2</v>
      </c>
      <c r="C337" s="473" t="s">
        <v>622</v>
      </c>
      <c r="D337" s="392">
        <f t="shared" ref="D337:D359" si="24">+K337</f>
        <v>787</v>
      </c>
      <c r="E337" s="381">
        <f t="shared" ref="E337:E359" si="25">ROUND(D337*(1+$E$39),0)</f>
        <v>937</v>
      </c>
      <c r="F337" s="139"/>
      <c r="G337" s="132"/>
      <c r="I337" s="490" t="s">
        <v>1038</v>
      </c>
      <c r="K337" s="457">
        <v>787</v>
      </c>
      <c r="L337" s="458"/>
    </row>
    <row r="338" spans="1:12">
      <c r="A338" s="525" t="s">
        <v>1296</v>
      </c>
      <c r="B338" s="136" t="str">
        <f t="shared" si="23"/>
        <v>Buje Soldado de 1 x 3/4</v>
      </c>
      <c r="C338" s="473" t="s">
        <v>622</v>
      </c>
      <c r="D338" s="392">
        <f t="shared" si="24"/>
        <v>787</v>
      </c>
      <c r="E338" s="381">
        <f t="shared" si="25"/>
        <v>937</v>
      </c>
      <c r="F338" s="139"/>
      <c r="G338" s="132"/>
      <c r="I338" s="490" t="s">
        <v>1039</v>
      </c>
      <c r="K338" s="457">
        <v>787</v>
      </c>
      <c r="L338" s="458"/>
    </row>
    <row r="339" spans="1:12">
      <c r="A339" s="525" t="s">
        <v>1297</v>
      </c>
      <c r="B339" s="136" t="str">
        <f t="shared" si="23"/>
        <v>Buje Soldado de 1 1/4 x 1/2</v>
      </c>
      <c r="C339" s="473" t="s">
        <v>622</v>
      </c>
      <c r="D339" s="392">
        <f t="shared" si="24"/>
        <v>1513</v>
      </c>
      <c r="E339" s="381">
        <f t="shared" si="25"/>
        <v>1800</v>
      </c>
      <c r="F339" s="139"/>
      <c r="G339" s="132"/>
      <c r="I339" s="490" t="s">
        <v>1040</v>
      </c>
      <c r="K339" s="457">
        <v>1513</v>
      </c>
      <c r="L339" s="458"/>
    </row>
    <row r="340" spans="1:12">
      <c r="A340" s="525" t="s">
        <v>1298</v>
      </c>
      <c r="B340" s="136" t="str">
        <f t="shared" si="23"/>
        <v>Buje Soldado de 1 1/4 x 3/4</v>
      </c>
      <c r="C340" s="473" t="s">
        <v>622</v>
      </c>
      <c r="D340" s="392">
        <f t="shared" si="24"/>
        <v>1513</v>
      </c>
      <c r="E340" s="381">
        <f t="shared" si="25"/>
        <v>1800</v>
      </c>
      <c r="F340" s="139"/>
      <c r="G340" s="132"/>
      <c r="I340" s="490" t="s">
        <v>1041</v>
      </c>
      <c r="K340" s="457">
        <v>1513</v>
      </c>
      <c r="L340" s="458"/>
    </row>
    <row r="341" spans="1:12">
      <c r="A341" s="525" t="s">
        <v>1299</v>
      </c>
      <c r="B341" s="136" t="str">
        <f t="shared" si="23"/>
        <v>Buje Soldado de 1 1/4 x 1</v>
      </c>
      <c r="C341" s="473" t="s">
        <v>622</v>
      </c>
      <c r="D341" s="392">
        <f t="shared" si="24"/>
        <v>1513</v>
      </c>
      <c r="E341" s="381">
        <f t="shared" si="25"/>
        <v>1800</v>
      </c>
      <c r="F341" s="139"/>
      <c r="G341" s="132"/>
      <c r="I341" s="490" t="s">
        <v>1042</v>
      </c>
      <c r="K341" s="457">
        <v>1513</v>
      </c>
      <c r="L341" s="458"/>
    </row>
    <row r="342" spans="1:12">
      <c r="A342" s="525" t="s">
        <v>1300</v>
      </c>
      <c r="B342" s="136" t="str">
        <f t="shared" si="23"/>
        <v>Buje Soldado de 1 1/2 x 1/2</v>
      </c>
      <c r="C342" s="473" t="s">
        <v>622</v>
      </c>
      <c r="D342" s="392">
        <f t="shared" si="24"/>
        <v>2336</v>
      </c>
      <c r="E342" s="381">
        <f t="shared" si="25"/>
        <v>2780</v>
      </c>
      <c r="F342" s="139"/>
      <c r="G342" s="132"/>
      <c r="I342" s="490" t="s">
        <v>1043</v>
      </c>
      <c r="K342" s="457">
        <v>2336</v>
      </c>
      <c r="L342" s="458"/>
    </row>
    <row r="343" spans="1:12">
      <c r="A343" s="525" t="s">
        <v>1301</v>
      </c>
      <c r="B343" s="136" t="str">
        <f t="shared" si="23"/>
        <v>Buje Soldado de 1 1/2 x 3/4</v>
      </c>
      <c r="C343" s="473" t="s">
        <v>622</v>
      </c>
      <c r="D343" s="392">
        <f t="shared" si="24"/>
        <v>2336</v>
      </c>
      <c r="E343" s="381">
        <f t="shared" si="25"/>
        <v>2780</v>
      </c>
      <c r="F343" s="139"/>
      <c r="G343" s="132"/>
      <c r="I343" s="490" t="s">
        <v>1044</v>
      </c>
      <c r="K343" s="457">
        <v>2336</v>
      </c>
      <c r="L343" s="458"/>
    </row>
    <row r="344" spans="1:12">
      <c r="A344" s="525" t="s">
        <v>1302</v>
      </c>
      <c r="B344" s="136" t="str">
        <f t="shared" si="23"/>
        <v>Buje Soldado de 1 1/2 x 1</v>
      </c>
      <c r="C344" s="473" t="s">
        <v>622</v>
      </c>
      <c r="D344" s="392">
        <f t="shared" si="24"/>
        <v>2336</v>
      </c>
      <c r="E344" s="381">
        <f t="shared" si="25"/>
        <v>2780</v>
      </c>
      <c r="F344" s="139"/>
      <c r="G344" s="132"/>
      <c r="I344" s="490" t="s">
        <v>1045</v>
      </c>
      <c r="K344" s="457">
        <v>2336</v>
      </c>
      <c r="L344" s="458"/>
    </row>
    <row r="345" spans="1:12">
      <c r="A345" s="525" t="s">
        <v>1303</v>
      </c>
      <c r="B345" s="136" t="str">
        <f t="shared" si="23"/>
        <v>Buje Soldado de 1 1/2 x 1 1/4</v>
      </c>
      <c r="C345" s="473" t="s">
        <v>622</v>
      </c>
      <c r="D345" s="392">
        <f t="shared" si="24"/>
        <v>2336</v>
      </c>
      <c r="E345" s="381">
        <f t="shared" si="25"/>
        <v>2780</v>
      </c>
      <c r="F345" s="139"/>
      <c r="G345" s="132"/>
      <c r="I345" s="490" t="s">
        <v>1046</v>
      </c>
      <c r="K345" s="457">
        <v>2336</v>
      </c>
      <c r="L345" s="458"/>
    </row>
    <row r="346" spans="1:12">
      <c r="A346" s="525" t="s">
        <v>1304</v>
      </c>
      <c r="B346" s="136" t="str">
        <f t="shared" si="23"/>
        <v>Buje Soldado de 2 x 1/2</v>
      </c>
      <c r="C346" s="473" t="s">
        <v>622</v>
      </c>
      <c r="D346" s="392">
        <f t="shared" si="24"/>
        <v>3573</v>
      </c>
      <c r="E346" s="381">
        <f t="shared" si="25"/>
        <v>4252</v>
      </c>
      <c r="F346" s="139"/>
      <c r="G346" s="132"/>
      <c r="I346" s="490" t="s">
        <v>1047</v>
      </c>
      <c r="K346" s="457">
        <v>3573</v>
      </c>
      <c r="L346" s="458"/>
    </row>
    <row r="347" spans="1:12">
      <c r="A347" s="525" t="s">
        <v>1305</v>
      </c>
      <c r="B347" s="136" t="str">
        <f t="shared" si="23"/>
        <v>Buje Soldado de 2 x 3/4</v>
      </c>
      <c r="C347" s="473" t="s">
        <v>622</v>
      </c>
      <c r="D347" s="392">
        <f t="shared" si="24"/>
        <v>3573</v>
      </c>
      <c r="E347" s="381">
        <f t="shared" si="25"/>
        <v>4252</v>
      </c>
      <c r="F347" s="139"/>
      <c r="G347" s="132"/>
      <c r="I347" s="490" t="s">
        <v>1048</v>
      </c>
      <c r="K347" s="457">
        <v>3573</v>
      </c>
      <c r="L347" s="458"/>
    </row>
    <row r="348" spans="1:12">
      <c r="A348" s="525" t="s">
        <v>1307</v>
      </c>
      <c r="B348" s="136" t="str">
        <f t="shared" si="23"/>
        <v>Buje Soldado de 2 x 1</v>
      </c>
      <c r="C348" s="473" t="s">
        <v>622</v>
      </c>
      <c r="D348" s="392">
        <f t="shared" si="24"/>
        <v>3573</v>
      </c>
      <c r="E348" s="381">
        <f t="shared" si="25"/>
        <v>4252</v>
      </c>
      <c r="F348" s="139"/>
      <c r="G348" s="132"/>
      <c r="I348" s="498" t="s">
        <v>1306</v>
      </c>
      <c r="K348" s="457">
        <v>3573</v>
      </c>
      <c r="L348" s="458"/>
    </row>
    <row r="349" spans="1:12">
      <c r="A349" s="525" t="s">
        <v>1308</v>
      </c>
      <c r="B349" s="136" t="str">
        <f t="shared" si="23"/>
        <v>Buje Soldado de 2 x 1 1/4</v>
      </c>
      <c r="C349" s="473" t="s">
        <v>622</v>
      </c>
      <c r="D349" s="392">
        <f t="shared" si="24"/>
        <v>3573</v>
      </c>
      <c r="E349" s="381">
        <f t="shared" si="25"/>
        <v>4252</v>
      </c>
      <c r="F349" s="139"/>
      <c r="G349" s="132"/>
      <c r="I349" s="490" t="s">
        <v>1049</v>
      </c>
      <c r="K349" s="457">
        <v>3573</v>
      </c>
      <c r="L349" s="458"/>
    </row>
    <row r="350" spans="1:12">
      <c r="A350" s="525" t="s">
        <v>1309</v>
      </c>
      <c r="B350" s="136" t="str">
        <f t="shared" si="23"/>
        <v>Buje Soldado de 2 x 1 1/2</v>
      </c>
      <c r="C350" s="473" t="s">
        <v>622</v>
      </c>
      <c r="D350" s="392">
        <f t="shared" si="24"/>
        <v>3573</v>
      </c>
      <c r="E350" s="381">
        <f t="shared" si="25"/>
        <v>4252</v>
      </c>
      <c r="F350" s="139"/>
      <c r="G350" s="132"/>
      <c r="I350" s="490" t="s">
        <v>1050</v>
      </c>
      <c r="K350" s="457">
        <v>3573</v>
      </c>
      <c r="L350" s="458"/>
    </row>
    <row r="351" spans="1:12">
      <c r="A351" s="525" t="s">
        <v>1310</v>
      </c>
      <c r="B351" s="136" t="str">
        <f t="shared" si="23"/>
        <v>Buje Soldado de 2 1/2 x 1 1/2</v>
      </c>
      <c r="C351" s="473" t="s">
        <v>622</v>
      </c>
      <c r="D351" s="392">
        <f t="shared" si="24"/>
        <v>8965</v>
      </c>
      <c r="E351" s="381">
        <f t="shared" si="25"/>
        <v>10668</v>
      </c>
      <c r="F351" s="139"/>
      <c r="G351" s="132"/>
      <c r="I351" s="490" t="s">
        <v>1051</v>
      </c>
      <c r="K351" s="457">
        <v>8965</v>
      </c>
      <c r="L351" s="458"/>
    </row>
    <row r="352" spans="1:12">
      <c r="A352" s="525" t="s">
        <v>1311</v>
      </c>
      <c r="B352" s="136" t="str">
        <f t="shared" si="23"/>
        <v>Buje Soldado de 2 1/2 x 2</v>
      </c>
      <c r="C352" s="473" t="s">
        <v>622</v>
      </c>
      <c r="D352" s="392">
        <f t="shared" si="24"/>
        <v>8420</v>
      </c>
      <c r="E352" s="381">
        <f t="shared" si="25"/>
        <v>10020</v>
      </c>
      <c r="F352" s="139"/>
      <c r="G352" s="132"/>
      <c r="I352" s="490" t="s">
        <v>1052</v>
      </c>
      <c r="K352" s="457">
        <v>8420</v>
      </c>
      <c r="L352" s="458"/>
    </row>
    <row r="353" spans="1:12">
      <c r="A353" s="525" t="s">
        <v>1312</v>
      </c>
      <c r="B353" s="136" t="str">
        <f t="shared" si="23"/>
        <v>Buje Soldado de 3 x 11/2</v>
      </c>
      <c r="C353" s="473" t="s">
        <v>622</v>
      </c>
      <c r="D353" s="392">
        <f t="shared" si="24"/>
        <v>10406</v>
      </c>
      <c r="E353" s="381">
        <f t="shared" si="25"/>
        <v>12383</v>
      </c>
      <c r="F353" s="139"/>
      <c r="G353" s="132"/>
      <c r="I353" s="490" t="s">
        <v>1053</v>
      </c>
      <c r="K353" s="457">
        <v>10406</v>
      </c>
      <c r="L353" s="458"/>
    </row>
    <row r="354" spans="1:12">
      <c r="A354" s="525" t="s">
        <v>1313</v>
      </c>
      <c r="B354" s="136" t="str">
        <f t="shared" si="23"/>
        <v>Buje Soldado de 3 x 2</v>
      </c>
      <c r="C354" s="473" t="s">
        <v>622</v>
      </c>
      <c r="D354" s="392">
        <f t="shared" si="24"/>
        <v>12862</v>
      </c>
      <c r="E354" s="381">
        <f t="shared" si="25"/>
        <v>15306</v>
      </c>
      <c r="F354" s="139"/>
      <c r="G354" s="132"/>
      <c r="I354" s="490" t="s">
        <v>1054</v>
      </c>
      <c r="K354" s="457">
        <v>12862</v>
      </c>
      <c r="L354" s="458"/>
    </row>
    <row r="355" spans="1:12">
      <c r="A355" s="525" t="s">
        <v>1314</v>
      </c>
      <c r="B355" s="136" t="str">
        <f t="shared" si="23"/>
        <v>Buje Soldado de 3 x 2 1/2</v>
      </c>
      <c r="C355" s="473" t="s">
        <v>622</v>
      </c>
      <c r="D355" s="392">
        <f t="shared" si="24"/>
        <v>12862</v>
      </c>
      <c r="E355" s="381">
        <f t="shared" si="25"/>
        <v>15306</v>
      </c>
      <c r="F355" s="139"/>
      <c r="G355" s="132"/>
      <c r="I355" s="490" t="s">
        <v>1055</v>
      </c>
      <c r="K355" s="457">
        <v>12862</v>
      </c>
      <c r="L355" s="458"/>
    </row>
    <row r="356" spans="1:12">
      <c r="A356" s="525" t="s">
        <v>1315</v>
      </c>
      <c r="B356" s="136" t="str">
        <f t="shared" si="23"/>
        <v>Buje Soldado de 4 x 2</v>
      </c>
      <c r="C356" s="473" t="s">
        <v>622</v>
      </c>
      <c r="D356" s="392">
        <f t="shared" si="24"/>
        <v>20299</v>
      </c>
      <c r="E356" s="381">
        <f t="shared" si="25"/>
        <v>24156</v>
      </c>
      <c r="F356" s="139"/>
      <c r="G356" s="132"/>
      <c r="I356" s="490" t="s">
        <v>1056</v>
      </c>
      <c r="K356" s="457">
        <v>20299</v>
      </c>
      <c r="L356" s="458"/>
    </row>
    <row r="357" spans="1:12">
      <c r="A357" s="525" t="s">
        <v>1316</v>
      </c>
      <c r="B357" s="136" t="str">
        <f t="shared" si="23"/>
        <v>Buje Soldado de 4 x 2 1/2</v>
      </c>
      <c r="C357" s="473" t="s">
        <v>622</v>
      </c>
      <c r="D357" s="392">
        <f t="shared" si="24"/>
        <v>20299</v>
      </c>
      <c r="E357" s="381">
        <f t="shared" si="25"/>
        <v>24156</v>
      </c>
      <c r="F357" s="139"/>
      <c r="G357" s="132"/>
      <c r="I357" s="490" t="s">
        <v>1057</v>
      </c>
      <c r="K357" s="457">
        <v>20299</v>
      </c>
      <c r="L357" s="458"/>
    </row>
    <row r="358" spans="1:12">
      <c r="A358" s="525" t="s">
        <v>1317</v>
      </c>
      <c r="B358" s="136" t="str">
        <f t="shared" si="23"/>
        <v>Buje Soldado de 4 x 3</v>
      </c>
      <c r="C358" s="473" t="s">
        <v>622</v>
      </c>
      <c r="D358" s="392">
        <f t="shared" si="24"/>
        <v>20299</v>
      </c>
      <c r="E358" s="381">
        <f t="shared" si="25"/>
        <v>24156</v>
      </c>
      <c r="F358" s="139"/>
      <c r="G358" s="132"/>
      <c r="I358" s="490" t="s">
        <v>1058</v>
      </c>
      <c r="K358" s="457">
        <v>20299</v>
      </c>
      <c r="L358" s="458"/>
    </row>
    <row r="359" spans="1:12">
      <c r="A359" s="525" t="s">
        <v>1318</v>
      </c>
      <c r="B359" s="136" t="str">
        <f>+CONCATENATE($B$335," de ", I359)</f>
        <v>Buje Soldado de 6 x 4</v>
      </c>
      <c r="C359" s="473" t="s">
        <v>622</v>
      </c>
      <c r="D359" s="392">
        <f t="shared" si="24"/>
        <v>46193</v>
      </c>
      <c r="E359" s="381">
        <f t="shared" si="25"/>
        <v>54970</v>
      </c>
      <c r="F359" s="139"/>
      <c r="G359" s="132"/>
      <c r="I359" s="490" t="s">
        <v>1059</v>
      </c>
      <c r="K359" s="457">
        <v>46193</v>
      </c>
      <c r="L359" s="458"/>
    </row>
    <row r="360" spans="1:12">
      <c r="A360" s="525"/>
      <c r="B360" s="136"/>
      <c r="C360" s="135"/>
      <c r="D360" s="392"/>
      <c r="E360" s="381"/>
      <c r="F360" s="139"/>
      <c r="G360" s="132"/>
      <c r="I360" s="487"/>
      <c r="K360" s="457"/>
      <c r="L360" s="458"/>
    </row>
    <row r="361" spans="1:12">
      <c r="A361" s="525"/>
      <c r="B361" s="483" t="s">
        <v>1061</v>
      </c>
      <c r="C361" s="135"/>
      <c r="D361" s="392"/>
      <c r="E361" s="381"/>
      <c r="F361" s="139"/>
      <c r="G361" s="132"/>
      <c r="I361" s="487"/>
      <c r="K361" s="457"/>
      <c r="L361" s="458"/>
    </row>
    <row r="362" spans="1:12">
      <c r="A362" s="525" t="s">
        <v>1339</v>
      </c>
      <c r="B362" s="136" t="str">
        <f>+CONCATENATE($B$361," ", I362)</f>
        <v>Codo PVC soldado de 90° x 1/2</v>
      </c>
      <c r="C362" s="473" t="s">
        <v>622</v>
      </c>
      <c r="D362" s="392">
        <f>+K362</f>
        <v>407</v>
      </c>
      <c r="E362" s="381">
        <f>ROUND(D362*(1+$E$39),0)</f>
        <v>484</v>
      </c>
      <c r="F362" s="139"/>
      <c r="G362" s="132"/>
      <c r="I362" s="491" t="s">
        <v>1063</v>
      </c>
      <c r="K362" s="457">
        <v>407</v>
      </c>
      <c r="L362" s="458"/>
    </row>
    <row r="363" spans="1:12">
      <c r="A363" s="525" t="s">
        <v>1340</v>
      </c>
      <c r="B363" s="136" t="str">
        <f t="shared" ref="B363:B371" si="26">+CONCATENATE($B$361," ", I363)</f>
        <v>Codo PVC soldado de 90° x 3/4</v>
      </c>
      <c r="C363" s="473" t="s">
        <v>622</v>
      </c>
      <c r="D363" s="392">
        <f t="shared" ref="D363:D371" si="27">+K363</f>
        <v>653</v>
      </c>
      <c r="E363" s="381">
        <f t="shared" ref="E363:E371" si="28">ROUND(D363*(1+$E$39),0)</f>
        <v>777</v>
      </c>
      <c r="F363" s="139"/>
      <c r="G363" s="132"/>
      <c r="I363" s="491" t="s">
        <v>1062</v>
      </c>
      <c r="K363" s="457">
        <v>653</v>
      </c>
      <c r="L363" s="458"/>
    </row>
    <row r="364" spans="1:12">
      <c r="A364" s="525" t="s">
        <v>1341</v>
      </c>
      <c r="B364" s="136" t="str">
        <f t="shared" si="26"/>
        <v>Codo PVC soldado de 90° x 1</v>
      </c>
      <c r="C364" s="473" t="s">
        <v>622</v>
      </c>
      <c r="D364" s="392">
        <f t="shared" si="27"/>
        <v>1278</v>
      </c>
      <c r="E364" s="381">
        <f t="shared" si="28"/>
        <v>1521</v>
      </c>
      <c r="F364" s="139"/>
      <c r="G364" s="132"/>
      <c r="I364" s="491" t="s">
        <v>1064</v>
      </c>
      <c r="K364" s="457">
        <v>1278</v>
      </c>
      <c r="L364" s="458"/>
    </row>
    <row r="365" spans="1:12">
      <c r="A365" s="525" t="s">
        <v>1342</v>
      </c>
      <c r="B365" s="136" t="str">
        <f t="shared" si="26"/>
        <v>Codo PVC soldado de 90° x 1 1/4</v>
      </c>
      <c r="C365" s="473" t="s">
        <v>622</v>
      </c>
      <c r="D365" s="392">
        <f t="shared" si="27"/>
        <v>2458</v>
      </c>
      <c r="E365" s="381">
        <f t="shared" si="28"/>
        <v>2925</v>
      </c>
      <c r="F365" s="139"/>
      <c r="G365" s="132"/>
      <c r="I365" s="491" t="s">
        <v>1065</v>
      </c>
      <c r="K365" s="457">
        <v>2458</v>
      </c>
      <c r="L365" s="458"/>
    </row>
    <row r="366" spans="1:12">
      <c r="A366" s="525" t="s">
        <v>1343</v>
      </c>
      <c r="B366" s="136" t="str">
        <f t="shared" si="26"/>
        <v>Codo PVC soldado de 90° x 1 1/2</v>
      </c>
      <c r="C366" s="473" t="s">
        <v>622</v>
      </c>
      <c r="D366" s="392">
        <f t="shared" si="27"/>
        <v>4589</v>
      </c>
      <c r="E366" s="381">
        <f t="shared" si="28"/>
        <v>5461</v>
      </c>
      <c r="F366" s="139"/>
      <c r="G366" s="132"/>
      <c r="I366" s="491" t="s">
        <v>1066</v>
      </c>
      <c r="K366" s="457">
        <v>4589</v>
      </c>
      <c r="L366" s="458"/>
    </row>
    <row r="367" spans="1:12">
      <c r="A367" s="525" t="s">
        <v>1344</v>
      </c>
      <c r="B367" s="136" t="str">
        <f t="shared" si="26"/>
        <v>Codo PVC soldado de 90° x 2</v>
      </c>
      <c r="C367" s="473" t="s">
        <v>622</v>
      </c>
      <c r="D367" s="392">
        <f t="shared" si="27"/>
        <v>7524</v>
      </c>
      <c r="E367" s="381">
        <f t="shared" si="28"/>
        <v>8954</v>
      </c>
      <c r="F367" s="139"/>
      <c r="G367" s="132"/>
      <c r="I367" s="491">
        <v>2</v>
      </c>
      <c r="K367" s="457">
        <v>7524</v>
      </c>
      <c r="L367" s="458"/>
    </row>
    <row r="368" spans="1:12">
      <c r="A368" s="525" t="s">
        <v>1345</v>
      </c>
      <c r="B368" s="136" t="str">
        <f t="shared" si="26"/>
        <v>Codo PVC soldado de 90° x 2 1/2</v>
      </c>
      <c r="C368" s="473" t="s">
        <v>622</v>
      </c>
      <c r="D368" s="392">
        <f t="shared" si="27"/>
        <v>21669</v>
      </c>
      <c r="E368" s="381">
        <f t="shared" si="28"/>
        <v>25786</v>
      </c>
      <c r="F368" s="139"/>
      <c r="G368" s="132"/>
      <c r="I368" s="491" t="s">
        <v>1067</v>
      </c>
      <c r="K368" s="457">
        <v>21669</v>
      </c>
      <c r="L368" s="458"/>
    </row>
    <row r="369" spans="1:12">
      <c r="A369" s="525" t="s">
        <v>1346</v>
      </c>
      <c r="B369" s="136" t="str">
        <f t="shared" si="26"/>
        <v>Codo PVC soldado de 90° x 3</v>
      </c>
      <c r="C369" s="473" t="s">
        <v>622</v>
      </c>
      <c r="D369" s="392">
        <f t="shared" si="27"/>
        <v>28043</v>
      </c>
      <c r="E369" s="381">
        <f t="shared" si="28"/>
        <v>33371</v>
      </c>
      <c r="F369" s="139"/>
      <c r="G369" s="132"/>
      <c r="I369" s="491">
        <v>3</v>
      </c>
      <c r="K369" s="457">
        <v>28043</v>
      </c>
      <c r="L369" s="458"/>
    </row>
    <row r="370" spans="1:12">
      <c r="A370" s="525" t="s">
        <v>1347</v>
      </c>
      <c r="B370" s="136" t="str">
        <f t="shared" si="26"/>
        <v>Codo PVC soldado de 90° x 4</v>
      </c>
      <c r="C370" s="473" t="s">
        <v>622</v>
      </c>
      <c r="D370" s="392">
        <f t="shared" si="27"/>
        <v>60836</v>
      </c>
      <c r="E370" s="381">
        <f t="shared" si="28"/>
        <v>72395</v>
      </c>
      <c r="F370" s="139"/>
      <c r="G370" s="132"/>
      <c r="I370" s="491">
        <v>4</v>
      </c>
      <c r="K370" s="457">
        <v>60836</v>
      </c>
      <c r="L370" s="458"/>
    </row>
    <row r="371" spans="1:12">
      <c r="A371" s="525" t="s">
        <v>1348</v>
      </c>
      <c r="B371" s="136" t="str">
        <f t="shared" si="26"/>
        <v>Codo PVC soldado de 90° x 6</v>
      </c>
      <c r="C371" s="473" t="s">
        <v>622</v>
      </c>
      <c r="D371" s="392">
        <f t="shared" si="27"/>
        <v>97624</v>
      </c>
      <c r="E371" s="381">
        <f t="shared" si="28"/>
        <v>116173</v>
      </c>
      <c r="F371" s="139"/>
      <c r="G371" s="132"/>
      <c r="I371" s="492">
        <v>6</v>
      </c>
      <c r="K371" s="457">
        <v>97624</v>
      </c>
      <c r="L371" s="458"/>
    </row>
    <row r="372" spans="1:12">
      <c r="A372" s="525"/>
      <c r="B372" s="136"/>
      <c r="C372" s="135"/>
      <c r="D372" s="392"/>
      <c r="E372" s="381"/>
      <c r="F372" s="139"/>
      <c r="G372" s="132"/>
      <c r="I372" s="487"/>
      <c r="K372" s="457"/>
      <c r="L372" s="458"/>
    </row>
    <row r="373" spans="1:12">
      <c r="A373" s="525"/>
      <c r="B373" s="483" t="s">
        <v>1068</v>
      </c>
      <c r="C373" s="135"/>
      <c r="D373" s="392"/>
      <c r="E373" s="381"/>
      <c r="F373" s="139"/>
      <c r="G373" s="132"/>
      <c r="I373" s="487"/>
      <c r="K373" s="457"/>
      <c r="L373" s="458"/>
    </row>
    <row r="374" spans="1:12">
      <c r="A374" s="525" t="s">
        <v>1319</v>
      </c>
      <c r="B374" s="136" t="str">
        <f>+CONCATENATE($B$373," ", I374)</f>
        <v>Codo PVC roscado-soldado de 90° x 1/2"</v>
      </c>
      <c r="C374" s="473" t="s">
        <v>622</v>
      </c>
      <c r="D374" s="392">
        <f>+K374</f>
        <v>1014</v>
      </c>
      <c r="E374" s="381">
        <f>ROUND(D374*(1+$E$39),0)</f>
        <v>1207</v>
      </c>
      <c r="F374" s="139"/>
      <c r="G374" s="132"/>
      <c r="I374" s="493" t="s">
        <v>1002</v>
      </c>
      <c r="K374" s="457">
        <v>1014</v>
      </c>
      <c r="L374" s="458"/>
    </row>
    <row r="375" spans="1:12">
      <c r="A375" s="525"/>
      <c r="B375" s="136"/>
      <c r="C375" s="135"/>
      <c r="D375" s="392"/>
      <c r="E375" s="381"/>
      <c r="F375" s="139"/>
      <c r="G375" s="132"/>
      <c r="I375" s="487"/>
      <c r="K375" s="457"/>
      <c r="L375" s="458"/>
    </row>
    <row r="376" spans="1:12">
      <c r="A376" s="525"/>
      <c r="B376" s="483" t="s">
        <v>1069</v>
      </c>
      <c r="C376" s="135"/>
      <c r="D376" s="392"/>
      <c r="E376" s="381"/>
      <c r="F376" s="139"/>
      <c r="G376" s="132"/>
      <c r="I376" s="487"/>
      <c r="K376" s="457"/>
      <c r="L376" s="458"/>
    </row>
    <row r="377" spans="1:12">
      <c r="A377" s="525" t="s">
        <v>1349</v>
      </c>
      <c r="B377" s="136" t="str">
        <f>+CONCATENATE($B$376," ", I377)</f>
        <v>Codo PVC soldado de 45° x 1/2"</v>
      </c>
      <c r="C377" s="473" t="s">
        <v>622</v>
      </c>
      <c r="D377" s="392">
        <f>+K377</f>
        <v>673</v>
      </c>
      <c r="E377" s="381">
        <f>ROUND(D377*(1+$E$39),0)</f>
        <v>801</v>
      </c>
      <c r="F377" s="139"/>
      <c r="G377" s="132"/>
      <c r="I377" s="494" t="s">
        <v>1002</v>
      </c>
      <c r="K377" s="457">
        <v>673</v>
      </c>
      <c r="L377" s="458"/>
    </row>
    <row r="378" spans="1:12">
      <c r="A378" s="525" t="s">
        <v>1350</v>
      </c>
      <c r="B378" s="136" t="str">
        <f t="shared" ref="B378:B385" si="29">+CONCATENATE($B$376," ", I378)</f>
        <v>Codo PVC soldado de 45° x 3/4"</v>
      </c>
      <c r="C378" s="473" t="s">
        <v>622</v>
      </c>
      <c r="D378" s="392">
        <f t="shared" ref="D378:D385" si="30">+K378</f>
        <v>1078</v>
      </c>
      <c r="E378" s="381">
        <f t="shared" ref="E378:E385" si="31">ROUND(D378*(1+$E$39),0)</f>
        <v>1283</v>
      </c>
      <c r="F378" s="139"/>
      <c r="G378" s="132"/>
      <c r="I378" s="494" t="s">
        <v>1003</v>
      </c>
      <c r="K378" s="457">
        <v>1078</v>
      </c>
      <c r="L378" s="458"/>
    </row>
    <row r="379" spans="1:12">
      <c r="A379" s="525" t="s">
        <v>1351</v>
      </c>
      <c r="B379" s="136" t="str">
        <f t="shared" si="29"/>
        <v>Codo PVC soldado de 45° x 1"</v>
      </c>
      <c r="C379" s="473" t="s">
        <v>622</v>
      </c>
      <c r="D379" s="392">
        <f t="shared" si="30"/>
        <v>2055</v>
      </c>
      <c r="E379" s="381">
        <f t="shared" si="31"/>
        <v>2445</v>
      </c>
      <c r="F379" s="139"/>
      <c r="G379" s="132"/>
      <c r="I379" s="494" t="s">
        <v>1004</v>
      </c>
      <c r="K379" s="457">
        <v>2055</v>
      </c>
      <c r="L379" s="458"/>
    </row>
    <row r="380" spans="1:12">
      <c r="A380" s="525" t="s">
        <v>1352</v>
      </c>
      <c r="B380" s="136" t="str">
        <f t="shared" si="29"/>
        <v>Codo PVC soldado de 45° x 1 1/4"</v>
      </c>
      <c r="C380" s="473" t="s">
        <v>622</v>
      </c>
      <c r="D380" s="392">
        <f t="shared" si="30"/>
        <v>3716</v>
      </c>
      <c r="E380" s="381">
        <f t="shared" si="31"/>
        <v>4422</v>
      </c>
      <c r="F380" s="139"/>
      <c r="G380" s="132"/>
      <c r="I380" s="494" t="s">
        <v>1005</v>
      </c>
      <c r="K380" s="457">
        <v>3716</v>
      </c>
      <c r="L380" s="458"/>
    </row>
    <row r="381" spans="1:12">
      <c r="A381" s="525" t="s">
        <v>1353</v>
      </c>
      <c r="B381" s="136" t="str">
        <f t="shared" si="29"/>
        <v>Codo PVC soldado de 45° x 1 1/2"</v>
      </c>
      <c r="C381" s="473" t="s">
        <v>622</v>
      </c>
      <c r="D381" s="392">
        <f t="shared" si="30"/>
        <v>4983</v>
      </c>
      <c r="E381" s="381">
        <f t="shared" si="31"/>
        <v>5930</v>
      </c>
      <c r="F381" s="139"/>
      <c r="G381" s="132"/>
      <c r="I381" s="494" t="s">
        <v>1006</v>
      </c>
      <c r="K381" s="457">
        <v>4983</v>
      </c>
      <c r="L381" s="458"/>
    </row>
    <row r="382" spans="1:12">
      <c r="A382" s="525" t="s">
        <v>1354</v>
      </c>
      <c r="B382" s="136" t="str">
        <f t="shared" si="29"/>
        <v>Codo PVC soldado de 45° x 2"</v>
      </c>
      <c r="C382" s="473" t="s">
        <v>622</v>
      </c>
      <c r="D382" s="392">
        <f t="shared" si="30"/>
        <v>8244</v>
      </c>
      <c r="E382" s="381">
        <f t="shared" si="31"/>
        <v>9810</v>
      </c>
      <c r="F382" s="139"/>
      <c r="G382" s="132"/>
      <c r="I382" s="494" t="s">
        <v>1007</v>
      </c>
      <c r="K382" s="457">
        <v>8244</v>
      </c>
      <c r="L382" s="458"/>
    </row>
    <row r="383" spans="1:12">
      <c r="A383" s="525" t="s">
        <v>1355</v>
      </c>
      <c r="B383" s="136" t="str">
        <f t="shared" si="29"/>
        <v>Codo PVC soldado de 45° x 2 1/2"</v>
      </c>
      <c r="C383" s="473" t="s">
        <v>622</v>
      </c>
      <c r="D383" s="392">
        <f t="shared" si="30"/>
        <v>23239</v>
      </c>
      <c r="E383" s="381">
        <f t="shared" si="31"/>
        <v>27654</v>
      </c>
      <c r="F383" s="139"/>
      <c r="G383" s="132"/>
      <c r="I383" s="494" t="s">
        <v>1008</v>
      </c>
      <c r="K383" s="457">
        <v>23239</v>
      </c>
      <c r="L383" s="458"/>
    </row>
    <row r="384" spans="1:12">
      <c r="A384" s="525" t="s">
        <v>1619</v>
      </c>
      <c r="B384" s="136" t="str">
        <f t="shared" si="29"/>
        <v>Codo PVC soldado de 45° x 3"</v>
      </c>
      <c r="C384" s="473" t="s">
        <v>622</v>
      </c>
      <c r="D384" s="392">
        <f t="shared" si="30"/>
        <v>26541</v>
      </c>
      <c r="E384" s="381">
        <f t="shared" si="31"/>
        <v>31584</v>
      </c>
      <c r="F384" s="139"/>
      <c r="G384" s="132"/>
      <c r="I384" s="494" t="s">
        <v>1009</v>
      </c>
      <c r="K384" s="457">
        <v>26541</v>
      </c>
      <c r="L384" s="458"/>
    </row>
    <row r="385" spans="1:12">
      <c r="A385" s="525" t="s">
        <v>1356</v>
      </c>
      <c r="B385" s="136" t="str">
        <f t="shared" si="29"/>
        <v>Codo PVC soldado de 45° x 4"</v>
      </c>
      <c r="C385" s="473" t="s">
        <v>622</v>
      </c>
      <c r="D385" s="392">
        <f t="shared" si="30"/>
        <v>56466</v>
      </c>
      <c r="E385" s="381">
        <f t="shared" si="31"/>
        <v>67195</v>
      </c>
      <c r="F385" s="139"/>
      <c r="G385" s="132"/>
      <c r="I385" s="495" t="s">
        <v>1010</v>
      </c>
      <c r="K385" s="457">
        <v>56466</v>
      </c>
      <c r="L385" s="458"/>
    </row>
    <row r="386" spans="1:12">
      <c r="A386" s="525"/>
      <c r="B386" s="136"/>
      <c r="C386" s="135"/>
      <c r="D386" s="392"/>
      <c r="E386" s="381"/>
      <c r="F386" s="139"/>
      <c r="G386" s="132"/>
      <c r="I386" s="487"/>
      <c r="K386" s="457"/>
      <c r="L386" s="458"/>
    </row>
    <row r="387" spans="1:12">
      <c r="A387" s="525"/>
      <c r="B387" s="483" t="s">
        <v>1070</v>
      </c>
      <c r="C387" s="135"/>
      <c r="D387" s="392"/>
      <c r="E387" s="381"/>
      <c r="F387" s="139"/>
      <c r="G387" s="132"/>
      <c r="I387" s="487"/>
      <c r="K387" s="457"/>
      <c r="L387" s="458"/>
    </row>
    <row r="388" spans="1:12">
      <c r="A388" s="525" t="s">
        <v>1320</v>
      </c>
      <c r="B388" s="136" t="str">
        <f>+CONCATENATE($B$387," de ", I388)</f>
        <v>Tapón Roscado PVC de 1/2"</v>
      </c>
      <c r="C388" s="473" t="s">
        <v>622</v>
      </c>
      <c r="D388" s="392">
        <f>+K388</f>
        <v>317</v>
      </c>
      <c r="E388" s="381">
        <f>ROUND(D388*(1+$E$39),0)</f>
        <v>377</v>
      </c>
      <c r="F388" s="139"/>
      <c r="G388" s="132"/>
      <c r="I388" s="496" t="s">
        <v>1002</v>
      </c>
      <c r="K388" s="457">
        <v>317</v>
      </c>
      <c r="L388" s="458"/>
    </row>
    <row r="389" spans="1:12">
      <c r="A389" s="525" t="s">
        <v>1321</v>
      </c>
      <c r="B389" s="136" t="str">
        <f t="shared" ref="B389:B396" si="32">+CONCATENATE($B$387," de ", I389)</f>
        <v>Tapón Roscado PVC de 3/4"</v>
      </c>
      <c r="C389" s="473" t="s">
        <v>622</v>
      </c>
      <c r="D389" s="392">
        <f t="shared" ref="D389:D396" si="33">+K389</f>
        <v>934</v>
      </c>
      <c r="E389" s="381">
        <f t="shared" ref="E389:E396" si="34">ROUND(D389*(1+$E$39),0)</f>
        <v>1111</v>
      </c>
      <c r="F389" s="139"/>
      <c r="G389" s="132"/>
      <c r="I389" s="496" t="s">
        <v>1003</v>
      </c>
      <c r="K389" s="457">
        <v>934</v>
      </c>
      <c r="L389" s="458"/>
    </row>
    <row r="390" spans="1:12">
      <c r="A390" s="525" t="s">
        <v>1322</v>
      </c>
      <c r="B390" s="136" t="str">
        <f t="shared" si="32"/>
        <v>Tapón Roscado PVC de 1"</v>
      </c>
      <c r="C390" s="473" t="s">
        <v>622</v>
      </c>
      <c r="D390" s="392">
        <f t="shared" si="33"/>
        <v>1330</v>
      </c>
      <c r="E390" s="381">
        <f t="shared" si="34"/>
        <v>1583</v>
      </c>
      <c r="F390" s="139"/>
      <c r="G390" s="132"/>
      <c r="I390" s="497" t="s">
        <v>1004</v>
      </c>
      <c r="K390" s="457">
        <v>1330</v>
      </c>
      <c r="L390" s="458"/>
    </row>
    <row r="391" spans="1:12">
      <c r="A391" s="525" t="s">
        <v>1326</v>
      </c>
      <c r="B391" s="136" t="str">
        <f t="shared" si="32"/>
        <v>Tapón Roscado PVC de 1 1/4"</v>
      </c>
      <c r="C391" s="473" t="s">
        <v>622</v>
      </c>
      <c r="D391" s="392">
        <f t="shared" si="33"/>
        <v>2355</v>
      </c>
      <c r="E391" s="381">
        <f t="shared" si="34"/>
        <v>2802</v>
      </c>
      <c r="F391" s="139"/>
      <c r="G391" s="132"/>
      <c r="I391" s="497" t="s">
        <v>1005</v>
      </c>
      <c r="K391" s="457">
        <v>2355</v>
      </c>
      <c r="L391" s="458"/>
    </row>
    <row r="392" spans="1:12">
      <c r="A392" s="525" t="s">
        <v>1327</v>
      </c>
      <c r="B392" s="136" t="str">
        <f t="shared" si="32"/>
        <v>Tapón Roscado PVC de 1 1/2"</v>
      </c>
      <c r="C392" s="473" t="s">
        <v>622</v>
      </c>
      <c r="D392" s="392">
        <f t="shared" si="33"/>
        <v>3117</v>
      </c>
      <c r="E392" s="381">
        <f t="shared" si="34"/>
        <v>3709</v>
      </c>
      <c r="F392" s="139"/>
      <c r="G392" s="132"/>
      <c r="I392" s="497" t="s">
        <v>1006</v>
      </c>
      <c r="K392" s="457">
        <v>3117</v>
      </c>
      <c r="L392" s="458"/>
    </row>
    <row r="393" spans="1:12">
      <c r="A393" s="525" t="s">
        <v>1323</v>
      </c>
      <c r="B393" s="136" t="str">
        <f t="shared" si="32"/>
        <v>Tapón Roscado PVC de 2"</v>
      </c>
      <c r="C393" s="473" t="s">
        <v>622</v>
      </c>
      <c r="D393" s="392">
        <f t="shared" si="33"/>
        <v>5097</v>
      </c>
      <c r="E393" s="381">
        <f t="shared" si="34"/>
        <v>6065</v>
      </c>
      <c r="F393" s="139"/>
      <c r="G393" s="132"/>
      <c r="I393" s="497" t="s">
        <v>1007</v>
      </c>
      <c r="K393" s="457">
        <v>5097</v>
      </c>
      <c r="L393" s="458"/>
    </row>
    <row r="394" spans="1:12">
      <c r="A394" s="525" t="s">
        <v>1328</v>
      </c>
      <c r="B394" s="136" t="str">
        <f t="shared" si="32"/>
        <v>Tapón Roscado PVC de 2 1/2"</v>
      </c>
      <c r="C394" s="473" t="s">
        <v>622</v>
      </c>
      <c r="D394" s="392">
        <f t="shared" si="33"/>
        <v>11750</v>
      </c>
      <c r="E394" s="381">
        <f t="shared" si="34"/>
        <v>13983</v>
      </c>
      <c r="F394" s="139"/>
      <c r="G394" s="132"/>
      <c r="I394" s="497" t="s">
        <v>1008</v>
      </c>
      <c r="K394" s="457">
        <v>11750</v>
      </c>
      <c r="L394" s="458"/>
    </row>
    <row r="395" spans="1:12">
      <c r="A395" s="525" t="s">
        <v>1324</v>
      </c>
      <c r="B395" s="136" t="str">
        <f t="shared" si="32"/>
        <v>Tapón Roscado PVC de 3"</v>
      </c>
      <c r="C395" s="473" t="s">
        <v>622</v>
      </c>
      <c r="D395" s="392">
        <f t="shared" si="33"/>
        <v>18694</v>
      </c>
      <c r="E395" s="381">
        <f t="shared" si="34"/>
        <v>22246</v>
      </c>
      <c r="F395" s="139"/>
      <c r="G395" s="132"/>
      <c r="I395" s="497" t="s">
        <v>1009</v>
      </c>
      <c r="K395" s="457">
        <v>18694</v>
      </c>
      <c r="L395" s="458"/>
    </row>
    <row r="396" spans="1:12">
      <c r="A396" s="525" t="s">
        <v>1325</v>
      </c>
      <c r="B396" s="136" t="str">
        <f t="shared" si="32"/>
        <v>Tapón Roscado PVC de 4"</v>
      </c>
      <c r="C396" s="473" t="s">
        <v>622</v>
      </c>
      <c r="D396" s="392">
        <f t="shared" si="33"/>
        <v>34530</v>
      </c>
      <c r="E396" s="381">
        <f t="shared" si="34"/>
        <v>41091</v>
      </c>
      <c r="F396" s="139"/>
      <c r="G396" s="132"/>
      <c r="I396" s="497" t="s">
        <v>1010</v>
      </c>
      <c r="K396" s="457">
        <v>34530</v>
      </c>
      <c r="L396" s="458"/>
    </row>
    <row r="397" spans="1:12">
      <c r="A397" s="525"/>
      <c r="B397" s="136"/>
      <c r="C397" s="135"/>
      <c r="D397" s="392"/>
      <c r="E397" s="381"/>
      <c r="F397" s="139"/>
      <c r="G397" s="132"/>
      <c r="I397" s="487"/>
      <c r="K397" s="457"/>
      <c r="L397" s="458"/>
    </row>
    <row r="398" spans="1:12">
      <c r="A398" s="525"/>
      <c r="B398" s="483" t="s">
        <v>1071</v>
      </c>
      <c r="C398" s="135"/>
      <c r="D398" s="392"/>
      <c r="E398" s="381"/>
      <c r="F398" s="139"/>
      <c r="G398" s="132"/>
      <c r="I398" s="487"/>
      <c r="K398" s="457"/>
      <c r="L398" s="458"/>
    </row>
    <row r="399" spans="1:12">
      <c r="A399" s="525" t="s">
        <v>1610</v>
      </c>
      <c r="B399" s="136" t="str">
        <f>+CONCATENATE($B$398," de ", I399)</f>
        <v>Tapón Soldado PVC de 1/2"</v>
      </c>
      <c r="C399" s="473" t="s">
        <v>622</v>
      </c>
      <c r="D399" s="392">
        <f>+K399</f>
        <v>232</v>
      </c>
      <c r="E399" s="381">
        <f>ROUND(D399*(1+$E$39),0)</f>
        <v>276</v>
      </c>
      <c r="F399" s="139"/>
      <c r="G399" s="132"/>
      <c r="I399" s="496" t="s">
        <v>1002</v>
      </c>
      <c r="K399" s="457">
        <v>232</v>
      </c>
      <c r="L399" s="458"/>
    </row>
    <row r="400" spans="1:12">
      <c r="A400" s="525" t="s">
        <v>1611</v>
      </c>
      <c r="B400" s="136" t="str">
        <f t="shared" ref="B400:B407" si="35">+CONCATENATE($B$398," de ", I400)</f>
        <v>Tapón Soldado PVC de 3/4"</v>
      </c>
      <c r="C400" s="473" t="s">
        <v>622</v>
      </c>
      <c r="D400" s="392">
        <f t="shared" ref="D400:D407" si="36">+K400</f>
        <v>465</v>
      </c>
      <c r="E400" s="381">
        <f t="shared" ref="E400:E407" si="37">ROUND(D400*(1+$E$39),0)</f>
        <v>553</v>
      </c>
      <c r="F400" s="139"/>
      <c r="G400" s="132"/>
      <c r="I400" s="496" t="s">
        <v>1003</v>
      </c>
      <c r="K400" s="457">
        <v>465</v>
      </c>
      <c r="L400" s="458"/>
    </row>
    <row r="401" spans="1:12">
      <c r="A401" s="525" t="s">
        <v>1612</v>
      </c>
      <c r="B401" s="136" t="str">
        <f t="shared" si="35"/>
        <v>Tapón Soldado PVC de 1"</v>
      </c>
      <c r="C401" s="473" t="s">
        <v>622</v>
      </c>
      <c r="D401" s="392">
        <f t="shared" si="36"/>
        <v>782</v>
      </c>
      <c r="E401" s="381">
        <f t="shared" si="37"/>
        <v>931</v>
      </c>
      <c r="F401" s="139"/>
      <c r="G401" s="132"/>
      <c r="I401" s="497" t="s">
        <v>1004</v>
      </c>
      <c r="K401" s="457">
        <v>782</v>
      </c>
      <c r="L401" s="458"/>
    </row>
    <row r="402" spans="1:12">
      <c r="A402" s="525" t="s">
        <v>1613</v>
      </c>
      <c r="B402" s="136" t="str">
        <f t="shared" si="35"/>
        <v>Tapón Soldado PVC de 1 1/4"</v>
      </c>
      <c r="C402" s="473" t="s">
        <v>622</v>
      </c>
      <c r="D402" s="392">
        <f t="shared" si="36"/>
        <v>1885</v>
      </c>
      <c r="E402" s="381">
        <f t="shared" si="37"/>
        <v>2243</v>
      </c>
      <c r="F402" s="139"/>
      <c r="G402" s="132"/>
      <c r="I402" s="497" t="s">
        <v>1005</v>
      </c>
      <c r="K402" s="457">
        <v>1885</v>
      </c>
      <c r="L402" s="458"/>
    </row>
    <row r="403" spans="1:12">
      <c r="A403" s="525" t="s">
        <v>1614</v>
      </c>
      <c r="B403" s="136" t="str">
        <f t="shared" si="35"/>
        <v>Tapón Soldado PVC de 1 1/2"</v>
      </c>
      <c r="C403" s="473" t="s">
        <v>622</v>
      </c>
      <c r="D403" s="392">
        <f t="shared" si="36"/>
        <v>2454</v>
      </c>
      <c r="E403" s="381">
        <f t="shared" si="37"/>
        <v>2920</v>
      </c>
      <c r="F403" s="139"/>
      <c r="G403" s="132"/>
      <c r="I403" s="497" t="s">
        <v>1006</v>
      </c>
      <c r="K403" s="457">
        <v>2454</v>
      </c>
      <c r="L403" s="458"/>
    </row>
    <row r="404" spans="1:12">
      <c r="A404" s="525" t="s">
        <v>1615</v>
      </c>
      <c r="B404" s="136" t="str">
        <f t="shared" si="35"/>
        <v>Tapón Soldado PVC de 2"</v>
      </c>
      <c r="C404" s="473" t="s">
        <v>622</v>
      </c>
      <c r="D404" s="392">
        <f t="shared" si="36"/>
        <v>3900</v>
      </c>
      <c r="E404" s="381">
        <f t="shared" si="37"/>
        <v>4641</v>
      </c>
      <c r="F404" s="139"/>
      <c r="G404" s="132"/>
      <c r="I404" s="497" t="s">
        <v>1007</v>
      </c>
      <c r="K404" s="457">
        <v>3900</v>
      </c>
      <c r="L404" s="458"/>
    </row>
    <row r="405" spans="1:12">
      <c r="A405" s="525" t="s">
        <v>1616</v>
      </c>
      <c r="B405" s="136" t="str">
        <f t="shared" si="35"/>
        <v>Tapón Soldado PVC de 2 1/2"</v>
      </c>
      <c r="C405" s="473" t="s">
        <v>622</v>
      </c>
      <c r="D405" s="392">
        <f t="shared" si="36"/>
        <v>9183</v>
      </c>
      <c r="E405" s="381">
        <f t="shared" si="37"/>
        <v>10928</v>
      </c>
      <c r="F405" s="139"/>
      <c r="G405" s="132"/>
      <c r="I405" s="497" t="s">
        <v>1008</v>
      </c>
      <c r="K405" s="457">
        <v>9183</v>
      </c>
      <c r="L405" s="458"/>
    </row>
    <row r="406" spans="1:12">
      <c r="A406" s="525" t="s">
        <v>1617</v>
      </c>
      <c r="B406" s="136" t="str">
        <f t="shared" si="35"/>
        <v>Tapón Soldado PVC de 3"</v>
      </c>
      <c r="C406" s="473" t="s">
        <v>622</v>
      </c>
      <c r="D406" s="392">
        <f t="shared" si="36"/>
        <v>14917</v>
      </c>
      <c r="E406" s="381">
        <f t="shared" si="37"/>
        <v>17751</v>
      </c>
      <c r="F406" s="139"/>
      <c r="G406" s="132"/>
      <c r="I406" s="497" t="s">
        <v>1009</v>
      </c>
      <c r="K406" s="457">
        <v>14917</v>
      </c>
      <c r="L406" s="458"/>
    </row>
    <row r="407" spans="1:12">
      <c r="A407" s="525" t="s">
        <v>1618</v>
      </c>
      <c r="B407" s="136" t="str">
        <f t="shared" si="35"/>
        <v>Tapón Soldado PVC de 4"</v>
      </c>
      <c r="C407" s="473" t="s">
        <v>622</v>
      </c>
      <c r="D407" s="392">
        <f t="shared" si="36"/>
        <v>27124</v>
      </c>
      <c r="E407" s="381">
        <f t="shared" si="37"/>
        <v>32278</v>
      </c>
      <c r="F407" s="139"/>
      <c r="G407" s="132"/>
      <c r="I407" s="497" t="s">
        <v>1010</v>
      </c>
      <c r="K407" s="457">
        <v>27124</v>
      </c>
      <c r="L407" s="458"/>
    </row>
    <row r="408" spans="1:12">
      <c r="A408" s="525"/>
      <c r="B408" s="136"/>
      <c r="C408" s="135"/>
      <c r="D408" s="392"/>
      <c r="E408" s="381"/>
      <c r="F408" s="139"/>
      <c r="G408" s="132"/>
      <c r="I408" s="487"/>
      <c r="K408" s="457"/>
      <c r="L408" s="458"/>
    </row>
    <row r="409" spans="1:12">
      <c r="A409" s="525"/>
      <c r="B409" s="483" t="s">
        <v>1072</v>
      </c>
      <c r="C409" s="135"/>
      <c r="D409" s="392"/>
      <c r="E409" s="381"/>
      <c r="F409" s="139"/>
      <c r="G409" s="132"/>
      <c r="I409" s="487"/>
      <c r="K409" s="457"/>
      <c r="L409" s="458"/>
    </row>
    <row r="410" spans="1:12">
      <c r="A410" s="525" t="s">
        <v>1329</v>
      </c>
      <c r="B410" s="136" t="str">
        <f>+CONCATENATE($B$409," de ", I410)</f>
        <v>Tee Soldada PVC de 1/2"</v>
      </c>
      <c r="C410" s="473" t="s">
        <v>622</v>
      </c>
      <c r="D410" s="392">
        <f>+K410</f>
        <v>538</v>
      </c>
      <c r="E410" s="381">
        <f>ROUND(D410*(1+$E$39),0)</f>
        <v>640</v>
      </c>
      <c r="F410" s="139"/>
      <c r="G410" s="132"/>
      <c r="I410" s="496" t="s">
        <v>1002</v>
      </c>
      <c r="K410" s="457">
        <v>538</v>
      </c>
      <c r="L410" s="458"/>
    </row>
    <row r="411" spans="1:12">
      <c r="A411" s="525" t="s">
        <v>1330</v>
      </c>
      <c r="B411" s="136" t="str">
        <f t="shared" ref="B411:B419" si="38">+CONCATENATE($B$409," de ", I411)</f>
        <v>Tee Soldada PVC de 3/4"</v>
      </c>
      <c r="C411" s="473" t="s">
        <v>622</v>
      </c>
      <c r="D411" s="392">
        <f t="shared" ref="D411:D419" si="39">+K411</f>
        <v>910</v>
      </c>
      <c r="E411" s="381">
        <f t="shared" ref="E411:E419" si="40">ROUND(D411*(1+$E$39),0)</f>
        <v>1083</v>
      </c>
      <c r="F411" s="139"/>
      <c r="G411" s="132"/>
      <c r="I411" s="496" t="s">
        <v>1003</v>
      </c>
      <c r="K411" s="457">
        <v>910</v>
      </c>
      <c r="L411" s="458"/>
    </row>
    <row r="412" spans="1:12">
      <c r="A412" s="525" t="s">
        <v>1331</v>
      </c>
      <c r="B412" s="136" t="str">
        <f t="shared" si="38"/>
        <v>Tee Soldada PVC de 1"</v>
      </c>
      <c r="C412" s="473" t="s">
        <v>622</v>
      </c>
      <c r="D412" s="392">
        <f t="shared" si="39"/>
        <v>1780</v>
      </c>
      <c r="E412" s="381">
        <f t="shared" si="40"/>
        <v>2118</v>
      </c>
      <c r="F412" s="139"/>
      <c r="G412" s="132"/>
      <c r="I412" s="497" t="s">
        <v>1004</v>
      </c>
      <c r="K412" s="457">
        <v>1780</v>
      </c>
      <c r="L412" s="458"/>
    </row>
    <row r="413" spans="1:12">
      <c r="A413" s="525" t="s">
        <v>1336</v>
      </c>
      <c r="B413" s="136" t="str">
        <f t="shared" si="38"/>
        <v>Tee Soldada PVC de 1 1/4"</v>
      </c>
      <c r="C413" s="473" t="s">
        <v>622</v>
      </c>
      <c r="D413" s="392">
        <f t="shared" si="39"/>
        <v>4597</v>
      </c>
      <c r="E413" s="381">
        <f t="shared" si="40"/>
        <v>5470</v>
      </c>
      <c r="F413" s="139"/>
      <c r="G413" s="132"/>
      <c r="I413" s="497" t="s">
        <v>1005</v>
      </c>
      <c r="K413" s="457">
        <v>4597</v>
      </c>
      <c r="L413" s="458"/>
    </row>
    <row r="414" spans="1:12">
      <c r="A414" s="525" t="s">
        <v>1337</v>
      </c>
      <c r="B414" s="136" t="str">
        <f t="shared" si="38"/>
        <v>Tee Soldada PVC de 1 1/2"</v>
      </c>
      <c r="C414" s="473" t="s">
        <v>622</v>
      </c>
      <c r="D414" s="392">
        <f t="shared" si="39"/>
        <v>6036</v>
      </c>
      <c r="E414" s="381">
        <f t="shared" si="40"/>
        <v>7183</v>
      </c>
      <c r="F414" s="139"/>
      <c r="G414" s="132"/>
      <c r="I414" s="497" t="s">
        <v>1006</v>
      </c>
      <c r="J414" s="92"/>
      <c r="K414" s="457">
        <v>6036</v>
      </c>
      <c r="L414" s="458"/>
    </row>
    <row r="415" spans="1:12">
      <c r="A415" s="525" t="s">
        <v>1332</v>
      </c>
      <c r="B415" s="136" t="str">
        <f t="shared" si="38"/>
        <v>Tee Soldada PVC de 2"</v>
      </c>
      <c r="C415" s="473" t="s">
        <v>622</v>
      </c>
      <c r="D415" s="392">
        <f t="shared" si="39"/>
        <v>9614</v>
      </c>
      <c r="E415" s="381">
        <f t="shared" si="40"/>
        <v>11441</v>
      </c>
      <c r="F415" s="139"/>
      <c r="G415" s="132"/>
      <c r="I415" s="497" t="s">
        <v>1007</v>
      </c>
      <c r="K415" s="457">
        <v>9614</v>
      </c>
      <c r="L415" s="458"/>
    </row>
    <row r="416" spans="1:12">
      <c r="A416" s="525" t="s">
        <v>1338</v>
      </c>
      <c r="B416" s="136" t="str">
        <f t="shared" si="38"/>
        <v>Tee Soldada PVC de 2 1/2"</v>
      </c>
      <c r="C416" s="473" t="s">
        <v>622</v>
      </c>
      <c r="D416" s="392">
        <f t="shared" si="39"/>
        <v>22805</v>
      </c>
      <c r="E416" s="381">
        <f t="shared" si="40"/>
        <v>27138</v>
      </c>
      <c r="F416" s="139"/>
      <c r="G416" s="132"/>
      <c r="I416" s="497" t="s">
        <v>1008</v>
      </c>
      <c r="K416" s="457">
        <v>22805</v>
      </c>
      <c r="L416" s="458"/>
    </row>
    <row r="417" spans="1:12">
      <c r="A417" s="525" t="s">
        <v>1333</v>
      </c>
      <c r="B417" s="136" t="str">
        <f t="shared" si="38"/>
        <v>Tee Soldada PVC de 3"</v>
      </c>
      <c r="C417" s="473" t="s">
        <v>622</v>
      </c>
      <c r="D417" s="392">
        <f t="shared" si="39"/>
        <v>36274</v>
      </c>
      <c r="E417" s="381">
        <f t="shared" si="40"/>
        <v>43166</v>
      </c>
      <c r="F417" s="139"/>
      <c r="G417" s="132"/>
      <c r="I417" s="497" t="s">
        <v>1009</v>
      </c>
      <c r="K417" s="457">
        <v>36274</v>
      </c>
      <c r="L417" s="458"/>
    </row>
    <row r="418" spans="1:12">
      <c r="A418" s="525" t="s">
        <v>1334</v>
      </c>
      <c r="B418" s="136" t="str">
        <f t="shared" si="38"/>
        <v>Tee Soldada PVC de 4"</v>
      </c>
      <c r="C418" s="473" t="s">
        <v>622</v>
      </c>
      <c r="D418" s="392">
        <f t="shared" si="39"/>
        <v>79157</v>
      </c>
      <c r="E418" s="381">
        <f t="shared" si="40"/>
        <v>94197</v>
      </c>
      <c r="F418" s="139"/>
      <c r="G418" s="132"/>
      <c r="I418" s="497" t="s">
        <v>1010</v>
      </c>
      <c r="K418" s="457">
        <v>79157</v>
      </c>
      <c r="L418" s="458"/>
    </row>
    <row r="419" spans="1:12">
      <c r="A419" s="525" t="s">
        <v>1335</v>
      </c>
      <c r="B419" s="136" t="str">
        <f t="shared" si="38"/>
        <v>Tee Soldada PVC de 6"</v>
      </c>
      <c r="C419" s="473" t="s">
        <v>622</v>
      </c>
      <c r="D419" s="392">
        <f t="shared" si="39"/>
        <v>153416</v>
      </c>
      <c r="E419" s="381">
        <f t="shared" si="40"/>
        <v>182565</v>
      </c>
      <c r="F419" s="139"/>
      <c r="G419" s="132"/>
      <c r="I419" s="498" t="s">
        <v>1073</v>
      </c>
      <c r="K419" s="457">
        <v>153416</v>
      </c>
      <c r="L419" s="458"/>
    </row>
    <row r="420" spans="1:12">
      <c r="A420" s="525"/>
      <c r="B420" s="136"/>
      <c r="C420" s="135"/>
      <c r="D420" s="392"/>
      <c r="E420" s="381"/>
      <c r="F420" s="139"/>
      <c r="G420" s="132"/>
      <c r="I420" s="487"/>
      <c r="K420" s="457"/>
      <c r="L420" s="458"/>
    </row>
    <row r="421" spans="1:12">
      <c r="A421" s="525"/>
      <c r="B421" s="483" t="s">
        <v>1074</v>
      </c>
      <c r="C421" s="135"/>
      <c r="D421" s="392"/>
      <c r="E421" s="381"/>
      <c r="F421" s="139"/>
      <c r="G421" s="132"/>
      <c r="I421" s="487"/>
      <c r="K421" s="457"/>
      <c r="L421" s="458"/>
    </row>
    <row r="422" spans="1:12">
      <c r="A422" s="525" t="s">
        <v>1357</v>
      </c>
      <c r="B422" s="136" t="str">
        <f>+CONCATENATE($B$421," de ", I422)</f>
        <v>Unión Soldada PVC de 1/2"</v>
      </c>
      <c r="C422" s="473" t="s">
        <v>622</v>
      </c>
      <c r="D422" s="392">
        <f>+K422</f>
        <v>260</v>
      </c>
      <c r="E422" s="381">
        <f>ROUND(D422*(1+$E$39),0)</f>
        <v>309</v>
      </c>
      <c r="F422" s="139"/>
      <c r="G422" s="132"/>
      <c r="I422" s="496" t="s">
        <v>1002</v>
      </c>
      <c r="K422" s="457">
        <v>260</v>
      </c>
      <c r="L422" s="458"/>
    </row>
    <row r="423" spans="1:12">
      <c r="A423" s="525" t="s">
        <v>1358</v>
      </c>
      <c r="B423" s="136" t="str">
        <f t="shared" ref="B423:B430" si="41">+CONCATENATE($B$421," de ", I423)</f>
        <v>Unión Soldada PVC de 3/4"</v>
      </c>
      <c r="C423" s="473" t="s">
        <v>622</v>
      </c>
      <c r="D423" s="392">
        <f t="shared" ref="D423:D430" si="42">+K423</f>
        <v>411</v>
      </c>
      <c r="E423" s="381">
        <f t="shared" ref="E423:E430" si="43">ROUND(D423*(1+$E$39),0)</f>
        <v>489</v>
      </c>
      <c r="F423" s="139"/>
      <c r="G423" s="132"/>
      <c r="I423" s="496" t="s">
        <v>1003</v>
      </c>
      <c r="K423" s="457">
        <v>411</v>
      </c>
      <c r="L423" s="458"/>
    </row>
    <row r="424" spans="1:12">
      <c r="A424" s="525" t="s">
        <v>1359</v>
      </c>
      <c r="B424" s="136" t="str">
        <f t="shared" si="41"/>
        <v>Unión Soldada PVC de 1"</v>
      </c>
      <c r="C424" s="473" t="s">
        <v>622</v>
      </c>
      <c r="D424" s="392">
        <f t="shared" si="42"/>
        <v>673</v>
      </c>
      <c r="E424" s="381">
        <f t="shared" si="43"/>
        <v>801</v>
      </c>
      <c r="F424" s="139"/>
      <c r="G424" s="132"/>
      <c r="I424" s="497" t="s">
        <v>1004</v>
      </c>
      <c r="K424" s="457">
        <v>673</v>
      </c>
      <c r="L424" s="458"/>
    </row>
    <row r="425" spans="1:12">
      <c r="A425" s="525" t="s">
        <v>1363</v>
      </c>
      <c r="B425" s="136" t="str">
        <f t="shared" si="41"/>
        <v>Unión Soldada PVC de 1 1/4"</v>
      </c>
      <c r="C425" s="473" t="s">
        <v>622</v>
      </c>
      <c r="D425" s="392">
        <f t="shared" si="42"/>
        <v>1235</v>
      </c>
      <c r="E425" s="381">
        <f t="shared" si="43"/>
        <v>1470</v>
      </c>
      <c r="F425" s="139"/>
      <c r="G425" s="132"/>
      <c r="I425" s="497" t="s">
        <v>1005</v>
      </c>
      <c r="K425" s="457">
        <v>1235</v>
      </c>
      <c r="L425" s="458"/>
    </row>
    <row r="426" spans="1:12">
      <c r="A426" s="525" t="s">
        <v>1364</v>
      </c>
      <c r="B426" s="136" t="str">
        <f t="shared" si="41"/>
        <v>Unión Soldada PVC de 1 1/2"</v>
      </c>
      <c r="C426" s="473" t="s">
        <v>622</v>
      </c>
      <c r="D426" s="392">
        <f t="shared" si="42"/>
        <v>1688</v>
      </c>
      <c r="E426" s="381">
        <f t="shared" si="43"/>
        <v>2009</v>
      </c>
      <c r="F426" s="139"/>
      <c r="G426" s="132"/>
      <c r="I426" s="497" t="s">
        <v>1006</v>
      </c>
      <c r="K426" s="457">
        <v>1688</v>
      </c>
      <c r="L426" s="458"/>
    </row>
    <row r="427" spans="1:12">
      <c r="A427" s="525" t="s">
        <v>1360</v>
      </c>
      <c r="B427" s="136" t="str">
        <f t="shared" si="41"/>
        <v>Unión Soldada PVC de 2"</v>
      </c>
      <c r="C427" s="473" t="s">
        <v>622</v>
      </c>
      <c r="D427" s="392">
        <f t="shared" si="42"/>
        <v>2767</v>
      </c>
      <c r="E427" s="381">
        <f t="shared" si="43"/>
        <v>3293</v>
      </c>
      <c r="F427" s="139"/>
      <c r="G427" s="132"/>
      <c r="I427" s="497" t="s">
        <v>1007</v>
      </c>
      <c r="K427" s="457">
        <v>2767</v>
      </c>
      <c r="L427" s="458"/>
    </row>
    <row r="428" spans="1:12">
      <c r="A428" s="525" t="s">
        <v>1365</v>
      </c>
      <c r="B428" s="136" t="str">
        <f t="shared" si="41"/>
        <v>Unión Soldada PVC de 2 1/2"</v>
      </c>
      <c r="C428" s="473" t="s">
        <v>622</v>
      </c>
      <c r="D428" s="392">
        <f t="shared" si="42"/>
        <v>10953</v>
      </c>
      <c r="E428" s="381">
        <f t="shared" si="43"/>
        <v>13034</v>
      </c>
      <c r="F428" s="139"/>
      <c r="G428" s="132"/>
      <c r="I428" s="497" t="s">
        <v>1008</v>
      </c>
      <c r="K428" s="457">
        <v>10953</v>
      </c>
      <c r="L428" s="458"/>
    </row>
    <row r="429" spans="1:12">
      <c r="A429" s="525" t="s">
        <v>1361</v>
      </c>
      <c r="B429" s="136" t="str">
        <f t="shared" si="41"/>
        <v>Unión Soldada PVC de 3"</v>
      </c>
      <c r="C429" s="473" t="s">
        <v>622</v>
      </c>
      <c r="D429" s="392">
        <f t="shared" si="42"/>
        <v>13557</v>
      </c>
      <c r="E429" s="381">
        <f t="shared" si="43"/>
        <v>16133</v>
      </c>
      <c r="F429" s="139"/>
      <c r="G429" s="132"/>
      <c r="I429" s="497" t="s">
        <v>1009</v>
      </c>
      <c r="K429" s="457">
        <v>13557</v>
      </c>
      <c r="L429" s="458"/>
    </row>
    <row r="430" spans="1:12">
      <c r="A430" s="525" t="s">
        <v>1362</v>
      </c>
      <c r="B430" s="136" t="str">
        <f t="shared" si="41"/>
        <v>Unión Soldada PVC de 4"</v>
      </c>
      <c r="C430" s="473" t="s">
        <v>622</v>
      </c>
      <c r="D430" s="392">
        <f t="shared" si="42"/>
        <v>29471</v>
      </c>
      <c r="E430" s="381">
        <f t="shared" si="43"/>
        <v>35070</v>
      </c>
      <c r="F430" s="139"/>
      <c r="G430" s="132"/>
      <c r="I430" s="497" t="s">
        <v>1010</v>
      </c>
      <c r="K430" s="457">
        <v>29471</v>
      </c>
      <c r="L430" s="458"/>
    </row>
    <row r="431" spans="1:12">
      <c r="A431" s="525"/>
      <c r="B431" s="136"/>
      <c r="C431" s="135"/>
      <c r="D431" s="392"/>
      <c r="E431" s="381"/>
      <c r="F431" s="139"/>
      <c r="G431" s="132"/>
      <c r="I431" s="487"/>
      <c r="K431" s="457"/>
      <c r="L431" s="458"/>
    </row>
    <row r="432" spans="1:12">
      <c r="A432" s="525"/>
      <c r="B432" s="483" t="s">
        <v>1075</v>
      </c>
      <c r="C432" s="135"/>
      <c r="D432" s="392"/>
      <c r="E432" s="381"/>
      <c r="F432" s="139"/>
      <c r="G432" s="132"/>
      <c r="I432" s="487"/>
      <c r="K432" s="457"/>
      <c r="L432" s="458"/>
    </row>
    <row r="433" spans="1:12">
      <c r="A433" s="525" t="s">
        <v>1366</v>
      </c>
      <c r="B433" s="136" t="str">
        <f t="shared" ref="B433:B438" si="44">+CONCATENATE($B$432," de ", I433)</f>
        <v>Unión Universal PVC de 1/2"</v>
      </c>
      <c r="C433" s="473" t="s">
        <v>622</v>
      </c>
      <c r="D433" s="392">
        <f t="shared" ref="D433:D438" si="45">+K433</f>
        <v>2272</v>
      </c>
      <c r="E433" s="381">
        <f t="shared" ref="E433:E438" si="46">ROUND(D433*(1+$E$39),0)</f>
        <v>2704</v>
      </c>
      <c r="F433" s="139"/>
      <c r="G433" s="132"/>
      <c r="I433" s="496" t="s">
        <v>1002</v>
      </c>
      <c r="K433" s="457">
        <v>2272</v>
      </c>
      <c r="L433" s="458"/>
    </row>
    <row r="434" spans="1:12">
      <c r="A434" s="525" t="s">
        <v>1367</v>
      </c>
      <c r="B434" s="136" t="str">
        <f t="shared" si="44"/>
        <v>Unión Universal PVC de 3/4"</v>
      </c>
      <c r="C434" s="473" t="s">
        <v>622</v>
      </c>
      <c r="D434" s="392">
        <f t="shared" si="45"/>
        <v>4027</v>
      </c>
      <c r="E434" s="381">
        <f t="shared" si="46"/>
        <v>4792</v>
      </c>
      <c r="F434" s="139"/>
      <c r="G434" s="132"/>
      <c r="I434" s="496" t="s">
        <v>1003</v>
      </c>
      <c r="K434" s="457">
        <v>4027</v>
      </c>
      <c r="L434" s="458"/>
    </row>
    <row r="435" spans="1:12">
      <c r="A435" s="525" t="s">
        <v>1368</v>
      </c>
      <c r="B435" s="136" t="str">
        <f t="shared" si="44"/>
        <v>Unión Universal PVC de 1"</v>
      </c>
      <c r="C435" s="473" t="s">
        <v>622</v>
      </c>
      <c r="D435" s="392">
        <f t="shared" si="45"/>
        <v>6090</v>
      </c>
      <c r="E435" s="381">
        <f t="shared" si="46"/>
        <v>7247</v>
      </c>
      <c r="F435" s="139"/>
      <c r="G435" s="132"/>
      <c r="I435" s="497" t="s">
        <v>1004</v>
      </c>
      <c r="K435" s="457">
        <v>6090</v>
      </c>
      <c r="L435" s="458"/>
    </row>
    <row r="436" spans="1:12">
      <c r="A436" s="525" t="s">
        <v>1369</v>
      </c>
      <c r="B436" s="136" t="str">
        <f t="shared" si="44"/>
        <v>Unión Universal PVC de 1 1/4"</v>
      </c>
      <c r="C436" s="473" t="s">
        <v>622</v>
      </c>
      <c r="D436" s="392">
        <f t="shared" si="45"/>
        <v>10996</v>
      </c>
      <c r="E436" s="381">
        <f t="shared" si="46"/>
        <v>13085</v>
      </c>
      <c r="F436" s="139"/>
      <c r="G436" s="132"/>
      <c r="I436" s="497" t="s">
        <v>1005</v>
      </c>
      <c r="K436" s="457">
        <v>10996</v>
      </c>
      <c r="L436" s="458"/>
    </row>
    <row r="437" spans="1:12">
      <c r="A437" s="525" t="s">
        <v>1370</v>
      </c>
      <c r="B437" s="136" t="str">
        <f t="shared" si="44"/>
        <v>Unión Universal PVC de 1 1/2"</v>
      </c>
      <c r="C437" s="473" t="s">
        <v>622</v>
      </c>
      <c r="D437" s="392">
        <f t="shared" si="45"/>
        <v>18865</v>
      </c>
      <c r="E437" s="381">
        <f t="shared" si="46"/>
        <v>22449</v>
      </c>
      <c r="F437" s="139"/>
      <c r="G437" s="132"/>
      <c r="I437" s="497" t="s">
        <v>1006</v>
      </c>
      <c r="K437" s="457">
        <v>18865</v>
      </c>
      <c r="L437" s="458"/>
    </row>
    <row r="438" spans="1:12">
      <c r="A438" s="525" t="s">
        <v>789</v>
      </c>
      <c r="B438" s="136" t="str">
        <f t="shared" si="44"/>
        <v>Unión Universal PVC de 2"</v>
      </c>
      <c r="C438" s="473" t="s">
        <v>622</v>
      </c>
      <c r="D438" s="392">
        <f t="shared" si="45"/>
        <v>24125</v>
      </c>
      <c r="E438" s="381">
        <f t="shared" si="46"/>
        <v>28709</v>
      </c>
      <c r="F438" s="139"/>
      <c r="G438" s="132"/>
      <c r="I438" s="497" t="s">
        <v>1007</v>
      </c>
      <c r="K438" s="457">
        <v>24125</v>
      </c>
      <c r="L438" s="458"/>
    </row>
    <row r="439" spans="1:12">
      <c r="A439" s="525"/>
      <c r="B439" s="136"/>
      <c r="C439" s="135"/>
      <c r="D439" s="392"/>
      <c r="E439" s="381"/>
      <c r="F439" s="139"/>
      <c r="G439" s="132"/>
      <c r="I439" s="487"/>
      <c r="K439" s="457"/>
      <c r="L439" s="458"/>
    </row>
    <row r="440" spans="1:12">
      <c r="A440" s="525"/>
      <c r="B440" s="483" t="s">
        <v>1076</v>
      </c>
      <c r="C440" s="135"/>
      <c r="D440" s="392"/>
      <c r="E440" s="381"/>
      <c r="F440" s="139"/>
      <c r="G440" s="132"/>
      <c r="I440" s="487"/>
      <c r="K440" s="457"/>
      <c r="L440" s="458"/>
    </row>
    <row r="441" spans="1:12">
      <c r="A441" s="525" t="s">
        <v>1371</v>
      </c>
      <c r="B441" s="136" t="str">
        <f>+CONCATENATE($B$440," de ", I441)</f>
        <v>Válvula de Bola PVC de 1/2"</v>
      </c>
      <c r="C441" s="473" t="s">
        <v>622</v>
      </c>
      <c r="D441" s="392">
        <f>+K441</f>
        <v>3539</v>
      </c>
      <c r="E441" s="381">
        <f>ROUND(D441*(1+$E$39),0)</f>
        <v>4211</v>
      </c>
      <c r="F441" s="139"/>
      <c r="G441" s="132"/>
      <c r="I441" s="498" t="s">
        <v>1002</v>
      </c>
      <c r="K441" s="457">
        <v>3539</v>
      </c>
      <c r="L441" s="458"/>
    </row>
    <row r="442" spans="1:12">
      <c r="A442" s="525" t="s">
        <v>1372</v>
      </c>
      <c r="B442" s="136" t="str">
        <f>+CONCATENATE($B$440," de ", I442)</f>
        <v>Válvula de Bola PVC de 3/4"</v>
      </c>
      <c r="C442" s="473" t="s">
        <v>622</v>
      </c>
      <c r="D442" s="392">
        <f>+K442</f>
        <v>6262</v>
      </c>
      <c r="E442" s="381">
        <f>ROUND(D442*(1+$E$39),0)</f>
        <v>7452</v>
      </c>
      <c r="F442" s="139"/>
      <c r="G442" s="132"/>
      <c r="I442" s="498" t="s">
        <v>1003</v>
      </c>
      <c r="K442" s="457">
        <v>6262</v>
      </c>
      <c r="L442" s="458"/>
    </row>
    <row r="443" spans="1:12">
      <c r="A443" s="525" t="s">
        <v>1373</v>
      </c>
      <c r="B443" s="136" t="str">
        <f>+CONCATENATE($B$440," de ", I443)</f>
        <v>Válvula de Bola PVC de 1"</v>
      </c>
      <c r="C443" s="473" t="s">
        <v>622</v>
      </c>
      <c r="D443" s="392">
        <f>+K443</f>
        <v>8077</v>
      </c>
      <c r="E443" s="381">
        <f>ROUND(D443*(1+$E$39),0)</f>
        <v>9612</v>
      </c>
      <c r="F443" s="139"/>
      <c r="G443" s="132"/>
      <c r="I443" s="498" t="s">
        <v>1004</v>
      </c>
      <c r="K443" s="457">
        <v>8077</v>
      </c>
      <c r="L443" s="458"/>
    </row>
    <row r="444" spans="1:12">
      <c r="A444" s="525"/>
      <c r="B444" s="136"/>
      <c r="C444" s="135"/>
      <c r="D444" s="392"/>
      <c r="E444" s="381"/>
      <c r="F444" s="139"/>
      <c r="G444" s="132"/>
      <c r="I444" s="487"/>
      <c r="K444" s="457"/>
      <c r="L444" s="458"/>
    </row>
    <row r="445" spans="1:12">
      <c r="A445" s="525"/>
      <c r="B445" s="483" t="s">
        <v>1077</v>
      </c>
      <c r="C445" s="135"/>
      <c r="D445" s="392"/>
      <c r="E445" s="381"/>
      <c r="F445" s="139"/>
      <c r="G445" s="132"/>
      <c r="I445" s="487"/>
      <c r="K445" s="457"/>
      <c r="L445" s="458"/>
    </row>
    <row r="446" spans="1:12">
      <c r="A446" s="525" t="s">
        <v>1374</v>
      </c>
      <c r="B446" s="136" t="str">
        <f>+CONCATENATE($B$445," de ", I446)</f>
        <v>Tubería PVC Sanitaria Aguas Lluvias de 1 1/2"</v>
      </c>
      <c r="C446" s="473" t="s">
        <v>998</v>
      </c>
      <c r="D446" s="392">
        <f>ROUND(K446/6,0)</f>
        <v>6306</v>
      </c>
      <c r="E446" s="381">
        <f>ROUND(D446*(1+$E$39),0)</f>
        <v>7504</v>
      </c>
      <c r="F446" s="139"/>
      <c r="G446" s="132"/>
      <c r="I446" s="485" t="s">
        <v>1006</v>
      </c>
      <c r="J446" s="92" t="s">
        <v>1102</v>
      </c>
      <c r="K446" s="457">
        <v>37834</v>
      </c>
      <c r="L446" s="458"/>
    </row>
    <row r="447" spans="1:12">
      <c r="A447" s="525" t="s">
        <v>1375</v>
      </c>
      <c r="B447" s="136" t="str">
        <f t="shared" ref="B447:B452" si="47">+CONCATENATE($B$445," de ", I447)</f>
        <v>Tubería PVC Sanitaria Aguas Lluvias de 2"</v>
      </c>
      <c r="C447" s="473" t="s">
        <v>998</v>
      </c>
      <c r="D447" s="392">
        <f t="shared" ref="D447:D452" si="48">ROUND(K447/6,0)</f>
        <v>7818</v>
      </c>
      <c r="E447" s="381">
        <f t="shared" ref="E447:E452" si="49">ROUND(D447*(1+$E$39),0)</f>
        <v>9303</v>
      </c>
      <c r="F447" s="139"/>
      <c r="G447" s="132"/>
      <c r="I447" s="476" t="s">
        <v>1007</v>
      </c>
      <c r="J447" s="92" t="s">
        <v>1102</v>
      </c>
      <c r="K447" s="457">
        <v>46907</v>
      </c>
      <c r="L447" s="458"/>
    </row>
    <row r="448" spans="1:12">
      <c r="A448" s="525" t="s">
        <v>1376</v>
      </c>
      <c r="B448" s="136" t="str">
        <f t="shared" si="47"/>
        <v>Tubería PVC Sanitaria Aguas Lluvias de 3"</v>
      </c>
      <c r="C448" s="473" t="s">
        <v>998</v>
      </c>
      <c r="D448" s="392">
        <f t="shared" si="48"/>
        <v>11677</v>
      </c>
      <c r="E448" s="381">
        <f t="shared" si="49"/>
        <v>13896</v>
      </c>
      <c r="F448" s="139"/>
      <c r="G448" s="132"/>
      <c r="I448" s="476" t="s">
        <v>1009</v>
      </c>
      <c r="J448" s="92" t="s">
        <v>1102</v>
      </c>
      <c r="K448" s="457">
        <v>70063</v>
      </c>
      <c r="L448" s="458"/>
    </row>
    <row r="449" spans="1:19">
      <c r="A449" s="525" t="s">
        <v>1377</v>
      </c>
      <c r="B449" s="136" t="str">
        <f t="shared" si="47"/>
        <v>Tubería PVC Sanitaria Aguas Lluvias de 4"</v>
      </c>
      <c r="C449" s="473" t="s">
        <v>998</v>
      </c>
      <c r="D449" s="392">
        <f t="shared" si="48"/>
        <v>16273</v>
      </c>
      <c r="E449" s="381">
        <f t="shared" si="49"/>
        <v>19365</v>
      </c>
      <c r="F449" s="139"/>
      <c r="G449" s="132"/>
      <c r="I449" s="476" t="s">
        <v>1010</v>
      </c>
      <c r="J449" s="92" t="s">
        <v>1102</v>
      </c>
      <c r="K449" s="457">
        <v>97640</v>
      </c>
      <c r="L449" s="458"/>
    </row>
    <row r="450" spans="1:19">
      <c r="A450" s="525" t="s">
        <v>1378</v>
      </c>
      <c r="B450" s="136" t="str">
        <f t="shared" si="47"/>
        <v>Tubería PVC Sanitaria Aguas Lluvias de 6"</v>
      </c>
      <c r="C450" s="473" t="s">
        <v>998</v>
      </c>
      <c r="D450" s="392">
        <f t="shared" si="48"/>
        <v>34461</v>
      </c>
      <c r="E450" s="381">
        <f t="shared" si="49"/>
        <v>41009</v>
      </c>
      <c r="F450" s="139"/>
      <c r="G450" s="132"/>
      <c r="I450" s="476" t="s">
        <v>1073</v>
      </c>
      <c r="J450" s="92" t="s">
        <v>1102</v>
      </c>
      <c r="K450" s="457">
        <v>206767</v>
      </c>
      <c r="L450" s="458"/>
    </row>
    <row r="451" spans="1:19">
      <c r="A451" s="525" t="s">
        <v>1379</v>
      </c>
      <c r="B451" s="136" t="str">
        <f t="shared" si="47"/>
        <v>Tubería PVC Sanitaria Aguas Lluvias de 8"</v>
      </c>
      <c r="C451" s="473" t="s">
        <v>998</v>
      </c>
      <c r="D451" s="392">
        <f t="shared" si="48"/>
        <v>61995</v>
      </c>
      <c r="E451" s="381">
        <f t="shared" si="49"/>
        <v>73774</v>
      </c>
      <c r="F451" s="139"/>
      <c r="G451" s="132"/>
      <c r="I451" s="476" t="s">
        <v>1078</v>
      </c>
      <c r="J451" s="92" t="s">
        <v>1102</v>
      </c>
      <c r="K451" s="457">
        <v>371972</v>
      </c>
      <c r="L451" s="458"/>
    </row>
    <row r="452" spans="1:19">
      <c r="A452" s="525" t="s">
        <v>1380</v>
      </c>
      <c r="B452" s="136" t="str">
        <f t="shared" si="47"/>
        <v>Tubería PVC Sanitaria Aguas Lluvias de 10"</v>
      </c>
      <c r="C452" s="473" t="s">
        <v>998</v>
      </c>
      <c r="D452" s="392">
        <f t="shared" si="48"/>
        <v>96711</v>
      </c>
      <c r="E452" s="381">
        <f t="shared" si="49"/>
        <v>115086</v>
      </c>
      <c r="F452" s="139"/>
      <c r="G452" s="132"/>
      <c r="I452" s="477" t="s">
        <v>1079</v>
      </c>
      <c r="J452" s="92" t="s">
        <v>1102</v>
      </c>
      <c r="K452" s="457">
        <v>580266</v>
      </c>
      <c r="L452" s="458"/>
    </row>
    <row r="453" spans="1:19">
      <c r="A453" s="525"/>
      <c r="B453" s="136"/>
      <c r="C453" s="135"/>
      <c r="D453" s="392"/>
      <c r="E453" s="381"/>
      <c r="F453" s="139"/>
      <c r="G453" s="132"/>
      <c r="I453" s="487"/>
      <c r="K453" s="457">
        <f>+K452/6</f>
        <v>96711</v>
      </c>
      <c r="L453" s="458"/>
    </row>
    <row r="454" spans="1:19">
      <c r="A454" s="525"/>
      <c r="B454" s="483" t="s">
        <v>1080</v>
      </c>
      <c r="C454" s="135"/>
      <c r="D454" s="392"/>
      <c r="E454" s="381"/>
      <c r="F454" s="139"/>
      <c r="G454" s="132"/>
      <c r="I454" s="487"/>
      <c r="K454" s="457"/>
      <c r="L454" s="458"/>
    </row>
    <row r="455" spans="1:19">
      <c r="A455" s="525" t="s">
        <v>1381</v>
      </c>
      <c r="B455" s="136" t="str">
        <f t="shared" ref="B455:B460" si="50">+CONCATENATE($B$454," x ", I455)</f>
        <v>Soldadura PVC x 1/4 gal</v>
      </c>
      <c r="C455" s="473" t="s">
        <v>1089</v>
      </c>
      <c r="D455" s="392"/>
      <c r="E455" s="1266">
        <v>150369</v>
      </c>
      <c r="F455" s="139"/>
      <c r="G455" s="132"/>
      <c r="I455" s="486" t="s">
        <v>1081</v>
      </c>
      <c r="K455" s="457">
        <v>61602</v>
      </c>
      <c r="L455" s="458"/>
      <c r="Q455" s="580">
        <v>72665</v>
      </c>
      <c r="R455" s="619">
        <v>75216.930000000008</v>
      </c>
    </row>
    <row r="456" spans="1:19">
      <c r="A456" s="525" t="s">
        <v>1382</v>
      </c>
      <c r="B456" s="136" t="str">
        <f t="shared" si="50"/>
        <v>Soldadura PVC x 1/8 gal</v>
      </c>
      <c r="C456" s="473" t="s">
        <v>1089</v>
      </c>
      <c r="D456" s="392"/>
      <c r="E456" s="1266">
        <v>77700</v>
      </c>
      <c r="F456" s="139"/>
      <c r="G456" s="132"/>
      <c r="I456" s="476" t="s">
        <v>1082</v>
      </c>
      <c r="K456" s="457">
        <v>31832</v>
      </c>
      <c r="L456" s="458"/>
      <c r="Q456" s="580"/>
      <c r="R456" s="619">
        <v>38867.760000000002</v>
      </c>
    </row>
    <row r="457" spans="1:19">
      <c r="A457" s="525" t="s">
        <v>1383</v>
      </c>
      <c r="B457" s="136" t="str">
        <f t="shared" si="50"/>
        <v>Soldadura PVC x 1/16 gal</v>
      </c>
      <c r="C457" s="473" t="s">
        <v>1089</v>
      </c>
      <c r="D457" s="392"/>
      <c r="E457" s="1266">
        <v>48031</v>
      </c>
      <c r="F457" s="139"/>
      <c r="G457" s="132"/>
      <c r="I457" s="476" t="s">
        <v>1083</v>
      </c>
      <c r="K457" s="457">
        <v>19678</v>
      </c>
      <c r="L457" s="458"/>
      <c r="Q457" s="580"/>
      <c r="R457" s="619">
        <v>24027.06</v>
      </c>
    </row>
    <row r="458" spans="1:19">
      <c r="A458" s="525" t="s">
        <v>1384</v>
      </c>
      <c r="B458" s="136" t="str">
        <f t="shared" si="50"/>
        <v>Soldadura PVC x 1/32 gal</v>
      </c>
      <c r="C458" s="473" t="s">
        <v>1089</v>
      </c>
      <c r="D458" s="392"/>
      <c r="E458" s="1266">
        <v>28635</v>
      </c>
      <c r="F458" s="139"/>
      <c r="G458" s="132"/>
      <c r="I458" s="476" t="s">
        <v>1084</v>
      </c>
      <c r="K458" s="457">
        <v>11729</v>
      </c>
      <c r="L458" s="458"/>
      <c r="Q458" s="580"/>
      <c r="R458" s="619">
        <v>14321.220000000001</v>
      </c>
    </row>
    <row r="459" spans="1:19">
      <c r="A459" s="525" t="s">
        <v>1385</v>
      </c>
      <c r="B459" s="136" t="str">
        <f t="shared" si="50"/>
        <v>Soldadura PVC x 1/64 gal</v>
      </c>
      <c r="C459" s="473" t="s">
        <v>1089</v>
      </c>
      <c r="D459" s="392"/>
      <c r="E459" s="1266">
        <v>16724</v>
      </c>
      <c r="F459" s="139"/>
      <c r="G459" s="132"/>
      <c r="I459" s="476" t="s">
        <v>1085</v>
      </c>
      <c r="K459" s="457">
        <v>6851</v>
      </c>
      <c r="L459" s="458"/>
      <c r="Q459" s="580"/>
      <c r="R459" s="619">
        <v>8366.0700000000015</v>
      </c>
    </row>
    <row r="460" spans="1:19">
      <c r="A460" s="525" t="s">
        <v>1386</v>
      </c>
      <c r="B460" s="136" t="str">
        <f t="shared" si="50"/>
        <v>Soldadura PVC x 1/168 gal</v>
      </c>
      <c r="C460" s="473" t="s">
        <v>1089</v>
      </c>
      <c r="D460" s="392"/>
      <c r="E460" s="1266">
        <v>8539</v>
      </c>
      <c r="F460" s="139"/>
      <c r="G460" s="132"/>
      <c r="I460" s="477" t="s">
        <v>1086</v>
      </c>
      <c r="K460" s="457">
        <v>3496</v>
      </c>
      <c r="L460" s="458"/>
      <c r="Q460" s="580"/>
      <c r="R460" s="619">
        <v>4269.0600000000004</v>
      </c>
    </row>
    <row r="461" spans="1:19">
      <c r="A461" s="525"/>
      <c r="B461" s="136"/>
      <c r="C461" s="135"/>
      <c r="D461" s="392"/>
      <c r="E461" s="381"/>
      <c r="F461" s="139"/>
      <c r="G461" s="132"/>
      <c r="I461" s="487"/>
      <c r="K461" s="457"/>
      <c r="L461" s="458"/>
      <c r="Q461" s="580"/>
    </row>
    <row r="462" spans="1:19">
      <c r="A462" s="525"/>
      <c r="B462" s="483" t="s">
        <v>1087</v>
      </c>
      <c r="C462" s="135"/>
      <c r="D462" s="392"/>
      <c r="E462" s="381"/>
      <c r="F462" s="139"/>
      <c r="G462" s="132"/>
      <c r="I462" s="487"/>
      <c r="K462" s="457"/>
      <c r="L462" s="458"/>
      <c r="Q462" s="580"/>
    </row>
    <row r="463" spans="1:19">
      <c r="A463" s="525" t="s">
        <v>1387</v>
      </c>
      <c r="B463" s="136" t="str">
        <f>+CONCATENATE($B$462," x ", I463)</f>
        <v>Lubricante PVC x 500 gr.</v>
      </c>
      <c r="C463" s="1212" t="s">
        <v>2576</v>
      </c>
      <c r="D463" s="392"/>
      <c r="E463" s="381">
        <v>34081</v>
      </c>
      <c r="F463" s="139"/>
      <c r="G463" s="132"/>
      <c r="I463" s="493" t="s">
        <v>1088</v>
      </c>
      <c r="K463" s="457">
        <v>14038</v>
      </c>
      <c r="L463" s="458"/>
      <c r="Q463" s="580">
        <v>18376</v>
      </c>
      <c r="R463" s="620">
        <v>17140.620000000003</v>
      </c>
      <c r="S463" s="820">
        <v>28099</v>
      </c>
    </row>
    <row r="464" spans="1:19">
      <c r="A464" s="525"/>
      <c r="B464" s="136"/>
      <c r="C464" s="135"/>
      <c r="D464" s="392"/>
      <c r="E464" s="381"/>
      <c r="F464" s="139"/>
      <c r="G464" s="132"/>
      <c r="I464" s="487"/>
      <c r="K464" s="457"/>
      <c r="L464" s="458"/>
      <c r="Q464" s="580"/>
    </row>
    <row r="465" spans="1:19">
      <c r="A465" s="525"/>
      <c r="B465" s="483" t="s">
        <v>1090</v>
      </c>
      <c r="C465" s="135"/>
      <c r="D465" s="392"/>
      <c r="E465" s="381"/>
      <c r="F465" s="139"/>
      <c r="G465" s="132"/>
      <c r="I465" s="487"/>
      <c r="K465" s="457"/>
      <c r="L465" s="458"/>
      <c r="Q465" s="580"/>
    </row>
    <row r="466" spans="1:19">
      <c r="A466" s="525" t="s">
        <v>1388</v>
      </c>
      <c r="B466" s="136" t="str">
        <f>+CONCATENATE($B$465," x ", I466)</f>
        <v>Limpiador PVC x 1/4.</v>
      </c>
      <c r="C466" s="1212" t="s">
        <v>2577</v>
      </c>
      <c r="D466" s="392"/>
      <c r="E466" s="1266">
        <v>72505</v>
      </c>
      <c r="F466" s="139"/>
      <c r="G466" s="132"/>
      <c r="I466" s="490" t="s">
        <v>1091</v>
      </c>
      <c r="K466" s="457">
        <v>29703</v>
      </c>
      <c r="L466" s="458"/>
      <c r="Q466" s="621">
        <v>32674</v>
      </c>
      <c r="R466" s="619">
        <v>43159.08660000001</v>
      </c>
      <c r="S466" s="820">
        <v>59921</v>
      </c>
    </row>
    <row r="467" spans="1:19">
      <c r="A467" s="525" t="s">
        <v>1391</v>
      </c>
      <c r="B467" s="136" t="str">
        <f>+CONCATENATE($B$465," x ", I467)</f>
        <v>Limpiador PVC x 12 onzas</v>
      </c>
      <c r="C467" s="473" t="s">
        <v>1096</v>
      </c>
      <c r="D467" s="392"/>
      <c r="E467" s="1266">
        <v>39404</v>
      </c>
      <c r="F467" s="139"/>
      <c r="G467" s="132"/>
      <c r="I467" s="490" t="s">
        <v>1092</v>
      </c>
      <c r="K467" s="457">
        <v>16135</v>
      </c>
      <c r="L467" s="458"/>
      <c r="Q467" s="621"/>
      <c r="R467" s="619">
        <v>23444.654100000003</v>
      </c>
      <c r="S467" s="820">
        <v>32500</v>
      </c>
    </row>
    <row r="468" spans="1:19">
      <c r="A468" s="525" t="s">
        <v>1389</v>
      </c>
      <c r="B468" s="136" t="str">
        <f>+CONCATENATE($B$465," x ", I468)</f>
        <v>Limpiador PVC x 1/32.</v>
      </c>
      <c r="C468" s="473" t="s">
        <v>1089</v>
      </c>
      <c r="D468" s="392"/>
      <c r="E468" s="1266">
        <v>12467</v>
      </c>
      <c r="F468" s="139"/>
      <c r="G468" s="132"/>
      <c r="I468" s="490" t="s">
        <v>1093</v>
      </c>
      <c r="K468" s="457">
        <v>5176</v>
      </c>
      <c r="L468" s="458"/>
      <c r="Q468" s="581"/>
      <c r="R468" s="619">
        <v>7521.2046</v>
      </c>
      <c r="S468" s="820">
        <v>10349</v>
      </c>
    </row>
    <row r="469" spans="1:19">
      <c r="A469" s="525" t="s">
        <v>1390</v>
      </c>
      <c r="B469" s="136" t="str">
        <f>+CONCATENATE($B$465," x ", I469)</f>
        <v>Limpiador PVC x 1/64.</v>
      </c>
      <c r="C469" s="473" t="s">
        <v>1089</v>
      </c>
      <c r="D469" s="392"/>
      <c r="E469" s="1266">
        <v>8114</v>
      </c>
      <c r="F469" s="139"/>
      <c r="G469" s="132"/>
      <c r="I469" s="490" t="s">
        <v>1094</v>
      </c>
      <c r="K469" s="457">
        <v>2810</v>
      </c>
      <c r="L469" s="458"/>
      <c r="R469" s="619">
        <v>4082.9019000000003</v>
      </c>
      <c r="S469" s="820">
        <v>5600</v>
      </c>
    </row>
    <row r="470" spans="1:19">
      <c r="A470" s="525" t="s">
        <v>2276</v>
      </c>
      <c r="B470" s="136" t="str">
        <f>+CONCATENATE($B$465," x ", I470)</f>
        <v>Limpiador PVC x 1/168.</v>
      </c>
      <c r="C470" s="473" t="s">
        <v>1089</v>
      </c>
      <c r="D470" s="392"/>
      <c r="E470" s="1266">
        <v>4788</v>
      </c>
      <c r="F470" s="139"/>
      <c r="G470" s="132"/>
      <c r="I470" s="490" t="s">
        <v>1095</v>
      </c>
      <c r="K470" s="457">
        <v>1959</v>
      </c>
      <c r="L470" s="458"/>
      <c r="R470" s="619">
        <v>2847.8604</v>
      </c>
      <c r="S470" s="820">
        <v>3950</v>
      </c>
    </row>
    <row r="471" spans="1:19">
      <c r="A471" s="525"/>
      <c r="B471" s="136"/>
      <c r="C471" s="135"/>
      <c r="D471" s="392"/>
      <c r="E471" s="381"/>
      <c r="F471" s="139"/>
      <c r="G471" s="132"/>
      <c r="I471" s="487"/>
      <c r="K471" s="457"/>
      <c r="L471" s="458"/>
    </row>
    <row r="472" spans="1:19">
      <c r="A472" s="526" t="s">
        <v>1097</v>
      </c>
      <c r="B472" s="467"/>
      <c r="C472" s="468"/>
      <c r="D472" s="469"/>
      <c r="E472" s="470"/>
      <c r="F472" s="471"/>
      <c r="G472" s="472"/>
      <c r="H472" s="482"/>
      <c r="I472" s="482"/>
      <c r="K472" s="457"/>
      <c r="L472" s="458"/>
    </row>
    <row r="473" spans="1:19">
      <c r="A473" s="525"/>
      <c r="B473" s="483" t="s">
        <v>1098</v>
      </c>
      <c r="C473" s="499" t="s">
        <v>1101</v>
      </c>
      <c r="D473" s="500"/>
      <c r="E473" s="381"/>
      <c r="F473" s="139"/>
      <c r="G473" s="132"/>
      <c r="I473" s="487"/>
      <c r="K473" s="457"/>
      <c r="L473" s="458"/>
    </row>
    <row r="474" spans="1:19">
      <c r="A474" s="525" t="s">
        <v>1392</v>
      </c>
      <c r="B474" s="136" t="str">
        <f>+CONCATENATE($B$473," de ", I474," ",$C$473)</f>
        <v>Tubería PVC Unión Mecánica de 2" RDE 13.5 (315 PSI)</v>
      </c>
      <c r="C474" s="473" t="s">
        <v>998</v>
      </c>
      <c r="D474" s="392">
        <f>ROUND(K474/6,0)</f>
        <v>13270</v>
      </c>
      <c r="E474" s="381">
        <f>ROUND(D474*(1+$E$39),0)</f>
        <v>15791</v>
      </c>
      <c r="F474" s="139"/>
      <c r="G474" s="132"/>
      <c r="I474" s="476" t="s">
        <v>1007</v>
      </c>
      <c r="J474" s="1830" t="s">
        <v>1102</v>
      </c>
      <c r="K474" s="457">
        <v>79622</v>
      </c>
      <c r="L474" s="458"/>
    </row>
    <row r="475" spans="1:19">
      <c r="A475" s="525" t="s">
        <v>1393</v>
      </c>
      <c r="B475" s="136" t="str">
        <f t="shared" ref="B475:B480" si="51">+CONCATENATE($B$473," de ", I475," ",$C$473)</f>
        <v>Tubería PVC Unión Mecánica de 3" RDE 13.5 (315 PSI)</v>
      </c>
      <c r="C475" s="473" t="s">
        <v>998</v>
      </c>
      <c r="D475" s="392">
        <f t="shared" ref="D475:D481" si="52">ROUND(K475/6,0)</f>
        <v>29281</v>
      </c>
      <c r="E475" s="381">
        <f t="shared" ref="E475:E481" si="53">ROUND(D475*(1+$E$39),0)</f>
        <v>34844</v>
      </c>
      <c r="F475" s="139"/>
      <c r="G475" s="132"/>
      <c r="I475" s="476" t="s">
        <v>1009</v>
      </c>
      <c r="J475" s="1830"/>
      <c r="K475" s="457">
        <v>175685</v>
      </c>
      <c r="L475" s="458"/>
    </row>
    <row r="476" spans="1:19">
      <c r="A476" s="525" t="s">
        <v>1394</v>
      </c>
      <c r="B476" s="136" t="str">
        <f t="shared" si="51"/>
        <v>Tubería PVC Unión Mecánica de 4" RDE 13.5 (315 PSI)</v>
      </c>
      <c r="C476" s="473" t="s">
        <v>998</v>
      </c>
      <c r="D476" s="392">
        <f t="shared" si="52"/>
        <v>46797</v>
      </c>
      <c r="E476" s="381">
        <f t="shared" si="53"/>
        <v>55688</v>
      </c>
      <c r="F476" s="139"/>
      <c r="G476" s="132"/>
      <c r="I476" s="476" t="s">
        <v>1010</v>
      </c>
      <c r="J476" s="1830"/>
      <c r="K476" s="457">
        <v>280783</v>
      </c>
      <c r="L476" s="458"/>
    </row>
    <row r="477" spans="1:19">
      <c r="A477" s="525" t="s">
        <v>1395</v>
      </c>
      <c r="B477" s="136" t="str">
        <f t="shared" si="51"/>
        <v>Tubería PVC Unión Mecánica de 6" RDE 13.5 (315 PSI)</v>
      </c>
      <c r="C477" s="473" t="s">
        <v>998</v>
      </c>
      <c r="D477" s="392">
        <f t="shared" si="52"/>
        <v>113532</v>
      </c>
      <c r="E477" s="381">
        <f t="shared" si="53"/>
        <v>135103</v>
      </c>
      <c r="F477" s="139"/>
      <c r="G477" s="132"/>
      <c r="I477" s="476" t="s">
        <v>1073</v>
      </c>
      <c r="J477" s="1830"/>
      <c r="K477" s="457">
        <v>681192</v>
      </c>
      <c r="L477" s="458"/>
    </row>
    <row r="478" spans="1:19">
      <c r="A478" s="525" t="s">
        <v>1396</v>
      </c>
      <c r="B478" s="136" t="str">
        <f t="shared" si="51"/>
        <v>Tubería PVC Unión Mecánica de 8" RDE 13.5 (315 PSI)</v>
      </c>
      <c r="C478" s="473" t="s">
        <v>998</v>
      </c>
      <c r="D478" s="392">
        <f t="shared" si="52"/>
        <v>192406</v>
      </c>
      <c r="E478" s="381">
        <f t="shared" si="53"/>
        <v>228963</v>
      </c>
      <c r="F478" s="139"/>
      <c r="G478" s="132"/>
      <c r="I478" s="476" t="s">
        <v>1078</v>
      </c>
      <c r="J478" s="1830"/>
      <c r="K478" s="457">
        <v>1154435</v>
      </c>
      <c r="L478" s="458"/>
    </row>
    <row r="479" spans="1:19">
      <c r="A479" s="525" t="s">
        <v>1397</v>
      </c>
      <c r="B479" s="136" t="str">
        <f t="shared" si="51"/>
        <v>Tubería PVC Unión Mecánica de 10" RDE 13.5 (315 PSI)</v>
      </c>
      <c r="C479" s="473" t="s">
        <v>998</v>
      </c>
      <c r="D479" s="392">
        <f t="shared" si="52"/>
        <v>285183</v>
      </c>
      <c r="E479" s="381">
        <f t="shared" si="53"/>
        <v>339368</v>
      </c>
      <c r="F479" s="139"/>
      <c r="G479" s="132"/>
      <c r="I479" s="476" t="s">
        <v>1079</v>
      </c>
      <c r="J479" s="1830"/>
      <c r="K479" s="457">
        <v>1711100</v>
      </c>
      <c r="L479" s="458"/>
    </row>
    <row r="480" spans="1:19">
      <c r="A480" s="525" t="s">
        <v>1398</v>
      </c>
      <c r="B480" s="136" t="str">
        <f t="shared" si="51"/>
        <v>Tubería PVC Unión Mecánica de 12" RDE 13.5 (315 PSI)</v>
      </c>
      <c r="C480" s="473" t="s">
        <v>998</v>
      </c>
      <c r="D480" s="392">
        <f t="shared" si="52"/>
        <v>403006</v>
      </c>
      <c r="E480" s="381">
        <f t="shared" si="53"/>
        <v>479577</v>
      </c>
      <c r="F480" s="139"/>
      <c r="G480" s="132"/>
      <c r="I480" s="476" t="s">
        <v>1099</v>
      </c>
      <c r="J480" s="1830"/>
      <c r="K480" s="457">
        <v>2418035</v>
      </c>
      <c r="L480" s="458"/>
    </row>
    <row r="481" spans="1:17">
      <c r="A481" s="525" t="s">
        <v>1399</v>
      </c>
      <c r="B481" s="136" t="str">
        <f>+CONCATENATE($B$473," de ", I481," ",$C$473)</f>
        <v>Tubería PVC Unión Mecánica de 14" RDE 13.5 (315 PSI)</v>
      </c>
      <c r="C481" s="473" t="s">
        <v>998</v>
      </c>
      <c r="D481" s="392">
        <f t="shared" si="52"/>
        <v>476237</v>
      </c>
      <c r="E481" s="381">
        <f t="shared" si="53"/>
        <v>566722</v>
      </c>
      <c r="F481" s="139"/>
      <c r="G481" s="132"/>
      <c r="I481" s="477" t="s">
        <v>1100</v>
      </c>
      <c r="J481" s="1830"/>
      <c r="K481" s="457">
        <v>2857419</v>
      </c>
      <c r="L481" s="458"/>
    </row>
    <row r="482" spans="1:17">
      <c r="A482" s="525"/>
      <c r="B482" s="136"/>
      <c r="C482" s="135"/>
      <c r="D482" s="392"/>
      <c r="E482" s="381"/>
      <c r="F482" s="139"/>
      <c r="G482" s="132"/>
      <c r="I482" s="487"/>
      <c r="K482" s="457"/>
      <c r="L482" s="458"/>
    </row>
    <row r="483" spans="1:17">
      <c r="A483" s="525"/>
      <c r="B483" s="483" t="s">
        <v>1098</v>
      </c>
      <c r="C483" s="499" t="s">
        <v>1103</v>
      </c>
      <c r="D483" s="500"/>
      <c r="E483" s="381"/>
      <c r="F483" s="139"/>
      <c r="G483" s="132"/>
      <c r="I483" s="487"/>
      <c r="K483" s="457"/>
      <c r="L483" s="458"/>
      <c r="M483" s="132"/>
      <c r="N483" s="132"/>
      <c r="O483" s="132"/>
      <c r="P483" s="132"/>
      <c r="Q483" s="584"/>
    </row>
    <row r="484" spans="1:17">
      <c r="A484" s="525" t="s">
        <v>1400</v>
      </c>
      <c r="B484" s="136" t="str">
        <f>+CONCATENATE($B$483," de ", I484," ",$C$483)</f>
        <v>Tubería PVC Unión Mecánica de 2" RDE 21 (200 PSI)</v>
      </c>
      <c r="C484" s="473" t="s">
        <v>998</v>
      </c>
      <c r="D484" s="392">
        <f>ROUND(Q484/6,0)</f>
        <v>7100</v>
      </c>
      <c r="E484" s="381">
        <f>ROUND(D484*(1+$E$39),0)</f>
        <v>8449</v>
      </c>
      <c r="F484" s="139"/>
      <c r="G484" s="132"/>
      <c r="I484" s="485" t="s">
        <v>1007</v>
      </c>
      <c r="J484" s="1830" t="s">
        <v>1102</v>
      </c>
      <c r="K484" s="457"/>
      <c r="L484" s="458"/>
      <c r="M484" s="132"/>
      <c r="N484" s="132"/>
      <c r="O484" s="132"/>
      <c r="P484" s="132"/>
      <c r="Q484" s="580">
        <v>42597</v>
      </c>
    </row>
    <row r="485" spans="1:17">
      <c r="A485" s="525" t="s">
        <v>1411</v>
      </c>
      <c r="B485" s="136" t="str">
        <f t="shared" ref="B485:B496" si="54">+CONCATENATE($B$483," de ", I485," ",$C$483)</f>
        <v>Tubería PVC Unión Mecánica de 2 1/2" RDE 21 (200 PSI)</v>
      </c>
      <c r="C485" s="473" t="s">
        <v>998</v>
      </c>
      <c r="D485" s="392">
        <f t="shared" ref="D485:D496" si="55">ROUND(Q485/6,0)</f>
        <v>10414</v>
      </c>
      <c r="E485" s="381">
        <f t="shared" ref="E485:E496" si="56">ROUND(D485*(1+$E$39),0)</f>
        <v>12393</v>
      </c>
      <c r="F485" s="139"/>
      <c r="G485" s="132"/>
      <c r="I485" s="485" t="s">
        <v>1008</v>
      </c>
      <c r="J485" s="1830"/>
      <c r="K485" s="457"/>
      <c r="L485" s="458"/>
      <c r="M485" s="132"/>
      <c r="N485" s="132"/>
      <c r="O485" s="132"/>
      <c r="P485" s="132"/>
      <c r="Q485" s="580">
        <v>62485.200000000004</v>
      </c>
    </row>
    <row r="486" spans="1:17">
      <c r="A486" s="525" t="s">
        <v>1401</v>
      </c>
      <c r="B486" s="136" t="str">
        <f t="shared" si="54"/>
        <v>Tubería PVC Unión Mecánica de 3" RDE 21 (200 PSI)</v>
      </c>
      <c r="C486" s="473" t="s">
        <v>998</v>
      </c>
      <c r="D486" s="392">
        <f t="shared" si="55"/>
        <v>15538</v>
      </c>
      <c r="E486" s="381">
        <f t="shared" si="56"/>
        <v>18490</v>
      </c>
      <c r="F486" s="139"/>
      <c r="G486" s="132"/>
      <c r="I486" s="476" t="s">
        <v>1009</v>
      </c>
      <c r="J486" s="1830"/>
      <c r="K486" s="457"/>
      <c r="L486" s="458"/>
      <c r="M486" s="132"/>
      <c r="N486" s="132"/>
      <c r="O486" s="132"/>
      <c r="P486" s="132"/>
      <c r="Q486" s="580">
        <v>93226.5</v>
      </c>
    </row>
    <row r="487" spans="1:17">
      <c r="A487" s="525" t="s">
        <v>1402</v>
      </c>
      <c r="B487" s="136" t="str">
        <f t="shared" si="54"/>
        <v>Tubería PVC Unión Mecánica de 4" RDE 21 (200 PSI)</v>
      </c>
      <c r="C487" s="473" t="s">
        <v>998</v>
      </c>
      <c r="D487" s="392">
        <f t="shared" si="55"/>
        <v>25636</v>
      </c>
      <c r="E487" s="381">
        <f>ROUND(D487*(1+$E$39),0)</f>
        <v>30507</v>
      </c>
      <c r="F487" s="575">
        <v>153</v>
      </c>
      <c r="G487" s="132">
        <v>50</v>
      </c>
      <c r="I487" s="476" t="s">
        <v>1010</v>
      </c>
      <c r="J487" s="1830"/>
      <c r="K487" s="457"/>
      <c r="L487" s="458"/>
      <c r="M487" s="132"/>
      <c r="N487" s="132"/>
      <c r="O487" s="132"/>
      <c r="P487" s="132"/>
      <c r="Q487" s="580">
        <v>153817.20000000001</v>
      </c>
    </row>
    <row r="488" spans="1:17">
      <c r="A488" s="525" t="s">
        <v>1403</v>
      </c>
      <c r="B488" s="136" t="str">
        <f t="shared" si="54"/>
        <v>Tubería PVC Unión Mecánica de 6" RDE 21 (200 PSI)</v>
      </c>
      <c r="C488" s="473" t="s">
        <v>998</v>
      </c>
      <c r="D488" s="392">
        <f t="shared" si="55"/>
        <v>55977</v>
      </c>
      <c r="E488" s="381">
        <f t="shared" si="56"/>
        <v>66613</v>
      </c>
      <c r="F488" s="575">
        <v>153</v>
      </c>
      <c r="G488" s="132">
        <v>50</v>
      </c>
      <c r="I488" s="476" t="s">
        <v>1073</v>
      </c>
      <c r="J488" s="1830"/>
      <c r="K488" s="457"/>
      <c r="L488" s="458"/>
      <c r="M488" s="132"/>
      <c r="N488" s="132"/>
      <c r="O488" s="132"/>
      <c r="P488" s="132"/>
      <c r="Q488" s="580">
        <v>335859.3</v>
      </c>
    </row>
    <row r="489" spans="1:17">
      <c r="A489" s="525" t="s">
        <v>1404</v>
      </c>
      <c r="B489" s="136" t="str">
        <f t="shared" si="54"/>
        <v>Tubería PVC Unión Mecánica de 8" RDE 21 (200 PSI)</v>
      </c>
      <c r="C489" s="473" t="s">
        <v>998</v>
      </c>
      <c r="D489" s="392">
        <f t="shared" si="55"/>
        <v>94817</v>
      </c>
      <c r="E489" s="381">
        <f t="shared" si="56"/>
        <v>112832</v>
      </c>
      <c r="F489" s="575">
        <v>153</v>
      </c>
      <c r="G489" s="132">
        <v>50</v>
      </c>
      <c r="I489" s="476" t="s">
        <v>1078</v>
      </c>
      <c r="J489" s="1830"/>
      <c r="K489" s="457"/>
      <c r="L489" s="458"/>
      <c r="M489" s="132"/>
      <c r="N489" s="132"/>
      <c r="O489" s="132"/>
      <c r="P489" s="132"/>
      <c r="Q489" s="580">
        <v>568904.4</v>
      </c>
    </row>
    <row r="490" spans="1:17">
      <c r="A490" s="525" t="s">
        <v>1405</v>
      </c>
      <c r="B490" s="136" t="str">
        <f t="shared" si="54"/>
        <v>Tubería PVC Unión Mecánica de 10" RDE 21 (200 PSI)</v>
      </c>
      <c r="C490" s="473" t="s">
        <v>998</v>
      </c>
      <c r="D490" s="392">
        <f t="shared" si="55"/>
        <v>149262</v>
      </c>
      <c r="E490" s="381">
        <f t="shared" si="56"/>
        <v>177622</v>
      </c>
      <c r="F490" s="575"/>
      <c r="G490" s="132"/>
      <c r="I490" s="476" t="s">
        <v>1079</v>
      </c>
      <c r="J490" s="1830"/>
      <c r="K490" s="457"/>
      <c r="L490" s="458"/>
      <c r="M490" s="132"/>
      <c r="N490" s="132"/>
      <c r="O490" s="132"/>
      <c r="P490" s="132"/>
      <c r="Q490" s="580">
        <v>895571.1</v>
      </c>
    </row>
    <row r="491" spans="1:17">
      <c r="A491" s="525" t="s">
        <v>1406</v>
      </c>
      <c r="B491" s="136" t="str">
        <f t="shared" si="54"/>
        <v>Tubería PVC Unión Mecánica de 12" RDE 21 (200 PSI)</v>
      </c>
      <c r="C491" s="473" t="s">
        <v>998</v>
      </c>
      <c r="D491" s="392">
        <f t="shared" si="55"/>
        <v>208846</v>
      </c>
      <c r="E491" s="381">
        <f t="shared" si="56"/>
        <v>248527</v>
      </c>
      <c r="F491" s="575"/>
      <c r="G491" s="132"/>
      <c r="I491" s="476" t="s">
        <v>1099</v>
      </c>
      <c r="J491" s="1830"/>
      <c r="K491" s="457"/>
      <c r="L491" s="458"/>
      <c r="M491" s="132"/>
      <c r="N491" s="132"/>
      <c r="O491" s="132"/>
      <c r="P491" s="132"/>
      <c r="Q491" s="580">
        <v>1253073.6000000001</v>
      </c>
    </row>
    <row r="492" spans="1:17">
      <c r="A492" s="525" t="s">
        <v>1407</v>
      </c>
      <c r="B492" s="136" t="str">
        <f t="shared" si="54"/>
        <v>Tubería PVC Unión Mecánica de 14" RDE 21 (200 PSI)</v>
      </c>
      <c r="C492" s="473" t="s">
        <v>998</v>
      </c>
      <c r="D492" s="392">
        <f t="shared" si="55"/>
        <v>258994</v>
      </c>
      <c r="E492" s="381">
        <f t="shared" si="56"/>
        <v>308203</v>
      </c>
      <c r="F492" s="139"/>
      <c r="G492" s="132"/>
      <c r="I492" s="476" t="s">
        <v>1100</v>
      </c>
      <c r="J492" s="1830"/>
      <c r="K492" s="457"/>
      <c r="L492" s="458"/>
      <c r="M492" s="132"/>
      <c r="N492" s="132"/>
      <c r="O492" s="132"/>
      <c r="P492" s="132"/>
      <c r="Q492" s="580">
        <v>1553965.2</v>
      </c>
    </row>
    <row r="493" spans="1:17">
      <c r="A493" s="525" t="s">
        <v>1408</v>
      </c>
      <c r="B493" s="136" t="str">
        <f t="shared" si="54"/>
        <v>Tubería PVC Unión Mecánica de 16" RDE 21 (200 PSI)</v>
      </c>
      <c r="C493" s="473" t="s">
        <v>998</v>
      </c>
      <c r="D493" s="392">
        <f t="shared" si="55"/>
        <v>339934</v>
      </c>
      <c r="E493" s="381">
        <f t="shared" si="56"/>
        <v>404521</v>
      </c>
      <c r="F493" s="139"/>
      <c r="G493" s="132"/>
      <c r="I493" s="476" t="s">
        <v>1104</v>
      </c>
      <c r="J493" s="1830"/>
      <c r="K493" s="457"/>
      <c r="L493" s="458"/>
      <c r="M493" s="132"/>
      <c r="N493" s="132"/>
      <c r="O493" s="132"/>
      <c r="P493" s="132"/>
      <c r="Q493" s="580">
        <v>2039601.6</v>
      </c>
    </row>
    <row r="494" spans="1:17">
      <c r="A494" s="525" t="s">
        <v>1409</v>
      </c>
      <c r="B494" s="136" t="str">
        <f t="shared" si="54"/>
        <v>Tubería PVC Unión Mecánica de 18" RDE 21 (200 PSI)</v>
      </c>
      <c r="C494" s="473" t="s">
        <v>998</v>
      </c>
      <c r="D494" s="392">
        <f t="shared" si="55"/>
        <v>436285</v>
      </c>
      <c r="E494" s="381">
        <f t="shared" si="56"/>
        <v>519179</v>
      </c>
      <c r="F494" s="139"/>
      <c r="G494" s="132"/>
      <c r="I494" s="476" t="s">
        <v>1105</v>
      </c>
      <c r="J494" s="1830"/>
      <c r="K494" s="457"/>
      <c r="L494" s="458"/>
      <c r="M494" s="132"/>
      <c r="N494" s="132"/>
      <c r="O494" s="132"/>
      <c r="P494" s="132"/>
      <c r="Q494" s="580">
        <v>2617711.2000000002</v>
      </c>
    </row>
    <row r="495" spans="1:17">
      <c r="A495" s="525" t="s">
        <v>1410</v>
      </c>
      <c r="B495" s="136" t="str">
        <f t="shared" si="54"/>
        <v>Tubería PVC Unión Mecánica de 20" RDE 21 (200 PSI)</v>
      </c>
      <c r="C495" s="473" t="s">
        <v>998</v>
      </c>
      <c r="D495" s="392">
        <f t="shared" si="55"/>
        <v>543596</v>
      </c>
      <c r="E495" s="381">
        <f t="shared" si="56"/>
        <v>646879</v>
      </c>
      <c r="F495" s="139"/>
      <c r="G495" s="132"/>
      <c r="I495" s="476" t="s">
        <v>1106</v>
      </c>
      <c r="J495" s="1830"/>
      <c r="K495" s="457"/>
      <c r="L495" s="458"/>
      <c r="M495" s="132"/>
      <c r="N495" s="132"/>
      <c r="O495" s="132"/>
      <c r="P495" s="132"/>
      <c r="Q495" s="580">
        <v>3261573.9</v>
      </c>
    </row>
    <row r="496" spans="1:17">
      <c r="A496" s="525" t="s">
        <v>1412</v>
      </c>
      <c r="B496" s="136" t="str">
        <f t="shared" si="54"/>
        <v>Tubería PVC Unión Mecánica de 24" RDE 21 (200 PSI)</v>
      </c>
      <c r="C496" s="473" t="s">
        <v>998</v>
      </c>
      <c r="D496" s="392">
        <f t="shared" si="55"/>
        <v>876110</v>
      </c>
      <c r="E496" s="381">
        <f t="shared" si="56"/>
        <v>1042571</v>
      </c>
      <c r="F496" s="139"/>
      <c r="G496" s="132"/>
      <c r="I496" s="485" t="s">
        <v>1107</v>
      </c>
      <c r="J496" s="1830"/>
      <c r="K496" s="457"/>
      <c r="L496" s="458"/>
      <c r="M496" s="132"/>
      <c r="N496" s="132"/>
      <c r="O496" s="132"/>
      <c r="P496" s="132"/>
      <c r="Q496" s="580">
        <v>5256659.7</v>
      </c>
    </row>
    <row r="497" spans="1:12">
      <c r="A497" s="525"/>
      <c r="B497" s="136"/>
      <c r="C497" s="135"/>
      <c r="D497" s="392"/>
      <c r="E497" s="381"/>
      <c r="F497" s="139"/>
      <c r="G497" s="132"/>
      <c r="I497" s="487"/>
      <c r="K497" s="457"/>
      <c r="L497" s="458"/>
    </row>
    <row r="498" spans="1:12">
      <c r="A498" s="525"/>
      <c r="B498" s="483" t="s">
        <v>1098</v>
      </c>
      <c r="C498" s="499" t="s">
        <v>1108</v>
      </c>
      <c r="D498" s="500"/>
      <c r="E498" s="381"/>
      <c r="F498" s="139"/>
      <c r="G498" s="132"/>
      <c r="I498" s="487"/>
      <c r="K498" s="457"/>
      <c r="L498" s="458"/>
    </row>
    <row r="499" spans="1:12">
      <c r="A499" s="525" t="s">
        <v>1413</v>
      </c>
      <c r="B499" s="136" t="str">
        <f>+CONCATENATE($B$498," de ", I499," ",$C$498)</f>
        <v>Tubería PVC Unión Mecánica de 2" RDE 26 (160 PSI)</v>
      </c>
      <c r="C499" s="473" t="s">
        <v>998</v>
      </c>
      <c r="D499" s="392">
        <f>ROUND(K499/6,0)</f>
        <v>5950</v>
      </c>
      <c r="E499" s="381">
        <f>ROUND(D499*(1+$E$39),0)</f>
        <v>7081</v>
      </c>
      <c r="F499" s="139"/>
      <c r="G499" s="132"/>
      <c r="I499" s="485" t="s">
        <v>1007</v>
      </c>
      <c r="J499" s="1830" t="s">
        <v>1102</v>
      </c>
      <c r="K499" s="457">
        <v>35700</v>
      </c>
      <c r="L499" s="458"/>
    </row>
    <row r="500" spans="1:12">
      <c r="A500" s="525" t="s">
        <v>1424</v>
      </c>
      <c r="B500" s="136" t="str">
        <f t="shared" ref="B500:B510" si="57">+CONCATENATE($B$498," de ", I500," ",$C$498)</f>
        <v>Tubería PVC Unión Mecánica de 2 1/2" RDE 26 (160 PSI)</v>
      </c>
      <c r="C500" s="473" t="s">
        <v>998</v>
      </c>
      <c r="D500" s="392">
        <f t="shared" ref="D500:D510" si="58">ROUND(K500/6,0)</f>
        <v>8785</v>
      </c>
      <c r="E500" s="381">
        <f t="shared" ref="E500:E510" si="59">ROUND(D500*(1+$E$39),0)</f>
        <v>10454</v>
      </c>
      <c r="F500" s="139"/>
      <c r="G500" s="132"/>
      <c r="I500" s="485" t="s">
        <v>1008</v>
      </c>
      <c r="J500" s="1831"/>
      <c r="K500" s="457">
        <v>52711</v>
      </c>
      <c r="L500" s="458"/>
    </row>
    <row r="501" spans="1:12">
      <c r="A501" s="525" t="s">
        <v>1414</v>
      </c>
      <c r="B501" s="136" t="str">
        <f t="shared" si="57"/>
        <v>Tubería PVC Unión Mecánica de 3" RDE 26 (160 PSI)</v>
      </c>
      <c r="C501" s="473" t="s">
        <v>998</v>
      </c>
      <c r="D501" s="392">
        <f t="shared" si="58"/>
        <v>13089</v>
      </c>
      <c r="E501" s="381">
        <f t="shared" si="59"/>
        <v>15576</v>
      </c>
      <c r="F501" s="139"/>
      <c r="G501" s="132"/>
      <c r="I501" s="476" t="s">
        <v>1009</v>
      </c>
      <c r="J501" s="1831"/>
      <c r="K501" s="457">
        <v>78535</v>
      </c>
      <c r="L501" s="458"/>
    </row>
    <row r="502" spans="1:12">
      <c r="A502" s="525" t="s">
        <v>1415</v>
      </c>
      <c r="B502" s="136" t="str">
        <f t="shared" si="57"/>
        <v>Tubería PVC Unión Mecánica de 4" RDE 26 (160 PSI)</v>
      </c>
      <c r="C502" s="473" t="s">
        <v>998</v>
      </c>
      <c r="D502" s="392">
        <f t="shared" si="58"/>
        <v>21619</v>
      </c>
      <c r="E502" s="381">
        <f t="shared" si="59"/>
        <v>25727</v>
      </c>
      <c r="F502" s="139"/>
      <c r="G502" s="132"/>
      <c r="I502" s="476" t="s">
        <v>1010</v>
      </c>
      <c r="J502" s="1831"/>
      <c r="K502" s="457">
        <v>129711</v>
      </c>
      <c r="L502" s="458"/>
    </row>
    <row r="503" spans="1:12">
      <c r="A503" s="525" t="s">
        <v>1416</v>
      </c>
      <c r="B503" s="136" t="str">
        <f t="shared" si="57"/>
        <v>Tubería PVC Unión Mecánica de 6" RDE 26 (160 PSI)</v>
      </c>
      <c r="C503" s="473" t="s">
        <v>998</v>
      </c>
      <c r="D503" s="392">
        <f t="shared" si="58"/>
        <v>46310</v>
      </c>
      <c r="E503" s="381">
        <f t="shared" si="59"/>
        <v>55109</v>
      </c>
      <c r="F503" s="139"/>
      <c r="G503" s="132"/>
      <c r="I503" s="476" t="s">
        <v>1073</v>
      </c>
      <c r="J503" s="1831"/>
      <c r="K503" s="457">
        <v>277862</v>
      </c>
      <c r="L503" s="458"/>
    </row>
    <row r="504" spans="1:12">
      <c r="A504" s="525" t="s">
        <v>1417</v>
      </c>
      <c r="B504" s="136" t="str">
        <f t="shared" si="57"/>
        <v>Tubería PVC Unión Mecánica de 8" RDE 26 (160 PSI)</v>
      </c>
      <c r="C504" s="473" t="s">
        <v>998</v>
      </c>
      <c r="D504" s="392">
        <f t="shared" si="58"/>
        <v>78783</v>
      </c>
      <c r="E504" s="381">
        <f t="shared" si="59"/>
        <v>93752</v>
      </c>
      <c r="F504" s="139"/>
      <c r="G504" s="132"/>
      <c r="I504" s="476" t="s">
        <v>1078</v>
      </c>
      <c r="J504" s="1831"/>
      <c r="K504" s="457">
        <v>472700</v>
      </c>
      <c r="L504" s="458"/>
    </row>
    <row r="505" spans="1:12">
      <c r="A505" s="525" t="s">
        <v>1418</v>
      </c>
      <c r="B505" s="136" t="str">
        <f t="shared" si="57"/>
        <v>Tubería PVC Unión Mecánica de 10" RDE 26 (160 PSI)</v>
      </c>
      <c r="C505" s="473" t="s">
        <v>998</v>
      </c>
      <c r="D505" s="392">
        <f t="shared" si="58"/>
        <v>122628</v>
      </c>
      <c r="E505" s="381">
        <f t="shared" si="59"/>
        <v>145927</v>
      </c>
      <c r="F505" s="139"/>
      <c r="G505" s="132"/>
      <c r="I505" s="476" t="s">
        <v>1079</v>
      </c>
      <c r="J505" s="1831"/>
      <c r="K505" s="457">
        <v>735769</v>
      </c>
      <c r="L505" s="458"/>
    </row>
    <row r="506" spans="1:12">
      <c r="A506" s="525" t="s">
        <v>1419</v>
      </c>
      <c r="B506" s="136" t="str">
        <f t="shared" si="57"/>
        <v>Tubería PVC Unión Mecánica de 12" RDE 26 (160 PSI)</v>
      </c>
      <c r="C506" s="473" t="s">
        <v>998</v>
      </c>
      <c r="D506" s="392">
        <f t="shared" si="58"/>
        <v>172863</v>
      </c>
      <c r="E506" s="381">
        <f t="shared" si="59"/>
        <v>205707</v>
      </c>
      <c r="F506" s="139"/>
      <c r="G506" s="132"/>
      <c r="I506" s="476" t="s">
        <v>1099</v>
      </c>
      <c r="J506" s="1831"/>
      <c r="K506" s="457">
        <v>1037180</v>
      </c>
      <c r="L506" s="458"/>
    </row>
    <row r="507" spans="1:12">
      <c r="A507" s="525" t="s">
        <v>1420</v>
      </c>
      <c r="B507" s="136" t="str">
        <f t="shared" si="57"/>
        <v>Tubería PVC Unión Mecánica de 14" RDE 26 (160 PSI)</v>
      </c>
      <c r="C507" s="473" t="s">
        <v>998</v>
      </c>
      <c r="D507" s="392">
        <f t="shared" si="58"/>
        <v>215086</v>
      </c>
      <c r="E507" s="381">
        <f t="shared" si="59"/>
        <v>255952</v>
      </c>
      <c r="F507" s="139"/>
      <c r="G507" s="132"/>
      <c r="I507" s="476" t="s">
        <v>1100</v>
      </c>
      <c r="J507" s="1831"/>
      <c r="K507" s="457">
        <v>1290514</v>
      </c>
      <c r="L507" s="458"/>
    </row>
    <row r="508" spans="1:12">
      <c r="A508" s="525" t="s">
        <v>1421</v>
      </c>
      <c r="B508" s="136" t="str">
        <f t="shared" si="57"/>
        <v>Tubería PVC Unión Mecánica de 16" RDE 26 (160 PSI)</v>
      </c>
      <c r="C508" s="473" t="s">
        <v>998</v>
      </c>
      <c r="D508" s="392">
        <f t="shared" si="58"/>
        <v>285373</v>
      </c>
      <c r="E508" s="381">
        <f t="shared" si="59"/>
        <v>339594</v>
      </c>
      <c r="F508" s="139"/>
      <c r="G508" s="132"/>
      <c r="I508" s="476" t="s">
        <v>1104</v>
      </c>
      <c r="J508" s="1831"/>
      <c r="K508" s="457">
        <v>1712240</v>
      </c>
      <c r="L508" s="458"/>
    </row>
    <row r="509" spans="1:12">
      <c r="A509" s="525" t="s">
        <v>1422</v>
      </c>
      <c r="B509" s="136" t="str">
        <f t="shared" si="57"/>
        <v>Tubería PVC Unión Mecánica de 18" RDE 26 (160 PSI)</v>
      </c>
      <c r="C509" s="473" t="s">
        <v>998</v>
      </c>
      <c r="D509" s="392">
        <f t="shared" si="58"/>
        <v>365790</v>
      </c>
      <c r="E509" s="381">
        <f t="shared" si="59"/>
        <v>435290</v>
      </c>
      <c r="F509" s="139"/>
      <c r="G509" s="132"/>
      <c r="I509" s="476" t="s">
        <v>1105</v>
      </c>
      <c r="J509" s="1831"/>
      <c r="K509" s="457">
        <v>2194737</v>
      </c>
      <c r="L509" s="458"/>
    </row>
    <row r="510" spans="1:12">
      <c r="A510" s="525" t="s">
        <v>1423</v>
      </c>
      <c r="B510" s="136" t="str">
        <f t="shared" si="57"/>
        <v>Tubería PVC Unión Mecánica de 20" RDE 26 (160 PSI)</v>
      </c>
      <c r="C510" s="473" t="s">
        <v>998</v>
      </c>
      <c r="D510" s="392">
        <f t="shared" si="58"/>
        <v>471290</v>
      </c>
      <c r="E510" s="381">
        <f t="shared" si="59"/>
        <v>560835</v>
      </c>
      <c r="F510" s="139"/>
      <c r="G510" s="132"/>
      <c r="I510" s="476" t="s">
        <v>1106</v>
      </c>
      <c r="J510" s="1831"/>
      <c r="K510" s="457">
        <v>2827737</v>
      </c>
      <c r="L510" s="458"/>
    </row>
    <row r="511" spans="1:12">
      <c r="A511" s="525"/>
      <c r="B511" s="136"/>
      <c r="C511" s="135"/>
      <c r="D511" s="392"/>
      <c r="E511" s="381"/>
      <c r="F511" s="139"/>
      <c r="G511" s="132"/>
      <c r="I511" s="487"/>
      <c r="K511" s="457"/>
      <c r="L511" s="458"/>
    </row>
    <row r="512" spans="1:12">
      <c r="A512" s="525"/>
      <c r="B512" s="483" t="s">
        <v>1098</v>
      </c>
      <c r="C512" s="499" t="s">
        <v>1109</v>
      </c>
      <c r="D512" s="500"/>
      <c r="E512" s="381"/>
      <c r="F512" s="139"/>
      <c r="G512" s="132"/>
      <c r="I512" s="487"/>
      <c r="K512" s="457"/>
      <c r="L512" s="458"/>
    </row>
    <row r="513" spans="1:12">
      <c r="A513" s="525" t="s">
        <v>1425</v>
      </c>
      <c r="B513" s="136" t="str">
        <f>+CONCATENATE($B$512," de ", I513," ",$C$512)</f>
        <v>Tubería PVC Unión Mecánica de 2" RDE 32.5 (125 PSI)</v>
      </c>
      <c r="C513" s="473" t="s">
        <v>998</v>
      </c>
      <c r="D513" s="392">
        <f>ROUND(K513/6,0)</f>
        <v>4840</v>
      </c>
      <c r="E513" s="381">
        <f>ROUND(D513*(1+$E$39),0)</f>
        <v>5760</v>
      </c>
      <c r="F513" s="139"/>
      <c r="G513" s="132"/>
      <c r="I513" s="476" t="s">
        <v>1007</v>
      </c>
      <c r="J513" s="1830" t="s">
        <v>1102</v>
      </c>
      <c r="K513" s="457">
        <v>29040</v>
      </c>
      <c r="L513" s="458"/>
    </row>
    <row r="514" spans="1:12">
      <c r="A514" s="525" t="s">
        <v>1426</v>
      </c>
      <c r="B514" s="136" t="str">
        <f t="shared" ref="B514:B524" si="60">+CONCATENATE($B$512," de ", I514," ",$C$512)</f>
        <v>Tubería PVC Unión Mecánica de 3" RDE 32.5 (125 PSI)</v>
      </c>
      <c r="C514" s="473" t="s">
        <v>998</v>
      </c>
      <c r="D514" s="392">
        <f t="shared" ref="D514:D524" si="61">ROUND(K514/6,0)</f>
        <v>10515</v>
      </c>
      <c r="E514" s="381">
        <f t="shared" ref="E514:E524" si="62">ROUND(D514*(1+$E$39),0)</f>
        <v>12513</v>
      </c>
      <c r="F514" s="139"/>
      <c r="G514" s="132"/>
      <c r="I514" s="476" t="s">
        <v>1009</v>
      </c>
      <c r="J514" s="1831"/>
      <c r="K514" s="457">
        <v>63091</v>
      </c>
      <c r="L514" s="458"/>
    </row>
    <row r="515" spans="1:12">
      <c r="A515" s="525" t="s">
        <v>1427</v>
      </c>
      <c r="B515" s="136" t="str">
        <f t="shared" si="60"/>
        <v>Tubería PVC Unión Mecánica de 4" RDE 32.5 (125 PSI)</v>
      </c>
      <c r="C515" s="473" t="s">
        <v>998</v>
      </c>
      <c r="D515" s="392">
        <f t="shared" si="61"/>
        <v>17334</v>
      </c>
      <c r="E515" s="381">
        <f t="shared" si="62"/>
        <v>20627</v>
      </c>
      <c r="F515" s="139"/>
      <c r="G515" s="132"/>
      <c r="I515" s="476" t="s">
        <v>1010</v>
      </c>
      <c r="J515" s="1831"/>
      <c r="K515" s="457">
        <v>104006</v>
      </c>
      <c r="L515" s="458"/>
    </row>
    <row r="516" spans="1:12">
      <c r="A516" s="525" t="s">
        <v>1428</v>
      </c>
      <c r="B516" s="136" t="str">
        <f t="shared" si="60"/>
        <v>Tubería PVC Unión Mecánica de 6" RDE 32.5 (125 PSI)</v>
      </c>
      <c r="C516" s="473" t="s">
        <v>998</v>
      </c>
      <c r="D516" s="392">
        <f t="shared" si="61"/>
        <v>37784</v>
      </c>
      <c r="E516" s="381">
        <f t="shared" si="62"/>
        <v>44963</v>
      </c>
      <c r="F516" s="139"/>
      <c r="G516" s="132"/>
      <c r="I516" s="476" t="s">
        <v>1073</v>
      </c>
      <c r="J516" s="1831"/>
      <c r="K516" s="457">
        <v>226703</v>
      </c>
      <c r="L516" s="458"/>
    </row>
    <row r="517" spans="1:12">
      <c r="A517" s="525" t="s">
        <v>1429</v>
      </c>
      <c r="B517" s="136" t="str">
        <f t="shared" si="60"/>
        <v>Tubería PVC Unión Mecánica de 8" RDE 32.5 (125 PSI)</v>
      </c>
      <c r="C517" s="473" t="s">
        <v>998</v>
      </c>
      <c r="D517" s="392">
        <f t="shared" si="61"/>
        <v>64292</v>
      </c>
      <c r="E517" s="381">
        <f t="shared" si="62"/>
        <v>76507</v>
      </c>
      <c r="F517" s="139"/>
      <c r="G517" s="132"/>
      <c r="I517" s="476" t="s">
        <v>1078</v>
      </c>
      <c r="J517" s="1831"/>
      <c r="K517" s="457">
        <v>385750</v>
      </c>
      <c r="L517" s="458"/>
    </row>
    <row r="518" spans="1:12">
      <c r="A518" s="525" t="s">
        <v>1430</v>
      </c>
      <c r="B518" s="136" t="str">
        <f t="shared" si="60"/>
        <v>Tubería PVC Unión Mecánica de 10" RDE 32.5 (125 PSI)</v>
      </c>
      <c r="C518" s="473" t="s">
        <v>998</v>
      </c>
      <c r="D518" s="392">
        <f t="shared" si="61"/>
        <v>100497</v>
      </c>
      <c r="E518" s="381">
        <f t="shared" si="62"/>
        <v>119591</v>
      </c>
      <c r="F518" s="139"/>
      <c r="G518" s="132"/>
      <c r="I518" s="476" t="s">
        <v>1079</v>
      </c>
      <c r="J518" s="1831"/>
      <c r="K518" s="457">
        <v>602979</v>
      </c>
      <c r="L518" s="458"/>
    </row>
    <row r="519" spans="1:12">
      <c r="A519" s="525" t="s">
        <v>1431</v>
      </c>
      <c r="B519" s="136" t="str">
        <f t="shared" si="60"/>
        <v>Tubería PVC Unión Mecánica de 12" RDE 32.5 (125 PSI)</v>
      </c>
      <c r="C519" s="473" t="s">
        <v>998</v>
      </c>
      <c r="D519" s="392">
        <f t="shared" si="61"/>
        <v>141574</v>
      </c>
      <c r="E519" s="381">
        <f t="shared" si="62"/>
        <v>168473</v>
      </c>
      <c r="F519" s="139"/>
      <c r="G519" s="132"/>
      <c r="I519" s="476" t="s">
        <v>1099</v>
      </c>
      <c r="J519" s="1831"/>
      <c r="K519" s="457">
        <v>849441</v>
      </c>
      <c r="L519" s="458"/>
    </row>
    <row r="520" spans="1:12">
      <c r="A520" s="525" t="s">
        <v>1432</v>
      </c>
      <c r="B520" s="136" t="str">
        <f t="shared" si="60"/>
        <v>Tubería PVC Unión Mecánica de 14" RDE 32.5 (125 PSI)</v>
      </c>
      <c r="C520" s="473" t="s">
        <v>998</v>
      </c>
      <c r="D520" s="392">
        <f t="shared" si="61"/>
        <v>175275</v>
      </c>
      <c r="E520" s="381">
        <f t="shared" si="62"/>
        <v>208577</v>
      </c>
      <c r="F520" s="139"/>
      <c r="G520" s="132"/>
      <c r="I520" s="476" t="s">
        <v>1100</v>
      </c>
      <c r="J520" s="1831"/>
      <c r="K520" s="457">
        <v>1051652</v>
      </c>
      <c r="L520" s="458"/>
    </row>
    <row r="521" spans="1:12">
      <c r="A521" s="525" t="s">
        <v>1433</v>
      </c>
      <c r="B521" s="136" t="str">
        <f t="shared" si="60"/>
        <v>Tubería PVC Unión Mecánica de 16" RDE 32.5 (125 PSI)</v>
      </c>
      <c r="C521" s="473" t="s">
        <v>998</v>
      </c>
      <c r="D521" s="392">
        <f t="shared" si="61"/>
        <v>233100</v>
      </c>
      <c r="E521" s="381">
        <f t="shared" si="62"/>
        <v>277389</v>
      </c>
      <c r="F521" s="139"/>
      <c r="G521" s="132"/>
      <c r="I521" s="476" t="s">
        <v>1104</v>
      </c>
      <c r="J521" s="1831"/>
      <c r="K521" s="457">
        <v>1398597</v>
      </c>
      <c r="L521" s="458"/>
    </row>
    <row r="522" spans="1:12">
      <c r="A522" s="525" t="s">
        <v>1434</v>
      </c>
      <c r="B522" s="136" t="str">
        <f t="shared" si="60"/>
        <v>Tubería PVC Unión Mecánica de 18" RDE 32.5 (125 PSI)</v>
      </c>
      <c r="C522" s="473" t="s">
        <v>998</v>
      </c>
      <c r="D522" s="392">
        <f t="shared" si="61"/>
        <v>295549</v>
      </c>
      <c r="E522" s="381">
        <f t="shared" si="62"/>
        <v>351703</v>
      </c>
      <c r="F522" s="139"/>
      <c r="G522" s="132"/>
      <c r="I522" s="476" t="s">
        <v>1105</v>
      </c>
      <c r="J522" s="1831"/>
      <c r="K522" s="457">
        <v>1773292</v>
      </c>
      <c r="L522" s="458"/>
    </row>
    <row r="523" spans="1:12">
      <c r="A523" s="525" t="s">
        <v>1435</v>
      </c>
      <c r="B523" s="136" t="str">
        <f t="shared" si="60"/>
        <v>Tubería PVC Unión Mecánica de 20" RDE 32.5 (125 PSI)</v>
      </c>
      <c r="C523" s="473" t="s">
        <v>998</v>
      </c>
      <c r="D523" s="392">
        <f t="shared" si="61"/>
        <v>387131</v>
      </c>
      <c r="E523" s="381">
        <f t="shared" si="62"/>
        <v>460686</v>
      </c>
      <c r="F523" s="139"/>
      <c r="G523" s="132"/>
      <c r="I523" s="476" t="s">
        <v>1106</v>
      </c>
      <c r="J523" s="1831"/>
      <c r="K523" s="457">
        <v>2322785</v>
      </c>
      <c r="L523" s="458"/>
    </row>
    <row r="524" spans="1:12">
      <c r="A524" s="525" t="s">
        <v>1436</v>
      </c>
      <c r="B524" s="136" t="str">
        <f t="shared" si="60"/>
        <v>Tubería PVC Unión Mecánica de 24" RDE 32.5 (125 PSI)</v>
      </c>
      <c r="C524" s="473" t="s">
        <v>998</v>
      </c>
      <c r="D524" s="392">
        <f t="shared" si="61"/>
        <v>554928</v>
      </c>
      <c r="E524" s="381">
        <f t="shared" si="62"/>
        <v>660364</v>
      </c>
      <c r="F524" s="139"/>
      <c r="G524" s="132"/>
      <c r="I524" s="477" t="s">
        <v>1107</v>
      </c>
      <c r="J524" s="1831"/>
      <c r="K524" s="457">
        <v>3329566</v>
      </c>
      <c r="L524" s="458"/>
    </row>
    <row r="525" spans="1:12">
      <c r="A525" s="525"/>
      <c r="B525" s="136"/>
      <c r="C525" s="135"/>
      <c r="D525" s="392"/>
      <c r="E525" s="381"/>
      <c r="F525" s="139"/>
      <c r="G525" s="132"/>
      <c r="I525" s="487"/>
      <c r="K525" s="457"/>
      <c r="L525" s="458"/>
    </row>
    <row r="526" spans="1:12">
      <c r="A526" s="525"/>
      <c r="B526" s="483" t="s">
        <v>1098</v>
      </c>
      <c r="C526" s="499" t="s">
        <v>1110</v>
      </c>
      <c r="D526" s="500"/>
      <c r="E526" s="381"/>
      <c r="F526" s="139"/>
      <c r="G526" s="132"/>
      <c r="I526" s="487"/>
      <c r="K526" s="457"/>
      <c r="L526" s="458"/>
    </row>
    <row r="527" spans="1:12">
      <c r="A527" s="525" t="s">
        <v>1437</v>
      </c>
      <c r="B527" s="136" t="str">
        <f>+CONCATENATE($B$526," de ", I527," ",$C$526)</f>
        <v>Tubería PVC Unión Mecánica de 2" RDE 41 (100 PSI)</v>
      </c>
      <c r="C527" s="473" t="s">
        <v>998</v>
      </c>
      <c r="D527" s="392">
        <f>ROUND(K527/6,0)</f>
        <v>4119</v>
      </c>
      <c r="E527" s="381">
        <f>ROUND(D527*(1+$E$39),0)</f>
        <v>4902</v>
      </c>
      <c r="F527" s="139"/>
      <c r="G527" s="132"/>
      <c r="I527" s="476" t="s">
        <v>1007</v>
      </c>
      <c r="J527" s="1836" t="s">
        <v>1102</v>
      </c>
      <c r="K527" s="474">
        <v>24715</v>
      </c>
      <c r="L527" s="458"/>
    </row>
    <row r="528" spans="1:12">
      <c r="A528" s="525" t="s">
        <v>1438</v>
      </c>
      <c r="B528" s="136" t="str">
        <f t="shared" ref="B528:B537" si="63">+CONCATENATE($B$526," de ", I528," ",$C$526)</f>
        <v>Tubería PVC Unión Mecánica de 3" RDE 41 (100 PSI)</v>
      </c>
      <c r="C528" s="473" t="s">
        <v>998</v>
      </c>
      <c r="D528" s="392">
        <f t="shared" ref="D528:D537" si="64">ROUND(K528/6,0)</f>
        <v>8534</v>
      </c>
      <c r="E528" s="381">
        <f t="shared" ref="E528:E537" si="65">ROUND(D528*(1+$E$39),0)</f>
        <v>10155</v>
      </c>
      <c r="F528" s="139"/>
      <c r="G528" s="132"/>
      <c r="I528" s="476" t="s">
        <v>1009</v>
      </c>
      <c r="J528" s="1837"/>
      <c r="K528" s="474">
        <v>51203</v>
      </c>
      <c r="L528" s="458"/>
    </row>
    <row r="529" spans="1:12">
      <c r="A529" s="525" t="s">
        <v>1439</v>
      </c>
      <c r="B529" s="136" t="str">
        <f t="shared" si="63"/>
        <v>Tubería PVC Unión Mecánica de 4" RDE 41 (100 PSI)</v>
      </c>
      <c r="C529" s="473" t="s">
        <v>998</v>
      </c>
      <c r="D529" s="392">
        <f t="shared" si="64"/>
        <v>14366</v>
      </c>
      <c r="E529" s="381">
        <f t="shared" si="65"/>
        <v>17096</v>
      </c>
      <c r="F529" s="139"/>
      <c r="G529" s="132"/>
      <c r="I529" s="476" t="s">
        <v>1010</v>
      </c>
      <c r="J529" s="1837"/>
      <c r="K529" s="474">
        <v>86198</v>
      </c>
      <c r="L529" s="458"/>
    </row>
    <row r="530" spans="1:12">
      <c r="A530" s="525" t="s">
        <v>1440</v>
      </c>
      <c r="B530" s="136" t="str">
        <f t="shared" si="63"/>
        <v>Tubería PVC Unión Mecánica de 6" RDE 41 (100 PSI)</v>
      </c>
      <c r="C530" s="473" t="s">
        <v>998</v>
      </c>
      <c r="D530" s="392">
        <f t="shared" si="64"/>
        <v>30456</v>
      </c>
      <c r="E530" s="381">
        <f t="shared" si="65"/>
        <v>36243</v>
      </c>
      <c r="F530" s="139"/>
      <c r="G530" s="132"/>
      <c r="I530" s="476" t="s">
        <v>1073</v>
      </c>
      <c r="J530" s="1837"/>
      <c r="K530" s="474">
        <v>182736</v>
      </c>
      <c r="L530" s="458"/>
    </row>
    <row r="531" spans="1:12">
      <c r="A531" s="525" t="s">
        <v>1441</v>
      </c>
      <c r="B531" s="136" t="str">
        <f t="shared" si="63"/>
        <v>Tubería PVC Unión Mecánica de 8" RDE 41 (100 PSI)</v>
      </c>
      <c r="C531" s="473" t="s">
        <v>998</v>
      </c>
      <c r="D531" s="392">
        <f t="shared" si="64"/>
        <v>51442</v>
      </c>
      <c r="E531" s="381">
        <f t="shared" si="65"/>
        <v>61216</v>
      </c>
      <c r="F531" s="139"/>
      <c r="G531" s="132"/>
      <c r="I531" s="476" t="s">
        <v>1078</v>
      </c>
      <c r="J531" s="1837"/>
      <c r="K531" s="474">
        <v>308649</v>
      </c>
      <c r="L531" s="458"/>
    </row>
    <row r="532" spans="1:12">
      <c r="A532" s="525" t="s">
        <v>1442</v>
      </c>
      <c r="B532" s="136" t="str">
        <f t="shared" si="63"/>
        <v>Tubería PVC Unión Mecánica de 10" RDE 41 (100 PSI)</v>
      </c>
      <c r="C532" s="473" t="s">
        <v>998</v>
      </c>
      <c r="D532" s="392">
        <f t="shared" si="64"/>
        <v>80442</v>
      </c>
      <c r="E532" s="381">
        <f t="shared" si="65"/>
        <v>95726</v>
      </c>
      <c r="F532" s="139"/>
      <c r="G532" s="132"/>
      <c r="I532" s="476" t="s">
        <v>1079</v>
      </c>
      <c r="J532" s="1837"/>
      <c r="K532" s="474">
        <v>482650</v>
      </c>
      <c r="L532" s="458"/>
    </row>
    <row r="533" spans="1:12">
      <c r="A533" s="525" t="s">
        <v>1443</v>
      </c>
      <c r="B533" s="136" t="str">
        <f t="shared" si="63"/>
        <v>Tubería PVC Unión Mecánica de 12" RDE 41 (100 PSI)</v>
      </c>
      <c r="C533" s="473" t="s">
        <v>998</v>
      </c>
      <c r="D533" s="392">
        <f t="shared" si="64"/>
        <v>113926</v>
      </c>
      <c r="E533" s="381">
        <f t="shared" si="65"/>
        <v>135572</v>
      </c>
      <c r="F533" s="139"/>
      <c r="G533" s="132"/>
      <c r="I533" s="476" t="s">
        <v>1099</v>
      </c>
      <c r="J533" s="1837"/>
      <c r="K533" s="474">
        <v>683553</v>
      </c>
      <c r="L533" s="458"/>
    </row>
    <row r="534" spans="1:12">
      <c r="A534" s="525" t="s">
        <v>1444</v>
      </c>
      <c r="B534" s="136" t="str">
        <f t="shared" si="63"/>
        <v>Tubería PVC Unión Mecánica de 14" RDE 41 (100 PSI)</v>
      </c>
      <c r="C534" s="473" t="s">
        <v>998</v>
      </c>
      <c r="D534" s="392">
        <f t="shared" si="64"/>
        <v>143872</v>
      </c>
      <c r="E534" s="381">
        <f t="shared" si="65"/>
        <v>171208</v>
      </c>
      <c r="F534" s="139"/>
      <c r="G534" s="132"/>
      <c r="I534" s="476" t="s">
        <v>1100</v>
      </c>
      <c r="J534" s="1837"/>
      <c r="K534" s="474">
        <v>863232</v>
      </c>
      <c r="L534" s="458"/>
    </row>
    <row r="535" spans="1:12">
      <c r="A535" s="525" t="s">
        <v>1445</v>
      </c>
      <c r="B535" s="136" t="str">
        <f t="shared" si="63"/>
        <v>Tubería PVC Unión Mecánica de 16" RDE 41 (100 PSI)</v>
      </c>
      <c r="C535" s="473" t="s">
        <v>998</v>
      </c>
      <c r="D535" s="392">
        <f t="shared" si="64"/>
        <v>193678</v>
      </c>
      <c r="E535" s="381">
        <f t="shared" si="65"/>
        <v>230477</v>
      </c>
      <c r="F535" s="139"/>
      <c r="G535" s="132"/>
      <c r="I535" s="476" t="s">
        <v>1104</v>
      </c>
      <c r="J535" s="1837"/>
      <c r="K535" s="474">
        <v>1162065</v>
      </c>
      <c r="L535" s="458"/>
    </row>
    <row r="536" spans="1:12">
      <c r="A536" s="525" t="s">
        <v>1446</v>
      </c>
      <c r="B536" s="136" t="str">
        <f t="shared" si="63"/>
        <v>Tubería PVC Unión Mecánica de 18" RDE 41 (100 PSI)</v>
      </c>
      <c r="C536" s="473" t="s">
        <v>998</v>
      </c>
      <c r="D536" s="392">
        <f t="shared" si="64"/>
        <v>251969</v>
      </c>
      <c r="E536" s="381">
        <f t="shared" si="65"/>
        <v>299843</v>
      </c>
      <c r="F536" s="139"/>
      <c r="G536" s="132"/>
      <c r="I536" s="476" t="s">
        <v>1105</v>
      </c>
      <c r="J536" s="1837"/>
      <c r="K536" s="474">
        <v>1511816</v>
      </c>
      <c r="L536" s="458"/>
    </row>
    <row r="537" spans="1:12">
      <c r="A537" s="525" t="s">
        <v>1447</v>
      </c>
      <c r="B537" s="136" t="str">
        <f t="shared" si="63"/>
        <v>Tubería PVC Unión Mecánica de 20" RDE 41 (100 PSI)</v>
      </c>
      <c r="C537" s="473" t="s">
        <v>998</v>
      </c>
      <c r="D537" s="392">
        <f t="shared" si="64"/>
        <v>319744</v>
      </c>
      <c r="E537" s="381">
        <f t="shared" si="65"/>
        <v>380495</v>
      </c>
      <c r="F537" s="139"/>
      <c r="G537" s="132"/>
      <c r="I537" s="476" t="s">
        <v>1106</v>
      </c>
      <c r="J537" s="1838"/>
      <c r="K537" s="484">
        <v>1918462</v>
      </c>
      <c r="L537" s="458"/>
    </row>
    <row r="538" spans="1:12">
      <c r="A538" s="525"/>
      <c r="B538" s="136"/>
      <c r="C538" s="135"/>
      <c r="D538" s="392"/>
      <c r="E538" s="381"/>
      <c r="F538" s="139"/>
      <c r="G538" s="132"/>
      <c r="I538" s="503"/>
      <c r="J538" s="502"/>
      <c r="K538" s="457"/>
      <c r="L538" s="458"/>
    </row>
    <row r="539" spans="1:12">
      <c r="A539" s="525"/>
      <c r="B539" s="483" t="s">
        <v>1111</v>
      </c>
      <c r="C539" s="499" t="s">
        <v>1112</v>
      </c>
      <c r="D539" s="500"/>
      <c r="E539" s="381"/>
      <c r="F539" s="139"/>
      <c r="G539" s="132"/>
      <c r="I539" s="487"/>
      <c r="J539" s="501"/>
      <c r="K539" s="457"/>
      <c r="L539" s="458"/>
    </row>
    <row r="540" spans="1:12" ht="15.95" customHeight="1">
      <c r="A540" s="525" t="s">
        <v>1448</v>
      </c>
      <c r="B540" s="136" t="str">
        <f>+CONCATENATE($B$539," de ", I540," ",$C$539)</f>
        <v>Tubería PVC Orientada Unión Mecánica (SUPRAXIAL) de 4" 200 PSI</v>
      </c>
      <c r="C540" s="473" t="s">
        <v>998</v>
      </c>
      <c r="D540" s="392">
        <f>ROUND(K540/6,0)</f>
        <v>25895</v>
      </c>
      <c r="E540" s="381">
        <f>ROUND(D540*(1+$E$39),0)</f>
        <v>30815</v>
      </c>
      <c r="F540" s="139"/>
      <c r="G540" s="132"/>
      <c r="I540" s="476" t="s">
        <v>1010</v>
      </c>
      <c r="J540" s="1830" t="s">
        <v>1102</v>
      </c>
      <c r="K540" s="457">
        <v>155370</v>
      </c>
      <c r="L540" s="458"/>
    </row>
    <row r="541" spans="1:12" ht="15.95" customHeight="1">
      <c r="A541" s="525" t="s">
        <v>1449</v>
      </c>
      <c r="B541" s="136" t="str">
        <f t="shared" ref="B541:B546" si="66">+CONCATENATE($B$539," de ", I541," ",$C$539)</f>
        <v>Tubería PVC Orientada Unión Mecánica (SUPRAXIAL) de 6" 200 PSI</v>
      </c>
      <c r="C541" s="473" t="s">
        <v>998</v>
      </c>
      <c r="D541" s="392">
        <f t="shared" ref="D541:D546" si="67">ROUND(K541/6,0)</f>
        <v>56542</v>
      </c>
      <c r="E541" s="381">
        <f t="shared" ref="E541:E546" si="68">ROUND(D541*(1+$E$39),0)</f>
        <v>67285</v>
      </c>
      <c r="F541" s="139"/>
      <c r="G541" s="132"/>
      <c r="I541" s="476" t="s">
        <v>1073</v>
      </c>
      <c r="J541" s="1831"/>
      <c r="K541" s="457">
        <v>339251</v>
      </c>
      <c r="L541" s="458"/>
    </row>
    <row r="542" spans="1:12" ht="15.95" customHeight="1">
      <c r="A542" s="525" t="s">
        <v>1450</v>
      </c>
      <c r="B542" s="136" t="str">
        <f t="shared" si="66"/>
        <v>Tubería PVC Orientada Unión Mecánica (SUPRAXIAL) de 8" 200 PSI</v>
      </c>
      <c r="C542" s="473" t="s">
        <v>998</v>
      </c>
      <c r="D542" s="392">
        <f t="shared" si="67"/>
        <v>95775</v>
      </c>
      <c r="E542" s="381">
        <f t="shared" si="68"/>
        <v>113972</v>
      </c>
      <c r="F542" s="139"/>
      <c r="G542" s="132"/>
      <c r="I542" s="476" t="s">
        <v>1078</v>
      </c>
      <c r="J542" s="1831"/>
      <c r="K542" s="457">
        <v>574651</v>
      </c>
      <c r="L542" s="458"/>
    </row>
    <row r="543" spans="1:12" ht="15.95" customHeight="1">
      <c r="A543" s="525" t="s">
        <v>1451</v>
      </c>
      <c r="B543" s="136" t="str">
        <f t="shared" si="66"/>
        <v>Tubería PVC Orientada Unión Mecánica (SUPRAXIAL) de 10" 200 PSI</v>
      </c>
      <c r="C543" s="473" t="s">
        <v>998</v>
      </c>
      <c r="D543" s="392">
        <f t="shared" si="67"/>
        <v>150770</v>
      </c>
      <c r="E543" s="381">
        <f t="shared" si="68"/>
        <v>179416</v>
      </c>
      <c r="F543" s="139"/>
      <c r="G543" s="132"/>
      <c r="I543" s="476" t="s">
        <v>1079</v>
      </c>
      <c r="J543" s="1831"/>
      <c r="K543" s="457">
        <v>904617</v>
      </c>
      <c r="L543" s="458"/>
    </row>
    <row r="544" spans="1:12" ht="15.95" customHeight="1">
      <c r="A544" s="525" t="s">
        <v>1452</v>
      </c>
      <c r="B544" s="136" t="str">
        <f t="shared" si="66"/>
        <v>Tubería PVC Orientada Unión Mecánica (SUPRAXIAL) de 12" 200 PSI</v>
      </c>
      <c r="C544" s="473" t="s">
        <v>998</v>
      </c>
      <c r="D544" s="392">
        <f t="shared" si="67"/>
        <v>210955</v>
      </c>
      <c r="E544" s="381">
        <f t="shared" si="68"/>
        <v>251036</v>
      </c>
      <c r="F544" s="139"/>
      <c r="G544" s="132"/>
      <c r="I544" s="476" t="s">
        <v>1099</v>
      </c>
      <c r="J544" s="1831"/>
      <c r="K544" s="457">
        <v>1265730</v>
      </c>
      <c r="L544" s="458"/>
    </row>
    <row r="545" spans="1:12" ht="15.95" customHeight="1">
      <c r="A545" s="525" t="s">
        <v>1453</v>
      </c>
      <c r="B545" s="136" t="str">
        <f t="shared" si="66"/>
        <v>Tubería PVC Orientada Unión Mecánica (SUPRAXIAL) de 14" 200 PSI</v>
      </c>
      <c r="C545" s="473" t="s">
        <v>998</v>
      </c>
      <c r="D545" s="392">
        <f t="shared" si="67"/>
        <v>261610</v>
      </c>
      <c r="E545" s="381">
        <f t="shared" si="68"/>
        <v>311316</v>
      </c>
      <c r="F545" s="139"/>
      <c r="G545" s="132"/>
      <c r="I545" s="476" t="s">
        <v>1100</v>
      </c>
      <c r="J545" s="1831"/>
      <c r="K545" s="457">
        <v>1569662</v>
      </c>
      <c r="L545" s="458"/>
    </row>
    <row r="546" spans="1:12" ht="15.95" customHeight="1">
      <c r="A546" s="525" t="s">
        <v>1454</v>
      </c>
      <c r="B546" s="136" t="str">
        <f t="shared" si="66"/>
        <v>Tubería PVC Orientada Unión Mecánica (SUPRAXIAL) de 16" 200 PSI</v>
      </c>
      <c r="C546" s="473" t="s">
        <v>998</v>
      </c>
      <c r="D546" s="392">
        <f t="shared" si="67"/>
        <v>343367</v>
      </c>
      <c r="E546" s="381">
        <f t="shared" si="68"/>
        <v>408607</v>
      </c>
      <c r="F546" s="139"/>
      <c r="G546" s="132"/>
      <c r="I546" s="476" t="s">
        <v>1104</v>
      </c>
      <c r="J546" s="1831"/>
      <c r="K546" s="457">
        <v>2060203</v>
      </c>
      <c r="L546" s="458"/>
    </row>
    <row r="547" spans="1:12" ht="15.95" customHeight="1">
      <c r="A547" s="525"/>
      <c r="B547" s="136"/>
      <c r="C547" s="135"/>
      <c r="D547" s="392"/>
      <c r="E547" s="381"/>
      <c r="F547" s="139"/>
      <c r="G547" s="132"/>
      <c r="I547" s="487"/>
      <c r="K547" s="457"/>
      <c r="L547" s="458"/>
    </row>
    <row r="548" spans="1:12" ht="15.95" customHeight="1">
      <c r="A548" s="525"/>
      <c r="B548" s="483" t="s">
        <v>1111</v>
      </c>
      <c r="C548" s="499" t="s">
        <v>1113</v>
      </c>
      <c r="D548" s="500"/>
      <c r="E548" s="381"/>
      <c r="F548" s="139"/>
      <c r="G548" s="132"/>
      <c r="I548" s="487"/>
      <c r="K548" s="457"/>
      <c r="L548" s="458"/>
    </row>
    <row r="549" spans="1:12">
      <c r="A549" s="525" t="s">
        <v>1455</v>
      </c>
      <c r="B549" s="136" t="str">
        <f t="shared" ref="B549:B555" si="69">+CONCATENATE($B$548," de ", I549," ",$C$548)</f>
        <v>Tubería PVC Orientada Unión Mecánica (SUPRAXIAL) de 4" 160 PSI</v>
      </c>
      <c r="C549" s="473" t="s">
        <v>998</v>
      </c>
      <c r="D549" s="392">
        <f>ROUND(K549/6,0)</f>
        <v>21619</v>
      </c>
      <c r="E549" s="381">
        <f>ROUND(D549*(1+$E$39),0)</f>
        <v>25727</v>
      </c>
      <c r="F549" s="139"/>
      <c r="G549" s="132"/>
      <c r="I549" s="476" t="s">
        <v>1010</v>
      </c>
      <c r="J549" s="1830" t="s">
        <v>1102</v>
      </c>
      <c r="K549" s="457">
        <v>129711</v>
      </c>
      <c r="L549" s="458"/>
    </row>
    <row r="550" spans="1:12">
      <c r="A550" s="525" t="s">
        <v>1456</v>
      </c>
      <c r="B550" s="136" t="str">
        <f t="shared" si="69"/>
        <v>Tubería PVC Orientada Unión Mecánica (SUPRAXIAL) de 6" 160 PSI</v>
      </c>
      <c r="C550" s="473" t="s">
        <v>998</v>
      </c>
      <c r="D550" s="392">
        <f t="shared" ref="D550:D555" si="70">ROUND(K550/6,0)</f>
        <v>46310</v>
      </c>
      <c r="E550" s="381">
        <f t="shared" ref="E550:E555" si="71">ROUND(D550*(1+$E$39),0)</f>
        <v>55109</v>
      </c>
      <c r="F550" s="139"/>
      <c r="G550" s="132"/>
      <c r="I550" s="476" t="s">
        <v>1073</v>
      </c>
      <c r="J550" s="1831"/>
      <c r="K550" s="457">
        <v>277862</v>
      </c>
      <c r="L550" s="458"/>
    </row>
    <row r="551" spans="1:12">
      <c r="A551" s="525" t="s">
        <v>1457</v>
      </c>
      <c r="B551" s="136" t="str">
        <f t="shared" si="69"/>
        <v>Tubería PVC Orientada Unión Mecánica (SUPRAXIAL) de 8" 160 PSI</v>
      </c>
      <c r="C551" s="473" t="s">
        <v>998</v>
      </c>
      <c r="D551" s="392">
        <f t="shared" si="70"/>
        <v>78784</v>
      </c>
      <c r="E551" s="381">
        <f t="shared" si="71"/>
        <v>93753</v>
      </c>
      <c r="F551" s="139"/>
      <c r="G551" s="132"/>
      <c r="I551" s="476" t="s">
        <v>1078</v>
      </c>
      <c r="J551" s="1831"/>
      <c r="K551" s="457">
        <v>472701</v>
      </c>
      <c r="L551" s="458"/>
    </row>
    <row r="552" spans="1:12">
      <c r="A552" s="525" t="s">
        <v>1458</v>
      </c>
      <c r="B552" s="136" t="str">
        <f t="shared" si="69"/>
        <v>Tubería PVC Orientada Unión Mecánica (SUPRAXIAL) de 10" 160 PSI</v>
      </c>
      <c r="C552" s="473" t="s">
        <v>998</v>
      </c>
      <c r="D552" s="392">
        <f t="shared" si="70"/>
        <v>122628</v>
      </c>
      <c r="E552" s="381">
        <f t="shared" si="71"/>
        <v>145927</v>
      </c>
      <c r="F552" s="139"/>
      <c r="G552" s="132"/>
      <c r="I552" s="476" t="s">
        <v>1079</v>
      </c>
      <c r="J552" s="1831"/>
      <c r="K552" s="457">
        <v>735769</v>
      </c>
      <c r="L552" s="458"/>
    </row>
    <row r="553" spans="1:12">
      <c r="A553" s="525" t="s">
        <v>1459</v>
      </c>
      <c r="B553" s="136" t="str">
        <f t="shared" si="69"/>
        <v>Tubería PVC Orientada Unión Mecánica (SUPRAXIAL) de 12" 160 PSI</v>
      </c>
      <c r="C553" s="473" t="s">
        <v>998</v>
      </c>
      <c r="D553" s="392">
        <f t="shared" si="70"/>
        <v>172863</v>
      </c>
      <c r="E553" s="381">
        <f t="shared" si="71"/>
        <v>205707</v>
      </c>
      <c r="F553" s="139"/>
      <c r="G553" s="132"/>
      <c r="I553" s="476" t="s">
        <v>1099</v>
      </c>
      <c r="J553" s="1831"/>
      <c r="K553" s="457">
        <v>1037180</v>
      </c>
      <c r="L553" s="458"/>
    </row>
    <row r="554" spans="1:12">
      <c r="A554" s="525" t="s">
        <v>1460</v>
      </c>
      <c r="B554" s="136" t="str">
        <f t="shared" si="69"/>
        <v>Tubería PVC Orientada Unión Mecánica (SUPRAXIAL) de 14" 160 PSI</v>
      </c>
      <c r="C554" s="473" t="s">
        <v>998</v>
      </c>
      <c r="D554" s="392">
        <f t="shared" si="70"/>
        <v>215086</v>
      </c>
      <c r="E554" s="381">
        <f t="shared" si="71"/>
        <v>255952</v>
      </c>
      <c r="F554" s="139"/>
      <c r="G554" s="132"/>
      <c r="I554" s="476" t="s">
        <v>1100</v>
      </c>
      <c r="J554" s="1831"/>
      <c r="K554" s="457">
        <v>1290514</v>
      </c>
      <c r="L554" s="458"/>
    </row>
    <row r="555" spans="1:12">
      <c r="A555" s="525" t="s">
        <v>1461</v>
      </c>
      <c r="B555" s="136" t="str">
        <f t="shared" si="69"/>
        <v>Tubería PVC Orientada Unión Mecánica (SUPRAXIAL) de 16" 160 PSI</v>
      </c>
      <c r="C555" s="473" t="s">
        <v>998</v>
      </c>
      <c r="D555" s="392">
        <f t="shared" si="70"/>
        <v>285373</v>
      </c>
      <c r="E555" s="381">
        <f t="shared" si="71"/>
        <v>339594</v>
      </c>
      <c r="F555" s="139"/>
      <c r="G555" s="132"/>
      <c r="I555" s="476" t="s">
        <v>1104</v>
      </c>
      <c r="J555" s="1831"/>
      <c r="K555" s="457">
        <v>1712240</v>
      </c>
      <c r="L555" s="458"/>
    </row>
    <row r="556" spans="1:12">
      <c r="A556" s="525"/>
      <c r="B556" s="136"/>
      <c r="C556" s="135"/>
      <c r="D556" s="392"/>
      <c r="E556" s="381"/>
      <c r="F556" s="139"/>
      <c r="G556" s="132"/>
      <c r="I556" s="487"/>
      <c r="K556" s="457"/>
      <c r="L556" s="458"/>
    </row>
    <row r="557" spans="1:12">
      <c r="A557" s="525" t="s">
        <v>1114</v>
      </c>
      <c r="B557" s="483" t="s">
        <v>1115</v>
      </c>
      <c r="C557" s="499" t="s">
        <v>1116</v>
      </c>
      <c r="D557" s="500"/>
      <c r="E557" s="381"/>
      <c r="F557" s="139"/>
      <c r="G557" s="132"/>
      <c r="I557" s="487"/>
      <c r="K557" s="457"/>
      <c r="L557" s="458"/>
    </row>
    <row r="558" spans="1:12">
      <c r="A558" s="525" t="s">
        <v>1462</v>
      </c>
      <c r="B558" s="136" t="str">
        <f>+CONCATENATE($B$557," de ", I558," ",$C$557)</f>
        <v>Tubería PVC Presión E.L. de 3" RDE 11 (400 PSI)</v>
      </c>
      <c r="C558" s="473" t="s">
        <v>998</v>
      </c>
      <c r="D558" s="392">
        <f>ROUND(K558/6,0)</f>
        <v>40110</v>
      </c>
      <c r="E558" s="381">
        <f>ROUND(D558*(1+$E$39),0)</f>
        <v>47731</v>
      </c>
      <c r="F558" s="139"/>
      <c r="G558" s="132"/>
      <c r="I558" s="498" t="s">
        <v>1009</v>
      </c>
      <c r="J558" s="1830" t="s">
        <v>1102</v>
      </c>
      <c r="K558" s="457">
        <v>240657</v>
      </c>
      <c r="L558" s="458"/>
    </row>
    <row r="559" spans="1:12">
      <c r="A559" s="525" t="s">
        <v>1463</v>
      </c>
      <c r="B559" s="136" t="str">
        <f>+CONCATENATE($B$557," de ", I559," ",$C$557)</f>
        <v>Tubería PVC Presión E.L. de 4" RDE 11 (400 PSI)</v>
      </c>
      <c r="C559" s="473" t="s">
        <v>998</v>
      </c>
      <c r="D559" s="392">
        <f>ROUND(K559/6,0)</f>
        <v>66715</v>
      </c>
      <c r="E559" s="381">
        <f>ROUND(D559*(1+$E$39),0)</f>
        <v>79391</v>
      </c>
      <c r="F559" s="139"/>
      <c r="G559" s="132"/>
      <c r="I559" s="498" t="s">
        <v>1010</v>
      </c>
      <c r="J559" s="1831"/>
      <c r="K559" s="457">
        <v>400289</v>
      </c>
      <c r="L559" s="458"/>
    </row>
    <row r="560" spans="1:12">
      <c r="A560" s="525" t="s">
        <v>1464</v>
      </c>
      <c r="B560" s="136" t="str">
        <f>+CONCATENATE($B$557," de ", I560," ",$C$557)</f>
        <v>Tubería PVC Presión E.L. de 6" RDE 11 (400 PSI)</v>
      </c>
      <c r="C560" s="473" t="s">
        <v>998</v>
      </c>
      <c r="D560" s="392">
        <f>ROUND(K560/6,0)</f>
        <v>144547</v>
      </c>
      <c r="E560" s="381">
        <f>ROUND(D560*(1+$E$39),0)</f>
        <v>172011</v>
      </c>
      <c r="F560" s="139"/>
      <c r="G560" s="132"/>
      <c r="I560" s="498" t="s">
        <v>1073</v>
      </c>
      <c r="J560" s="1831"/>
      <c r="K560" s="457">
        <v>867282</v>
      </c>
      <c r="L560" s="458"/>
    </row>
    <row r="561" spans="1:17">
      <c r="A561" s="525" t="s">
        <v>1465</v>
      </c>
      <c r="B561" s="136" t="str">
        <f>+CONCATENATE($B$557," de ", I561," ",$C$557)</f>
        <v>Tubería PVC Presión E.L. de 8" RDE 11 (400 PSI)</v>
      </c>
      <c r="C561" s="473" t="s">
        <v>998</v>
      </c>
      <c r="D561" s="392">
        <f>ROUND(K561/6,0)</f>
        <v>242998</v>
      </c>
      <c r="E561" s="381">
        <f>ROUND(D561*(1+$E$39),0)</f>
        <v>289168</v>
      </c>
      <c r="F561" s="139"/>
      <c r="G561" s="132"/>
      <c r="I561" s="498" t="s">
        <v>1078</v>
      </c>
      <c r="J561" s="1831"/>
      <c r="K561" s="457">
        <v>1457990</v>
      </c>
      <c r="L561" s="458"/>
    </row>
    <row r="562" spans="1:17">
      <c r="A562" s="525"/>
      <c r="B562" s="136"/>
      <c r="C562" s="135"/>
      <c r="D562" s="392"/>
      <c r="E562" s="381"/>
      <c r="F562" s="139"/>
      <c r="G562" s="132"/>
      <c r="I562" s="487"/>
      <c r="K562" s="457"/>
      <c r="L562" s="458"/>
    </row>
    <row r="563" spans="1:17">
      <c r="A563" s="526" t="s">
        <v>1117</v>
      </c>
      <c r="B563" s="467"/>
      <c r="C563" s="468"/>
      <c r="D563" s="469"/>
      <c r="E563" s="470"/>
      <c r="F563" s="471"/>
      <c r="G563" s="472"/>
      <c r="H563" s="482"/>
      <c r="I563" s="482"/>
      <c r="K563" s="457"/>
      <c r="L563" s="458"/>
    </row>
    <row r="564" spans="1:17">
      <c r="A564" s="525"/>
      <c r="B564" s="483" t="s">
        <v>1118</v>
      </c>
      <c r="C564" s="505"/>
      <c r="D564" s="392"/>
      <c r="E564" s="381"/>
      <c r="F564" s="139"/>
      <c r="G564" s="132"/>
      <c r="I564" s="487"/>
      <c r="K564" s="457"/>
      <c r="L564" s="458"/>
    </row>
    <row r="565" spans="1:17">
      <c r="A565" s="525" t="s">
        <v>1466</v>
      </c>
      <c r="B565" s="136" t="str">
        <f>+CONCATENATE($B$564," de ", I565," ",$C$564)</f>
        <v xml:space="preserve">Codo PVC Gran Radio  de 2 x 90 </v>
      </c>
      <c r="C565" s="473" t="s">
        <v>622</v>
      </c>
      <c r="D565" s="392">
        <f>+Q565</f>
        <v>0</v>
      </c>
      <c r="E565" s="381">
        <f>ROUND(D565*(1+$E$39),0)</f>
        <v>0</v>
      </c>
      <c r="F565" s="139"/>
      <c r="G565" s="132"/>
      <c r="I565" s="490" t="s">
        <v>1119</v>
      </c>
      <c r="J565" s="1832" t="s">
        <v>1060</v>
      </c>
      <c r="K565" s="457">
        <v>19564</v>
      </c>
      <c r="L565" s="458"/>
      <c r="Q565" s="584"/>
    </row>
    <row r="566" spans="1:17">
      <c r="A566" s="525" t="s">
        <v>1478</v>
      </c>
      <c r="B566" s="136" t="str">
        <f t="shared" ref="B566:B572" si="72">+CONCATENATE($B$564," de ", I566," ",$C$564)</f>
        <v xml:space="preserve">Codo PVC Gran Radio  de 2 1/2 x 90 </v>
      </c>
      <c r="C566" s="473" t="s">
        <v>622</v>
      </c>
      <c r="D566" s="392">
        <f t="shared" ref="D566:D602" si="73">+Q566</f>
        <v>0</v>
      </c>
      <c r="E566" s="381">
        <f t="shared" ref="E566:E573" si="74">ROUND(D566*(1+$E$39),0)</f>
        <v>0</v>
      </c>
      <c r="F566" s="139"/>
      <c r="G566" s="132"/>
      <c r="I566" s="490" t="s">
        <v>1120</v>
      </c>
      <c r="J566" s="1833"/>
      <c r="K566" s="457">
        <v>25148</v>
      </c>
      <c r="L566" s="458"/>
      <c r="Q566" s="584"/>
    </row>
    <row r="567" spans="1:17">
      <c r="A567" s="525" t="s">
        <v>1467</v>
      </c>
      <c r="B567" s="136" t="str">
        <f t="shared" si="72"/>
        <v xml:space="preserve">Codo PVC Gran Radio  de 3 x 90 </v>
      </c>
      <c r="C567" s="473" t="s">
        <v>622</v>
      </c>
      <c r="D567" s="392">
        <f t="shared" si="73"/>
        <v>0</v>
      </c>
      <c r="E567" s="381">
        <f t="shared" si="74"/>
        <v>0</v>
      </c>
      <c r="F567" s="139"/>
      <c r="G567" s="132"/>
      <c r="I567" s="490" t="s">
        <v>1121</v>
      </c>
      <c r="J567" s="1833"/>
      <c r="K567" s="457">
        <v>45578</v>
      </c>
      <c r="L567" s="458"/>
      <c r="Q567" s="584"/>
    </row>
    <row r="568" spans="1:17">
      <c r="A568" s="525" t="s">
        <v>1468</v>
      </c>
      <c r="B568" s="136" t="str">
        <f t="shared" si="72"/>
        <v xml:space="preserve">Codo PVC Gran Radio  de 4 x 90 </v>
      </c>
      <c r="C568" s="473" t="s">
        <v>622</v>
      </c>
      <c r="D568" s="392">
        <f t="shared" si="73"/>
        <v>0</v>
      </c>
      <c r="E568" s="381">
        <f t="shared" si="74"/>
        <v>0</v>
      </c>
      <c r="F568" s="139"/>
      <c r="G568" s="132"/>
      <c r="I568" s="490" t="s">
        <v>1122</v>
      </c>
      <c r="J568" s="1833"/>
      <c r="K568" s="457">
        <v>87513</v>
      </c>
      <c r="L568" s="458"/>
      <c r="Q568" s="584"/>
    </row>
    <row r="569" spans="1:17">
      <c r="A569" s="525" t="s">
        <v>1469</v>
      </c>
      <c r="B569" s="136" t="str">
        <f t="shared" si="72"/>
        <v xml:space="preserve">Codo PVC Gran Radio  de 6 x 90 </v>
      </c>
      <c r="C569" s="473" t="s">
        <v>622</v>
      </c>
      <c r="D569" s="392">
        <f t="shared" si="73"/>
        <v>257638</v>
      </c>
      <c r="E569" s="381">
        <f t="shared" si="74"/>
        <v>306589</v>
      </c>
      <c r="F569" s="139"/>
      <c r="G569" s="132"/>
      <c r="I569" s="490" t="s">
        <v>1123</v>
      </c>
      <c r="J569" s="1833"/>
      <c r="K569" s="457">
        <v>233671</v>
      </c>
      <c r="L569" s="458"/>
      <c r="Q569" s="584">
        <v>257638</v>
      </c>
    </row>
    <row r="570" spans="1:17">
      <c r="A570" s="525" t="s">
        <v>1470</v>
      </c>
      <c r="B570" s="136" t="str">
        <f t="shared" si="72"/>
        <v xml:space="preserve">Codo PVC Gran Radio  de 8 x 90 </v>
      </c>
      <c r="C570" s="473" t="s">
        <v>622</v>
      </c>
      <c r="D570" s="392">
        <f t="shared" si="73"/>
        <v>611480</v>
      </c>
      <c r="E570" s="381">
        <f t="shared" si="74"/>
        <v>727661</v>
      </c>
      <c r="F570" s="139"/>
      <c r="G570" s="132"/>
      <c r="I570" s="490" t="s">
        <v>1124</v>
      </c>
      <c r="J570" s="1833"/>
      <c r="K570" s="457">
        <v>555671</v>
      </c>
      <c r="L570" s="458"/>
      <c r="Q570" s="584">
        <v>611480</v>
      </c>
    </row>
    <row r="571" spans="1:17">
      <c r="A571" s="525" t="s">
        <v>1471</v>
      </c>
      <c r="B571" s="136" t="str">
        <f t="shared" si="72"/>
        <v xml:space="preserve">Codo PVC Gran Radio  de 10 x 90 </v>
      </c>
      <c r="C571" s="473" t="s">
        <v>622</v>
      </c>
      <c r="D571" s="392">
        <f t="shared" si="73"/>
        <v>0</v>
      </c>
      <c r="E571" s="381">
        <f t="shared" si="74"/>
        <v>0</v>
      </c>
      <c r="F571" s="139"/>
      <c r="G571" s="132"/>
      <c r="I571" s="490" t="s">
        <v>1125</v>
      </c>
      <c r="J571" s="1833"/>
      <c r="K571" s="457">
        <v>1208555</v>
      </c>
      <c r="L571" s="458"/>
      <c r="Q571" s="584"/>
    </row>
    <row r="572" spans="1:17">
      <c r="A572" s="525" t="s">
        <v>1472</v>
      </c>
      <c r="B572" s="136" t="str">
        <f t="shared" si="72"/>
        <v xml:space="preserve">Codo PVC Gran Radio  de 12 x 90 </v>
      </c>
      <c r="C572" s="473" t="s">
        <v>622</v>
      </c>
      <c r="D572" s="392">
        <f t="shared" si="73"/>
        <v>0</v>
      </c>
      <c r="E572" s="381">
        <f t="shared" si="74"/>
        <v>0</v>
      </c>
      <c r="F572" s="139"/>
      <c r="G572" s="132"/>
      <c r="I572" s="490" t="s">
        <v>1126</v>
      </c>
      <c r="J572" s="1833"/>
      <c r="K572" s="457">
        <v>1640231</v>
      </c>
      <c r="L572" s="458"/>
      <c r="Q572" s="584"/>
    </row>
    <row r="573" spans="1:17" ht="13.5" thickBot="1">
      <c r="A573" s="527" t="s">
        <v>1473</v>
      </c>
      <c r="B573" s="509" t="str">
        <f>+CONCATENATE($B$564," de ", I573," ",$C$564)</f>
        <v xml:space="preserve">Codo PVC Gran Radio  de 14 x 90 </v>
      </c>
      <c r="C573" s="510" t="s">
        <v>622</v>
      </c>
      <c r="D573" s="452">
        <f t="shared" si="73"/>
        <v>0</v>
      </c>
      <c r="E573" s="453">
        <f t="shared" si="74"/>
        <v>0</v>
      </c>
      <c r="F573" s="454"/>
      <c r="G573" s="455"/>
      <c r="H573" s="456"/>
      <c r="I573" s="511" t="s">
        <v>1127</v>
      </c>
      <c r="J573" s="1834"/>
      <c r="K573" s="459">
        <v>2031962</v>
      </c>
      <c r="L573" s="458"/>
      <c r="Q573" s="584"/>
    </row>
    <row r="574" spans="1:17" ht="13.5" thickTop="1">
      <c r="A574" s="528" t="s">
        <v>1474</v>
      </c>
      <c r="B574" s="512" t="str">
        <f t="shared" ref="B574:B602" si="75">+CONCATENATE($B$564," de ", I574," ",$C$564)</f>
        <v xml:space="preserve">Codo PVC Gran Radio  de 2 x 45 </v>
      </c>
      <c r="C574" s="513" t="s">
        <v>622</v>
      </c>
      <c r="D574" s="514">
        <f t="shared" si="73"/>
        <v>0</v>
      </c>
      <c r="E574" s="515">
        <f t="shared" ref="E574:E602" si="76">ROUND(D574*(1+$E$39),0)</f>
        <v>0</v>
      </c>
      <c r="F574" s="516"/>
      <c r="G574" s="517"/>
      <c r="H574" s="518"/>
      <c r="I574" s="519" t="s">
        <v>1128</v>
      </c>
      <c r="J574" s="1832" t="s">
        <v>1157</v>
      </c>
      <c r="K574" s="520">
        <v>16911</v>
      </c>
      <c r="L574" s="458"/>
      <c r="Q574" s="584"/>
    </row>
    <row r="575" spans="1:17">
      <c r="A575" s="525" t="s">
        <v>1485</v>
      </c>
      <c r="B575" s="136" t="str">
        <f t="shared" si="75"/>
        <v xml:space="preserve">Codo PVC Gran Radio  de 2 1/2 x 45 </v>
      </c>
      <c r="C575" s="473" t="s">
        <v>622</v>
      </c>
      <c r="D575" s="392">
        <f t="shared" si="73"/>
        <v>0</v>
      </c>
      <c r="E575" s="381">
        <f t="shared" si="76"/>
        <v>0</v>
      </c>
      <c r="F575" s="139"/>
      <c r="G575" s="132"/>
      <c r="I575" s="490" t="s">
        <v>1129</v>
      </c>
      <c r="J575" s="1833"/>
      <c r="K575" s="457">
        <v>19309</v>
      </c>
      <c r="L575" s="458"/>
      <c r="Q575" s="584"/>
    </row>
    <row r="576" spans="1:17">
      <c r="A576" s="525" t="s">
        <v>1475</v>
      </c>
      <c r="B576" s="136" t="str">
        <f t="shared" si="75"/>
        <v xml:space="preserve">Codo PVC Gran Radio  de 3 x 45 </v>
      </c>
      <c r="C576" s="473" t="s">
        <v>622</v>
      </c>
      <c r="D576" s="392">
        <f t="shared" si="73"/>
        <v>0</v>
      </c>
      <c r="E576" s="381">
        <f t="shared" si="76"/>
        <v>0</v>
      </c>
      <c r="F576" s="139"/>
      <c r="G576" s="132"/>
      <c r="I576" s="490" t="s">
        <v>1130</v>
      </c>
      <c r="J576" s="1833"/>
      <c r="K576" s="457">
        <v>30553</v>
      </c>
      <c r="L576" s="458"/>
      <c r="Q576" s="584"/>
    </row>
    <row r="577" spans="1:17">
      <c r="A577" s="525" t="s">
        <v>1476</v>
      </c>
      <c r="B577" s="136" t="str">
        <f t="shared" si="75"/>
        <v xml:space="preserve">Codo PVC Gran Radio  de 4 x 45 </v>
      </c>
      <c r="C577" s="473" t="s">
        <v>622</v>
      </c>
      <c r="D577" s="392">
        <f t="shared" si="73"/>
        <v>0</v>
      </c>
      <c r="E577" s="381">
        <f t="shared" si="76"/>
        <v>0</v>
      </c>
      <c r="F577" s="139"/>
      <c r="G577" s="132"/>
      <c r="I577" s="490" t="s">
        <v>1131</v>
      </c>
      <c r="J577" s="1833"/>
      <c r="K577" s="457">
        <v>61992</v>
      </c>
      <c r="L577" s="458"/>
      <c r="Q577" s="584"/>
    </row>
    <row r="578" spans="1:17">
      <c r="A578" s="525" t="s">
        <v>1477</v>
      </c>
      <c r="B578" s="136" t="str">
        <f t="shared" si="75"/>
        <v xml:space="preserve">Codo PVC Gran Radio  de 6 x 45 </v>
      </c>
      <c r="C578" s="473" t="s">
        <v>622</v>
      </c>
      <c r="D578" s="392">
        <f t="shared" si="73"/>
        <v>187026</v>
      </c>
      <c r="E578" s="381">
        <f t="shared" si="76"/>
        <v>222561</v>
      </c>
      <c r="F578" s="139"/>
      <c r="G578" s="132"/>
      <c r="I578" s="490" t="s">
        <v>1132</v>
      </c>
      <c r="J578" s="1833"/>
      <c r="K578" s="457">
        <v>170024</v>
      </c>
      <c r="L578" s="458"/>
      <c r="Q578" s="584">
        <v>187026</v>
      </c>
    </row>
    <row r="579" spans="1:17">
      <c r="A579" s="525" t="s">
        <v>1479</v>
      </c>
      <c r="B579" s="136" t="str">
        <f t="shared" si="75"/>
        <v xml:space="preserve">Codo PVC Gran Radio  de 8 x 45 </v>
      </c>
      <c r="C579" s="473" t="s">
        <v>622</v>
      </c>
      <c r="D579" s="392">
        <f t="shared" si="73"/>
        <v>406186</v>
      </c>
      <c r="E579" s="381">
        <f t="shared" si="76"/>
        <v>483361</v>
      </c>
      <c r="F579" s="139"/>
      <c r="G579" s="132"/>
      <c r="I579" s="490" t="s">
        <v>1133</v>
      </c>
      <c r="J579" s="1833"/>
      <c r="K579" s="457">
        <v>369178</v>
      </c>
      <c r="L579" s="458"/>
      <c r="Q579" s="584">
        <v>406186</v>
      </c>
    </row>
    <row r="580" spans="1:17">
      <c r="A580" s="525" t="s">
        <v>1480</v>
      </c>
      <c r="B580" s="136" t="str">
        <f t="shared" si="75"/>
        <v xml:space="preserve">Codo PVC Gran Radio  de 10 x 45 </v>
      </c>
      <c r="C580" s="473" t="s">
        <v>622</v>
      </c>
      <c r="D580" s="392">
        <f t="shared" si="73"/>
        <v>0</v>
      </c>
      <c r="E580" s="381">
        <f t="shared" si="76"/>
        <v>0</v>
      </c>
      <c r="F580" s="139"/>
      <c r="G580" s="132"/>
      <c r="I580" s="490" t="s">
        <v>1134</v>
      </c>
      <c r="J580" s="1833"/>
      <c r="K580" s="457">
        <v>790628</v>
      </c>
      <c r="L580" s="458"/>
      <c r="Q580" s="584"/>
    </row>
    <row r="581" spans="1:17">
      <c r="A581" s="525" t="s">
        <v>1481</v>
      </c>
      <c r="B581" s="136" t="str">
        <f t="shared" si="75"/>
        <v xml:space="preserve">Codo PVC Gran Radio  de 12 x 45 </v>
      </c>
      <c r="C581" s="473" t="s">
        <v>622</v>
      </c>
      <c r="D581" s="392">
        <f t="shared" si="73"/>
        <v>0</v>
      </c>
      <c r="E581" s="381">
        <f t="shared" si="76"/>
        <v>0</v>
      </c>
      <c r="F581" s="139"/>
      <c r="G581" s="132"/>
      <c r="I581" s="490" t="s">
        <v>1135</v>
      </c>
      <c r="J581" s="1833"/>
      <c r="K581" s="457">
        <v>1109810</v>
      </c>
      <c r="L581" s="458"/>
      <c r="Q581" s="584"/>
    </row>
    <row r="582" spans="1:17" ht="13.5" thickBot="1">
      <c r="A582" s="527" t="s">
        <v>1482</v>
      </c>
      <c r="B582" s="509" t="str">
        <f t="shared" si="75"/>
        <v xml:space="preserve">Codo PVC Gran Radio  de 14 x 45 </v>
      </c>
      <c r="C582" s="510" t="s">
        <v>622</v>
      </c>
      <c r="D582" s="452">
        <f t="shared" si="73"/>
        <v>0</v>
      </c>
      <c r="E582" s="453">
        <f t="shared" si="76"/>
        <v>0</v>
      </c>
      <c r="F582" s="454"/>
      <c r="G582" s="455"/>
      <c r="H582" s="456"/>
      <c r="I582" s="511" t="s">
        <v>1136</v>
      </c>
      <c r="J582" s="1834"/>
      <c r="K582" s="459">
        <v>1340798</v>
      </c>
      <c r="L582" s="458"/>
      <c r="Q582" s="584"/>
    </row>
    <row r="583" spans="1:17" ht="13.5" thickTop="1">
      <c r="A583" s="528" t="s">
        <v>1486</v>
      </c>
      <c r="B583" s="506" t="str">
        <f t="shared" si="75"/>
        <v xml:space="preserve">Codo PVC Gran Radio  de 2 x 22,5 </v>
      </c>
      <c r="C583" s="507" t="s">
        <v>622</v>
      </c>
      <c r="D583" s="508">
        <f t="shared" si="73"/>
        <v>0</v>
      </c>
      <c r="E583" s="449">
        <f t="shared" si="76"/>
        <v>0</v>
      </c>
      <c r="F583" s="450"/>
      <c r="G583" s="451"/>
      <c r="I583" s="490" t="s">
        <v>1137</v>
      </c>
      <c r="J583" s="1832" t="s">
        <v>1158</v>
      </c>
      <c r="K583" s="461">
        <v>14873</v>
      </c>
      <c r="L583" s="458"/>
      <c r="Q583" s="584"/>
    </row>
    <row r="584" spans="1:17">
      <c r="A584" s="525" t="s">
        <v>1487</v>
      </c>
      <c r="B584" s="136" t="str">
        <f t="shared" si="75"/>
        <v xml:space="preserve">Codo PVC Gran Radio  de 2 1/2 x 22,5 </v>
      </c>
      <c r="C584" s="473" t="s">
        <v>622</v>
      </c>
      <c r="D584" s="392">
        <f t="shared" si="73"/>
        <v>0</v>
      </c>
      <c r="E584" s="381">
        <f t="shared" si="76"/>
        <v>0</v>
      </c>
      <c r="F584" s="139"/>
      <c r="G584" s="132"/>
      <c r="I584" s="490" t="s">
        <v>1138</v>
      </c>
      <c r="J584" s="1833"/>
      <c r="K584" s="457">
        <v>20916</v>
      </c>
      <c r="L584" s="458"/>
      <c r="Q584" s="584"/>
    </row>
    <row r="585" spans="1:17">
      <c r="A585" s="525" t="s">
        <v>1488</v>
      </c>
      <c r="B585" s="136" t="str">
        <f t="shared" si="75"/>
        <v xml:space="preserve">Codo PVC Gran Radio  de 3 x 22,5 </v>
      </c>
      <c r="C585" s="473" t="s">
        <v>622</v>
      </c>
      <c r="D585" s="392">
        <f t="shared" si="73"/>
        <v>0</v>
      </c>
      <c r="E585" s="381">
        <f t="shared" si="76"/>
        <v>0</v>
      </c>
      <c r="F585" s="139"/>
      <c r="G585" s="132"/>
      <c r="I585" s="490" t="s">
        <v>1139</v>
      </c>
      <c r="J585" s="1833"/>
      <c r="K585" s="457">
        <v>30133</v>
      </c>
      <c r="L585" s="458"/>
      <c r="Q585" s="584"/>
    </row>
    <row r="586" spans="1:17">
      <c r="A586" s="525" t="s">
        <v>1489</v>
      </c>
      <c r="B586" s="136" t="str">
        <f t="shared" si="75"/>
        <v xml:space="preserve">Codo PVC Gran Radio  de 4 x 22,5 </v>
      </c>
      <c r="C586" s="473" t="s">
        <v>622</v>
      </c>
      <c r="D586" s="392">
        <f t="shared" si="73"/>
        <v>0</v>
      </c>
      <c r="E586" s="381">
        <f t="shared" si="76"/>
        <v>0</v>
      </c>
      <c r="F586" s="139"/>
      <c r="G586" s="132"/>
      <c r="I586" s="490" t="s">
        <v>1140</v>
      </c>
      <c r="J586" s="1833"/>
      <c r="K586" s="457">
        <v>55262</v>
      </c>
      <c r="L586" s="458"/>
      <c r="Q586" s="584"/>
    </row>
    <row r="587" spans="1:17">
      <c r="A587" s="525" t="s">
        <v>1490</v>
      </c>
      <c r="B587" s="136" t="str">
        <f t="shared" si="75"/>
        <v xml:space="preserve">Codo PVC Gran Radio  de 6 x 22,5 </v>
      </c>
      <c r="C587" s="473" t="s">
        <v>622</v>
      </c>
      <c r="D587" s="392">
        <f t="shared" si="73"/>
        <v>149362</v>
      </c>
      <c r="E587" s="381">
        <f t="shared" si="76"/>
        <v>177741</v>
      </c>
      <c r="F587" s="139"/>
      <c r="G587" s="132"/>
      <c r="I587" s="490" t="s">
        <v>1141</v>
      </c>
      <c r="J587" s="1833"/>
      <c r="K587" s="457">
        <v>135783</v>
      </c>
      <c r="L587" s="458"/>
      <c r="Q587" s="584">
        <v>149362</v>
      </c>
    </row>
    <row r="588" spans="1:17">
      <c r="A588" s="525" t="s">
        <v>1491</v>
      </c>
      <c r="B588" s="136" t="str">
        <f t="shared" si="75"/>
        <v xml:space="preserve">Codo PVC Gran Radio  de 8 x 22,5 </v>
      </c>
      <c r="C588" s="473" t="s">
        <v>622</v>
      </c>
      <c r="D588" s="392">
        <f t="shared" si="73"/>
        <v>316029</v>
      </c>
      <c r="E588" s="381">
        <f t="shared" si="76"/>
        <v>376075</v>
      </c>
      <c r="F588" s="139"/>
      <c r="G588" s="132"/>
      <c r="I588" s="490" t="s">
        <v>1142</v>
      </c>
      <c r="J588" s="1833"/>
      <c r="K588" s="457">
        <v>287299</v>
      </c>
      <c r="L588" s="458"/>
      <c r="Q588" s="584">
        <v>316029</v>
      </c>
    </row>
    <row r="589" spans="1:17">
      <c r="A589" s="525" t="s">
        <v>1492</v>
      </c>
      <c r="B589" s="136" t="str">
        <f t="shared" si="75"/>
        <v xml:space="preserve">Codo PVC Gran Radio  de 10 x 22,5 </v>
      </c>
      <c r="C589" s="473" t="s">
        <v>622</v>
      </c>
      <c r="D589" s="392">
        <f t="shared" si="73"/>
        <v>0</v>
      </c>
      <c r="E589" s="381">
        <f t="shared" si="76"/>
        <v>0</v>
      </c>
      <c r="F589" s="139"/>
      <c r="G589" s="132"/>
      <c r="I589" s="490" t="s">
        <v>1143</v>
      </c>
      <c r="J589" s="1833"/>
      <c r="K589" s="457">
        <v>643768</v>
      </c>
      <c r="L589" s="458"/>
      <c r="Q589" s="584"/>
    </row>
    <row r="590" spans="1:17">
      <c r="A590" s="525" t="s">
        <v>1493</v>
      </c>
      <c r="B590" s="136" t="str">
        <f t="shared" si="75"/>
        <v xml:space="preserve">Codo PVC Gran Radio  de 12 x 22,5 </v>
      </c>
      <c r="C590" s="473" t="s">
        <v>622</v>
      </c>
      <c r="D590" s="392">
        <f t="shared" si="73"/>
        <v>0</v>
      </c>
      <c r="E590" s="381">
        <f t="shared" si="76"/>
        <v>0</v>
      </c>
      <c r="F590" s="139"/>
      <c r="G590" s="132"/>
      <c r="I590" s="490" t="s">
        <v>1144</v>
      </c>
      <c r="J590" s="1833"/>
      <c r="K590" s="457">
        <v>866915</v>
      </c>
      <c r="L590" s="458"/>
      <c r="Q590" s="584"/>
    </row>
    <row r="591" spans="1:17" ht="13.5" thickBot="1">
      <c r="A591" s="527" t="s">
        <v>1494</v>
      </c>
      <c r="B591" s="509" t="str">
        <f t="shared" si="75"/>
        <v xml:space="preserve">Codo PVC Gran Radio  de 14 x 22,5 </v>
      </c>
      <c r="C591" s="510" t="s">
        <v>622</v>
      </c>
      <c r="D591" s="452">
        <f t="shared" si="73"/>
        <v>0</v>
      </c>
      <c r="E591" s="453">
        <f t="shared" si="76"/>
        <v>0</v>
      </c>
      <c r="F591" s="454"/>
      <c r="G591" s="455"/>
      <c r="H591" s="456"/>
      <c r="I591" s="511" t="s">
        <v>1145</v>
      </c>
      <c r="J591" s="1834"/>
      <c r="K591" s="459">
        <v>1061481</v>
      </c>
      <c r="L591" s="460"/>
      <c r="Q591" s="584"/>
    </row>
    <row r="592" spans="1:17" ht="13.5" thickTop="1">
      <c r="A592" s="528" t="s">
        <v>1495</v>
      </c>
      <c r="B592" s="506" t="str">
        <f t="shared" si="75"/>
        <v xml:space="preserve">Codo PVC Gran Radio  de 2 x 11,25 </v>
      </c>
      <c r="C592" s="507" t="s">
        <v>622</v>
      </c>
      <c r="D592" s="508">
        <f t="shared" si="73"/>
        <v>0</v>
      </c>
      <c r="E592" s="449">
        <f t="shared" si="76"/>
        <v>0</v>
      </c>
      <c r="F592" s="450"/>
      <c r="G592" s="451"/>
      <c r="I592" s="490" t="s">
        <v>1146</v>
      </c>
      <c r="J592" s="1832" t="s">
        <v>1159</v>
      </c>
      <c r="K592" s="461">
        <v>17198</v>
      </c>
      <c r="L592" s="462"/>
      <c r="Q592" s="584"/>
    </row>
    <row r="593" spans="1:17">
      <c r="A593" s="525" t="s">
        <v>1503</v>
      </c>
      <c r="B593" s="136" t="str">
        <f t="shared" si="75"/>
        <v xml:space="preserve">Codo PVC Gran Radio  de 2 1/2 x 11,25 </v>
      </c>
      <c r="C593" s="473" t="s">
        <v>622</v>
      </c>
      <c r="D593" s="392">
        <f t="shared" si="73"/>
        <v>0</v>
      </c>
      <c r="E593" s="381">
        <f t="shared" si="76"/>
        <v>0</v>
      </c>
      <c r="F593" s="139"/>
      <c r="G593" s="132"/>
      <c r="I593" s="490" t="s">
        <v>1147</v>
      </c>
      <c r="J593" s="1833"/>
      <c r="K593" s="457">
        <v>19775</v>
      </c>
      <c r="L593" s="458"/>
      <c r="Q593" s="584"/>
    </row>
    <row r="594" spans="1:17">
      <c r="A594" s="525" t="s">
        <v>1496</v>
      </c>
      <c r="B594" s="136" t="str">
        <f t="shared" si="75"/>
        <v xml:space="preserve">Codo PVC Gran Radio  de 3 x 11,25 </v>
      </c>
      <c r="C594" s="473" t="s">
        <v>622</v>
      </c>
      <c r="D594" s="392">
        <f t="shared" si="73"/>
        <v>0</v>
      </c>
      <c r="E594" s="381">
        <f t="shared" si="76"/>
        <v>0</v>
      </c>
      <c r="F594" s="139"/>
      <c r="G594" s="132"/>
      <c r="I594" s="490" t="s">
        <v>1148</v>
      </c>
      <c r="J594" s="1833"/>
      <c r="K594" s="457">
        <v>27463</v>
      </c>
      <c r="L594" s="458"/>
      <c r="Q594" s="584"/>
    </row>
    <row r="595" spans="1:17">
      <c r="A595" s="525" t="s">
        <v>1497</v>
      </c>
      <c r="B595" s="136" t="str">
        <f t="shared" si="75"/>
        <v xml:space="preserve">Codo PVC Gran Radio  de 4 x 11,25 </v>
      </c>
      <c r="C595" s="473" t="s">
        <v>622</v>
      </c>
      <c r="D595" s="392">
        <f t="shared" si="73"/>
        <v>0</v>
      </c>
      <c r="E595" s="381">
        <f t="shared" si="76"/>
        <v>0</v>
      </c>
      <c r="F595" s="139"/>
      <c r="G595" s="132"/>
      <c r="I595" s="490" t="s">
        <v>1149</v>
      </c>
      <c r="J595" s="1833"/>
      <c r="K595" s="457">
        <v>52504</v>
      </c>
      <c r="L595" s="458"/>
      <c r="Q595" s="584"/>
    </row>
    <row r="596" spans="1:17">
      <c r="A596" s="525" t="s">
        <v>1498</v>
      </c>
      <c r="B596" s="136" t="str">
        <f t="shared" si="75"/>
        <v xml:space="preserve">Codo PVC Gran Radio  de 6 x 11,25 </v>
      </c>
      <c r="C596" s="473" t="s">
        <v>622</v>
      </c>
      <c r="D596" s="392">
        <f t="shared" si="73"/>
        <v>133556</v>
      </c>
      <c r="E596" s="381">
        <f t="shared" si="76"/>
        <v>158932</v>
      </c>
      <c r="F596" s="139"/>
      <c r="G596" s="132"/>
      <c r="I596" s="490" t="s">
        <v>1150</v>
      </c>
      <c r="J596" s="1833"/>
      <c r="K596" s="457">
        <v>121414</v>
      </c>
      <c r="L596" s="458"/>
      <c r="Q596" s="584">
        <v>133556</v>
      </c>
    </row>
    <row r="597" spans="1:17">
      <c r="A597" s="525" t="s">
        <v>1499</v>
      </c>
      <c r="B597" s="136" t="str">
        <f t="shared" si="75"/>
        <v xml:space="preserve">Codo PVC Gran Radio  de 8 x 11,25 </v>
      </c>
      <c r="C597" s="473" t="s">
        <v>622</v>
      </c>
      <c r="D597" s="392">
        <f t="shared" si="73"/>
        <v>271372</v>
      </c>
      <c r="E597" s="381">
        <f t="shared" si="76"/>
        <v>322933</v>
      </c>
      <c r="F597" s="139"/>
      <c r="G597" s="132"/>
      <c r="I597" s="490" t="s">
        <v>1151</v>
      </c>
      <c r="J597" s="1833"/>
      <c r="K597" s="457">
        <v>246701</v>
      </c>
      <c r="L597" s="458"/>
      <c r="Q597" s="584">
        <v>271372</v>
      </c>
    </row>
    <row r="598" spans="1:17">
      <c r="A598" s="525" t="s">
        <v>1500</v>
      </c>
      <c r="B598" s="136" t="str">
        <f t="shared" si="75"/>
        <v xml:space="preserve">Codo PVC Gran Radio  de 10 x 11,25 </v>
      </c>
      <c r="C598" s="473" t="s">
        <v>622</v>
      </c>
      <c r="D598" s="392">
        <f t="shared" si="73"/>
        <v>0</v>
      </c>
      <c r="E598" s="381">
        <f t="shared" si="76"/>
        <v>0</v>
      </c>
      <c r="F598" s="139"/>
      <c r="G598" s="132"/>
      <c r="I598" s="490" t="s">
        <v>1152</v>
      </c>
      <c r="J598" s="1833"/>
      <c r="K598" s="457">
        <v>526659</v>
      </c>
      <c r="L598" s="458"/>
      <c r="Q598" s="584"/>
    </row>
    <row r="599" spans="1:17">
      <c r="A599" s="525" t="s">
        <v>1501</v>
      </c>
      <c r="B599" s="136" t="str">
        <f t="shared" si="75"/>
        <v xml:space="preserve">Codo PVC Gran Radio  de 12 x 11,25 </v>
      </c>
      <c r="C599" s="473" t="s">
        <v>622</v>
      </c>
      <c r="D599" s="392">
        <f t="shared" si="73"/>
        <v>0</v>
      </c>
      <c r="E599" s="381">
        <f t="shared" si="76"/>
        <v>0</v>
      </c>
      <c r="F599" s="139"/>
      <c r="G599" s="132"/>
      <c r="I599" s="490" t="s">
        <v>1153</v>
      </c>
      <c r="J599" s="1833"/>
      <c r="K599" s="457">
        <v>684665</v>
      </c>
      <c r="L599" s="458"/>
      <c r="Q599" s="584"/>
    </row>
    <row r="600" spans="1:17" ht="13.5" thickBot="1">
      <c r="A600" s="527" t="s">
        <v>1502</v>
      </c>
      <c r="B600" s="509" t="str">
        <f t="shared" si="75"/>
        <v xml:space="preserve">Codo PVC Gran Radio  de 14 x 11,25 </v>
      </c>
      <c r="C600" s="510" t="s">
        <v>622</v>
      </c>
      <c r="D600" s="452">
        <f t="shared" si="73"/>
        <v>0</v>
      </c>
      <c r="E600" s="453">
        <f t="shared" si="76"/>
        <v>0</v>
      </c>
      <c r="F600" s="454"/>
      <c r="G600" s="455"/>
      <c r="H600" s="456"/>
      <c r="I600" s="511" t="s">
        <v>1154</v>
      </c>
      <c r="J600" s="1834"/>
      <c r="K600" s="459">
        <v>855659</v>
      </c>
      <c r="L600" s="460"/>
      <c r="Q600" s="584"/>
    </row>
    <row r="601" spans="1:17" ht="13.5" thickTop="1">
      <c r="A601" s="529" t="s">
        <v>1483</v>
      </c>
      <c r="B601" s="512" t="str">
        <f>+CONCATENATE($B$564," de ", I601," ",$C$564)</f>
        <v xml:space="preserve">Codo PVC Gran Radio  de 8 x 6 </v>
      </c>
      <c r="C601" s="513" t="s">
        <v>622</v>
      </c>
      <c r="D601" s="514">
        <f t="shared" si="73"/>
        <v>0</v>
      </c>
      <c r="E601" s="515">
        <f t="shared" si="76"/>
        <v>0</v>
      </c>
      <c r="F601" s="516"/>
      <c r="G601" s="517"/>
      <c r="H601" s="518"/>
      <c r="I601" s="519" t="s">
        <v>1155</v>
      </c>
      <c r="J601" s="1835" t="s">
        <v>1160</v>
      </c>
      <c r="K601" s="520">
        <v>150226</v>
      </c>
      <c r="L601" s="522"/>
      <c r="Q601" s="584"/>
    </row>
    <row r="602" spans="1:17" ht="13.5" thickBot="1">
      <c r="A602" s="527" t="s">
        <v>1484</v>
      </c>
      <c r="B602" s="509" t="str">
        <f t="shared" si="75"/>
        <v xml:space="preserve">Codo PVC Gran Radio  de 12 x 6 </v>
      </c>
      <c r="C602" s="510" t="s">
        <v>622</v>
      </c>
      <c r="D602" s="452">
        <f t="shared" si="73"/>
        <v>0</v>
      </c>
      <c r="E602" s="453">
        <f t="shared" si="76"/>
        <v>0</v>
      </c>
      <c r="F602" s="454"/>
      <c r="G602" s="455"/>
      <c r="H602" s="456"/>
      <c r="I602" s="511" t="s">
        <v>1156</v>
      </c>
      <c r="J602" s="1834"/>
      <c r="K602" s="459">
        <v>422458</v>
      </c>
      <c r="L602" s="460"/>
      <c r="Q602" s="584"/>
    </row>
    <row r="603" spans="1:17" ht="13.5" thickTop="1">
      <c r="A603" s="528"/>
      <c r="B603" s="506"/>
      <c r="C603" s="521"/>
      <c r="D603" s="508"/>
      <c r="E603" s="449"/>
      <c r="F603" s="450"/>
      <c r="G603" s="451"/>
      <c r="I603" s="487"/>
      <c r="K603" s="461"/>
      <c r="L603" s="462"/>
    </row>
    <row r="604" spans="1:17">
      <c r="A604" s="525"/>
      <c r="B604" s="483" t="s">
        <v>1161</v>
      </c>
      <c r="C604" s="505"/>
      <c r="D604" s="392"/>
      <c r="E604" s="381"/>
      <c r="F604" s="139"/>
      <c r="G604" s="132"/>
      <c r="I604" s="487"/>
      <c r="K604" s="457"/>
      <c r="L604" s="458"/>
    </row>
    <row r="605" spans="1:17">
      <c r="A605" s="525" t="s">
        <v>1504</v>
      </c>
      <c r="B605" s="136" t="str">
        <f>+CONCATENATE($B$604," de ", I605," ",$C$604)</f>
        <v xml:space="preserve">Collar de Derivación PVC de 2 x 1/2 </v>
      </c>
      <c r="C605" s="473" t="s">
        <v>622</v>
      </c>
      <c r="D605" s="392">
        <f>+K605</f>
        <v>5340</v>
      </c>
      <c r="E605" s="381">
        <f>ROUND(D605*(1+$E$39),0)</f>
        <v>6355</v>
      </c>
      <c r="F605" s="139"/>
      <c r="G605" s="132"/>
      <c r="I605" s="490" t="s">
        <v>1047</v>
      </c>
      <c r="K605" s="457">
        <v>5340</v>
      </c>
      <c r="L605" s="458"/>
    </row>
    <row r="606" spans="1:17">
      <c r="A606" s="525" t="s">
        <v>1505</v>
      </c>
      <c r="B606" s="136" t="str">
        <f t="shared" ref="B606:B611" si="77">+CONCATENATE($B$604," de ", I606," ",$C$604)</f>
        <v xml:space="preserve">Collar de Derivación PVC de 2 x 3/4 </v>
      </c>
      <c r="C606" s="473" t="s">
        <v>622</v>
      </c>
      <c r="D606" s="392">
        <f t="shared" ref="D606:D611" si="78">+K606</f>
        <v>5343</v>
      </c>
      <c r="E606" s="381">
        <f t="shared" ref="E606:E612" si="79">ROUND(D606*(1+$E$39),0)</f>
        <v>6358</v>
      </c>
      <c r="F606" s="139"/>
      <c r="G606" s="132"/>
      <c r="I606" s="490" t="s">
        <v>1048</v>
      </c>
      <c r="K606" s="457">
        <v>5343</v>
      </c>
      <c r="L606" s="458"/>
    </row>
    <row r="607" spans="1:17">
      <c r="A607" s="525" t="s">
        <v>1516</v>
      </c>
      <c r="B607" s="136" t="str">
        <f t="shared" si="77"/>
        <v xml:space="preserve">Collar de Derivación PVC de 3 x 1/2 </v>
      </c>
      <c r="C607" s="473" t="s">
        <v>622</v>
      </c>
      <c r="D607" s="392">
        <f t="shared" si="78"/>
        <v>9803</v>
      </c>
      <c r="E607" s="381">
        <f t="shared" si="79"/>
        <v>11666</v>
      </c>
      <c r="F607" s="139"/>
      <c r="G607" s="132"/>
      <c r="I607" s="490" t="s">
        <v>1162</v>
      </c>
      <c r="K607" s="457">
        <v>9803</v>
      </c>
      <c r="L607" s="458"/>
    </row>
    <row r="608" spans="1:17">
      <c r="A608" s="525" t="s">
        <v>1517</v>
      </c>
      <c r="B608" s="136" t="str">
        <f t="shared" si="77"/>
        <v xml:space="preserve">Collar de Derivación PVC de 3 x 3/4 </v>
      </c>
      <c r="C608" s="473" t="s">
        <v>622</v>
      </c>
      <c r="D608" s="392">
        <f t="shared" si="78"/>
        <v>10679</v>
      </c>
      <c r="E608" s="381">
        <f t="shared" si="79"/>
        <v>12708</v>
      </c>
      <c r="F608" s="139"/>
      <c r="G608" s="132"/>
      <c r="I608" s="490" t="s">
        <v>1163</v>
      </c>
      <c r="K608" s="457">
        <v>10679</v>
      </c>
      <c r="L608" s="458"/>
    </row>
    <row r="609" spans="1:12">
      <c r="A609" s="525" t="s">
        <v>1518</v>
      </c>
      <c r="B609" s="136" t="str">
        <f t="shared" si="77"/>
        <v xml:space="preserve">Collar de Derivación PVC de 4 x 1/2 </v>
      </c>
      <c r="C609" s="473" t="s">
        <v>622</v>
      </c>
      <c r="D609" s="392">
        <f t="shared" si="78"/>
        <v>12207</v>
      </c>
      <c r="E609" s="381">
        <f t="shared" si="79"/>
        <v>14526</v>
      </c>
      <c r="F609" s="139"/>
      <c r="G609" s="132"/>
      <c r="I609" s="490" t="s">
        <v>1164</v>
      </c>
      <c r="K609" s="457">
        <v>12207</v>
      </c>
      <c r="L609" s="458"/>
    </row>
    <row r="610" spans="1:12">
      <c r="A610" s="525" t="s">
        <v>1519</v>
      </c>
      <c r="B610" s="136" t="str">
        <f t="shared" si="77"/>
        <v xml:space="preserve">Collar de Derivación PVC de 4 x 3/4 </v>
      </c>
      <c r="C610" s="473" t="s">
        <v>622</v>
      </c>
      <c r="D610" s="392">
        <f t="shared" si="78"/>
        <v>13106</v>
      </c>
      <c r="E610" s="381">
        <f t="shared" si="79"/>
        <v>15596</v>
      </c>
      <c r="F610" s="139"/>
      <c r="G610" s="132"/>
      <c r="I610" s="490" t="s">
        <v>1165</v>
      </c>
      <c r="K610" s="457">
        <v>13106</v>
      </c>
      <c r="L610" s="458"/>
    </row>
    <row r="611" spans="1:12">
      <c r="A611" s="525" t="s">
        <v>1520</v>
      </c>
      <c r="B611" s="136" t="str">
        <f t="shared" si="77"/>
        <v xml:space="preserve">Collar de Derivación PVC de 6 x 1/2 </v>
      </c>
      <c r="C611" s="473" t="s">
        <v>622</v>
      </c>
      <c r="D611" s="392">
        <f t="shared" si="78"/>
        <v>15106</v>
      </c>
      <c r="E611" s="381">
        <f t="shared" si="79"/>
        <v>17976</v>
      </c>
      <c r="F611" s="139"/>
      <c r="G611" s="132"/>
      <c r="I611" s="490" t="s">
        <v>1166</v>
      </c>
      <c r="K611" s="457">
        <v>15106</v>
      </c>
      <c r="L611" s="458"/>
    </row>
    <row r="612" spans="1:12">
      <c r="A612" s="525" t="s">
        <v>1521</v>
      </c>
      <c r="B612" s="136" t="str">
        <f>+CONCATENATE($B$604," de ", I612," ",$C$604)</f>
        <v xml:space="preserve">Collar de Derivación PVC de 6 x 3/4 </v>
      </c>
      <c r="C612" s="473" t="s">
        <v>622</v>
      </c>
      <c r="D612" s="392">
        <f>+K612</f>
        <v>15374</v>
      </c>
      <c r="E612" s="381">
        <f t="shared" si="79"/>
        <v>18295</v>
      </c>
      <c r="F612" s="139"/>
      <c r="G612" s="132"/>
      <c r="I612" s="490" t="s">
        <v>1167</v>
      </c>
      <c r="K612" s="457">
        <v>15374</v>
      </c>
      <c r="L612" s="458"/>
    </row>
    <row r="613" spans="1:12">
      <c r="A613" s="525"/>
      <c r="B613" s="136"/>
      <c r="C613" s="135"/>
      <c r="D613" s="392"/>
      <c r="E613" s="381"/>
      <c r="F613" s="139"/>
      <c r="G613" s="132"/>
      <c r="I613" s="487"/>
      <c r="K613" s="457"/>
      <c r="L613" s="458"/>
    </row>
    <row r="614" spans="1:12">
      <c r="A614" s="525"/>
      <c r="B614" s="483" t="s">
        <v>1506</v>
      </c>
      <c r="C614" s="505"/>
      <c r="D614" s="392"/>
      <c r="E614" s="381"/>
      <c r="F614" s="139"/>
      <c r="G614" s="132"/>
      <c r="I614" s="487"/>
      <c r="K614" s="457"/>
      <c r="L614" s="458"/>
    </row>
    <row r="615" spans="1:12">
      <c r="A615" s="525" t="s">
        <v>1507</v>
      </c>
      <c r="B615" s="136" t="str">
        <f>+CONCATENATE($B$614," de ", I615," ",$C$614)</f>
        <v xml:space="preserve">Unión Mecánica PVC Presión Campana de 2" </v>
      </c>
      <c r="C615" s="473" t="s">
        <v>622</v>
      </c>
      <c r="D615" s="392">
        <f>+K615</f>
        <v>15462</v>
      </c>
      <c r="E615" s="381">
        <f>ROUND(D615*(1+$E$39),0)</f>
        <v>18400</v>
      </c>
      <c r="F615" s="139"/>
      <c r="G615" s="132"/>
      <c r="I615" s="498" t="s">
        <v>1007</v>
      </c>
      <c r="K615" s="457">
        <v>15462</v>
      </c>
      <c r="L615" s="458"/>
    </row>
    <row r="616" spans="1:12">
      <c r="A616" s="525" t="s">
        <v>1515</v>
      </c>
      <c r="B616" s="136" t="str">
        <f t="shared" ref="B616:B623" si="80">+CONCATENATE($B$614," de ", I616," ",$C$614)</f>
        <v xml:space="preserve">Unión Mecánica PVC Presión Campana de 2 1/2' </v>
      </c>
      <c r="C616" s="473" t="s">
        <v>622</v>
      </c>
      <c r="D616" s="392">
        <f t="shared" ref="D616:D623" si="81">+K616</f>
        <v>20156</v>
      </c>
      <c r="E616" s="381">
        <f t="shared" ref="E616:E623" si="82">ROUND(D616*(1+$E$39),0)</f>
        <v>23986</v>
      </c>
      <c r="F616" s="139"/>
      <c r="G616" s="132"/>
      <c r="I616" s="498" t="s">
        <v>1168</v>
      </c>
      <c r="K616" s="457">
        <v>20156</v>
      </c>
      <c r="L616" s="458"/>
    </row>
    <row r="617" spans="1:12">
      <c r="A617" s="525" t="s">
        <v>1508</v>
      </c>
      <c r="B617" s="136" t="str">
        <f t="shared" si="80"/>
        <v xml:space="preserve">Unión Mecánica PVC Presión Campana de 3" </v>
      </c>
      <c r="C617" s="473" t="s">
        <v>622</v>
      </c>
      <c r="D617" s="392">
        <f t="shared" si="81"/>
        <v>26499</v>
      </c>
      <c r="E617" s="381">
        <f t="shared" si="82"/>
        <v>31534</v>
      </c>
      <c r="F617" s="139"/>
      <c r="G617" s="132"/>
      <c r="I617" s="498" t="s">
        <v>1009</v>
      </c>
      <c r="K617" s="457">
        <v>26499</v>
      </c>
      <c r="L617" s="458"/>
    </row>
    <row r="618" spans="1:12">
      <c r="A618" s="525" t="s">
        <v>1509</v>
      </c>
      <c r="B618" s="136" t="str">
        <f t="shared" si="80"/>
        <v xml:space="preserve">Unión Mecánica PVC Presión Campana de 4" </v>
      </c>
      <c r="C618" s="473" t="s">
        <v>622</v>
      </c>
      <c r="D618" s="392">
        <f t="shared" si="81"/>
        <v>43090</v>
      </c>
      <c r="E618" s="381">
        <f t="shared" si="82"/>
        <v>51277</v>
      </c>
      <c r="F618" s="139"/>
      <c r="G618" s="132"/>
      <c r="I618" s="498" t="s">
        <v>1010</v>
      </c>
      <c r="K618" s="457">
        <v>43090</v>
      </c>
      <c r="L618" s="458"/>
    </row>
    <row r="619" spans="1:12">
      <c r="A619" s="525" t="s">
        <v>1510</v>
      </c>
      <c r="B619" s="136" t="str">
        <f t="shared" si="80"/>
        <v xml:space="preserve">Unión Mecánica PVC Presión Campana de 6" </v>
      </c>
      <c r="C619" s="473" t="s">
        <v>622</v>
      </c>
      <c r="D619" s="392">
        <f t="shared" si="81"/>
        <v>100613</v>
      </c>
      <c r="E619" s="381">
        <f t="shared" si="82"/>
        <v>119729</v>
      </c>
      <c r="F619" s="139"/>
      <c r="G619" s="132"/>
      <c r="I619" s="498" t="s">
        <v>1073</v>
      </c>
      <c r="K619" s="457">
        <v>100613</v>
      </c>
      <c r="L619" s="458"/>
    </row>
    <row r="620" spans="1:12">
      <c r="A620" s="525" t="s">
        <v>1511</v>
      </c>
      <c r="B620" s="136" t="str">
        <f t="shared" si="80"/>
        <v xml:space="preserve">Unión Mecánica PVC Presión Campana de 8" </v>
      </c>
      <c r="C620" s="473" t="s">
        <v>622</v>
      </c>
      <c r="D620" s="392">
        <f t="shared" si="81"/>
        <v>184850</v>
      </c>
      <c r="E620" s="381">
        <f t="shared" si="82"/>
        <v>219972</v>
      </c>
      <c r="F620" s="139"/>
      <c r="G620" s="132"/>
      <c r="I620" s="498" t="s">
        <v>1078</v>
      </c>
      <c r="K620" s="457">
        <v>184850</v>
      </c>
      <c r="L620" s="458"/>
    </row>
    <row r="621" spans="1:12">
      <c r="A621" s="525" t="s">
        <v>1512</v>
      </c>
      <c r="B621" s="136" t="str">
        <f t="shared" si="80"/>
        <v xml:space="preserve">Unión Mecánica PVC Presión Campana de 10" </v>
      </c>
      <c r="C621" s="473" t="s">
        <v>622</v>
      </c>
      <c r="D621" s="392">
        <f t="shared" si="81"/>
        <v>330270</v>
      </c>
      <c r="E621" s="381">
        <f t="shared" si="82"/>
        <v>393021</v>
      </c>
      <c r="F621" s="139"/>
      <c r="G621" s="132"/>
      <c r="I621" s="498" t="s">
        <v>1079</v>
      </c>
      <c r="K621" s="457">
        <v>330270</v>
      </c>
      <c r="L621" s="458"/>
    </row>
    <row r="622" spans="1:12">
      <c r="A622" s="525" t="s">
        <v>1513</v>
      </c>
      <c r="B622" s="136" t="str">
        <f t="shared" si="80"/>
        <v xml:space="preserve">Unión Mecánica PVC Presión Campana de 12" </v>
      </c>
      <c r="C622" s="473" t="s">
        <v>622</v>
      </c>
      <c r="D622" s="392">
        <f t="shared" si="81"/>
        <v>511844</v>
      </c>
      <c r="E622" s="381">
        <f t="shared" si="82"/>
        <v>609094</v>
      </c>
      <c r="F622" s="139"/>
      <c r="G622" s="132"/>
      <c r="I622" s="498" t="s">
        <v>1099</v>
      </c>
      <c r="K622" s="457">
        <v>511844</v>
      </c>
      <c r="L622" s="458"/>
    </row>
    <row r="623" spans="1:12">
      <c r="A623" s="525" t="s">
        <v>1514</v>
      </c>
      <c r="B623" s="136" t="str">
        <f t="shared" si="80"/>
        <v xml:space="preserve">Unión Mecánica PVC Presión Campana de 14" </v>
      </c>
      <c r="C623" s="473" t="s">
        <v>622</v>
      </c>
      <c r="D623" s="392">
        <f t="shared" si="81"/>
        <v>713694</v>
      </c>
      <c r="E623" s="381">
        <f t="shared" si="82"/>
        <v>849296</v>
      </c>
      <c r="F623" s="139"/>
      <c r="G623" s="132"/>
      <c r="I623" s="498" t="s">
        <v>1100</v>
      </c>
      <c r="K623" s="457">
        <v>713694</v>
      </c>
      <c r="L623" s="458"/>
    </row>
    <row r="624" spans="1:12">
      <c r="A624" s="525"/>
      <c r="B624" s="136"/>
      <c r="C624" s="135"/>
      <c r="D624" s="392"/>
      <c r="E624" s="381"/>
      <c r="F624" s="139"/>
      <c r="G624" s="132"/>
      <c r="I624" s="487"/>
      <c r="K624" s="457"/>
      <c r="L624" s="458"/>
    </row>
    <row r="625" spans="1:19">
      <c r="A625" s="525"/>
      <c r="B625" s="483" t="s">
        <v>1169</v>
      </c>
      <c r="C625" s="505"/>
      <c r="D625" s="392"/>
      <c r="E625" s="381"/>
      <c r="F625" s="139"/>
      <c r="G625" s="132"/>
      <c r="I625" s="487"/>
      <c r="K625" s="457"/>
      <c r="L625" s="458"/>
    </row>
    <row r="626" spans="1:19">
      <c r="A626" s="525" t="s">
        <v>1522</v>
      </c>
      <c r="B626" s="136" t="str">
        <f>+CONCATENATE($B$625," de ", I626," ")</f>
        <v xml:space="preserve">Unión PVC de Reparación de 2" </v>
      </c>
      <c r="C626" s="473" t="s">
        <v>622</v>
      </c>
      <c r="D626" s="392">
        <f>+Q626</f>
        <v>0</v>
      </c>
      <c r="E626" s="381">
        <f>ROUND(D626*(1+$E$39),0)</f>
        <v>0</v>
      </c>
      <c r="F626" s="139"/>
      <c r="G626" s="132"/>
      <c r="I626" s="498" t="s">
        <v>1007</v>
      </c>
      <c r="K626" s="457">
        <v>17051</v>
      </c>
      <c r="L626" s="458"/>
      <c r="Q626" s="584"/>
    </row>
    <row r="627" spans="1:19">
      <c r="A627" s="525" t="s">
        <v>1529</v>
      </c>
      <c r="B627" s="136" t="str">
        <f t="shared" ref="B627:B633" si="83">+CONCATENATE($B$625," de ", I627," ")</f>
        <v xml:space="preserve">Unión PVC de Reparación de 2 1/2' </v>
      </c>
      <c r="C627" s="473" t="s">
        <v>622</v>
      </c>
      <c r="D627" s="392">
        <f t="shared" ref="D627:D633" si="84">+Q627</f>
        <v>0</v>
      </c>
      <c r="E627" s="381">
        <f t="shared" ref="E627:E633" si="85">ROUND(D627*(1+$E$39),0)</f>
        <v>0</v>
      </c>
      <c r="F627" s="139"/>
      <c r="G627" s="132"/>
      <c r="I627" s="498" t="s">
        <v>1168</v>
      </c>
      <c r="K627" s="457">
        <v>19855</v>
      </c>
      <c r="L627" s="458"/>
      <c r="Q627" s="584"/>
    </row>
    <row r="628" spans="1:19">
      <c r="A628" s="525" t="s">
        <v>1523</v>
      </c>
      <c r="B628" s="136" t="str">
        <f t="shared" si="83"/>
        <v xml:space="preserve">Unión PVC de Reparación de 3" </v>
      </c>
      <c r="C628" s="473" t="s">
        <v>622</v>
      </c>
      <c r="D628" s="392">
        <f t="shared" si="84"/>
        <v>0</v>
      </c>
      <c r="E628" s="381">
        <f t="shared" si="85"/>
        <v>0</v>
      </c>
      <c r="F628" s="139"/>
      <c r="G628" s="132"/>
      <c r="I628" s="498" t="s">
        <v>1009</v>
      </c>
      <c r="K628" s="457">
        <v>28258</v>
      </c>
      <c r="L628" s="458"/>
      <c r="Q628" s="584"/>
    </row>
    <row r="629" spans="1:19">
      <c r="A629" s="525" t="s">
        <v>1524</v>
      </c>
      <c r="B629" s="136" t="str">
        <f t="shared" si="83"/>
        <v xml:space="preserve">Unión PVC de Reparación de 4" </v>
      </c>
      <c r="C629" s="473" t="s">
        <v>622</v>
      </c>
      <c r="D629" s="392">
        <f t="shared" si="84"/>
        <v>0</v>
      </c>
      <c r="E629" s="381">
        <f t="shared" si="85"/>
        <v>0</v>
      </c>
      <c r="F629" s="139"/>
      <c r="G629" s="132"/>
      <c r="I629" s="498" t="s">
        <v>1010</v>
      </c>
      <c r="K629" s="457">
        <v>48471</v>
      </c>
      <c r="L629" s="458"/>
      <c r="Q629" s="584"/>
    </row>
    <row r="630" spans="1:19">
      <c r="A630" s="525" t="s">
        <v>1525</v>
      </c>
      <c r="B630" s="136" t="str">
        <f t="shared" si="83"/>
        <v xml:space="preserve">Unión PVC de Reparación de 6" </v>
      </c>
      <c r="C630" s="473" t="s">
        <v>622</v>
      </c>
      <c r="D630" s="392">
        <f t="shared" si="84"/>
        <v>123466</v>
      </c>
      <c r="E630" s="381">
        <f t="shared" si="85"/>
        <v>146925</v>
      </c>
      <c r="F630" s="139"/>
      <c r="G630" s="132"/>
      <c r="I630" s="498" t="s">
        <v>1073</v>
      </c>
      <c r="K630" s="457">
        <v>112241</v>
      </c>
      <c r="L630" s="458"/>
      <c r="Q630" s="584">
        <v>123466</v>
      </c>
    </row>
    <row r="631" spans="1:19">
      <c r="A631" s="525" t="s">
        <v>1526</v>
      </c>
      <c r="B631" s="136" t="str">
        <f t="shared" si="83"/>
        <v xml:space="preserve">Unión PVC de Reparación de 8" </v>
      </c>
      <c r="C631" s="473" t="s">
        <v>622</v>
      </c>
      <c r="D631" s="392">
        <f t="shared" si="84"/>
        <v>227012</v>
      </c>
      <c r="E631" s="381">
        <f t="shared" si="85"/>
        <v>270144</v>
      </c>
      <c r="F631" s="139"/>
      <c r="G631" s="132"/>
      <c r="I631" s="498" t="s">
        <v>1078</v>
      </c>
      <c r="K631" s="457">
        <v>206374</v>
      </c>
      <c r="L631" s="458"/>
      <c r="Q631" s="584">
        <v>227012</v>
      </c>
    </row>
    <row r="632" spans="1:19">
      <c r="A632" s="525" t="s">
        <v>1527</v>
      </c>
      <c r="B632" s="136" t="str">
        <f t="shared" si="83"/>
        <v xml:space="preserve">Unión PVC de Reparación de 10" </v>
      </c>
      <c r="C632" s="473" t="s">
        <v>622</v>
      </c>
      <c r="D632" s="392">
        <f t="shared" si="84"/>
        <v>0</v>
      </c>
      <c r="E632" s="381">
        <f t="shared" si="85"/>
        <v>0</v>
      </c>
      <c r="F632" s="139"/>
      <c r="G632" s="132"/>
      <c r="I632" s="498" t="s">
        <v>1079</v>
      </c>
      <c r="K632" s="457">
        <v>352484</v>
      </c>
      <c r="L632" s="458"/>
      <c r="Q632" s="584"/>
    </row>
    <row r="633" spans="1:19">
      <c r="A633" s="525" t="s">
        <v>1528</v>
      </c>
      <c r="B633" s="136" t="str">
        <f t="shared" si="83"/>
        <v xml:space="preserve">Unión PVC de Reparación de 12" </v>
      </c>
      <c r="C633" s="473" t="s">
        <v>622</v>
      </c>
      <c r="D633" s="392">
        <f t="shared" si="84"/>
        <v>0</v>
      </c>
      <c r="E633" s="381">
        <f t="shared" si="85"/>
        <v>0</v>
      </c>
      <c r="F633" s="139"/>
      <c r="G633" s="132"/>
      <c r="I633" s="498" t="s">
        <v>1099</v>
      </c>
      <c r="K633" s="457">
        <v>645254</v>
      </c>
      <c r="L633" s="458"/>
      <c r="Q633" s="584"/>
    </row>
    <row r="634" spans="1:19">
      <c r="A634" s="525"/>
      <c r="B634" s="136"/>
      <c r="C634" s="135"/>
      <c r="D634" s="392"/>
      <c r="E634" s="381"/>
      <c r="F634" s="139"/>
      <c r="G634" s="132"/>
      <c r="I634" s="487"/>
      <c r="K634" s="457"/>
      <c r="L634" s="458"/>
    </row>
    <row r="635" spans="1:19">
      <c r="A635" s="526" t="s">
        <v>1170</v>
      </c>
      <c r="B635" s="467"/>
      <c r="C635" s="468"/>
      <c r="D635" s="469"/>
      <c r="E635" s="470"/>
      <c r="F635" s="471"/>
      <c r="G635" s="472"/>
      <c r="H635" s="482"/>
      <c r="I635" s="482"/>
      <c r="K635" s="457"/>
      <c r="L635" s="458"/>
    </row>
    <row r="636" spans="1:19">
      <c r="A636" s="525"/>
      <c r="B636" s="483" t="s">
        <v>1171</v>
      </c>
      <c r="C636" s="505"/>
      <c r="D636" s="392"/>
      <c r="E636" s="381"/>
      <c r="F636" s="139"/>
      <c r="G636" s="132"/>
      <c r="I636" s="487"/>
      <c r="K636" s="457"/>
      <c r="L636" s="458"/>
    </row>
    <row r="637" spans="1:19">
      <c r="A637" s="525" t="s">
        <v>1731</v>
      </c>
      <c r="B637" s="136" t="str">
        <f>+CONCATENATE($B$636," de ", I637," ")</f>
        <v xml:space="preserve">Tubería Corrugada Alcantarillado RS8 de 110 mm </v>
      </c>
      <c r="C637" s="473" t="s">
        <v>998</v>
      </c>
      <c r="D637" s="392"/>
      <c r="E637" s="1266">
        <f>165955/6</f>
        <v>27659.166666666668</v>
      </c>
      <c r="F637" s="579">
        <v>160</v>
      </c>
      <c r="G637" s="407">
        <v>15</v>
      </c>
      <c r="I637" s="498" t="s">
        <v>1172</v>
      </c>
      <c r="J637" s="1830" t="s">
        <v>1102</v>
      </c>
      <c r="K637" s="457">
        <v>68478</v>
      </c>
      <c r="L637" s="458"/>
      <c r="Q637" s="584">
        <v>75325.700018980599</v>
      </c>
      <c r="R637" s="622">
        <v>82105.340000000011</v>
      </c>
      <c r="S637" s="820">
        <v>134900</v>
      </c>
    </row>
    <row r="638" spans="1:19">
      <c r="A638" s="525" t="s">
        <v>1732</v>
      </c>
      <c r="B638" s="136" t="str">
        <f t="shared" ref="B638:B645" si="86">+CONCATENATE($B$636," de ", I638," ")</f>
        <v xml:space="preserve">Tubería Corrugada Alcantarillado RS8 de 160 mm </v>
      </c>
      <c r="C638" s="473" t="s">
        <v>998</v>
      </c>
      <c r="D638" s="392"/>
      <c r="E638" s="1266">
        <f>315401/6</f>
        <v>52566.833333333336</v>
      </c>
      <c r="F638" s="579">
        <v>160</v>
      </c>
      <c r="G638" s="407">
        <v>15</v>
      </c>
      <c r="I638" s="497" t="s">
        <v>1173</v>
      </c>
      <c r="J638" s="1831"/>
      <c r="K638" s="457">
        <v>133750</v>
      </c>
      <c r="L638" s="458"/>
      <c r="Q638" s="584">
        <v>147125.4999065595</v>
      </c>
      <c r="R638" s="622">
        <v>160367.34000000003</v>
      </c>
      <c r="S638" s="820">
        <v>256000</v>
      </c>
    </row>
    <row r="639" spans="1:19">
      <c r="A639" s="525" t="s">
        <v>1733</v>
      </c>
      <c r="B639" s="136" t="str">
        <f t="shared" si="86"/>
        <v xml:space="preserve">Tubería Corrugada Alcantarillado RS8 de 200 mm </v>
      </c>
      <c r="C639" s="473" t="s">
        <v>998</v>
      </c>
      <c r="D639" s="392"/>
      <c r="E639" s="1266">
        <f>450867/6</f>
        <v>75144.5</v>
      </c>
      <c r="F639" s="579">
        <v>160</v>
      </c>
      <c r="G639" s="407">
        <v>15</v>
      </c>
      <c r="I639" s="497" t="s">
        <v>1174</v>
      </c>
      <c r="J639" s="1831"/>
      <c r="K639" s="457">
        <v>182123</v>
      </c>
      <c r="L639" s="458"/>
      <c r="Q639" s="584">
        <v>200335.79843454939</v>
      </c>
      <c r="R639" s="622">
        <v>218366.24000000002</v>
      </c>
      <c r="S639" s="820">
        <v>365900</v>
      </c>
    </row>
    <row r="640" spans="1:19">
      <c r="A640" s="525" t="s">
        <v>1734</v>
      </c>
      <c r="B640" s="136" t="str">
        <f t="shared" si="86"/>
        <v xml:space="preserve">Tubería Corrugada Alcantarillado RS8 de 250 mm </v>
      </c>
      <c r="C640" s="473" t="s">
        <v>998</v>
      </c>
      <c r="D640" s="392"/>
      <c r="E640" s="1266">
        <f>658512/6</f>
        <v>109752</v>
      </c>
      <c r="F640" s="579">
        <v>160</v>
      </c>
      <c r="G640" s="407">
        <v>15</v>
      </c>
      <c r="I640" s="497" t="s">
        <v>1180</v>
      </c>
      <c r="J640" s="1831"/>
      <c r="K640" s="457">
        <v>266783</v>
      </c>
      <c r="L640" s="458"/>
      <c r="Q640" s="584">
        <v>293461.69992055045</v>
      </c>
      <c r="R640" s="622">
        <v>319873.58</v>
      </c>
      <c r="S640" s="820">
        <v>534500</v>
      </c>
    </row>
    <row r="641" spans="1:19">
      <c r="A641" s="525" t="s">
        <v>1735</v>
      </c>
      <c r="B641" s="136" t="str">
        <f t="shared" si="86"/>
        <v xml:space="preserve">Tubería Corrugada Alcantarillado RS8 de 315 mm </v>
      </c>
      <c r="C641" s="473" t="s">
        <v>998</v>
      </c>
      <c r="D641" s="392"/>
      <c r="E641" s="1266">
        <f>947558/6</f>
        <v>157926.33333333334</v>
      </c>
      <c r="F641" s="579">
        <v>160</v>
      </c>
      <c r="G641" s="407">
        <v>15</v>
      </c>
      <c r="I641" s="497" t="s">
        <v>1175</v>
      </c>
      <c r="J641" s="1831"/>
      <c r="K641" s="457">
        <v>394450</v>
      </c>
      <c r="L641" s="458"/>
      <c r="Q641" s="584">
        <v>433895.19996045908</v>
      </c>
      <c r="R641" s="622">
        <v>472946.64</v>
      </c>
      <c r="S641" s="820">
        <v>768999</v>
      </c>
    </row>
    <row r="642" spans="1:19">
      <c r="A642" s="525" t="s">
        <v>1736</v>
      </c>
      <c r="B642" s="136" t="str">
        <f t="shared" si="86"/>
        <v xml:space="preserve">Tubería Corrugada Alcantarillado RS8 de 355 mm </v>
      </c>
      <c r="C642" s="473" t="s">
        <v>998</v>
      </c>
      <c r="D642" s="392"/>
      <c r="E642" s="1266">
        <f>1420042/6</f>
        <v>236673.66666666666</v>
      </c>
      <c r="F642" s="579">
        <v>160</v>
      </c>
      <c r="G642" s="407">
        <v>15</v>
      </c>
      <c r="I642" s="497" t="s">
        <v>1176</v>
      </c>
      <c r="J642" s="1831"/>
      <c r="K642" s="457">
        <v>564246</v>
      </c>
      <c r="L642" s="458"/>
      <c r="Q642" s="584">
        <v>620670.50019015744</v>
      </c>
      <c r="R642" s="622">
        <v>676531.39</v>
      </c>
      <c r="S642" s="820">
        <v>1150001</v>
      </c>
    </row>
    <row r="643" spans="1:19">
      <c r="A643" s="525" t="s">
        <v>1737</v>
      </c>
      <c r="B643" s="136" t="str">
        <f t="shared" si="86"/>
        <v xml:space="preserve">Tubería Corrugada Alcantarillado RS8 de 400 mm </v>
      </c>
      <c r="C643" s="473" t="s">
        <v>998</v>
      </c>
      <c r="D643" s="392"/>
      <c r="E643" s="1266">
        <f>1736865/6</f>
        <v>289477.5</v>
      </c>
      <c r="F643" s="579">
        <v>160</v>
      </c>
      <c r="G643" s="407">
        <v>15</v>
      </c>
      <c r="I643" s="497" t="s">
        <v>1177</v>
      </c>
      <c r="J643" s="1831"/>
      <c r="K643" s="457">
        <v>691311</v>
      </c>
      <c r="L643" s="458"/>
      <c r="Q643" s="584">
        <v>760442.19998004183</v>
      </c>
      <c r="R643" s="622">
        <v>828882.87000000011</v>
      </c>
      <c r="S643" s="820">
        <v>1049000</v>
      </c>
    </row>
    <row r="644" spans="1:19">
      <c r="A644" s="525" t="s">
        <v>1738</v>
      </c>
      <c r="B644" s="136" t="str">
        <f t="shared" si="86"/>
        <v xml:space="preserve">Tubería Corrugada Alcantarillado RS8 de 450 mm </v>
      </c>
      <c r="C644" s="473" t="s">
        <v>998</v>
      </c>
      <c r="D644" s="392"/>
      <c r="E644" s="1266">
        <f>2385908/6</f>
        <v>397651.33333333331</v>
      </c>
      <c r="F644" s="579">
        <v>160</v>
      </c>
      <c r="G644" s="407">
        <v>15</v>
      </c>
      <c r="I644" s="497" t="s">
        <v>1178</v>
      </c>
      <c r="J644" s="1831"/>
      <c r="K644" s="457">
        <v>892827</v>
      </c>
      <c r="L644" s="458"/>
      <c r="Q644" s="584">
        <v>982110.19990033645</v>
      </c>
      <c r="R644" s="622">
        <v>1070500.99</v>
      </c>
      <c r="S644" s="820">
        <v>1820000</v>
      </c>
    </row>
    <row r="645" spans="1:19">
      <c r="A645" s="525" t="s">
        <v>1739</v>
      </c>
      <c r="B645" s="136" t="str">
        <f t="shared" si="86"/>
        <v xml:space="preserve">Tubería Corrugada Alcantarillado RS8 de 500 mm </v>
      </c>
      <c r="C645" s="473" t="s">
        <v>998</v>
      </c>
      <c r="D645" s="392"/>
      <c r="E645" s="1266">
        <f>2924419/6</f>
        <v>487403.16666666669</v>
      </c>
      <c r="F645" s="579">
        <v>160</v>
      </c>
      <c r="G645" s="407">
        <v>15</v>
      </c>
      <c r="I645" s="497" t="s">
        <v>1179</v>
      </c>
      <c r="J645" s="1831"/>
      <c r="K645" s="457">
        <v>1163984</v>
      </c>
      <c r="L645" s="458"/>
      <c r="Q645" s="584">
        <v>1280382.7999202898</v>
      </c>
      <c r="R645" s="622">
        <v>1395617.4700000002</v>
      </c>
      <c r="S645" s="820">
        <v>2373000</v>
      </c>
    </row>
    <row r="646" spans="1:19">
      <c r="A646" s="525"/>
      <c r="B646" s="136"/>
      <c r="C646" s="135"/>
      <c r="D646" s="392"/>
      <c r="E646" s="381"/>
      <c r="F646" s="579"/>
      <c r="G646" s="407"/>
      <c r="I646" s="487"/>
      <c r="K646" s="457"/>
      <c r="L646" s="458"/>
    </row>
    <row r="647" spans="1:19">
      <c r="A647" s="525"/>
      <c r="B647" s="136"/>
      <c r="C647" s="473"/>
      <c r="D647" s="392"/>
      <c r="E647" s="381"/>
      <c r="F647" s="579"/>
      <c r="G647" s="407"/>
      <c r="I647" s="498"/>
      <c r="J647" s="523"/>
      <c r="K647" s="457"/>
      <c r="L647" s="458"/>
    </row>
    <row r="648" spans="1:19">
      <c r="A648" s="525"/>
      <c r="B648" s="483" t="s">
        <v>1186</v>
      </c>
      <c r="C648" s="473"/>
      <c r="D648" s="392"/>
      <c r="E648" s="381"/>
      <c r="F648" s="579"/>
      <c r="G648" s="407"/>
      <c r="I648" s="498"/>
      <c r="J648" s="524"/>
      <c r="K648" s="457"/>
      <c r="L648" s="458"/>
    </row>
    <row r="649" spans="1:19">
      <c r="A649" s="525" t="s">
        <v>1740</v>
      </c>
      <c r="B649" s="136" t="str">
        <f>+CONCATENATE($B$648," de ", I649," ")</f>
        <v xml:space="preserve">Tubería Alcantarillado Doble Pared de 24" </v>
      </c>
      <c r="C649" s="473" t="s">
        <v>998</v>
      </c>
      <c r="D649" s="392"/>
      <c r="E649" s="1266">
        <f>4420211/6.5</f>
        <v>680032.4615384615</v>
      </c>
      <c r="F649" s="579">
        <v>160</v>
      </c>
      <c r="G649" s="407">
        <v>15</v>
      </c>
      <c r="I649" s="490" t="s">
        <v>1107</v>
      </c>
      <c r="J649" s="1830" t="s">
        <v>1185</v>
      </c>
      <c r="K649" s="457">
        <v>1641418</v>
      </c>
      <c r="L649" s="458"/>
      <c r="Q649" s="584">
        <v>1969701.5999999999</v>
      </c>
      <c r="R649" s="622">
        <v>2146975.1800000002</v>
      </c>
    </row>
    <row r="650" spans="1:19">
      <c r="A650" s="525" t="s">
        <v>1741</v>
      </c>
      <c r="B650" s="136" t="str">
        <f t="shared" ref="B650:B655" si="87">+CONCATENATE($B$648," de ", I650," ")</f>
        <v xml:space="preserve">Tubería Alcantarillado Doble Pared de 27" </v>
      </c>
      <c r="C650" s="473" t="s">
        <v>998</v>
      </c>
      <c r="D650" s="392"/>
      <c r="E650" s="1266">
        <f>5198141/6.5</f>
        <v>799714</v>
      </c>
      <c r="F650" s="579">
        <v>160</v>
      </c>
      <c r="G650" s="407">
        <v>15</v>
      </c>
      <c r="I650" s="490" t="s">
        <v>1181</v>
      </c>
      <c r="J650" s="1830"/>
      <c r="K650" s="457">
        <v>1882015</v>
      </c>
      <c r="L650" s="458"/>
      <c r="Q650" s="584">
        <v>2258418.1091755894</v>
      </c>
      <c r="R650" s="622">
        <v>2461676.71</v>
      </c>
    </row>
    <row r="651" spans="1:19">
      <c r="A651" s="525" t="s">
        <v>1742</v>
      </c>
      <c r="B651" s="136" t="str">
        <f t="shared" si="87"/>
        <v xml:space="preserve">Tubería Alcantarillado Doble Pared de 30" </v>
      </c>
      <c r="C651" s="473" t="s">
        <v>998</v>
      </c>
      <c r="D651" s="392"/>
      <c r="E651" s="1266">
        <f>6486777/6.5</f>
        <v>997965.69230769225</v>
      </c>
      <c r="F651" s="579">
        <v>160</v>
      </c>
      <c r="G651" s="407">
        <v>15</v>
      </c>
      <c r="I651" s="490" t="s">
        <v>1182</v>
      </c>
      <c r="J651" s="1830"/>
      <c r="K651" s="457">
        <v>2451821</v>
      </c>
      <c r="L651" s="458"/>
      <c r="Q651" s="584">
        <v>2942185.1999999997</v>
      </c>
      <c r="R651" s="622">
        <v>3206982.74</v>
      </c>
    </row>
    <row r="652" spans="1:19">
      <c r="A652" s="525" t="s">
        <v>1743</v>
      </c>
      <c r="B652" s="136" t="str">
        <f t="shared" si="87"/>
        <v xml:space="preserve">Tubería Alcantarillado Doble Pared de 33" </v>
      </c>
      <c r="C652" s="473" t="s">
        <v>998</v>
      </c>
      <c r="D652" s="392"/>
      <c r="E652" s="1266">
        <f>8945120/6.5</f>
        <v>1376172.3076923077</v>
      </c>
      <c r="F652" s="579">
        <v>160</v>
      </c>
      <c r="G652" s="407">
        <v>15</v>
      </c>
      <c r="I652" s="490" t="s">
        <v>1183</v>
      </c>
      <c r="J652" s="1830"/>
      <c r="K652" s="457">
        <v>3038670</v>
      </c>
      <c r="L652" s="458"/>
      <c r="Q652" s="584">
        <v>3646403.6112917988</v>
      </c>
      <c r="R652" s="622">
        <v>3974580.3600000003</v>
      </c>
    </row>
    <row r="653" spans="1:19">
      <c r="A653" s="525" t="s">
        <v>1744</v>
      </c>
      <c r="B653" s="136" t="str">
        <f t="shared" si="87"/>
        <v xml:space="preserve">Tubería Alcantarillado Doble Pared de 36" </v>
      </c>
      <c r="C653" s="473" t="s">
        <v>998</v>
      </c>
      <c r="D653" s="392"/>
      <c r="E653" s="1266">
        <f>12040263/6.5</f>
        <v>1852348.1538461538</v>
      </c>
      <c r="F653" s="579">
        <v>160</v>
      </c>
      <c r="G653" s="407">
        <v>15</v>
      </c>
      <c r="I653" s="490" t="s">
        <v>1184</v>
      </c>
      <c r="J653" s="1830"/>
      <c r="K653" s="457">
        <v>4424300</v>
      </c>
      <c r="L653" s="458"/>
      <c r="Q653" s="584">
        <v>5309160</v>
      </c>
      <c r="R653" s="622">
        <v>5786984.4000000004</v>
      </c>
    </row>
    <row r="654" spans="1:19">
      <c r="A654" s="525" t="s">
        <v>1745</v>
      </c>
      <c r="B654" s="136" t="str">
        <f t="shared" si="87"/>
        <v xml:space="preserve">Tubería Alcantarillado Doble Pared de 39" </v>
      </c>
      <c r="C654" s="473" t="s">
        <v>998</v>
      </c>
      <c r="D654" s="392"/>
      <c r="E654" s="1266">
        <f>16109359/6.5</f>
        <v>2478362.923076923</v>
      </c>
      <c r="F654" s="579">
        <v>160</v>
      </c>
      <c r="G654" s="407">
        <v>15</v>
      </c>
      <c r="I654" s="498" t="s">
        <v>1187</v>
      </c>
      <c r="J654" s="1830"/>
      <c r="K654" s="457">
        <v>6090867</v>
      </c>
      <c r="L654" s="458"/>
      <c r="Q654" s="584">
        <v>7309040.7999198306</v>
      </c>
      <c r="R654" s="622">
        <v>7966854.6900000004</v>
      </c>
    </row>
    <row r="655" spans="1:19">
      <c r="A655" s="525" t="s">
        <v>1746</v>
      </c>
      <c r="B655" s="136" t="str">
        <f t="shared" si="87"/>
        <v xml:space="preserve">Tubería Alcantarillado Doble Pared de 42" </v>
      </c>
      <c r="C655" s="473" t="s">
        <v>998</v>
      </c>
      <c r="D655" s="392"/>
      <c r="E655" s="1266">
        <f>18912230/6.5</f>
        <v>2909573.846153846</v>
      </c>
      <c r="F655" s="579">
        <v>160</v>
      </c>
      <c r="G655" s="407">
        <v>15</v>
      </c>
      <c r="I655" s="498" t="s">
        <v>1188</v>
      </c>
      <c r="J655" s="1830"/>
      <c r="K655" s="457">
        <v>6964677</v>
      </c>
      <c r="L655" s="458"/>
      <c r="Q655" s="584">
        <v>8357612.0002290253</v>
      </c>
      <c r="R655" s="622">
        <v>9109798.1699999999</v>
      </c>
    </row>
    <row r="656" spans="1:19">
      <c r="A656" s="525"/>
      <c r="B656" s="136"/>
      <c r="C656" s="135"/>
      <c r="D656" s="392"/>
      <c r="E656" s="381"/>
      <c r="F656" s="139"/>
      <c r="G656" s="132"/>
      <c r="I656" s="487"/>
      <c r="K656" s="457"/>
      <c r="L656" s="458"/>
    </row>
    <row r="657" spans="1:19">
      <c r="A657" s="526" t="s">
        <v>1189</v>
      </c>
      <c r="B657" s="467"/>
      <c r="C657" s="468"/>
      <c r="D657" s="469"/>
      <c r="E657" s="470"/>
      <c r="F657" s="471"/>
      <c r="G657" s="472"/>
      <c r="H657" s="482"/>
      <c r="I657" s="482"/>
      <c r="K657" s="457"/>
      <c r="L657" s="458"/>
    </row>
    <row r="658" spans="1:19">
      <c r="A658" s="525"/>
      <c r="B658" s="483" t="s">
        <v>1190</v>
      </c>
      <c r="C658" s="505"/>
      <c r="D658" s="392"/>
      <c r="E658" s="381"/>
      <c r="F658" s="139"/>
      <c r="G658" s="132"/>
      <c r="I658" s="487"/>
      <c r="K658" s="457"/>
      <c r="L658" s="458"/>
    </row>
    <row r="659" spans="1:19">
      <c r="A659" s="525" t="s">
        <v>1747</v>
      </c>
      <c r="B659" s="136" t="str">
        <f>+CONCATENATE($B$658," x ", I659," ")</f>
        <v xml:space="preserve">Codo Alcantarillado de 90° x 110 mm </v>
      </c>
      <c r="C659" s="473" t="s">
        <v>622</v>
      </c>
      <c r="D659" s="392">
        <f>+K659</f>
        <v>27555</v>
      </c>
      <c r="E659" s="381">
        <f>ROUND(D659*(1+$E$39),0)</f>
        <v>32790</v>
      </c>
      <c r="F659" s="139"/>
      <c r="G659" s="132"/>
      <c r="I659" s="498" t="s">
        <v>1172</v>
      </c>
      <c r="K659" s="457">
        <v>27555</v>
      </c>
      <c r="L659" s="458"/>
    </row>
    <row r="660" spans="1:19">
      <c r="A660" s="525" t="s">
        <v>1748</v>
      </c>
      <c r="B660" s="136" t="str">
        <f t="shared" ref="B660:B666" si="88">+CONCATENATE($B$658," x ", I660," ")</f>
        <v xml:space="preserve">Codo Alcantarillado de 90° x 160 mm </v>
      </c>
      <c r="C660" s="473" t="s">
        <v>622</v>
      </c>
      <c r="D660" s="392">
        <f t="shared" ref="D660:D666" si="89">+K660</f>
        <v>64707</v>
      </c>
      <c r="E660" s="381">
        <f t="shared" ref="E660:E666" si="90">ROUND(D660*(1+$E$39),0)</f>
        <v>77001</v>
      </c>
      <c r="F660" s="139"/>
      <c r="G660" s="132"/>
      <c r="I660" s="497" t="s">
        <v>1173</v>
      </c>
      <c r="K660" s="457">
        <v>64707</v>
      </c>
      <c r="L660" s="458"/>
    </row>
    <row r="661" spans="1:19">
      <c r="A661" s="525" t="s">
        <v>1749</v>
      </c>
      <c r="B661" s="136" t="str">
        <f t="shared" si="88"/>
        <v xml:space="preserve">Codo Alcantarillado de 90° x 200 mm </v>
      </c>
      <c r="C661" s="473" t="s">
        <v>622</v>
      </c>
      <c r="D661" s="392">
        <f t="shared" si="89"/>
        <v>97464</v>
      </c>
      <c r="E661" s="381">
        <f t="shared" si="90"/>
        <v>115982</v>
      </c>
      <c r="F661" s="139"/>
      <c r="G661" s="132"/>
      <c r="I661" s="497" t="s">
        <v>1174</v>
      </c>
      <c r="K661" s="457">
        <v>97464</v>
      </c>
      <c r="L661" s="458"/>
    </row>
    <row r="662" spans="1:19">
      <c r="A662" s="525" t="s">
        <v>1750</v>
      </c>
      <c r="B662" s="136" t="str">
        <f t="shared" si="88"/>
        <v xml:space="preserve">Codo Alcantarillado de 90° x 250 mm </v>
      </c>
      <c r="C662" s="473" t="s">
        <v>622</v>
      </c>
      <c r="D662" s="392">
        <f t="shared" si="89"/>
        <v>186381</v>
      </c>
      <c r="E662" s="381">
        <f t="shared" si="90"/>
        <v>221793</v>
      </c>
      <c r="F662" s="139"/>
      <c r="G662" s="132"/>
      <c r="I662" s="497" t="s">
        <v>1180</v>
      </c>
      <c r="K662" s="457">
        <v>186381</v>
      </c>
      <c r="L662" s="458"/>
    </row>
    <row r="663" spans="1:19">
      <c r="A663" s="525" t="s">
        <v>1751</v>
      </c>
      <c r="B663" s="136" t="str">
        <f t="shared" si="88"/>
        <v xml:space="preserve">Codo Alcantarillado de 90° x 315 mm </v>
      </c>
      <c r="C663" s="473" t="s">
        <v>622</v>
      </c>
      <c r="D663" s="392">
        <f t="shared" si="89"/>
        <v>285478</v>
      </c>
      <c r="E663" s="381">
        <f t="shared" si="90"/>
        <v>339719</v>
      </c>
      <c r="F663" s="139"/>
      <c r="G663" s="132"/>
      <c r="I663" s="497" t="s">
        <v>1175</v>
      </c>
      <c r="K663" s="457">
        <v>285478</v>
      </c>
      <c r="L663" s="458"/>
    </row>
    <row r="664" spans="1:19">
      <c r="A664" s="525" t="s">
        <v>1752</v>
      </c>
      <c r="B664" s="136" t="str">
        <f t="shared" si="88"/>
        <v xml:space="preserve">Codo Alcantarillado de 90° x 355 mm </v>
      </c>
      <c r="C664" s="473" t="s">
        <v>622</v>
      </c>
      <c r="D664" s="392">
        <f t="shared" si="89"/>
        <v>698774</v>
      </c>
      <c r="E664" s="381">
        <f t="shared" si="90"/>
        <v>831541</v>
      </c>
      <c r="F664" s="139"/>
      <c r="G664" s="132"/>
      <c r="I664" s="497" t="s">
        <v>1176</v>
      </c>
      <c r="K664" s="457">
        <v>698774</v>
      </c>
      <c r="L664" s="458"/>
    </row>
    <row r="665" spans="1:19">
      <c r="A665" s="525" t="s">
        <v>1753</v>
      </c>
      <c r="B665" s="136" t="str">
        <f t="shared" si="88"/>
        <v xml:space="preserve">Codo Alcantarillado de 90° x 400 mm </v>
      </c>
      <c r="C665" s="473" t="s">
        <v>622</v>
      </c>
      <c r="D665" s="392">
        <f t="shared" si="89"/>
        <v>1064470</v>
      </c>
      <c r="E665" s="381">
        <f t="shared" si="90"/>
        <v>1266719</v>
      </c>
      <c r="F665" s="139"/>
      <c r="G665" s="132"/>
      <c r="I665" s="497" t="s">
        <v>1177</v>
      </c>
      <c r="K665" s="457">
        <v>1064470</v>
      </c>
      <c r="L665" s="458"/>
    </row>
    <row r="666" spans="1:19">
      <c r="A666" s="525" t="s">
        <v>1754</v>
      </c>
      <c r="B666" s="136" t="str">
        <f t="shared" si="88"/>
        <v xml:space="preserve">Codo Alcantarillado de 90° x 450 mm </v>
      </c>
      <c r="C666" s="473" t="s">
        <v>622</v>
      </c>
      <c r="D666" s="392">
        <f t="shared" si="89"/>
        <v>1064470</v>
      </c>
      <c r="E666" s="381">
        <f t="shared" si="90"/>
        <v>1266719</v>
      </c>
      <c r="F666" s="139"/>
      <c r="G666" s="132"/>
      <c r="I666" s="497" t="s">
        <v>1178</v>
      </c>
      <c r="K666" s="457">
        <v>1064470</v>
      </c>
      <c r="L666" s="458"/>
    </row>
    <row r="667" spans="1:19">
      <c r="A667" s="525"/>
      <c r="B667" s="136"/>
      <c r="C667" s="135"/>
      <c r="D667" s="392"/>
      <c r="E667" s="381"/>
      <c r="F667" s="139"/>
      <c r="G667" s="132"/>
      <c r="I667" s="497"/>
      <c r="K667" s="457"/>
      <c r="L667" s="458"/>
    </row>
    <row r="668" spans="1:19">
      <c r="A668" s="525"/>
      <c r="B668" s="483" t="s">
        <v>1191</v>
      </c>
      <c r="C668" s="505"/>
      <c r="D668" s="392"/>
      <c r="E668" s="381"/>
      <c r="F668" s="139"/>
      <c r="G668" s="132"/>
      <c r="I668" s="487"/>
      <c r="K668" s="457"/>
      <c r="L668" s="458"/>
    </row>
    <row r="669" spans="1:19">
      <c r="A669" s="525" t="s">
        <v>1755</v>
      </c>
      <c r="B669" s="136" t="str">
        <f>+CONCATENATE($B$668," x ", I669," ")</f>
        <v xml:space="preserve">Codo Alcantarillado de 45° x 110 mm </v>
      </c>
      <c r="C669" s="473" t="s">
        <v>622</v>
      </c>
      <c r="D669" s="392"/>
      <c r="E669" s="1266">
        <v>34013</v>
      </c>
      <c r="F669" s="139"/>
      <c r="G669" s="132"/>
      <c r="I669" s="498" t="s">
        <v>1172</v>
      </c>
      <c r="K669" s="457">
        <v>15281.499676421945</v>
      </c>
      <c r="L669" s="458"/>
      <c r="R669" s="623">
        <v>16963.02</v>
      </c>
      <c r="S669" s="820">
        <v>27950</v>
      </c>
    </row>
    <row r="670" spans="1:19">
      <c r="A670" s="525" t="s">
        <v>1756</v>
      </c>
      <c r="B670" s="136" t="str">
        <f t="shared" ref="B670:B676" si="91">+CONCATENATE($B$668," x ", I670," ")</f>
        <v xml:space="preserve">Codo Alcantarillado de 45° x 160 mm </v>
      </c>
      <c r="C670" s="473" t="s">
        <v>622</v>
      </c>
      <c r="D670" s="392"/>
      <c r="E670" s="1266">
        <v>81657</v>
      </c>
      <c r="F670" s="139"/>
      <c r="G670" s="132"/>
      <c r="I670" s="497" t="s">
        <v>1173</v>
      </c>
      <c r="K670" s="457">
        <v>36642.199766390127</v>
      </c>
      <c r="L670" s="458"/>
      <c r="R670" s="623">
        <v>40673.730000000003</v>
      </c>
      <c r="S670" s="820">
        <v>67290</v>
      </c>
    </row>
    <row r="671" spans="1:19">
      <c r="A671" s="525" t="s">
        <v>1757</v>
      </c>
      <c r="B671" s="136" t="str">
        <f t="shared" si="91"/>
        <v xml:space="preserve">Codo Alcantarillado de 45° x 200 mm </v>
      </c>
      <c r="C671" s="473" t="s">
        <v>622</v>
      </c>
      <c r="D671" s="392"/>
      <c r="E671" s="381"/>
      <c r="F671" s="139"/>
      <c r="G671" s="132"/>
      <c r="I671" s="497" t="s">
        <v>1174</v>
      </c>
      <c r="K671" s="457">
        <v>105476.19990615714</v>
      </c>
      <c r="L671" s="458"/>
      <c r="R671" s="623">
        <v>117079.47000000002</v>
      </c>
      <c r="S671" s="820">
        <v>196900</v>
      </c>
    </row>
    <row r="672" spans="1:19">
      <c r="A672" s="525" t="s">
        <v>1758</v>
      </c>
      <c r="B672" s="136" t="str">
        <f t="shared" si="91"/>
        <v xml:space="preserve">Codo Alcantarillado de 45° x 250 mm </v>
      </c>
      <c r="C672" s="473" t="s">
        <v>622</v>
      </c>
      <c r="D672" s="392"/>
      <c r="E672" s="381"/>
      <c r="F672" s="139"/>
      <c r="G672" s="132"/>
      <c r="I672" s="497" t="s">
        <v>1180</v>
      </c>
      <c r="K672" s="457">
        <v>204330.30003982948</v>
      </c>
      <c r="L672" s="458"/>
      <c r="R672" s="623">
        <v>226807.41000000003</v>
      </c>
      <c r="S672" s="820">
        <v>372600</v>
      </c>
    </row>
    <row r="673" spans="1:19">
      <c r="A673" s="525" t="s">
        <v>1759</v>
      </c>
      <c r="B673" s="136" t="str">
        <f t="shared" si="91"/>
        <v xml:space="preserve">Codo Alcantarillado de 45° x 315 mm </v>
      </c>
      <c r="C673" s="473" t="s">
        <v>622</v>
      </c>
      <c r="D673" s="392"/>
      <c r="E673" s="381"/>
      <c r="F673" s="139"/>
      <c r="G673" s="132"/>
      <c r="I673" s="497" t="s">
        <v>1175</v>
      </c>
      <c r="K673" s="457">
        <v>314025.40007844946</v>
      </c>
      <c r="L673" s="458"/>
      <c r="R673" s="623">
        <v>348568.86000000004</v>
      </c>
      <c r="S673" s="820">
        <v>578880</v>
      </c>
    </row>
    <row r="674" spans="1:19">
      <c r="A674" s="525" t="s">
        <v>1760</v>
      </c>
      <c r="B674" s="136" t="str">
        <f t="shared" si="91"/>
        <v xml:space="preserve">Codo Alcantarillado de 45° x 355 mm </v>
      </c>
      <c r="C674" s="473" t="s">
        <v>622</v>
      </c>
      <c r="D674" s="392"/>
      <c r="E674" s="381"/>
      <c r="F674" s="139"/>
      <c r="G674" s="132"/>
      <c r="I674" s="497" t="s">
        <v>1176</v>
      </c>
      <c r="K674" s="457">
        <v>615375.20000000007</v>
      </c>
      <c r="L674" s="458"/>
      <c r="R674" s="623">
        <v>683067.3600000001</v>
      </c>
    </row>
    <row r="675" spans="1:19">
      <c r="A675" s="525" t="s">
        <v>1761</v>
      </c>
      <c r="B675" s="136" t="str">
        <f t="shared" si="91"/>
        <v xml:space="preserve">Codo Alcantarillado de 45° x 400 mm </v>
      </c>
      <c r="C675" s="473" t="s">
        <v>622</v>
      </c>
      <c r="D675" s="392"/>
      <c r="E675" s="381"/>
      <c r="F675" s="139"/>
      <c r="G675" s="132"/>
      <c r="I675" s="497" t="s">
        <v>1177</v>
      </c>
      <c r="K675" s="457">
        <v>861526.60000000009</v>
      </c>
      <c r="L675" s="458"/>
      <c r="R675" s="623">
        <v>956294.97000000009</v>
      </c>
    </row>
    <row r="676" spans="1:19">
      <c r="A676" s="525" t="s">
        <v>1762</v>
      </c>
      <c r="B676" s="136" t="str">
        <f t="shared" si="91"/>
        <v xml:space="preserve">Codo Alcantarillado de 45° x 450 mm </v>
      </c>
      <c r="C676" s="473" t="s">
        <v>622</v>
      </c>
      <c r="D676" s="392"/>
      <c r="E676" s="381"/>
      <c r="F676" s="139"/>
      <c r="G676" s="132"/>
      <c r="I676" s="497" t="s">
        <v>1178</v>
      </c>
      <c r="K676" s="457">
        <v>1206137.9000000001</v>
      </c>
      <c r="L676" s="458"/>
      <c r="R676" s="623">
        <v>1338813.1800000002</v>
      </c>
    </row>
    <row r="677" spans="1:19">
      <c r="A677" s="525"/>
      <c r="B677" s="136"/>
      <c r="C677" s="135"/>
      <c r="D677" s="392"/>
      <c r="E677" s="381"/>
      <c r="F677" s="139"/>
      <c r="G677" s="132"/>
      <c r="I677" s="487"/>
      <c r="K677" s="457"/>
      <c r="L677" s="458"/>
    </row>
    <row r="678" spans="1:19">
      <c r="A678" s="525"/>
      <c r="B678" s="483" t="s">
        <v>1192</v>
      </c>
      <c r="C678" s="505"/>
      <c r="D678" s="392"/>
      <c r="E678" s="381"/>
      <c r="F678" s="139"/>
      <c r="G678" s="132"/>
      <c r="I678" s="487"/>
      <c r="K678" s="457"/>
      <c r="L678" s="458"/>
    </row>
    <row r="679" spans="1:19">
      <c r="A679" s="525" t="s">
        <v>1530</v>
      </c>
      <c r="B679" s="136" t="str">
        <f>+CONCATENATE($B$678," de ", I679," ")</f>
        <v xml:space="preserve">Silla Tee de 160x110 </v>
      </c>
      <c r="C679" s="473" t="s">
        <v>622</v>
      </c>
      <c r="D679" s="392">
        <f>+K679</f>
        <v>46456</v>
      </c>
      <c r="E679" s="381">
        <f>ROUND(D679*(1+$E$39),0)</f>
        <v>55283</v>
      </c>
      <c r="F679" s="139"/>
      <c r="G679" s="132"/>
      <c r="I679" s="490" t="s">
        <v>1193</v>
      </c>
      <c r="K679" s="457">
        <v>46456</v>
      </c>
      <c r="L679" s="458"/>
    </row>
    <row r="680" spans="1:19">
      <c r="A680" s="525" t="s">
        <v>1531</v>
      </c>
      <c r="B680" s="136" t="str">
        <f t="shared" ref="B680:B712" si="92">+CONCATENATE($B$678," de ", I680," ")</f>
        <v xml:space="preserve">Silla Tee de 160x160 </v>
      </c>
      <c r="C680" s="473" t="s">
        <v>622</v>
      </c>
      <c r="D680" s="392">
        <f t="shared" ref="D680:D700" si="93">+K680</f>
        <v>46457</v>
      </c>
      <c r="E680" s="381">
        <f t="shared" ref="E680:E700" si="94">ROUND(D680*(1+$E$39),0)</f>
        <v>55284</v>
      </c>
      <c r="F680" s="139"/>
      <c r="G680" s="132"/>
      <c r="I680" s="490" t="s">
        <v>1194</v>
      </c>
      <c r="K680" s="457">
        <v>46457</v>
      </c>
      <c r="L680" s="458"/>
    </row>
    <row r="681" spans="1:19">
      <c r="A681" s="525" t="s">
        <v>1532</v>
      </c>
      <c r="B681" s="136" t="str">
        <f t="shared" si="92"/>
        <v xml:space="preserve">Silla Tee de 200x110 </v>
      </c>
      <c r="C681" s="473" t="s">
        <v>622</v>
      </c>
      <c r="D681" s="392">
        <f t="shared" si="93"/>
        <v>56901</v>
      </c>
      <c r="E681" s="381">
        <f t="shared" si="94"/>
        <v>67712</v>
      </c>
      <c r="F681" s="139"/>
      <c r="G681" s="132"/>
      <c r="I681" s="490" t="s">
        <v>1195</v>
      </c>
      <c r="K681" s="457">
        <v>56901</v>
      </c>
      <c r="L681" s="458"/>
    </row>
    <row r="682" spans="1:19">
      <c r="A682" s="525" t="s">
        <v>1533</v>
      </c>
      <c r="B682" s="136" t="str">
        <f t="shared" si="92"/>
        <v xml:space="preserve">Silla Tee de 200x160 </v>
      </c>
      <c r="C682" s="473" t="s">
        <v>622</v>
      </c>
      <c r="D682" s="392">
        <f t="shared" si="93"/>
        <v>56901</v>
      </c>
      <c r="E682" s="381">
        <f t="shared" si="94"/>
        <v>67712</v>
      </c>
      <c r="F682" s="139"/>
      <c r="G682" s="132"/>
      <c r="I682" s="490" t="s">
        <v>1196</v>
      </c>
      <c r="K682" s="457">
        <v>56901</v>
      </c>
      <c r="L682" s="458"/>
    </row>
    <row r="683" spans="1:19">
      <c r="A683" s="525" t="s">
        <v>1534</v>
      </c>
      <c r="B683" s="136" t="str">
        <f t="shared" si="92"/>
        <v xml:space="preserve">Silla Tee de 250x110 </v>
      </c>
      <c r="C683" s="473" t="s">
        <v>622</v>
      </c>
      <c r="D683" s="392">
        <f t="shared" si="93"/>
        <v>65980</v>
      </c>
      <c r="E683" s="381">
        <f t="shared" si="94"/>
        <v>78516</v>
      </c>
      <c r="F683" s="139"/>
      <c r="G683" s="132"/>
      <c r="I683" s="490" t="s">
        <v>1197</v>
      </c>
      <c r="K683" s="457">
        <v>65980</v>
      </c>
      <c r="L683" s="458"/>
    </row>
    <row r="684" spans="1:19">
      <c r="A684" s="525" t="s">
        <v>1535</v>
      </c>
      <c r="B684" s="136" t="str">
        <f t="shared" si="92"/>
        <v xml:space="preserve">Silla Tee de 250x160 </v>
      </c>
      <c r="C684" s="473" t="s">
        <v>622</v>
      </c>
      <c r="D684" s="392">
        <f t="shared" si="93"/>
        <v>65980</v>
      </c>
      <c r="E684" s="381">
        <f t="shared" si="94"/>
        <v>78516</v>
      </c>
      <c r="F684" s="139"/>
      <c r="G684" s="132"/>
      <c r="I684" s="490" t="s">
        <v>1198</v>
      </c>
      <c r="K684" s="457">
        <v>65980</v>
      </c>
      <c r="L684" s="458"/>
    </row>
    <row r="685" spans="1:19">
      <c r="A685" s="525" t="s">
        <v>1536</v>
      </c>
      <c r="B685" s="136" t="str">
        <f t="shared" si="92"/>
        <v xml:space="preserve">Silla Tee de 250x200 </v>
      </c>
      <c r="C685" s="473" t="s">
        <v>622</v>
      </c>
      <c r="D685" s="392">
        <f t="shared" si="93"/>
        <v>84229</v>
      </c>
      <c r="E685" s="381">
        <f t="shared" si="94"/>
        <v>100233</v>
      </c>
      <c r="F685" s="139"/>
      <c r="G685" s="132"/>
      <c r="I685" s="490" t="s">
        <v>1199</v>
      </c>
      <c r="K685" s="457">
        <v>84229</v>
      </c>
      <c r="L685" s="458"/>
    </row>
    <row r="686" spans="1:19">
      <c r="A686" s="525" t="s">
        <v>1537</v>
      </c>
      <c r="B686" s="136" t="str">
        <f t="shared" si="92"/>
        <v xml:space="preserve">Silla Tee de 315x110 </v>
      </c>
      <c r="C686" s="473" t="s">
        <v>622</v>
      </c>
      <c r="D686" s="392">
        <f t="shared" si="93"/>
        <v>102292</v>
      </c>
      <c r="E686" s="381">
        <f t="shared" si="94"/>
        <v>121727</v>
      </c>
      <c r="F686" s="139"/>
      <c r="G686" s="132"/>
      <c r="I686" s="490" t="s">
        <v>1200</v>
      </c>
      <c r="K686" s="457">
        <v>102292</v>
      </c>
      <c r="L686" s="458"/>
    </row>
    <row r="687" spans="1:19">
      <c r="A687" s="525" t="s">
        <v>1538</v>
      </c>
      <c r="B687" s="136" t="str">
        <f t="shared" si="92"/>
        <v xml:space="preserve">Silla Tee de 315x160 </v>
      </c>
      <c r="C687" s="473" t="s">
        <v>622</v>
      </c>
      <c r="D687" s="392">
        <f t="shared" si="93"/>
        <v>102292</v>
      </c>
      <c r="E687" s="381">
        <f t="shared" si="94"/>
        <v>121727</v>
      </c>
      <c r="F687" s="139"/>
      <c r="G687" s="132"/>
      <c r="I687" s="490" t="s">
        <v>1201</v>
      </c>
      <c r="K687" s="457">
        <v>102292</v>
      </c>
      <c r="L687" s="458"/>
    </row>
    <row r="688" spans="1:19">
      <c r="A688" s="525" t="s">
        <v>1539</v>
      </c>
      <c r="B688" s="136" t="str">
        <f t="shared" si="92"/>
        <v xml:space="preserve">Silla Tee de 315x200 </v>
      </c>
      <c r="C688" s="473" t="s">
        <v>622</v>
      </c>
      <c r="D688" s="392">
        <f t="shared" si="93"/>
        <v>138284</v>
      </c>
      <c r="E688" s="381">
        <f t="shared" si="94"/>
        <v>164558</v>
      </c>
      <c r="F688" s="139"/>
      <c r="G688" s="132"/>
      <c r="I688" s="490" t="s">
        <v>1202</v>
      </c>
      <c r="K688" s="457">
        <v>138284</v>
      </c>
      <c r="L688" s="458"/>
    </row>
    <row r="689" spans="1:12">
      <c r="A689" s="525" t="s">
        <v>1540</v>
      </c>
      <c r="B689" s="136" t="str">
        <f t="shared" si="92"/>
        <v xml:space="preserve">Silla Tee de 315x250 </v>
      </c>
      <c r="C689" s="473" t="s">
        <v>622</v>
      </c>
      <c r="D689" s="392">
        <f t="shared" si="93"/>
        <v>138284</v>
      </c>
      <c r="E689" s="381">
        <f t="shared" si="94"/>
        <v>164558</v>
      </c>
      <c r="F689" s="139"/>
      <c r="G689" s="132"/>
      <c r="I689" s="490" t="s">
        <v>1203</v>
      </c>
      <c r="K689" s="457">
        <v>138284</v>
      </c>
      <c r="L689" s="458"/>
    </row>
    <row r="690" spans="1:12">
      <c r="A690" s="525" t="s">
        <v>1541</v>
      </c>
      <c r="B690" s="136" t="str">
        <f t="shared" si="92"/>
        <v xml:space="preserve">Silla Tee de 355x110 </v>
      </c>
      <c r="C690" s="473" t="s">
        <v>622</v>
      </c>
      <c r="D690" s="392">
        <f t="shared" si="93"/>
        <v>138284</v>
      </c>
      <c r="E690" s="381">
        <f t="shared" si="94"/>
        <v>164558</v>
      </c>
      <c r="F690" s="139"/>
      <c r="G690" s="132"/>
      <c r="I690" s="490" t="s">
        <v>1204</v>
      </c>
      <c r="K690" s="457">
        <v>138284</v>
      </c>
      <c r="L690" s="458"/>
    </row>
    <row r="691" spans="1:12">
      <c r="A691" s="525" t="s">
        <v>1542</v>
      </c>
      <c r="B691" s="136" t="str">
        <f t="shared" si="92"/>
        <v xml:space="preserve">Silla Tee de 355x160 </v>
      </c>
      <c r="C691" s="473" t="s">
        <v>622</v>
      </c>
      <c r="D691" s="392">
        <f t="shared" si="93"/>
        <v>154004</v>
      </c>
      <c r="E691" s="381">
        <f t="shared" si="94"/>
        <v>183265</v>
      </c>
      <c r="F691" s="139"/>
      <c r="G691" s="132"/>
      <c r="I691" s="490" t="s">
        <v>1205</v>
      </c>
      <c r="K691" s="457">
        <v>154004</v>
      </c>
      <c r="L691" s="458"/>
    </row>
    <row r="692" spans="1:12">
      <c r="A692" s="525" t="s">
        <v>1543</v>
      </c>
      <c r="B692" s="136" t="str">
        <f t="shared" si="92"/>
        <v xml:space="preserve">Silla Tee de 355x200 </v>
      </c>
      <c r="C692" s="473" t="s">
        <v>622</v>
      </c>
      <c r="D692" s="392">
        <f t="shared" si="93"/>
        <v>154002</v>
      </c>
      <c r="E692" s="381">
        <f t="shared" si="94"/>
        <v>183262</v>
      </c>
      <c r="F692" s="139"/>
      <c r="G692" s="132"/>
      <c r="I692" s="490" t="s">
        <v>1206</v>
      </c>
      <c r="K692" s="457">
        <v>154002</v>
      </c>
      <c r="L692" s="458"/>
    </row>
    <row r="693" spans="1:12">
      <c r="A693" s="525" t="s">
        <v>1544</v>
      </c>
      <c r="B693" s="136" t="str">
        <f t="shared" si="92"/>
        <v xml:space="preserve">Silla Tee de 400x110 </v>
      </c>
      <c r="C693" s="473" t="s">
        <v>622</v>
      </c>
      <c r="D693" s="392">
        <f t="shared" si="93"/>
        <v>168858</v>
      </c>
      <c r="E693" s="381">
        <f t="shared" si="94"/>
        <v>200941</v>
      </c>
      <c r="F693" s="139"/>
      <c r="G693" s="132"/>
      <c r="I693" s="490" t="s">
        <v>1207</v>
      </c>
      <c r="K693" s="457">
        <v>168858</v>
      </c>
      <c r="L693" s="458"/>
    </row>
    <row r="694" spans="1:12">
      <c r="A694" s="525" t="s">
        <v>1545</v>
      </c>
      <c r="B694" s="136" t="str">
        <f t="shared" si="92"/>
        <v xml:space="preserve">Silla Tee de 400x160 </v>
      </c>
      <c r="C694" s="473" t="s">
        <v>622</v>
      </c>
      <c r="D694" s="392">
        <f t="shared" si="93"/>
        <v>168858</v>
      </c>
      <c r="E694" s="381">
        <f t="shared" si="94"/>
        <v>200941</v>
      </c>
      <c r="F694" s="139"/>
      <c r="G694" s="132"/>
      <c r="I694" s="490" t="s">
        <v>1208</v>
      </c>
      <c r="K694" s="457">
        <v>168858</v>
      </c>
      <c r="L694" s="458"/>
    </row>
    <row r="695" spans="1:12">
      <c r="A695" s="525" t="s">
        <v>1546</v>
      </c>
      <c r="B695" s="136" t="str">
        <f t="shared" si="92"/>
        <v xml:space="preserve">Silla Tee de 400x200 </v>
      </c>
      <c r="C695" s="473" t="s">
        <v>622</v>
      </c>
      <c r="D695" s="392">
        <f t="shared" si="93"/>
        <v>168858</v>
      </c>
      <c r="E695" s="381">
        <f t="shared" si="94"/>
        <v>200941</v>
      </c>
      <c r="F695" s="139"/>
      <c r="G695" s="132"/>
      <c r="I695" s="490" t="s">
        <v>1209</v>
      </c>
      <c r="K695" s="457">
        <v>168858</v>
      </c>
      <c r="L695" s="458"/>
    </row>
    <row r="696" spans="1:12">
      <c r="A696" s="525" t="s">
        <v>1547</v>
      </c>
      <c r="B696" s="136" t="str">
        <f t="shared" si="92"/>
        <v xml:space="preserve">Silla Tee de 400x250 </v>
      </c>
      <c r="C696" s="473" t="s">
        <v>622</v>
      </c>
      <c r="D696" s="392">
        <f t="shared" si="93"/>
        <v>168858</v>
      </c>
      <c r="E696" s="381">
        <f t="shared" si="94"/>
        <v>200941</v>
      </c>
      <c r="F696" s="139"/>
      <c r="G696" s="132"/>
      <c r="I696" s="490" t="s">
        <v>1210</v>
      </c>
      <c r="K696" s="457">
        <v>168858</v>
      </c>
      <c r="L696" s="458"/>
    </row>
    <row r="697" spans="1:12">
      <c r="A697" s="525" t="s">
        <v>1555</v>
      </c>
      <c r="B697" s="136" t="str">
        <f t="shared" si="92"/>
        <v xml:space="preserve">Silla Tee de 450x160 </v>
      </c>
      <c r="C697" s="473" t="s">
        <v>622</v>
      </c>
      <c r="D697" s="392">
        <f t="shared" si="93"/>
        <v>180615</v>
      </c>
      <c r="E697" s="381">
        <f t="shared" si="94"/>
        <v>214932</v>
      </c>
      <c r="F697" s="139"/>
      <c r="G697" s="132"/>
      <c r="I697" s="490" t="s">
        <v>1211</v>
      </c>
      <c r="K697" s="457">
        <v>180615</v>
      </c>
      <c r="L697" s="458"/>
    </row>
    <row r="698" spans="1:12">
      <c r="A698" s="525" t="s">
        <v>1548</v>
      </c>
      <c r="B698" s="136" t="str">
        <f t="shared" si="92"/>
        <v xml:space="preserve">Silla Tee de 450x200 </v>
      </c>
      <c r="C698" s="473" t="s">
        <v>622</v>
      </c>
      <c r="D698" s="392">
        <f t="shared" si="93"/>
        <v>175561</v>
      </c>
      <c r="E698" s="381">
        <f t="shared" si="94"/>
        <v>208918</v>
      </c>
      <c r="F698" s="139"/>
      <c r="G698" s="132"/>
      <c r="I698" s="490" t="s">
        <v>1212</v>
      </c>
      <c r="K698" s="457">
        <v>175561</v>
      </c>
      <c r="L698" s="458"/>
    </row>
    <row r="699" spans="1:12">
      <c r="A699" s="525" t="s">
        <v>1550</v>
      </c>
      <c r="B699" s="136" t="str">
        <f t="shared" si="92"/>
        <v xml:space="preserve">Silla Tee de 500x160 </v>
      </c>
      <c r="C699" s="473" t="s">
        <v>622</v>
      </c>
      <c r="D699" s="392">
        <f t="shared" si="93"/>
        <v>275529</v>
      </c>
      <c r="E699" s="381">
        <f t="shared" si="94"/>
        <v>327880</v>
      </c>
      <c r="F699" s="139"/>
      <c r="G699" s="132"/>
      <c r="I699" s="490" t="s">
        <v>1213</v>
      </c>
      <c r="K699" s="457">
        <v>275529</v>
      </c>
      <c r="L699" s="458"/>
    </row>
    <row r="700" spans="1:12">
      <c r="A700" s="525" t="s">
        <v>1549</v>
      </c>
      <c r="B700" s="136" t="str">
        <f t="shared" si="92"/>
        <v xml:space="preserve">Silla Tee de 500x200 </v>
      </c>
      <c r="C700" s="473" t="s">
        <v>622</v>
      </c>
      <c r="D700" s="392">
        <f t="shared" si="93"/>
        <v>357930</v>
      </c>
      <c r="E700" s="381">
        <f t="shared" si="94"/>
        <v>425937</v>
      </c>
      <c r="F700" s="139"/>
      <c r="G700" s="132"/>
      <c r="I700" s="490" t="s">
        <v>1214</v>
      </c>
      <c r="K700" s="457">
        <v>357930</v>
      </c>
      <c r="L700" s="458"/>
    </row>
    <row r="701" spans="1:12">
      <c r="A701" s="525" t="s">
        <v>1551</v>
      </c>
      <c r="B701" s="136" t="str">
        <f t="shared" si="92"/>
        <v xml:space="preserve">Silla Tee de 24"x160 </v>
      </c>
      <c r="C701" s="473" t="s">
        <v>622</v>
      </c>
      <c r="D701" s="392">
        <f t="shared" ref="D701:D712" si="95">+K701</f>
        <v>257629</v>
      </c>
      <c r="E701" s="381">
        <f t="shared" ref="E701:E712" si="96">ROUND(D701*(1+$E$39),0)</f>
        <v>306579</v>
      </c>
      <c r="F701" s="139"/>
      <c r="G701" s="132"/>
      <c r="I701" s="476" t="s">
        <v>1215</v>
      </c>
      <c r="K701" s="457">
        <v>257629</v>
      </c>
      <c r="L701" s="458"/>
    </row>
    <row r="702" spans="1:12">
      <c r="A702" s="525" t="s">
        <v>1556</v>
      </c>
      <c r="B702" s="136" t="str">
        <f t="shared" si="92"/>
        <v xml:space="preserve">Silla Tee de 24"x200 </v>
      </c>
      <c r="C702" s="473" t="s">
        <v>622</v>
      </c>
      <c r="D702" s="392">
        <f t="shared" si="95"/>
        <v>282087</v>
      </c>
      <c r="E702" s="381">
        <f t="shared" si="96"/>
        <v>335684</v>
      </c>
      <c r="F702" s="139"/>
      <c r="G702" s="132"/>
      <c r="I702" s="476" t="s">
        <v>1216</v>
      </c>
      <c r="K702" s="457">
        <v>282087</v>
      </c>
      <c r="L702" s="458"/>
    </row>
    <row r="703" spans="1:12">
      <c r="A703" s="525" t="s">
        <v>1552</v>
      </c>
      <c r="B703" s="136" t="str">
        <f t="shared" si="92"/>
        <v xml:space="preserve">Silla Tee de 27"x160 </v>
      </c>
      <c r="C703" s="473" t="s">
        <v>622</v>
      </c>
      <c r="D703" s="392">
        <f t="shared" si="95"/>
        <v>290056</v>
      </c>
      <c r="E703" s="381">
        <f t="shared" si="96"/>
        <v>345167</v>
      </c>
      <c r="F703" s="139"/>
      <c r="G703" s="132"/>
      <c r="I703" s="476" t="s">
        <v>1217</v>
      </c>
      <c r="K703" s="457">
        <v>290056</v>
      </c>
      <c r="L703" s="458"/>
    </row>
    <row r="704" spans="1:12">
      <c r="A704" s="525" t="s">
        <v>1557</v>
      </c>
      <c r="B704" s="136" t="str">
        <f t="shared" si="92"/>
        <v xml:space="preserve">Silla Tee de 27"x200 </v>
      </c>
      <c r="C704" s="473" t="s">
        <v>622</v>
      </c>
      <c r="D704" s="392">
        <f t="shared" si="95"/>
        <v>290056</v>
      </c>
      <c r="E704" s="381">
        <f t="shared" si="96"/>
        <v>345167</v>
      </c>
      <c r="F704" s="139"/>
      <c r="G704" s="132"/>
      <c r="I704" s="476" t="s">
        <v>1218</v>
      </c>
      <c r="K704" s="457">
        <v>290056</v>
      </c>
      <c r="L704" s="458"/>
    </row>
    <row r="705" spans="1:18">
      <c r="A705" s="525" t="s">
        <v>1553</v>
      </c>
      <c r="B705" s="136" t="str">
        <f t="shared" si="92"/>
        <v xml:space="preserve">Silla Tee de 30"x160 </v>
      </c>
      <c r="C705" s="473" t="s">
        <v>622</v>
      </c>
      <c r="D705" s="392">
        <f t="shared" si="95"/>
        <v>313261</v>
      </c>
      <c r="E705" s="381">
        <f t="shared" si="96"/>
        <v>372781</v>
      </c>
      <c r="F705" s="139"/>
      <c r="G705" s="132"/>
      <c r="I705" s="476" t="s">
        <v>1219</v>
      </c>
      <c r="K705" s="457">
        <v>313261</v>
      </c>
      <c r="L705" s="458"/>
    </row>
    <row r="706" spans="1:18">
      <c r="A706" s="525" t="s">
        <v>1558</v>
      </c>
      <c r="B706" s="136" t="str">
        <f t="shared" si="92"/>
        <v xml:space="preserve">Silla Tee de 30"x200 </v>
      </c>
      <c r="C706" s="473" t="s">
        <v>622</v>
      </c>
      <c r="D706" s="392">
        <f t="shared" si="95"/>
        <v>313261</v>
      </c>
      <c r="E706" s="381">
        <f t="shared" si="96"/>
        <v>372781</v>
      </c>
      <c r="F706" s="139"/>
      <c r="G706" s="132"/>
      <c r="I706" s="476" t="s">
        <v>1220</v>
      </c>
      <c r="K706" s="457">
        <v>313261</v>
      </c>
      <c r="L706" s="458"/>
    </row>
    <row r="707" spans="1:18">
      <c r="A707" s="525" t="s">
        <v>1554</v>
      </c>
      <c r="B707" s="136" t="str">
        <f t="shared" si="92"/>
        <v xml:space="preserve">Silla Tee de 33"x160 </v>
      </c>
      <c r="C707" s="473" t="s">
        <v>622</v>
      </c>
      <c r="D707" s="392">
        <f t="shared" si="95"/>
        <v>338321</v>
      </c>
      <c r="E707" s="381">
        <f t="shared" si="96"/>
        <v>402602</v>
      </c>
      <c r="F707" s="139"/>
      <c r="G707" s="132"/>
      <c r="I707" s="476" t="s">
        <v>1221</v>
      </c>
      <c r="K707" s="457">
        <v>338321</v>
      </c>
      <c r="L707" s="458"/>
    </row>
    <row r="708" spans="1:18">
      <c r="A708" s="525" t="s">
        <v>1559</v>
      </c>
      <c r="B708" s="136" t="str">
        <f t="shared" si="92"/>
        <v xml:space="preserve">Silla Tee de 33"x200 </v>
      </c>
      <c r="C708" s="473" t="s">
        <v>622</v>
      </c>
      <c r="D708" s="392">
        <f t="shared" si="95"/>
        <v>338321</v>
      </c>
      <c r="E708" s="381">
        <f t="shared" si="96"/>
        <v>402602</v>
      </c>
      <c r="F708" s="139"/>
      <c r="G708" s="132"/>
      <c r="I708" s="476" t="s">
        <v>1222</v>
      </c>
      <c r="K708" s="457">
        <v>338321</v>
      </c>
      <c r="L708" s="458"/>
    </row>
    <row r="709" spans="1:18">
      <c r="A709" s="525" t="s">
        <v>1560</v>
      </c>
      <c r="B709" s="136" t="str">
        <f t="shared" si="92"/>
        <v xml:space="preserve">Silla Tee de 36"160 </v>
      </c>
      <c r="C709" s="473" t="s">
        <v>622</v>
      </c>
      <c r="D709" s="392">
        <f t="shared" si="95"/>
        <v>365388</v>
      </c>
      <c r="E709" s="381">
        <f t="shared" si="96"/>
        <v>434812</v>
      </c>
      <c r="F709" s="139"/>
      <c r="G709" s="132"/>
      <c r="I709" s="476" t="s">
        <v>1223</v>
      </c>
      <c r="K709" s="457">
        <v>365388</v>
      </c>
      <c r="L709" s="458"/>
    </row>
    <row r="710" spans="1:18">
      <c r="A710" s="525" t="s">
        <v>1561</v>
      </c>
      <c r="B710" s="136" t="str">
        <f t="shared" si="92"/>
        <v xml:space="preserve">Silla Tee de 36"x200 </v>
      </c>
      <c r="C710" s="473" t="s">
        <v>622</v>
      </c>
      <c r="D710" s="392">
        <f t="shared" si="95"/>
        <v>365388</v>
      </c>
      <c r="E710" s="381">
        <f t="shared" si="96"/>
        <v>434812</v>
      </c>
      <c r="F710" s="139"/>
      <c r="G710" s="132"/>
      <c r="I710" s="476" t="s">
        <v>1224</v>
      </c>
      <c r="K710" s="457">
        <v>365388</v>
      </c>
      <c r="L710" s="458"/>
    </row>
    <row r="711" spans="1:18">
      <c r="A711" s="525" t="s">
        <v>1562</v>
      </c>
      <c r="B711" s="136" t="str">
        <f t="shared" si="92"/>
        <v xml:space="preserve">Silla Tee de 36"x250 </v>
      </c>
      <c r="C711" s="473" t="s">
        <v>622</v>
      </c>
      <c r="D711" s="392">
        <f t="shared" si="95"/>
        <v>365388</v>
      </c>
      <c r="E711" s="381">
        <f t="shared" si="96"/>
        <v>434812</v>
      </c>
      <c r="F711" s="139"/>
      <c r="G711" s="132"/>
      <c r="I711" s="476" t="s">
        <v>1225</v>
      </c>
      <c r="K711" s="457">
        <v>365388</v>
      </c>
      <c r="L711" s="458"/>
    </row>
    <row r="712" spans="1:18">
      <c r="A712" s="525" t="s">
        <v>1563</v>
      </c>
      <c r="B712" s="136" t="str">
        <f t="shared" si="92"/>
        <v xml:space="preserve">Silla Tee de 36"x315 </v>
      </c>
      <c r="C712" s="473" t="s">
        <v>622</v>
      </c>
      <c r="D712" s="392">
        <f t="shared" si="95"/>
        <v>365388</v>
      </c>
      <c r="E712" s="381">
        <f t="shared" si="96"/>
        <v>434812</v>
      </c>
      <c r="F712" s="139"/>
      <c r="G712" s="132"/>
      <c r="I712" s="477" t="s">
        <v>1226</v>
      </c>
      <c r="K712" s="457">
        <v>365388</v>
      </c>
      <c r="L712" s="458"/>
    </row>
    <row r="713" spans="1:18">
      <c r="A713" s="525"/>
      <c r="B713" s="136"/>
      <c r="C713" s="135"/>
      <c r="D713" s="392"/>
      <c r="E713" s="381"/>
      <c r="F713" s="139"/>
      <c r="G713" s="132"/>
      <c r="I713" s="487"/>
      <c r="K713" s="457"/>
      <c r="L713" s="458"/>
    </row>
    <row r="714" spans="1:18">
      <c r="A714" s="525"/>
      <c r="B714" s="1211" t="s">
        <v>2512</v>
      </c>
      <c r="C714" s="135"/>
      <c r="D714" s="392"/>
      <c r="E714" s="381"/>
      <c r="F714" s="139"/>
      <c r="G714" s="132"/>
      <c r="I714" s="487"/>
      <c r="K714" s="457"/>
      <c r="L714" s="458"/>
    </row>
    <row r="715" spans="1:18">
      <c r="A715" s="525" t="s">
        <v>2514</v>
      </c>
      <c r="B715" s="819" t="s">
        <v>2513</v>
      </c>
      <c r="C715" s="1212" t="s">
        <v>622</v>
      </c>
      <c r="D715" s="392"/>
      <c r="E715" s="381">
        <v>129603</v>
      </c>
      <c r="F715" s="139"/>
      <c r="G715" s="132"/>
      <c r="I715" s="487"/>
      <c r="K715" s="457"/>
      <c r="L715" s="458"/>
    </row>
    <row r="716" spans="1:18">
      <c r="A716" s="525"/>
      <c r="B716" s="483" t="s">
        <v>1227</v>
      </c>
      <c r="C716" s="505"/>
      <c r="D716" s="392"/>
      <c r="E716" s="381"/>
      <c r="F716" s="139"/>
      <c r="G716" s="132"/>
      <c r="I716" s="487"/>
      <c r="K716" s="457"/>
      <c r="L716" s="458"/>
    </row>
    <row r="717" spans="1:18" ht="14.25">
      <c r="A717" s="525" t="s">
        <v>1564</v>
      </c>
      <c r="B717" s="136" t="str">
        <f>+CONCATENATE($B$716," de ", I717," ")</f>
        <v xml:space="preserve">Silla Yee de 160x110 </v>
      </c>
      <c r="C717" s="473" t="s">
        <v>622</v>
      </c>
      <c r="D717" s="392"/>
      <c r="E717" s="1266">
        <v>113635</v>
      </c>
      <c r="F717" s="139"/>
      <c r="G717" s="132"/>
      <c r="I717" s="490" t="s">
        <v>1193</v>
      </c>
      <c r="K717" s="457">
        <v>51102.099903152914</v>
      </c>
      <c r="L717" s="458"/>
      <c r="Q717" s="617">
        <v>51102.099903152914</v>
      </c>
      <c r="R717" s="622">
        <v>56724.33</v>
      </c>
    </row>
    <row r="718" spans="1:18" ht="14.25">
      <c r="A718" s="525" t="s">
        <v>1565</v>
      </c>
      <c r="B718" s="136" t="str">
        <f t="shared" ref="B718:B736" si="97">+CONCATENATE($B$716," de ", I718," ")</f>
        <v xml:space="preserve">Silla Yee de 200x110 </v>
      </c>
      <c r="C718" s="473" t="s">
        <v>622</v>
      </c>
      <c r="D718" s="392"/>
      <c r="E718" s="1266">
        <v>139182</v>
      </c>
      <c r="F718" s="139"/>
      <c r="G718" s="132"/>
      <c r="I718" s="490" t="s">
        <v>1195</v>
      </c>
      <c r="K718" s="457">
        <v>62591.000017571299</v>
      </c>
      <c r="L718" s="458"/>
      <c r="Q718" s="615">
        <v>62591.000017571299</v>
      </c>
      <c r="R718" s="622">
        <v>69477.12000000001</v>
      </c>
    </row>
    <row r="719" spans="1:18" ht="14.25">
      <c r="A719" s="525" t="s">
        <v>1566</v>
      </c>
      <c r="B719" s="136" t="str">
        <f t="shared" si="97"/>
        <v xml:space="preserve">Silla Yee de 200x160 </v>
      </c>
      <c r="C719" s="473" t="s">
        <v>622</v>
      </c>
      <c r="D719" s="392"/>
      <c r="E719" s="1266">
        <f>+E718</f>
        <v>139182</v>
      </c>
      <c r="F719" s="139"/>
      <c r="G719" s="132"/>
      <c r="I719" s="490" t="s">
        <v>1196</v>
      </c>
      <c r="K719" s="457">
        <v>62591.000017571299</v>
      </c>
      <c r="L719" s="458"/>
      <c r="Q719" s="615">
        <v>62591.000017571299</v>
      </c>
      <c r="R719" s="622">
        <v>69477.12000000001</v>
      </c>
    </row>
    <row r="720" spans="1:18" ht="14.25">
      <c r="A720" s="525" t="s">
        <v>1567</v>
      </c>
      <c r="B720" s="136" t="str">
        <f t="shared" si="97"/>
        <v xml:space="preserve">Silla Yee de 250x110 </v>
      </c>
      <c r="C720" s="473" t="s">
        <v>622</v>
      </c>
      <c r="D720" s="392"/>
      <c r="E720" s="1266">
        <v>161391</v>
      </c>
      <c r="F720" s="139"/>
      <c r="G720" s="132"/>
      <c r="I720" s="490" t="s">
        <v>1197</v>
      </c>
      <c r="K720" s="457">
        <v>72577.800036368048</v>
      </c>
      <c r="L720" s="458"/>
      <c r="Q720" s="615">
        <v>72577.800036368048</v>
      </c>
      <c r="R720" s="622">
        <v>80561.58</v>
      </c>
    </row>
    <row r="721" spans="1:18" ht="14.25">
      <c r="A721" s="525" t="s">
        <v>1568</v>
      </c>
      <c r="B721" s="136" t="str">
        <f t="shared" si="97"/>
        <v xml:space="preserve">Silla Yee de 250x160 </v>
      </c>
      <c r="C721" s="473" t="s">
        <v>622</v>
      </c>
      <c r="D721" s="392"/>
      <c r="E721" s="1266">
        <f>+E720</f>
        <v>161391</v>
      </c>
      <c r="F721" s="139"/>
      <c r="G721" s="132"/>
      <c r="I721" s="490" t="s">
        <v>1198</v>
      </c>
      <c r="K721" s="457">
        <v>72577.800036368048</v>
      </c>
      <c r="L721" s="458"/>
      <c r="Q721" s="615">
        <v>72577.800036368048</v>
      </c>
      <c r="R721" s="622">
        <v>80561.58</v>
      </c>
    </row>
    <row r="722" spans="1:18" ht="14.25">
      <c r="A722" s="525" t="s">
        <v>1569</v>
      </c>
      <c r="B722" s="136" t="str">
        <f t="shared" si="97"/>
        <v xml:space="preserve">Silla Yee de 250x200 </v>
      </c>
      <c r="C722" s="473" t="s">
        <v>622</v>
      </c>
      <c r="D722" s="392"/>
      <c r="E722" s="1266">
        <v>239330</v>
      </c>
      <c r="F722" s="139"/>
      <c r="G722" s="132"/>
      <c r="I722" s="490" t="s">
        <v>1199</v>
      </c>
      <c r="K722" s="457">
        <v>107627.20001839343</v>
      </c>
      <c r="L722" s="458"/>
      <c r="Q722" s="615">
        <v>107627.20001839343</v>
      </c>
      <c r="R722" s="622">
        <v>119467.08000000002</v>
      </c>
    </row>
    <row r="723" spans="1:18" ht="14.25">
      <c r="A723" s="525" t="s">
        <v>1570</v>
      </c>
      <c r="B723" s="136" t="str">
        <f t="shared" si="97"/>
        <v xml:space="preserve">Silla Yee de 315x110 </v>
      </c>
      <c r="C723" s="473" t="s">
        <v>622</v>
      </c>
      <c r="D723" s="392"/>
      <c r="E723" s="1266">
        <v>250214</v>
      </c>
      <c r="F723" s="139"/>
      <c r="G723" s="132"/>
      <c r="I723" s="490" t="s">
        <v>1200</v>
      </c>
      <c r="K723" s="457">
        <v>112521.10001857083</v>
      </c>
      <c r="L723" s="458"/>
      <c r="Q723" s="615">
        <v>112521.10001857083</v>
      </c>
      <c r="R723" s="622">
        <v>124899.42000000001</v>
      </c>
    </row>
    <row r="724" spans="1:18" ht="14.25">
      <c r="A724" s="525" t="s">
        <v>1571</v>
      </c>
      <c r="B724" s="136" t="str">
        <f t="shared" si="97"/>
        <v xml:space="preserve">Silla Yee de 315x160 </v>
      </c>
      <c r="C724" s="473" t="s">
        <v>622</v>
      </c>
      <c r="D724" s="392"/>
      <c r="E724" s="1266">
        <f>+E723</f>
        <v>250214</v>
      </c>
      <c r="F724" s="139"/>
      <c r="G724" s="132"/>
      <c r="I724" s="490" t="s">
        <v>1201</v>
      </c>
      <c r="K724" s="457">
        <v>112370.40015247626</v>
      </c>
      <c r="L724" s="458"/>
      <c r="Q724" s="615">
        <v>112370.40015247626</v>
      </c>
      <c r="R724" s="622">
        <v>124731.81000000001</v>
      </c>
    </row>
    <row r="725" spans="1:18" ht="14.25">
      <c r="A725" s="525" t="s">
        <v>1572</v>
      </c>
      <c r="B725" s="136" t="str">
        <f t="shared" si="97"/>
        <v xml:space="preserve">Silla Yee de 315x200 </v>
      </c>
      <c r="C725" s="473" t="s">
        <v>622</v>
      </c>
      <c r="D725" s="392"/>
      <c r="E725" s="1266">
        <v>338254</v>
      </c>
      <c r="F725" s="139"/>
      <c r="G725" s="132"/>
      <c r="I725" s="490" t="s">
        <v>1202</v>
      </c>
      <c r="K725" s="457">
        <v>152112.30001952121</v>
      </c>
      <c r="L725" s="458"/>
      <c r="Q725" s="615">
        <v>152112.30001952121</v>
      </c>
      <c r="R725" s="622">
        <v>168845.43000000002</v>
      </c>
    </row>
    <row r="726" spans="1:18" ht="14.25">
      <c r="A726" s="525" t="s">
        <v>1573</v>
      </c>
      <c r="B726" s="136" t="str">
        <f t="shared" si="97"/>
        <v xml:space="preserve">Silla Yee de 355x110 </v>
      </c>
      <c r="C726" s="473" t="s">
        <v>622</v>
      </c>
      <c r="D726" s="392"/>
      <c r="E726" s="1266">
        <v>376704</v>
      </c>
      <c r="F726" s="139"/>
      <c r="G726" s="132"/>
      <c r="I726" s="490" t="s">
        <v>1204</v>
      </c>
      <c r="K726" s="457">
        <v>169404.1000564814</v>
      </c>
      <c r="L726" s="458"/>
      <c r="Q726" s="615">
        <v>169404.1000564814</v>
      </c>
      <c r="R726" s="622">
        <v>188039.55000000002</v>
      </c>
    </row>
    <row r="727" spans="1:18" ht="14.25">
      <c r="A727" s="525" t="s">
        <v>1574</v>
      </c>
      <c r="B727" s="136" t="str">
        <f t="shared" si="97"/>
        <v xml:space="preserve">Silla Yee de 355x160 </v>
      </c>
      <c r="C727" s="473" t="s">
        <v>622</v>
      </c>
      <c r="D727" s="392"/>
      <c r="E727" s="1266">
        <f>+E726</f>
        <v>376704</v>
      </c>
      <c r="F727" s="139"/>
      <c r="G727" s="132"/>
      <c r="I727" s="490" t="s">
        <v>1205</v>
      </c>
      <c r="K727" s="457">
        <v>169404.1000564814</v>
      </c>
      <c r="L727" s="458"/>
      <c r="Q727" s="615">
        <v>169404.1000564814</v>
      </c>
      <c r="R727" s="622">
        <v>188039.55000000002</v>
      </c>
    </row>
    <row r="728" spans="1:18" ht="14.25">
      <c r="A728" s="525" t="s">
        <v>1575</v>
      </c>
      <c r="B728" s="136" t="str">
        <f t="shared" si="97"/>
        <v xml:space="preserve">Silla Yee de 355x200 </v>
      </c>
      <c r="C728" s="473" t="s">
        <v>622</v>
      </c>
      <c r="D728" s="392"/>
      <c r="E728" s="1266">
        <v>376702</v>
      </c>
      <c r="F728" s="139"/>
      <c r="G728" s="132"/>
      <c r="I728" s="490" t="s">
        <v>1206</v>
      </c>
      <c r="K728" s="457">
        <v>169400.90026163225</v>
      </c>
      <c r="L728" s="458"/>
      <c r="Q728" s="615">
        <v>169400.90026163225</v>
      </c>
      <c r="R728" s="622">
        <v>188035.11000000002</v>
      </c>
    </row>
    <row r="729" spans="1:18" ht="14.25">
      <c r="A729" s="525" t="s">
        <v>1576</v>
      </c>
      <c r="B729" s="136" t="str">
        <f t="shared" si="97"/>
        <v xml:space="preserve">Silla Yee de 400x110 </v>
      </c>
      <c r="C729" s="473" t="s">
        <v>622</v>
      </c>
      <c r="D729" s="392"/>
      <c r="E729" s="1266">
        <v>413044</v>
      </c>
      <c r="F729" s="139"/>
      <c r="G729" s="132"/>
      <c r="I729" s="490" t="s">
        <v>1207</v>
      </c>
      <c r="K729" s="457">
        <v>185744.70003907822</v>
      </c>
      <c r="L729" s="458"/>
      <c r="Q729" s="615">
        <v>185744.70003907822</v>
      </c>
      <c r="R729" s="622">
        <v>206176.95</v>
      </c>
    </row>
    <row r="730" spans="1:18" ht="14.25">
      <c r="A730" s="525" t="s">
        <v>815</v>
      </c>
      <c r="B730" s="136" t="str">
        <f t="shared" si="97"/>
        <v xml:space="preserve">Silla Yee de 400x160 </v>
      </c>
      <c r="C730" s="473" t="s">
        <v>622</v>
      </c>
      <c r="D730" s="392"/>
      <c r="E730" s="1266">
        <f>+E729</f>
        <v>413044</v>
      </c>
      <c r="F730" s="139"/>
      <c r="G730" s="132"/>
      <c r="I730" s="490" t="s">
        <v>1208</v>
      </c>
      <c r="K730" s="457">
        <v>185744.70003907822</v>
      </c>
      <c r="L730" s="458"/>
      <c r="Q730" s="615">
        <v>185744.70003907822</v>
      </c>
      <c r="R730" s="622">
        <v>206176.95</v>
      </c>
    </row>
    <row r="731" spans="1:18" ht="14.25">
      <c r="A731" s="525" t="s">
        <v>1577</v>
      </c>
      <c r="B731" s="136" t="str">
        <f t="shared" si="97"/>
        <v xml:space="preserve">Silla Yee de 400x200 </v>
      </c>
      <c r="C731" s="473" t="s">
        <v>622</v>
      </c>
      <c r="D731" s="392"/>
      <c r="E731" s="1266">
        <f>+E730</f>
        <v>413044</v>
      </c>
      <c r="F731" s="139"/>
      <c r="G731" s="132"/>
      <c r="I731" s="490" t="s">
        <v>1209</v>
      </c>
      <c r="K731" s="457">
        <v>185745.80003789405</v>
      </c>
      <c r="L731" s="458"/>
      <c r="Q731" s="615">
        <v>185745.80003789405</v>
      </c>
      <c r="R731" s="622">
        <v>206178.06000000003</v>
      </c>
    </row>
    <row r="732" spans="1:18" ht="14.25">
      <c r="A732" s="525" t="s">
        <v>1578</v>
      </c>
      <c r="B732" s="136" t="str">
        <f t="shared" si="97"/>
        <v xml:space="preserve">Silla Yee de 400x250 </v>
      </c>
      <c r="C732" s="473" t="s">
        <v>622</v>
      </c>
      <c r="D732" s="392"/>
      <c r="E732" s="1266">
        <f>+E731</f>
        <v>413044</v>
      </c>
      <c r="F732" s="139"/>
      <c r="G732" s="132"/>
      <c r="I732" s="490" t="s">
        <v>1210</v>
      </c>
      <c r="K732" s="457">
        <v>185744.70003907822</v>
      </c>
      <c r="L732" s="458"/>
      <c r="Q732" s="615">
        <v>185744.70003907822</v>
      </c>
      <c r="R732" s="622">
        <v>206176.95</v>
      </c>
    </row>
    <row r="733" spans="1:18" ht="14.25">
      <c r="A733" s="525" t="s">
        <v>816</v>
      </c>
      <c r="B733" s="136" t="str">
        <f t="shared" si="97"/>
        <v xml:space="preserve">Silla Yee de 450x160 </v>
      </c>
      <c r="C733" s="473" t="s">
        <v>622</v>
      </c>
      <c r="D733" s="392"/>
      <c r="E733" s="381"/>
      <c r="F733" s="139"/>
      <c r="G733" s="132"/>
      <c r="I733" s="490" t="s">
        <v>1211</v>
      </c>
      <c r="K733" s="457">
        <v>198676.50000000003</v>
      </c>
      <c r="L733" s="458"/>
      <c r="Q733" s="615">
        <v>198676.50000000003</v>
      </c>
      <c r="R733" s="622">
        <v>220531.47000000003</v>
      </c>
    </row>
    <row r="734" spans="1:18" ht="14.25">
      <c r="A734" s="525" t="s">
        <v>1579</v>
      </c>
      <c r="B734" s="136" t="str">
        <f t="shared" si="97"/>
        <v xml:space="preserve">Silla Yee de 450x200 </v>
      </c>
      <c r="C734" s="473" t="s">
        <v>622</v>
      </c>
      <c r="D734" s="392"/>
      <c r="E734" s="381"/>
      <c r="F734" s="139"/>
      <c r="G734" s="132"/>
      <c r="I734" s="490" t="s">
        <v>1212</v>
      </c>
      <c r="K734" s="457">
        <v>198681.10032106281</v>
      </c>
      <c r="L734" s="458"/>
      <c r="Q734" s="615">
        <v>198681.10032106281</v>
      </c>
      <c r="R734" s="622">
        <v>220537.02000000002</v>
      </c>
    </row>
    <row r="735" spans="1:18" ht="14.25">
      <c r="A735" s="525" t="s">
        <v>817</v>
      </c>
      <c r="B735" s="136" t="str">
        <f t="shared" si="97"/>
        <v xml:space="preserve">Silla Yee de 500x160 </v>
      </c>
      <c r="C735" s="473" t="s">
        <v>622</v>
      </c>
      <c r="D735" s="392"/>
      <c r="E735" s="381"/>
      <c r="F735" s="139"/>
      <c r="G735" s="132"/>
      <c r="I735" s="490" t="s">
        <v>1213</v>
      </c>
      <c r="K735" s="457">
        <v>303081.50007983047</v>
      </c>
      <c r="L735" s="458"/>
      <c r="Q735" s="615">
        <v>303081.50007983047</v>
      </c>
      <c r="R735" s="622">
        <v>336421.02</v>
      </c>
    </row>
    <row r="736" spans="1:18" ht="14.25">
      <c r="A736" s="525" t="s">
        <v>1583</v>
      </c>
      <c r="B736" s="136" t="str">
        <f t="shared" si="97"/>
        <v xml:space="preserve">Silla Yee de 500x200 </v>
      </c>
      <c r="C736" s="473" t="s">
        <v>622</v>
      </c>
      <c r="D736" s="392"/>
      <c r="E736" s="381"/>
      <c r="F736" s="139"/>
      <c r="G736" s="132"/>
      <c r="I736" s="490" t="s">
        <v>1214</v>
      </c>
      <c r="K736" s="457">
        <v>303085.59992162156</v>
      </c>
      <c r="L736" s="458"/>
      <c r="Q736" s="616">
        <v>303085.59992162156</v>
      </c>
      <c r="R736" s="622">
        <v>336425.46</v>
      </c>
    </row>
    <row r="737" spans="1:19">
      <c r="A737" s="525" t="s">
        <v>1580</v>
      </c>
      <c r="B737" s="136" t="str">
        <f t="shared" ref="B737:B746" si="98">+CONCATENATE($B$716," de ", I737," ")</f>
        <v xml:space="preserve">Silla Yee de 24"x160 </v>
      </c>
      <c r="C737" s="473" t="s">
        <v>622</v>
      </c>
      <c r="D737" s="392"/>
      <c r="E737" s="381"/>
      <c r="F737" s="139"/>
      <c r="G737" s="132"/>
      <c r="I737" s="476" t="s">
        <v>1215</v>
      </c>
      <c r="K737" s="457">
        <v>226152</v>
      </c>
      <c r="L737" s="458"/>
    </row>
    <row r="738" spans="1:19">
      <c r="A738" s="525" t="s">
        <v>1584</v>
      </c>
      <c r="B738" s="136" t="str">
        <f t="shared" si="98"/>
        <v xml:space="preserve">Silla Yee de 24"x200 </v>
      </c>
      <c r="C738" s="473" t="s">
        <v>622</v>
      </c>
      <c r="D738" s="392"/>
      <c r="E738" s="381"/>
      <c r="F738" s="139"/>
      <c r="G738" s="132"/>
      <c r="I738" s="476" t="s">
        <v>1216</v>
      </c>
      <c r="K738" s="457">
        <v>279893</v>
      </c>
      <c r="L738" s="458"/>
    </row>
    <row r="739" spans="1:19">
      <c r="A739" s="525" t="s">
        <v>1581</v>
      </c>
      <c r="B739" s="136" t="str">
        <f t="shared" si="98"/>
        <v xml:space="preserve">Silla Yee de 27"x160 </v>
      </c>
      <c r="C739" s="473" t="s">
        <v>622</v>
      </c>
      <c r="D739" s="392"/>
      <c r="E739" s="381"/>
      <c r="F739" s="139"/>
      <c r="G739" s="132"/>
      <c r="I739" s="476" t="s">
        <v>1217</v>
      </c>
      <c r="K739" s="457">
        <v>280720</v>
      </c>
      <c r="L739" s="458"/>
    </row>
    <row r="740" spans="1:19">
      <c r="A740" s="525" t="s">
        <v>1585</v>
      </c>
      <c r="B740" s="136" t="str">
        <f t="shared" si="98"/>
        <v xml:space="preserve">Silla Yee de 27"x200 </v>
      </c>
      <c r="C740" s="473" t="s">
        <v>622</v>
      </c>
      <c r="D740" s="392"/>
      <c r="E740" s="381"/>
      <c r="F740" s="139"/>
      <c r="G740" s="132"/>
      <c r="I740" s="476" t="s">
        <v>1218</v>
      </c>
      <c r="K740" s="457">
        <v>281543</v>
      </c>
      <c r="L740" s="458"/>
    </row>
    <row r="741" spans="1:19">
      <c r="A741" s="525" t="s">
        <v>1586</v>
      </c>
      <c r="B741" s="136" t="str">
        <f t="shared" si="98"/>
        <v xml:space="preserve">Silla Yee de 30"x160 </v>
      </c>
      <c r="C741" s="473" t="s">
        <v>622</v>
      </c>
      <c r="D741" s="392"/>
      <c r="E741" s="381"/>
      <c r="F741" s="139"/>
      <c r="G741" s="132"/>
      <c r="I741" s="476" t="s">
        <v>1219</v>
      </c>
      <c r="K741" s="457">
        <v>293110</v>
      </c>
      <c r="L741" s="458"/>
    </row>
    <row r="742" spans="1:19">
      <c r="A742" s="525" t="s">
        <v>1587</v>
      </c>
      <c r="B742" s="136" t="str">
        <f t="shared" si="98"/>
        <v xml:space="preserve">Silla Yee de 30"x200 </v>
      </c>
      <c r="C742" s="473" t="s">
        <v>622</v>
      </c>
      <c r="D742" s="392"/>
      <c r="E742" s="381"/>
      <c r="F742" s="139"/>
      <c r="G742" s="132"/>
      <c r="I742" s="476" t="s">
        <v>1220</v>
      </c>
      <c r="K742" s="457">
        <v>446758</v>
      </c>
      <c r="L742" s="458"/>
    </row>
    <row r="743" spans="1:19">
      <c r="A743" s="525" t="s">
        <v>1582</v>
      </c>
      <c r="B743" s="136" t="str">
        <f t="shared" si="98"/>
        <v xml:space="preserve">Silla Yee de 33"x160 </v>
      </c>
      <c r="C743" s="473" t="s">
        <v>622</v>
      </c>
      <c r="D743" s="392"/>
      <c r="E743" s="381"/>
      <c r="F743" s="139"/>
      <c r="G743" s="132"/>
      <c r="I743" s="476" t="s">
        <v>1221</v>
      </c>
      <c r="K743" s="457">
        <v>305464</v>
      </c>
      <c r="L743" s="458"/>
    </row>
    <row r="744" spans="1:19">
      <c r="A744" s="525" t="s">
        <v>1588</v>
      </c>
      <c r="B744" s="136" t="str">
        <f t="shared" si="98"/>
        <v xml:space="preserve">Silla Yee de 33"x200 </v>
      </c>
      <c r="C744" s="473" t="s">
        <v>622</v>
      </c>
      <c r="D744" s="392"/>
      <c r="E744" s="381"/>
      <c r="F744" s="139"/>
      <c r="G744" s="132"/>
      <c r="I744" s="476" t="s">
        <v>1222</v>
      </c>
      <c r="K744" s="457">
        <v>314892</v>
      </c>
      <c r="L744" s="458"/>
    </row>
    <row r="745" spans="1:19">
      <c r="A745" s="525" t="s">
        <v>1589</v>
      </c>
      <c r="B745" s="136" t="str">
        <f t="shared" si="98"/>
        <v xml:space="preserve">Silla Yee de 36"160 </v>
      </c>
      <c r="C745" s="473" t="s">
        <v>622</v>
      </c>
      <c r="D745" s="392"/>
      <c r="E745" s="381"/>
      <c r="F745" s="139"/>
      <c r="G745" s="132"/>
      <c r="I745" s="476" t="s">
        <v>1223</v>
      </c>
      <c r="K745" s="457">
        <v>329895</v>
      </c>
      <c r="L745" s="458"/>
    </row>
    <row r="746" spans="1:19">
      <c r="A746" s="525" t="s">
        <v>1590</v>
      </c>
      <c r="B746" s="136" t="str">
        <f t="shared" si="98"/>
        <v xml:space="preserve">Silla Yee de 36"x200 </v>
      </c>
      <c r="C746" s="473" t="s">
        <v>622</v>
      </c>
      <c r="D746" s="392"/>
      <c r="E746" s="381"/>
      <c r="F746" s="139"/>
      <c r="G746" s="132"/>
      <c r="I746" s="476" t="s">
        <v>1224</v>
      </c>
      <c r="K746" s="457">
        <v>333785</v>
      </c>
      <c r="L746" s="458"/>
    </row>
    <row r="747" spans="1:19">
      <c r="A747" s="525"/>
      <c r="B747" s="136"/>
      <c r="C747" s="135"/>
      <c r="D747" s="392"/>
      <c r="E747" s="381"/>
      <c r="F747" s="139"/>
      <c r="G747" s="132"/>
      <c r="I747" s="487"/>
      <c r="K747" s="457"/>
      <c r="L747" s="458"/>
    </row>
    <row r="748" spans="1:19">
      <c r="A748" s="525"/>
      <c r="B748" s="483" t="s">
        <v>1591</v>
      </c>
      <c r="C748" s="505"/>
      <c r="D748" s="392"/>
      <c r="E748" s="381"/>
      <c r="F748" s="139"/>
      <c r="G748" s="132"/>
      <c r="I748" s="487"/>
      <c r="K748" s="457"/>
      <c r="L748" s="458"/>
    </row>
    <row r="749" spans="1:19">
      <c r="A749" s="525" t="s">
        <v>1592</v>
      </c>
      <c r="B749" s="136" t="str">
        <f>+CONCATENATE($B$748," de ", I749," ")</f>
        <v xml:space="preserve">Kit Silla Yee de 160x110 </v>
      </c>
      <c r="C749" s="473" t="s">
        <v>622</v>
      </c>
      <c r="D749" s="392"/>
      <c r="E749" s="1266">
        <v>188516</v>
      </c>
      <c r="F749" s="139"/>
      <c r="G749" s="132"/>
      <c r="I749" s="490" t="s">
        <v>1193</v>
      </c>
      <c r="K749" s="457">
        <v>71534</v>
      </c>
      <c r="L749" s="458"/>
      <c r="Q749" s="584">
        <v>78687.028799750915</v>
      </c>
      <c r="R749" s="619">
        <v>87343.680000000008</v>
      </c>
      <c r="S749" s="820">
        <v>155400</v>
      </c>
    </row>
    <row r="750" spans="1:19">
      <c r="A750" s="525" t="s">
        <v>1593</v>
      </c>
      <c r="B750" s="136" t="str">
        <f t="shared" ref="B750:B755" si="99">+CONCATENATE($B$748," de ", I750," ")</f>
        <v xml:space="preserve">Kit Silla Yee de 200x110 </v>
      </c>
      <c r="C750" s="473" t="s">
        <v>622</v>
      </c>
      <c r="D750" s="392"/>
      <c r="E750" s="1266">
        <v>217902</v>
      </c>
      <c r="F750" s="139"/>
      <c r="G750" s="132"/>
      <c r="I750" s="490" t="s">
        <v>1195</v>
      </c>
      <c r="K750" s="457">
        <v>82682</v>
      </c>
      <c r="L750" s="458"/>
      <c r="Q750" s="584">
        <v>90950.385597880988</v>
      </c>
      <c r="R750" s="619">
        <v>100955.61000000002</v>
      </c>
      <c r="S750" s="820">
        <v>179500</v>
      </c>
    </row>
    <row r="751" spans="1:19">
      <c r="A751" s="525" t="s">
        <v>812</v>
      </c>
      <c r="B751" s="136" t="str">
        <f t="shared" si="99"/>
        <v xml:space="preserve">Kit Silla Yee de 200x160 </v>
      </c>
      <c r="C751" s="473" t="s">
        <v>622</v>
      </c>
      <c r="D751" s="392"/>
      <c r="E751" s="1266">
        <f>+E750</f>
        <v>217902</v>
      </c>
      <c r="F751" s="139"/>
      <c r="G751" s="132"/>
      <c r="I751" s="490" t="s">
        <v>1196</v>
      </c>
      <c r="K751" s="457">
        <v>82682</v>
      </c>
      <c r="L751" s="458"/>
      <c r="Q751" s="584">
        <v>90950.385597880988</v>
      </c>
      <c r="R751" s="619">
        <v>100955.61000000002</v>
      </c>
      <c r="S751" s="820">
        <v>179500</v>
      </c>
    </row>
    <row r="752" spans="1:19">
      <c r="A752" s="525" t="s">
        <v>813</v>
      </c>
      <c r="B752" s="136" t="str">
        <f t="shared" si="99"/>
        <v xml:space="preserve">Kit Silla Yee de 250x160 </v>
      </c>
      <c r="C752" s="473" t="s">
        <v>622</v>
      </c>
      <c r="D752" s="392"/>
      <c r="E752" s="1266">
        <v>246331</v>
      </c>
      <c r="F752" s="139"/>
      <c r="G752" s="132"/>
      <c r="I752" s="490" t="s">
        <v>1198</v>
      </c>
      <c r="K752" s="457">
        <v>93471</v>
      </c>
      <c r="L752" s="458"/>
      <c r="Q752" s="584">
        <v>102817.72880346293</v>
      </c>
      <c r="R752" s="619">
        <v>114127.98000000001</v>
      </c>
      <c r="S752" s="820">
        <v>204100</v>
      </c>
    </row>
    <row r="753" spans="1:19">
      <c r="A753" s="525" t="s">
        <v>1594</v>
      </c>
      <c r="B753" s="136" t="str">
        <f t="shared" si="99"/>
        <v xml:space="preserve">Kit Silla Yee de 250x110 </v>
      </c>
      <c r="C753" s="473" t="s">
        <v>622</v>
      </c>
      <c r="D753" s="392"/>
      <c r="E753" s="1266">
        <f>+E752</f>
        <v>246331</v>
      </c>
      <c r="F753" s="139"/>
      <c r="G753" s="132"/>
      <c r="I753" s="490" t="s">
        <v>1197</v>
      </c>
      <c r="K753" s="457">
        <v>140547</v>
      </c>
      <c r="L753" s="458"/>
      <c r="Q753" s="584">
        <v>102817.72880346293</v>
      </c>
      <c r="R753" s="619">
        <v>114127.98000000001</v>
      </c>
      <c r="S753" s="820">
        <v>204100</v>
      </c>
    </row>
    <row r="754" spans="1:19">
      <c r="A754" s="525" t="s">
        <v>1595</v>
      </c>
      <c r="B754" s="136" t="str">
        <f t="shared" si="99"/>
        <v xml:space="preserve">Kit Silla Yee de 315x110 </v>
      </c>
      <c r="C754" s="473" t="s">
        <v>622</v>
      </c>
      <c r="D754" s="392"/>
      <c r="E754" s="1266">
        <v>370391</v>
      </c>
      <c r="F754" s="139"/>
      <c r="G754" s="132"/>
      <c r="I754" s="490" t="s">
        <v>1200</v>
      </c>
      <c r="K754" s="457">
        <v>93471</v>
      </c>
      <c r="L754" s="458"/>
      <c r="Q754" s="584">
        <v>154601.60719968835</v>
      </c>
      <c r="R754" s="619">
        <v>171608.22</v>
      </c>
      <c r="S754" s="820">
        <v>305500</v>
      </c>
    </row>
    <row r="755" spans="1:19">
      <c r="A755" s="525" t="s">
        <v>814</v>
      </c>
      <c r="B755" s="136" t="str">
        <f t="shared" si="99"/>
        <v xml:space="preserve">Kit Silla Yee de 315x160 </v>
      </c>
      <c r="C755" s="473" t="s">
        <v>622</v>
      </c>
      <c r="D755" s="392"/>
      <c r="E755" s="1266">
        <f>+E754</f>
        <v>370391</v>
      </c>
      <c r="F755" s="139"/>
      <c r="G755" s="132"/>
      <c r="I755" s="490" t="s">
        <v>1201</v>
      </c>
      <c r="K755" s="457">
        <v>140547</v>
      </c>
      <c r="L755" s="458"/>
      <c r="Q755" s="584">
        <v>154601.60719968835</v>
      </c>
      <c r="R755" s="619">
        <v>171608.22</v>
      </c>
      <c r="S755" s="820">
        <v>305500</v>
      </c>
    </row>
    <row r="756" spans="1:19">
      <c r="A756" s="525"/>
      <c r="B756" s="136"/>
      <c r="C756" s="135"/>
      <c r="D756" s="392"/>
      <c r="E756" s="381"/>
      <c r="F756" s="139"/>
      <c r="G756" s="132"/>
      <c r="I756" s="487"/>
      <c r="K756" s="457"/>
      <c r="L756" s="458"/>
    </row>
    <row r="757" spans="1:19">
      <c r="A757" s="526" t="s">
        <v>1228</v>
      </c>
      <c r="B757" s="467"/>
      <c r="C757" s="468"/>
      <c r="D757" s="469"/>
      <c r="E757" s="470"/>
      <c r="F757" s="471"/>
      <c r="G757" s="472"/>
      <c r="H757" s="482"/>
      <c r="I757" s="482"/>
      <c r="K757" s="457"/>
      <c r="L757" s="458"/>
    </row>
    <row r="758" spans="1:19">
      <c r="A758" s="525" t="s">
        <v>1596</v>
      </c>
      <c r="B758" s="136" t="s">
        <v>1229</v>
      </c>
      <c r="C758" s="473" t="s">
        <v>622</v>
      </c>
      <c r="D758" s="392">
        <f>+K758</f>
        <v>1582</v>
      </c>
      <c r="E758" s="381">
        <f t="shared" ref="E758:E763" si="100">ROUND(D758*(1+$E$39),0)</f>
        <v>1883</v>
      </c>
      <c r="F758" s="139"/>
      <c r="G758" s="132"/>
      <c r="I758" s="487"/>
      <c r="K758" s="457">
        <v>1582</v>
      </c>
      <c r="L758" s="458"/>
    </row>
    <row r="759" spans="1:19">
      <c r="A759" s="525" t="s">
        <v>1597</v>
      </c>
      <c r="B759" s="136" t="s">
        <v>1230</v>
      </c>
      <c r="C759" s="473" t="s">
        <v>622</v>
      </c>
      <c r="D759" s="392">
        <f>+K759</f>
        <v>1616</v>
      </c>
      <c r="E759" s="381">
        <f t="shared" si="100"/>
        <v>1923</v>
      </c>
      <c r="F759" s="139"/>
      <c r="G759" s="132"/>
      <c r="I759" s="487"/>
      <c r="K759" s="457">
        <v>1616</v>
      </c>
      <c r="L759" s="458"/>
    </row>
    <row r="760" spans="1:19">
      <c r="A760" s="525" t="s">
        <v>979</v>
      </c>
      <c r="B760" s="136" t="s">
        <v>1231</v>
      </c>
      <c r="C760" s="473" t="s">
        <v>622</v>
      </c>
      <c r="D760" s="392">
        <f>+K760</f>
        <v>2778</v>
      </c>
      <c r="E760" s="381">
        <f t="shared" si="100"/>
        <v>3306</v>
      </c>
      <c r="F760" s="139"/>
      <c r="G760" s="132"/>
      <c r="I760" s="487"/>
      <c r="K760" s="457">
        <v>2778</v>
      </c>
      <c r="L760" s="458"/>
    </row>
    <row r="761" spans="1:19">
      <c r="A761" s="525" t="s">
        <v>980</v>
      </c>
      <c r="B761" s="136" t="s">
        <v>1232</v>
      </c>
      <c r="C761" s="473" t="s">
        <v>622</v>
      </c>
      <c r="D761" s="392">
        <f>+K761</f>
        <v>10515</v>
      </c>
      <c r="E761" s="381">
        <f t="shared" si="100"/>
        <v>12513</v>
      </c>
      <c r="F761" s="139"/>
      <c r="G761" s="132"/>
      <c r="I761" s="487"/>
      <c r="K761" s="457">
        <v>10515</v>
      </c>
      <c r="L761" s="458"/>
    </row>
    <row r="762" spans="1:19">
      <c r="A762" s="525" t="s">
        <v>1598</v>
      </c>
      <c r="B762" s="136" t="s">
        <v>1233</v>
      </c>
      <c r="C762" s="473" t="s">
        <v>998</v>
      </c>
      <c r="D762" s="392">
        <f>ROUND(K762/90,0)</f>
        <v>1607</v>
      </c>
      <c r="E762" s="381">
        <f t="shared" si="100"/>
        <v>1912</v>
      </c>
      <c r="F762" s="139"/>
      <c r="G762" s="132"/>
      <c r="I762" s="487"/>
      <c r="K762" s="457">
        <v>144630</v>
      </c>
      <c r="L762" s="458"/>
    </row>
    <row r="763" spans="1:19">
      <c r="A763" s="525" t="s">
        <v>1599</v>
      </c>
      <c r="B763" s="136" t="s">
        <v>1234</v>
      </c>
      <c r="C763" s="473" t="s">
        <v>998</v>
      </c>
      <c r="D763" s="392">
        <f>ROUND(K763/90,0)</f>
        <v>3161</v>
      </c>
      <c r="E763" s="381">
        <f t="shared" si="100"/>
        <v>3762</v>
      </c>
      <c r="F763" s="139"/>
      <c r="G763" s="132"/>
      <c r="I763" s="487"/>
      <c r="K763" s="457">
        <v>284490</v>
      </c>
      <c r="L763" s="458"/>
    </row>
    <row r="764" spans="1:19">
      <c r="A764" s="525"/>
      <c r="B764" s="136"/>
      <c r="C764" s="473"/>
      <c r="D764" s="392"/>
      <c r="E764" s="381"/>
      <c r="F764" s="139"/>
      <c r="G764" s="132"/>
      <c r="I764" s="487"/>
      <c r="K764" s="457"/>
      <c r="L764" s="458"/>
    </row>
    <row r="765" spans="1:19">
      <c r="A765" s="525"/>
      <c r="B765" s="136"/>
      <c r="C765" s="473"/>
      <c r="D765" s="392"/>
      <c r="E765" s="381"/>
      <c r="F765" s="139"/>
      <c r="G765" s="132"/>
      <c r="I765" s="487"/>
      <c r="K765" s="457"/>
      <c r="L765" s="458"/>
    </row>
    <row r="766" spans="1:19">
      <c r="A766" s="525"/>
      <c r="B766" s="136"/>
      <c r="C766" s="135"/>
      <c r="D766" s="392"/>
      <c r="E766" s="381"/>
      <c r="F766" s="139"/>
      <c r="G766" s="132"/>
      <c r="I766" s="487"/>
      <c r="K766" s="457"/>
      <c r="L766" s="458"/>
    </row>
    <row r="767" spans="1:19">
      <c r="A767" s="525"/>
      <c r="B767" s="136"/>
      <c r="C767" s="135"/>
      <c r="D767" s="392"/>
      <c r="E767" s="381"/>
      <c r="F767" s="139"/>
      <c r="G767" s="132"/>
      <c r="I767" s="487"/>
      <c r="K767" s="457"/>
      <c r="L767" s="458"/>
    </row>
    <row r="768" spans="1:19">
      <c r="A768" s="526" t="s">
        <v>1608</v>
      </c>
      <c r="B768" s="467"/>
      <c r="C768" s="468"/>
      <c r="D768" s="469"/>
      <c r="E768" s="470"/>
      <c r="F768" s="471"/>
      <c r="G768" s="472"/>
      <c r="H768" s="482"/>
      <c r="I768" s="482"/>
      <c r="K768" s="457"/>
      <c r="L768" s="458"/>
    </row>
    <row r="769" spans="1:12">
      <c r="A769" s="525" t="s">
        <v>1609</v>
      </c>
      <c r="B769" s="136" t="s">
        <v>811</v>
      </c>
      <c r="C769" s="135" t="s">
        <v>622</v>
      </c>
      <c r="D769" s="392">
        <f>+K769</f>
        <v>600</v>
      </c>
      <c r="E769" s="381">
        <f>ROUND(D769*(1+$E$39),0)</f>
        <v>714</v>
      </c>
      <c r="F769" s="139"/>
      <c r="G769" s="132"/>
      <c r="I769" s="487"/>
      <c r="K769" s="457">
        <v>600</v>
      </c>
      <c r="L769" s="458"/>
    </row>
  </sheetData>
  <mergeCells count="30">
    <mergeCell ref="J592:J600"/>
    <mergeCell ref="J601:J602"/>
    <mergeCell ref="J637:J645"/>
    <mergeCell ref="J649:J655"/>
    <mergeCell ref="J527:J537"/>
    <mergeCell ref="J540:J546"/>
    <mergeCell ref="J549:J555"/>
    <mergeCell ref="J558:J561"/>
    <mergeCell ref="J565:J573"/>
    <mergeCell ref="J574:J582"/>
    <mergeCell ref="J583:J591"/>
    <mergeCell ref="K263:L263"/>
    <mergeCell ref="J484:J496"/>
    <mergeCell ref="J474:J481"/>
    <mergeCell ref="J499:J510"/>
    <mergeCell ref="J513:J524"/>
    <mergeCell ref="A263:G263"/>
    <mergeCell ref="A264:A265"/>
    <mergeCell ref="B264:B265"/>
    <mergeCell ref="C264:C265"/>
    <mergeCell ref="D264:D265"/>
    <mergeCell ref="F264:G264"/>
    <mergeCell ref="F38:G38"/>
    <mergeCell ref="A37:G37"/>
    <mergeCell ref="F2:S2"/>
    <mergeCell ref="A2:E3"/>
    <mergeCell ref="A38:A39"/>
    <mergeCell ref="B38:B39"/>
    <mergeCell ref="C38:C39"/>
    <mergeCell ref="D38:D39"/>
  </mergeCells>
  <phoneticPr fontId="22" type="noConversion"/>
  <conditionalFormatting sqref="A123:A126">
    <cfRule type="duplicateValues" dxfId="15" priority="6" stopIfTrue="1"/>
  </conditionalFormatting>
  <conditionalFormatting sqref="A127:A131 A133:A138 A140:A65546 A1:A122">
    <cfRule type="duplicateValues" dxfId="14" priority="7" stopIfTrue="1"/>
  </conditionalFormatting>
  <conditionalFormatting sqref="A132">
    <cfRule type="duplicateValues" dxfId="13" priority="3" stopIfTrue="1"/>
    <cfRule type="duplicateValues" dxfId="12" priority="4" stopIfTrue="1"/>
  </conditionalFormatting>
  <conditionalFormatting sqref="A133:A138 A140:A65546 A1:A131">
    <cfRule type="duplicateValues" dxfId="11" priority="5" stopIfTrue="1"/>
  </conditionalFormatting>
  <conditionalFormatting sqref="A139">
    <cfRule type="duplicateValues" dxfId="10" priority="1" stopIfTrue="1"/>
    <cfRule type="duplicateValues" dxfId="9" priority="2" stopIfTrue="1"/>
  </conditionalFormatting>
  <pageMargins left="0.7" right="0.7" top="0.75" bottom="0.75" header="0.3" footer="0.3"/>
  <pageSetup scale="50" orientation="portrait"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sheetPr>
  <dimension ref="A1:EF243"/>
  <sheetViews>
    <sheetView topLeftCell="A5" zoomScale="85" zoomScaleNormal="85" workbookViewId="0">
      <selection activeCell="BR3" sqref="BR3"/>
    </sheetView>
  </sheetViews>
  <sheetFormatPr baseColWidth="10" defaultColWidth="11.42578125" defaultRowHeight="14.25"/>
  <cols>
    <col min="1" max="1" width="8.85546875" style="850" customWidth="1"/>
    <col min="2" max="2" width="9.140625" style="850" customWidth="1"/>
    <col min="3" max="3" width="9.5703125" style="850" customWidth="1"/>
    <col min="4" max="5" width="12.28515625" style="850" customWidth="1"/>
    <col min="6" max="6" width="13.7109375" style="850" customWidth="1"/>
    <col min="7" max="8" width="11.140625" style="850" customWidth="1"/>
    <col min="9" max="9" width="11.7109375" style="850" customWidth="1"/>
    <col min="10" max="10" width="11.7109375" style="851" customWidth="1"/>
    <col min="11" max="11" width="8.140625" style="850" customWidth="1"/>
    <col min="12" max="12" width="8.42578125" style="850" customWidth="1"/>
    <col min="13" max="14" width="10.5703125" style="850" customWidth="1"/>
    <col min="15" max="15" width="13.42578125" style="850" customWidth="1"/>
    <col min="16" max="16" width="7.7109375" style="850" customWidth="1"/>
    <col min="17" max="17" width="8.140625" style="850" customWidth="1"/>
    <col min="18" max="18" width="8.7109375" style="850" customWidth="1"/>
    <col min="19" max="21" width="7.28515625" style="850" customWidth="1"/>
    <col min="22" max="22" width="8.140625" style="850" customWidth="1"/>
    <col min="23" max="23" width="7.28515625" style="850" customWidth="1"/>
    <col min="24" max="24" width="6.5703125" style="850" customWidth="1"/>
    <col min="25" max="26" width="7.28515625" style="850" customWidth="1"/>
    <col min="27" max="27" width="8.85546875" style="850" customWidth="1"/>
    <col min="28" max="28" width="9.85546875" style="850" customWidth="1"/>
    <col min="29" max="29" width="11" style="850" customWidth="1"/>
    <col min="30" max="30" width="8.85546875" style="850" customWidth="1"/>
    <col min="31" max="31" width="15.5703125" style="1015" customWidth="1"/>
    <col min="32" max="32" width="8.5703125" style="850" customWidth="1"/>
    <col min="33" max="33" width="8" style="850" customWidth="1"/>
    <col min="34" max="34" width="6.28515625" style="850" customWidth="1"/>
    <col min="35" max="35" width="8.85546875" style="850" customWidth="1"/>
    <col min="36" max="36" width="8.28515625" style="850" customWidth="1"/>
    <col min="37" max="37" width="9" style="850" customWidth="1"/>
    <col min="38" max="38" width="9.28515625" style="850" customWidth="1"/>
    <col min="39" max="39" width="9.7109375" style="850" customWidth="1"/>
    <col min="40" max="40" width="10.28515625" style="850" customWidth="1"/>
    <col min="41" max="42" width="10.28515625" style="852" customWidth="1"/>
    <col min="43" max="45" width="9.7109375" style="850" customWidth="1"/>
    <col min="46" max="46" width="9" style="850" customWidth="1"/>
    <col min="47" max="47" width="8.5703125" style="850" customWidth="1"/>
    <col min="48" max="50" width="8.140625" style="850" customWidth="1"/>
    <col min="51" max="51" width="12.5703125" style="850" customWidth="1"/>
    <col min="52" max="52" width="10.28515625" style="850" customWidth="1"/>
    <col min="53" max="53" width="14.7109375" style="850" customWidth="1"/>
    <col min="54" max="54" width="22.140625" style="850" customWidth="1"/>
    <col min="55" max="55" width="18.7109375" style="850" customWidth="1"/>
    <col min="56" max="57" width="16.85546875" style="850" customWidth="1"/>
    <col min="58" max="58" width="52.85546875" style="850" customWidth="1"/>
    <col min="59" max="59" width="4.140625" style="850" customWidth="1"/>
    <col min="60" max="60" width="32.140625" style="850" customWidth="1"/>
    <col min="61" max="61" width="10" style="853" customWidth="1"/>
    <col min="62" max="62" width="8.7109375" style="853" customWidth="1"/>
    <col min="63" max="63" width="11.5703125" style="850" customWidth="1"/>
    <col min="64" max="64" width="12.28515625" style="850" customWidth="1"/>
    <col min="65" max="65" width="10.28515625" style="854" customWidth="1"/>
    <col min="66" max="66" width="10.85546875" style="854" customWidth="1"/>
    <col min="67" max="67" width="7.28515625" style="850" customWidth="1"/>
    <col min="68" max="68" width="8.42578125" style="850" customWidth="1"/>
    <col min="69" max="69" width="11.140625" style="850" customWidth="1"/>
    <col min="70" max="70" width="11.5703125" style="850" customWidth="1"/>
    <col min="71" max="74" width="12.28515625" style="850" customWidth="1"/>
    <col min="75" max="76" width="13.85546875" style="850" customWidth="1"/>
    <col min="77" max="77" width="15.7109375" style="850" customWidth="1"/>
    <col min="78" max="78" width="13.85546875" style="850" customWidth="1"/>
    <col min="79" max="79" width="11.5703125" style="850" customWidth="1"/>
    <col min="80" max="81" width="12.42578125" style="850" customWidth="1"/>
    <col min="82" max="83" width="11.7109375" style="850" customWidth="1"/>
    <col min="84" max="84" width="9.85546875" style="850" customWidth="1"/>
    <col min="85" max="85" width="11.7109375" style="850" customWidth="1"/>
    <col min="86" max="86" width="11.5703125" style="850" customWidth="1"/>
    <col min="87" max="87" width="12.28515625" style="850" customWidth="1"/>
    <col min="88" max="88" width="12.5703125" style="850" customWidth="1"/>
    <col min="89" max="89" width="12.28515625" style="850" customWidth="1"/>
    <col min="90" max="90" width="10.7109375" style="850" customWidth="1"/>
    <col min="91" max="92" width="13.7109375" style="850" customWidth="1"/>
    <col min="93" max="94" width="15" style="850" customWidth="1"/>
    <col min="95" max="95" width="8.28515625" style="850" customWidth="1"/>
    <col min="96" max="96" width="2.42578125" style="850" customWidth="1"/>
    <col min="97" max="97" width="8" style="850" customWidth="1"/>
    <col min="98" max="98" width="7.42578125" style="850" customWidth="1"/>
    <col min="99" max="100" width="11.42578125" style="850" customWidth="1"/>
    <col min="101" max="101" width="10.7109375" style="850" bestFit="1" customWidth="1"/>
    <col min="102" max="104" width="11.42578125" style="850" customWidth="1"/>
    <col min="105" max="105" width="12.28515625" style="850" bestFit="1" customWidth="1"/>
    <col min="106" max="106" width="12.7109375" style="850" bestFit="1" customWidth="1"/>
    <col min="107" max="107" width="13" style="850" bestFit="1" customWidth="1"/>
    <col min="108" max="108" width="10.7109375" style="850" bestFit="1" customWidth="1"/>
    <col min="109" max="109" width="10" style="850" bestFit="1" customWidth="1"/>
    <col min="110" max="110" width="9.28515625" style="850" bestFit="1" customWidth="1"/>
    <col min="111" max="112" width="10" style="850" bestFit="1" customWidth="1"/>
    <col min="113" max="113" width="7.7109375" style="850" bestFit="1" customWidth="1"/>
    <col min="114" max="114" width="9.140625" style="850" bestFit="1" customWidth="1"/>
    <col min="115" max="115" width="11.140625" style="850" bestFit="1" customWidth="1"/>
    <col min="116" max="116" width="8.7109375" style="850" bestFit="1" customWidth="1"/>
    <col min="117" max="117" width="8.5703125" style="850" bestFit="1" customWidth="1"/>
    <col min="118" max="118" width="12.28515625" style="850" bestFit="1" customWidth="1"/>
    <col min="119" max="119" width="9" style="850" bestFit="1" customWidth="1"/>
    <col min="120" max="120" width="7.7109375" style="850" bestFit="1" customWidth="1"/>
    <col min="121" max="121" width="8.5703125" style="850" bestFit="1" customWidth="1"/>
    <col min="122" max="122" width="8.42578125" style="850" bestFit="1" customWidth="1"/>
    <col min="123" max="123" width="9.28515625" style="850" bestFit="1" customWidth="1"/>
    <col min="124" max="124" width="5.5703125" style="850" customWidth="1"/>
    <col min="125" max="125" width="11.42578125" style="850"/>
    <col min="126" max="126" width="10.85546875" style="850" bestFit="1" customWidth="1"/>
    <col min="127" max="127" width="9.42578125" style="850" bestFit="1" customWidth="1"/>
    <col min="128" max="128" width="9.85546875" style="850" bestFit="1" customWidth="1"/>
    <col min="129" max="129" width="10.28515625" style="850" bestFit="1" customWidth="1"/>
    <col min="130" max="131" width="10.7109375" style="850" bestFit="1" customWidth="1"/>
    <col min="132" max="133" width="10.28515625" style="850" bestFit="1" customWidth="1"/>
    <col min="134" max="134" width="11.28515625" style="850" bestFit="1" customWidth="1"/>
    <col min="135" max="16384" width="11.42578125" style="850"/>
  </cols>
  <sheetData>
    <row r="1" spans="1:136">
      <c r="AE1" s="850"/>
      <c r="BL1" s="1011" t="s">
        <v>2594</v>
      </c>
      <c r="BM1" s="1271"/>
      <c r="BN1" s="1268">
        <v>0</v>
      </c>
      <c r="BP1" s="1024" t="s">
        <v>2597</v>
      </c>
      <c r="BQ1" s="1013"/>
      <c r="BR1" s="1730">
        <v>0.70950000000000002</v>
      </c>
    </row>
    <row r="2" spans="1:136" ht="15" customHeight="1">
      <c r="A2" s="1839" t="s">
        <v>2302</v>
      </c>
      <c r="B2" s="1840"/>
      <c r="C2" s="1840"/>
      <c r="D2" s="1840"/>
      <c r="E2" s="1840"/>
      <c r="F2" s="1840"/>
      <c r="G2" s="1840"/>
      <c r="H2" s="1840"/>
      <c r="I2" s="1840"/>
      <c r="J2" s="1840"/>
      <c r="K2" s="1840"/>
      <c r="L2" s="1840"/>
      <c r="M2" s="1840"/>
      <c r="N2" s="1840"/>
      <c r="O2" s="1840"/>
      <c r="P2" s="1840"/>
      <c r="Q2" s="1840"/>
      <c r="R2" s="1840"/>
      <c r="S2" s="1840"/>
      <c r="T2" s="1840"/>
      <c r="U2" s="1840"/>
      <c r="V2" s="1840"/>
      <c r="W2" s="1840"/>
      <c r="X2" s="1840"/>
      <c r="Y2" s="1840"/>
      <c r="Z2" s="1840"/>
      <c r="AA2" s="1840"/>
      <c r="AB2" s="1840"/>
      <c r="AC2" s="1840"/>
      <c r="AD2" s="1840"/>
      <c r="AE2" s="1840"/>
      <c r="AF2" s="1840"/>
      <c r="AG2" s="1840"/>
      <c r="AH2" s="1840"/>
      <c r="AI2" s="1840"/>
      <c r="AJ2" s="1840"/>
      <c r="AK2" s="1840"/>
      <c r="AL2" s="1840"/>
      <c r="AM2" s="1840"/>
      <c r="AN2" s="1840"/>
      <c r="AO2" s="1840"/>
      <c r="AP2" s="1840"/>
      <c r="AQ2" s="1840"/>
      <c r="AR2" s="1840"/>
      <c r="AS2" s="1840"/>
      <c r="AT2" s="1840"/>
      <c r="AU2" s="1840"/>
      <c r="AV2" s="1840"/>
      <c r="AW2" s="1840"/>
      <c r="AX2" s="1840"/>
      <c r="AY2" s="1840"/>
      <c r="AZ2" s="1840"/>
      <c r="BA2" s="1840"/>
      <c r="BB2" s="1840"/>
      <c r="BC2" s="1840"/>
      <c r="BD2" s="1840"/>
      <c r="BE2" s="1840"/>
      <c r="BF2" s="1841"/>
      <c r="BG2" s="855"/>
      <c r="BL2" s="1011" t="s">
        <v>2595</v>
      </c>
      <c r="BM2" s="1271"/>
      <c r="BN2" s="1268">
        <v>0.8</v>
      </c>
      <c r="BP2" s="1024" t="s">
        <v>2598</v>
      </c>
      <c r="BQ2" s="1013"/>
      <c r="BR2" s="1730">
        <v>0.29049999999999998</v>
      </c>
      <c r="BS2" s="856"/>
      <c r="CU2" s="857"/>
      <c r="CV2" s="857"/>
    </row>
    <row r="3" spans="1:136" ht="15.75" customHeight="1">
      <c r="A3" s="1842"/>
      <c r="B3" s="1843"/>
      <c r="C3" s="1843"/>
      <c r="D3" s="1843"/>
      <c r="E3" s="1843"/>
      <c r="F3" s="1843"/>
      <c r="G3" s="1843"/>
      <c r="H3" s="1843"/>
      <c r="I3" s="1843"/>
      <c r="J3" s="1843"/>
      <c r="K3" s="1843"/>
      <c r="L3" s="1843"/>
      <c r="M3" s="1843"/>
      <c r="N3" s="1843"/>
      <c r="O3" s="1843"/>
      <c r="P3" s="1843"/>
      <c r="Q3" s="1843"/>
      <c r="R3" s="1843"/>
      <c r="S3" s="1843"/>
      <c r="T3" s="1843"/>
      <c r="U3" s="1843"/>
      <c r="V3" s="1843"/>
      <c r="W3" s="1843"/>
      <c r="X3" s="1843"/>
      <c r="Y3" s="1843"/>
      <c r="Z3" s="1843"/>
      <c r="AA3" s="1843"/>
      <c r="AB3" s="1843"/>
      <c r="AC3" s="1843"/>
      <c r="AD3" s="1843"/>
      <c r="AE3" s="1843"/>
      <c r="AF3" s="1843"/>
      <c r="AG3" s="1843"/>
      <c r="AH3" s="1843"/>
      <c r="AI3" s="1843"/>
      <c r="AJ3" s="1843"/>
      <c r="AK3" s="1843"/>
      <c r="AL3" s="1843"/>
      <c r="AM3" s="1843"/>
      <c r="AN3" s="1843"/>
      <c r="AO3" s="1843"/>
      <c r="AP3" s="1843"/>
      <c r="AQ3" s="1843"/>
      <c r="AR3" s="1843"/>
      <c r="AS3" s="1843"/>
      <c r="AT3" s="1843"/>
      <c r="AU3" s="1843"/>
      <c r="AV3" s="1843"/>
      <c r="AW3" s="1843"/>
      <c r="AX3" s="1843"/>
      <c r="AY3" s="1843"/>
      <c r="AZ3" s="1843"/>
      <c r="BA3" s="1843"/>
      <c r="BB3" s="1843"/>
      <c r="BC3" s="1843"/>
      <c r="BD3" s="1843"/>
      <c r="BE3" s="1843"/>
      <c r="BF3" s="1844"/>
      <c r="BG3" s="855"/>
      <c r="BL3" s="886" t="s">
        <v>2601</v>
      </c>
      <c r="BM3" s="1271"/>
      <c r="BN3" s="1268">
        <v>0.17</v>
      </c>
      <c r="BP3" s="854"/>
      <c r="BR3" s="1731">
        <f>SUM(BR1:BR2)</f>
        <v>1</v>
      </c>
      <c r="CY3" s="857"/>
      <c r="CZ3" s="857"/>
      <c r="DC3" s="1845"/>
      <c r="DD3" s="1845"/>
    </row>
    <row r="4" spans="1:136" ht="15.75" customHeight="1">
      <c r="A4" s="1269"/>
      <c r="B4" s="1269"/>
      <c r="C4" s="1269"/>
      <c r="D4" s="1269"/>
      <c r="E4" s="1269"/>
      <c r="F4" s="1269"/>
      <c r="G4" s="1269"/>
      <c r="H4" s="1269"/>
      <c r="I4" s="1269"/>
      <c r="J4" s="1269"/>
      <c r="K4" s="1269"/>
      <c r="L4" s="1269"/>
      <c r="M4" s="1269"/>
      <c r="N4" s="1269"/>
      <c r="O4" s="1269"/>
      <c r="P4" s="1269"/>
      <c r="Q4" s="1269"/>
      <c r="R4" s="1269"/>
      <c r="S4" s="1269"/>
      <c r="T4" s="1269"/>
      <c r="U4" s="1269"/>
      <c r="V4" s="1269"/>
      <c r="W4" s="1269"/>
      <c r="X4" s="1269"/>
      <c r="Y4" s="1269"/>
      <c r="Z4" s="1269"/>
      <c r="AA4" s="1269"/>
      <c r="AB4" s="1269"/>
      <c r="AC4" s="1269"/>
      <c r="AD4" s="1269"/>
      <c r="AE4" s="1269"/>
      <c r="AF4" s="1269"/>
      <c r="AG4" s="1269"/>
      <c r="AH4" s="1269"/>
      <c r="AI4" s="1269"/>
      <c r="AJ4" s="1269"/>
      <c r="AK4" s="1264"/>
      <c r="AL4" s="1264"/>
      <c r="AM4" s="1264"/>
      <c r="AN4" s="1264"/>
      <c r="AO4" s="1269"/>
      <c r="AP4" s="1269"/>
      <c r="AQ4" s="1269"/>
      <c r="AR4" s="1269"/>
      <c r="AS4" s="1269"/>
      <c r="AT4" s="1269"/>
      <c r="AU4" s="1269"/>
      <c r="AV4" s="1269"/>
      <c r="AW4" s="1269"/>
      <c r="AX4" s="1269"/>
      <c r="AY4" s="1269"/>
      <c r="AZ4" s="1269"/>
      <c r="BA4" s="1269"/>
      <c r="BB4" s="1269"/>
      <c r="BC4" s="1269"/>
      <c r="BD4" s="1269"/>
      <c r="BE4" s="1269"/>
      <c r="BF4" s="1269"/>
      <c r="BG4" s="855"/>
      <c r="BL4" s="1011" t="s">
        <v>2596</v>
      </c>
      <c r="BM4" s="1271"/>
      <c r="BN4" s="1268">
        <v>0.03</v>
      </c>
      <c r="CY4" s="857"/>
      <c r="CZ4" s="857"/>
      <c r="DC4" s="1265"/>
      <c r="DD4" s="1265"/>
    </row>
    <row r="5" spans="1:136" ht="15.75" customHeight="1">
      <c r="A5" s="1269"/>
      <c r="B5" s="1269"/>
      <c r="C5" s="1269"/>
      <c r="D5" s="1269"/>
      <c r="E5" s="1269"/>
      <c r="F5" s="1269"/>
      <c r="G5" s="1269"/>
      <c r="H5" s="1269"/>
      <c r="I5" s="1269"/>
      <c r="J5" s="1269"/>
      <c r="K5" s="1269"/>
      <c r="L5" s="1269"/>
      <c r="M5" s="1269"/>
      <c r="N5" s="1269"/>
      <c r="O5" s="1269"/>
      <c r="P5" s="1269"/>
      <c r="Q5" s="1269"/>
      <c r="R5" s="1269"/>
      <c r="S5" s="1269"/>
      <c r="T5" s="1269"/>
      <c r="U5" s="1269"/>
      <c r="V5" s="1269"/>
      <c r="W5" s="1269"/>
      <c r="X5" s="1269"/>
      <c r="Y5" s="1269"/>
      <c r="Z5" s="1269"/>
      <c r="AA5" s="1269"/>
      <c r="AB5" s="1269"/>
      <c r="AC5" s="1269"/>
      <c r="AD5" s="1269"/>
      <c r="AE5" s="1269"/>
      <c r="AF5" s="1269"/>
      <c r="AG5" s="1269"/>
      <c r="AH5" s="1269"/>
      <c r="AI5" s="1269"/>
      <c r="AJ5" s="1269"/>
      <c r="AK5" s="1264"/>
      <c r="AL5" s="1264"/>
      <c r="AM5" s="1264"/>
      <c r="AN5" s="1264"/>
      <c r="AO5" s="1269"/>
      <c r="AP5" s="1269"/>
      <c r="AQ5" s="1269"/>
      <c r="AR5" s="1269"/>
      <c r="AS5" s="1269"/>
      <c r="AT5" s="1269"/>
      <c r="AU5" s="1269"/>
      <c r="AV5" s="1269"/>
      <c r="AW5" s="1269"/>
      <c r="AX5" s="1269"/>
      <c r="AY5" s="1269"/>
      <c r="AZ5" s="1269"/>
      <c r="BA5" s="1269"/>
      <c r="BB5" s="1269"/>
      <c r="BC5" s="1269"/>
      <c r="BD5" s="1269"/>
      <c r="BE5" s="1269"/>
      <c r="BF5" s="1269"/>
      <c r="BG5" s="855"/>
      <c r="BM5" s="1270"/>
      <c r="BN5" s="1272">
        <f>SUM(BN1:BN4)</f>
        <v>1</v>
      </c>
      <c r="CY5" s="857"/>
      <c r="CZ5" s="857"/>
      <c r="DC5" s="1265"/>
      <c r="DD5" s="1265"/>
    </row>
    <row r="6" spans="1:136" ht="15.75" customHeight="1">
      <c r="A6" s="1269"/>
      <c r="B6" s="1269"/>
      <c r="C6" s="1269"/>
      <c r="D6" s="1269"/>
      <c r="E6" s="1269"/>
      <c r="F6" s="1269"/>
      <c r="G6" s="1269"/>
      <c r="H6" s="1269"/>
      <c r="I6" s="1269"/>
      <c r="J6" s="1269"/>
      <c r="K6" s="1269"/>
      <c r="L6" s="1269"/>
      <c r="M6" s="1269"/>
      <c r="N6" s="1269"/>
      <c r="O6" s="1269"/>
      <c r="P6" s="1269"/>
      <c r="Q6" s="1269"/>
      <c r="R6" s="1269"/>
      <c r="S6" s="1269"/>
      <c r="T6" s="1269"/>
      <c r="U6" s="1269"/>
      <c r="V6" s="1269"/>
      <c r="W6" s="1269"/>
      <c r="X6" s="1269"/>
      <c r="Y6" s="1269"/>
      <c r="Z6" s="1269"/>
      <c r="AA6" s="1269"/>
      <c r="AB6" s="1269"/>
      <c r="AC6" s="1269"/>
      <c r="AD6" s="1269"/>
      <c r="AE6" s="1269"/>
      <c r="AF6" s="1269"/>
      <c r="AG6" s="1269"/>
      <c r="AH6" s="1269"/>
      <c r="AI6" s="1269"/>
      <c r="AJ6" s="1269"/>
      <c r="AK6" s="1264"/>
      <c r="AL6" s="1264"/>
      <c r="AM6" s="1264"/>
      <c r="AN6" s="1264"/>
      <c r="AO6" s="1269"/>
      <c r="AP6" s="1269"/>
      <c r="AQ6" s="1269"/>
      <c r="AR6" s="1269"/>
      <c r="AS6" s="1269"/>
      <c r="AT6" s="1269"/>
      <c r="AU6" s="1269"/>
      <c r="AV6" s="1269"/>
      <c r="AW6" s="1269"/>
      <c r="AX6" s="1269"/>
      <c r="AY6" s="1269"/>
      <c r="AZ6" s="1269"/>
      <c r="BA6" s="1269"/>
      <c r="BB6" s="1269"/>
      <c r="BC6" s="1269"/>
      <c r="BD6" s="1269"/>
      <c r="BE6" s="1269"/>
      <c r="BF6" s="1269"/>
      <c r="BG6" s="855"/>
      <c r="BM6" s="1270"/>
      <c r="CY6" s="857"/>
      <c r="CZ6" s="857"/>
      <c r="DC6" s="1265"/>
      <c r="DD6" s="1265"/>
    </row>
    <row r="7" spans="1:136">
      <c r="C7" s="858">
        <v>42.69</v>
      </c>
      <c r="D7" s="858"/>
      <c r="E7" s="858"/>
      <c r="V7" s="858"/>
      <c r="AE7" s="850"/>
      <c r="AK7" s="859"/>
      <c r="AL7" s="859"/>
      <c r="AM7" s="859"/>
      <c r="AN7" s="859"/>
      <c r="DL7" s="858"/>
    </row>
    <row r="8" spans="1:136" s="865" customFormat="1" ht="40.5" customHeight="1">
      <c r="A8" s="1846" t="s">
        <v>2028</v>
      </c>
      <c r="B8" s="1846"/>
      <c r="C8" s="1846" t="s">
        <v>2029</v>
      </c>
      <c r="D8" s="1846" t="s">
        <v>2030</v>
      </c>
      <c r="E8" s="1846"/>
      <c r="F8" s="861" t="s">
        <v>2031</v>
      </c>
      <c r="G8" s="1847" t="s">
        <v>2032</v>
      </c>
      <c r="H8" s="1847" t="s">
        <v>2033</v>
      </c>
      <c r="I8" s="861" t="s">
        <v>2034</v>
      </c>
      <c r="J8" s="861" t="s">
        <v>2035</v>
      </c>
      <c r="K8" s="1847" t="s">
        <v>2036</v>
      </c>
      <c r="L8" s="1847"/>
      <c r="M8" s="861" t="s">
        <v>2037</v>
      </c>
      <c r="N8" s="861" t="s">
        <v>2038</v>
      </c>
      <c r="O8" s="861" t="s">
        <v>2039</v>
      </c>
      <c r="P8" s="1847" t="s">
        <v>2040</v>
      </c>
      <c r="Q8" s="1847" t="s">
        <v>2041</v>
      </c>
      <c r="R8" s="1846" t="s">
        <v>2042</v>
      </c>
      <c r="S8" s="1846" t="s">
        <v>2043</v>
      </c>
      <c r="T8" s="1846" t="s">
        <v>2044</v>
      </c>
      <c r="U8" s="1846" t="s">
        <v>2045</v>
      </c>
      <c r="V8" s="1846" t="s">
        <v>2303</v>
      </c>
      <c r="W8" s="1846" t="s">
        <v>2046</v>
      </c>
      <c r="X8" s="1846" t="s">
        <v>2047</v>
      </c>
      <c r="Y8" s="1846" t="s">
        <v>2304</v>
      </c>
      <c r="Z8" s="1846" t="s">
        <v>2305</v>
      </c>
      <c r="AA8" s="1846" t="s">
        <v>2048</v>
      </c>
      <c r="AB8" s="1846" t="s">
        <v>2306</v>
      </c>
      <c r="AC8" s="1847" t="s">
        <v>2049</v>
      </c>
      <c r="AD8" s="1846" t="s">
        <v>2050</v>
      </c>
      <c r="AE8" s="1848" t="s">
        <v>2051</v>
      </c>
      <c r="AF8" s="1847" t="s">
        <v>2052</v>
      </c>
      <c r="AG8" s="1847"/>
      <c r="AH8" s="1847"/>
      <c r="AI8" s="1847"/>
      <c r="AJ8" s="1847"/>
      <c r="AK8" s="1846" t="s">
        <v>2053</v>
      </c>
      <c r="AL8" s="1846"/>
      <c r="AM8" s="1846" t="s">
        <v>2054</v>
      </c>
      <c r="AN8" s="1846"/>
      <c r="AO8" s="1851" t="s">
        <v>2055</v>
      </c>
      <c r="AP8" s="1851"/>
      <c r="AQ8" s="1846" t="s">
        <v>2056</v>
      </c>
      <c r="AR8" s="1846"/>
      <c r="AS8" s="1846" t="s">
        <v>2057</v>
      </c>
      <c r="AT8" s="1846"/>
      <c r="AU8" s="1846" t="s">
        <v>2058</v>
      </c>
      <c r="AV8" s="1846"/>
      <c r="AW8" s="1846" t="s">
        <v>2059</v>
      </c>
      <c r="AX8" s="1846"/>
      <c r="AY8" s="1848" t="s">
        <v>2060</v>
      </c>
      <c r="AZ8" s="1846" t="s">
        <v>2061</v>
      </c>
      <c r="BA8" s="1846"/>
      <c r="BB8" s="1846"/>
      <c r="BC8" s="1846"/>
      <c r="BD8" s="1846"/>
      <c r="BE8" s="1846"/>
      <c r="BF8" s="1846"/>
      <c r="BG8" s="863"/>
      <c r="BH8" s="1852" t="s">
        <v>2062</v>
      </c>
      <c r="BI8" s="1853"/>
      <c r="BJ8" s="1853"/>
      <c r="BK8" s="1853"/>
      <c r="BL8" s="1853"/>
      <c r="BM8" s="1853"/>
      <c r="BN8" s="1853"/>
      <c r="BO8" s="1853"/>
      <c r="BP8" s="1853"/>
      <c r="BQ8" s="1853"/>
      <c r="BR8" s="1853"/>
      <c r="BS8" s="1853"/>
      <c r="BT8" s="1853"/>
      <c r="BU8" s="1853"/>
      <c r="BV8" s="1853"/>
      <c r="BW8" s="1853"/>
      <c r="BX8" s="1853"/>
      <c r="BY8" s="1853"/>
      <c r="BZ8" s="1853"/>
      <c r="CA8" s="1853"/>
      <c r="CB8" s="1853"/>
      <c r="CC8" s="1853"/>
      <c r="CD8" s="1853"/>
      <c r="CE8" s="1853"/>
      <c r="CF8" s="1853"/>
      <c r="CG8" s="1853"/>
      <c r="CH8" s="1853"/>
      <c r="CI8" s="1853"/>
      <c r="CJ8" s="1853"/>
      <c r="CK8" s="1853"/>
      <c r="CL8" s="1853"/>
      <c r="CM8" s="1853"/>
      <c r="CN8" s="1853"/>
      <c r="CO8" s="1853"/>
      <c r="CP8" s="1854"/>
      <c r="CQ8" s="864"/>
      <c r="CS8" s="1855" t="s">
        <v>1730</v>
      </c>
      <c r="CT8" s="1855"/>
      <c r="CU8" s="1855"/>
      <c r="CV8" s="1855"/>
      <c r="CW8" s="1855"/>
      <c r="CX8" s="1855"/>
      <c r="CY8" s="1855"/>
      <c r="CZ8" s="1855"/>
      <c r="DA8" s="1855"/>
      <c r="DB8" s="1855"/>
      <c r="DC8" s="1855"/>
      <c r="DD8" s="1855"/>
      <c r="DE8" s="1855"/>
      <c r="DF8" s="1855"/>
      <c r="DG8" s="1855"/>
      <c r="DH8" s="1855"/>
      <c r="DI8" s="1855"/>
      <c r="DJ8" s="1855"/>
      <c r="DK8" s="1855"/>
      <c r="DL8" s="1855"/>
      <c r="DM8" s="1855"/>
      <c r="DN8" s="1855"/>
      <c r="DO8" s="1855"/>
      <c r="DP8" s="1855"/>
      <c r="DQ8" s="1855"/>
      <c r="DR8" s="1855"/>
      <c r="DS8" s="1855"/>
      <c r="DU8" s="1856" t="s">
        <v>1728</v>
      </c>
      <c r="DV8" s="1856"/>
      <c r="DW8" s="1856"/>
      <c r="DX8" s="1856"/>
      <c r="DY8" s="1856"/>
      <c r="DZ8" s="1856"/>
      <c r="EA8" s="1856"/>
      <c r="EB8" s="1856"/>
      <c r="EC8" s="1856"/>
      <c r="ED8" s="1856"/>
      <c r="EE8" s="1856"/>
      <c r="EF8" s="1856"/>
    </row>
    <row r="9" spans="1:136" s="865" customFormat="1" ht="53.45" customHeight="1">
      <c r="A9" s="860" t="s">
        <v>2063</v>
      </c>
      <c r="B9" s="860" t="s">
        <v>882</v>
      </c>
      <c r="C9" s="1846"/>
      <c r="D9" s="860" t="s">
        <v>2064</v>
      </c>
      <c r="E9" s="860" t="s">
        <v>2065</v>
      </c>
      <c r="F9" s="861" t="s">
        <v>2066</v>
      </c>
      <c r="G9" s="1847"/>
      <c r="H9" s="1847"/>
      <c r="I9" s="860" t="s">
        <v>2067</v>
      </c>
      <c r="J9" s="860" t="s">
        <v>2067</v>
      </c>
      <c r="K9" s="860" t="s">
        <v>1654</v>
      </c>
      <c r="L9" s="860" t="s">
        <v>2068</v>
      </c>
      <c r="M9" s="860" t="s">
        <v>2068</v>
      </c>
      <c r="N9" s="860" t="s">
        <v>1654</v>
      </c>
      <c r="O9" s="860" t="s">
        <v>1654</v>
      </c>
      <c r="P9" s="1847"/>
      <c r="Q9" s="1847"/>
      <c r="R9" s="1846"/>
      <c r="S9" s="1846"/>
      <c r="T9" s="1846"/>
      <c r="U9" s="1846"/>
      <c r="V9" s="1846"/>
      <c r="W9" s="1846"/>
      <c r="X9" s="1846"/>
      <c r="Y9" s="1846"/>
      <c r="Z9" s="1846"/>
      <c r="AA9" s="1846"/>
      <c r="AB9" s="1846"/>
      <c r="AC9" s="1847"/>
      <c r="AD9" s="1846"/>
      <c r="AE9" s="1849"/>
      <c r="AF9" s="867"/>
      <c r="AG9" s="868" t="s">
        <v>2069</v>
      </c>
      <c r="AH9" s="866" t="s">
        <v>2070</v>
      </c>
      <c r="AI9" s="866" t="s">
        <v>2071</v>
      </c>
      <c r="AJ9" s="866" t="s">
        <v>2072</v>
      </c>
      <c r="AK9" s="860" t="s">
        <v>2063</v>
      </c>
      <c r="AL9" s="860" t="s">
        <v>882</v>
      </c>
      <c r="AM9" s="860" t="s">
        <v>2063</v>
      </c>
      <c r="AN9" s="860" t="s">
        <v>882</v>
      </c>
      <c r="AO9" s="862" t="s">
        <v>2063</v>
      </c>
      <c r="AP9" s="862" t="s">
        <v>882</v>
      </c>
      <c r="AQ9" s="860" t="s">
        <v>2063</v>
      </c>
      <c r="AR9" s="860" t="s">
        <v>882</v>
      </c>
      <c r="AS9" s="860" t="s">
        <v>2063</v>
      </c>
      <c r="AT9" s="860" t="s">
        <v>882</v>
      </c>
      <c r="AU9" s="860" t="s">
        <v>2063</v>
      </c>
      <c r="AV9" s="860" t="s">
        <v>882</v>
      </c>
      <c r="AW9" s="860" t="s">
        <v>2063</v>
      </c>
      <c r="AX9" s="860" t="s">
        <v>882</v>
      </c>
      <c r="AY9" s="1849"/>
      <c r="AZ9" s="860" t="s">
        <v>532</v>
      </c>
      <c r="BA9" s="861" t="s">
        <v>2073</v>
      </c>
      <c r="BB9" s="861" t="s">
        <v>2074</v>
      </c>
      <c r="BC9" s="861" t="s">
        <v>2075</v>
      </c>
      <c r="BD9" s="1857" t="s">
        <v>2076</v>
      </c>
      <c r="BE9" s="1858"/>
      <c r="BF9" s="860" t="s">
        <v>2307</v>
      </c>
      <c r="BG9" s="863"/>
      <c r="BH9" s="869" t="s">
        <v>2077</v>
      </c>
      <c r="BI9" s="869" t="s">
        <v>2078</v>
      </c>
      <c r="BJ9" s="869" t="s">
        <v>2079</v>
      </c>
      <c r="BK9" s="870" t="s">
        <v>2080</v>
      </c>
      <c r="BL9" s="870" t="s">
        <v>2081</v>
      </c>
      <c r="BM9" s="871" t="s">
        <v>2082</v>
      </c>
      <c r="BN9" s="872" t="s">
        <v>2083</v>
      </c>
      <c r="BO9" s="873" t="s">
        <v>2084</v>
      </c>
      <c r="BP9" s="870" t="s">
        <v>2085</v>
      </c>
      <c r="BQ9" s="870" t="s">
        <v>2086</v>
      </c>
      <c r="BR9" s="870" t="s">
        <v>2087</v>
      </c>
      <c r="BS9" s="874" t="s">
        <v>2088</v>
      </c>
      <c r="BT9" s="875" t="s">
        <v>2089</v>
      </c>
      <c r="BU9" s="875" t="s">
        <v>2090</v>
      </c>
      <c r="BV9" s="875" t="s">
        <v>2091</v>
      </c>
      <c r="BW9" s="870" t="s">
        <v>2599</v>
      </c>
      <c r="BX9" s="870" t="s">
        <v>2600</v>
      </c>
      <c r="BY9" s="870" t="s">
        <v>2604</v>
      </c>
      <c r="BZ9" s="870" t="s">
        <v>2605</v>
      </c>
      <c r="CA9" s="876" t="s">
        <v>2092</v>
      </c>
      <c r="CB9" s="870" t="s">
        <v>2093</v>
      </c>
      <c r="CC9" s="877" t="s">
        <v>2094</v>
      </c>
      <c r="CD9" s="870" t="s">
        <v>2095</v>
      </c>
      <c r="CE9" s="870" t="s">
        <v>2096</v>
      </c>
      <c r="CF9" s="870" t="s">
        <v>2097</v>
      </c>
      <c r="CG9" s="870" t="s">
        <v>2098</v>
      </c>
      <c r="CH9" s="870" t="s">
        <v>2099</v>
      </c>
      <c r="CI9" s="878" t="s">
        <v>2100</v>
      </c>
      <c r="CJ9" s="878" t="s">
        <v>2101</v>
      </c>
      <c r="CK9" s="879" t="s">
        <v>2102</v>
      </c>
      <c r="CL9" s="880" t="s">
        <v>2103</v>
      </c>
      <c r="CM9" s="870" t="s">
        <v>2104</v>
      </c>
      <c r="CN9" s="870" t="s">
        <v>2602</v>
      </c>
      <c r="CO9" s="870" t="s">
        <v>2603</v>
      </c>
      <c r="CP9" s="880" t="s">
        <v>2105</v>
      </c>
      <c r="CQ9" s="881"/>
      <c r="CS9" s="1859" t="s">
        <v>2106</v>
      </c>
      <c r="CT9" s="1860"/>
      <c r="CU9" s="882" t="s">
        <v>2107</v>
      </c>
      <c r="CV9" s="882" t="s">
        <v>2108</v>
      </c>
      <c r="CW9" s="882" t="s">
        <v>2109</v>
      </c>
      <c r="CX9" s="882" t="s">
        <v>2110</v>
      </c>
      <c r="CY9" s="882" t="s">
        <v>2111</v>
      </c>
      <c r="CZ9" s="883" t="s">
        <v>2112</v>
      </c>
      <c r="DA9" s="884" t="s">
        <v>2089</v>
      </c>
      <c r="DB9" s="884" t="s">
        <v>2090</v>
      </c>
      <c r="DC9" s="884" t="s">
        <v>2091</v>
      </c>
      <c r="DD9" s="885" t="s">
        <v>2092</v>
      </c>
      <c r="DE9" s="882" t="s">
        <v>2113</v>
      </c>
      <c r="DF9" s="882" t="s">
        <v>2094</v>
      </c>
      <c r="DG9" s="882" t="s">
        <v>2095</v>
      </c>
      <c r="DH9" s="882" t="s">
        <v>2096</v>
      </c>
      <c r="DI9" s="870" t="s">
        <v>2097</v>
      </c>
      <c r="DJ9" s="882" t="s">
        <v>2098</v>
      </c>
      <c r="DK9" s="882" t="s">
        <v>2099</v>
      </c>
      <c r="DL9" s="886" t="s">
        <v>2100</v>
      </c>
      <c r="DM9" s="882" t="s">
        <v>2101</v>
      </c>
      <c r="DN9" s="887" t="s">
        <v>2102</v>
      </c>
      <c r="DO9" s="869" t="s">
        <v>2103</v>
      </c>
      <c r="DP9" s="882" t="s">
        <v>2104</v>
      </c>
      <c r="DQ9" s="870" t="s">
        <v>2602</v>
      </c>
      <c r="DR9" s="870" t="s">
        <v>2603</v>
      </c>
      <c r="DS9" s="880" t="s">
        <v>2114</v>
      </c>
      <c r="DT9" s="888"/>
      <c r="DU9" s="870" t="s">
        <v>2115</v>
      </c>
      <c r="DV9" s="873" t="s">
        <v>2116</v>
      </c>
      <c r="DW9" s="870" t="s">
        <v>2117</v>
      </c>
      <c r="DX9" s="870" t="s">
        <v>2118</v>
      </c>
      <c r="DY9" s="876" t="s">
        <v>2119</v>
      </c>
      <c r="DZ9" s="870" t="s">
        <v>2120</v>
      </c>
      <c r="EA9" s="870" t="s">
        <v>2121</v>
      </c>
      <c r="EB9" s="870" t="s">
        <v>2122</v>
      </c>
      <c r="EC9" s="870" t="s">
        <v>2123</v>
      </c>
      <c r="ED9" s="870" t="s">
        <v>2124</v>
      </c>
      <c r="EE9" s="870" t="s">
        <v>2125</v>
      </c>
      <c r="EF9" s="870" t="s">
        <v>2114</v>
      </c>
    </row>
    <row r="10" spans="1:136" s="853" customFormat="1" ht="15.75" thickBot="1">
      <c r="A10" s="889" t="s">
        <v>2126</v>
      </c>
      <c r="B10" s="889" t="s">
        <v>2127</v>
      </c>
      <c r="C10" s="889" t="s">
        <v>2128</v>
      </c>
      <c r="D10" s="889" t="s">
        <v>2129</v>
      </c>
      <c r="E10" s="889" t="s">
        <v>2130</v>
      </c>
      <c r="F10" s="889" t="s">
        <v>2131</v>
      </c>
      <c r="G10" s="889" t="s">
        <v>2132</v>
      </c>
      <c r="H10" s="889" t="s">
        <v>2133</v>
      </c>
      <c r="I10" s="889" t="s">
        <v>2134</v>
      </c>
      <c r="J10" s="889" t="s">
        <v>2135</v>
      </c>
      <c r="K10" s="889" t="s">
        <v>2136</v>
      </c>
      <c r="L10" s="889" t="s">
        <v>2137</v>
      </c>
      <c r="M10" s="889" t="s">
        <v>2138</v>
      </c>
      <c r="N10" s="890" t="s">
        <v>2139</v>
      </c>
      <c r="O10" s="890" t="s">
        <v>2140</v>
      </c>
      <c r="P10" s="889" t="s">
        <v>2141</v>
      </c>
      <c r="Q10" s="889" t="s">
        <v>2142</v>
      </c>
      <c r="R10" s="889" t="s">
        <v>2143</v>
      </c>
      <c r="S10" s="889" t="s">
        <v>2144</v>
      </c>
      <c r="T10" s="889" t="s">
        <v>2145</v>
      </c>
      <c r="U10" s="889" t="s">
        <v>2146</v>
      </c>
      <c r="V10" s="891" t="s">
        <v>2147</v>
      </c>
      <c r="W10" s="889" t="s">
        <v>2148</v>
      </c>
      <c r="X10" s="889" t="s">
        <v>2149</v>
      </c>
      <c r="Y10" s="889" t="s">
        <v>2150</v>
      </c>
      <c r="Z10" s="889" t="s">
        <v>2151</v>
      </c>
      <c r="AA10" s="889" t="s">
        <v>2152</v>
      </c>
      <c r="AB10" s="889" t="s">
        <v>2153</v>
      </c>
      <c r="AC10" s="889" t="s">
        <v>2154</v>
      </c>
      <c r="AD10" s="889" t="s">
        <v>2155</v>
      </c>
      <c r="AE10" s="889" t="s">
        <v>2156</v>
      </c>
      <c r="AF10" s="892" t="s">
        <v>2157</v>
      </c>
      <c r="AG10" s="889" t="s">
        <v>2158</v>
      </c>
      <c r="AH10" s="889" t="s">
        <v>2159</v>
      </c>
      <c r="AI10" s="889" t="s">
        <v>2160</v>
      </c>
      <c r="AJ10" s="889" t="s">
        <v>2161</v>
      </c>
      <c r="AK10" s="889" t="s">
        <v>2162</v>
      </c>
      <c r="AL10" s="889" t="s">
        <v>2163</v>
      </c>
      <c r="AM10" s="889" t="s">
        <v>2164</v>
      </c>
      <c r="AN10" s="889" t="s">
        <v>2165</v>
      </c>
      <c r="AO10" s="893" t="s">
        <v>2166</v>
      </c>
      <c r="AP10" s="893" t="s">
        <v>2167</v>
      </c>
      <c r="AQ10" s="889" t="s">
        <v>2168</v>
      </c>
      <c r="AR10" s="889" t="s">
        <v>2169</v>
      </c>
      <c r="AS10" s="889" t="s">
        <v>2170</v>
      </c>
      <c r="AT10" s="889" t="s">
        <v>2171</v>
      </c>
      <c r="AU10" s="889" t="s">
        <v>2172</v>
      </c>
      <c r="AV10" s="889" t="s">
        <v>2173</v>
      </c>
      <c r="AW10" s="889" t="s">
        <v>2174</v>
      </c>
      <c r="AX10" s="889" t="s">
        <v>2175</v>
      </c>
      <c r="AY10" s="889"/>
      <c r="AZ10" s="889"/>
      <c r="BA10" s="891"/>
      <c r="BB10" s="891"/>
      <c r="BC10" s="891"/>
      <c r="BD10" s="891" t="s">
        <v>2176</v>
      </c>
      <c r="BE10" s="891" t="s">
        <v>2177</v>
      </c>
      <c r="BF10" s="889" t="s">
        <v>2178</v>
      </c>
      <c r="BH10" s="894"/>
      <c r="BI10" s="894"/>
      <c r="BJ10" s="894"/>
      <c r="BK10" s="894"/>
      <c r="BL10" s="894" t="s">
        <v>1654</v>
      </c>
      <c r="BM10" s="895"/>
      <c r="BN10" s="895"/>
      <c r="BO10" s="894" t="s">
        <v>1654</v>
      </c>
      <c r="BP10" s="894" t="s">
        <v>1654</v>
      </c>
      <c r="BQ10" s="894" t="s">
        <v>1654</v>
      </c>
      <c r="BR10" s="894" t="s">
        <v>1654</v>
      </c>
      <c r="BS10" s="894" t="s">
        <v>352</v>
      </c>
      <c r="BT10" s="894" t="s">
        <v>205</v>
      </c>
      <c r="BU10" s="894" t="s">
        <v>205</v>
      </c>
      <c r="BV10" s="894" t="s">
        <v>205</v>
      </c>
      <c r="BW10" s="894" t="s">
        <v>352</v>
      </c>
      <c r="BX10" s="894" t="s">
        <v>352</v>
      </c>
      <c r="BY10" s="894" t="s">
        <v>352</v>
      </c>
      <c r="BZ10" s="894" t="s">
        <v>352</v>
      </c>
      <c r="CA10" s="894" t="s">
        <v>352</v>
      </c>
      <c r="CB10" s="894" t="s">
        <v>205</v>
      </c>
      <c r="CC10" s="894" t="s">
        <v>205</v>
      </c>
      <c r="CD10" s="894" t="s">
        <v>205</v>
      </c>
      <c r="CE10" s="894" t="s">
        <v>205</v>
      </c>
      <c r="CF10" s="894"/>
      <c r="CG10" s="894" t="s">
        <v>352</v>
      </c>
      <c r="CH10" s="894" t="s">
        <v>1654</v>
      </c>
      <c r="CI10" s="894" t="s">
        <v>352</v>
      </c>
      <c r="CJ10" s="894" t="s">
        <v>352</v>
      </c>
      <c r="CK10" s="896" t="s">
        <v>352</v>
      </c>
      <c r="CL10" s="894"/>
      <c r="CM10" s="894" t="s">
        <v>352</v>
      </c>
      <c r="CN10" s="894" t="s">
        <v>352</v>
      </c>
      <c r="CO10" s="894" t="s">
        <v>352</v>
      </c>
      <c r="CP10" s="894"/>
      <c r="CS10" s="894" t="s">
        <v>2179</v>
      </c>
      <c r="CT10" s="895" t="s">
        <v>2180</v>
      </c>
      <c r="CU10" s="894" t="s">
        <v>622</v>
      </c>
      <c r="CV10" s="894"/>
      <c r="CW10" s="894"/>
      <c r="CX10" s="894"/>
      <c r="CY10" s="894"/>
      <c r="CZ10" s="897"/>
      <c r="DA10" s="894"/>
      <c r="DB10" s="894"/>
      <c r="DC10" s="894"/>
      <c r="DD10" s="894" t="s">
        <v>352</v>
      </c>
      <c r="DE10" s="894" t="s">
        <v>205</v>
      </c>
      <c r="DF10" s="894" t="s">
        <v>205</v>
      </c>
      <c r="DG10" s="894" t="s">
        <v>205</v>
      </c>
      <c r="DH10" s="894" t="s">
        <v>205</v>
      </c>
      <c r="DI10" s="894"/>
      <c r="DJ10" s="894" t="s">
        <v>352</v>
      </c>
      <c r="DK10" s="894" t="s">
        <v>1654</v>
      </c>
      <c r="DL10" s="894" t="s">
        <v>352</v>
      </c>
      <c r="DM10" s="894" t="s">
        <v>352</v>
      </c>
      <c r="DN10" s="896" t="s">
        <v>352</v>
      </c>
      <c r="DO10" s="894" t="s">
        <v>2181</v>
      </c>
      <c r="DP10" s="894" t="s">
        <v>352</v>
      </c>
      <c r="DQ10" s="894" t="s">
        <v>352</v>
      </c>
      <c r="DR10" s="894" t="s">
        <v>352</v>
      </c>
      <c r="DS10" s="894" t="s">
        <v>352</v>
      </c>
      <c r="DT10" s="898"/>
      <c r="DU10" s="894" t="s">
        <v>622</v>
      </c>
      <c r="DV10" s="894" t="s">
        <v>2181</v>
      </c>
      <c r="DW10" s="894"/>
      <c r="DX10" s="894" t="s">
        <v>2181</v>
      </c>
      <c r="DY10" s="894" t="s">
        <v>2182</v>
      </c>
      <c r="DZ10" s="894" t="s">
        <v>2181</v>
      </c>
      <c r="EA10" s="894" t="s">
        <v>2181</v>
      </c>
      <c r="EB10" s="894" t="s">
        <v>2183</v>
      </c>
      <c r="EC10" s="894" t="s">
        <v>2183</v>
      </c>
      <c r="ED10" s="894" t="s">
        <v>2183</v>
      </c>
      <c r="EE10" s="894" t="s">
        <v>2183</v>
      </c>
      <c r="EF10" s="894" t="s">
        <v>2183</v>
      </c>
    </row>
    <row r="11" spans="1:136" s="919" customFormat="1" ht="15.75" thickTop="1">
      <c r="A11" s="899" t="s">
        <v>2308</v>
      </c>
      <c r="B11" s="900"/>
      <c r="C11" s="901"/>
      <c r="D11" s="902"/>
      <c r="E11" s="902"/>
      <c r="F11" s="903"/>
      <c r="G11" s="901"/>
      <c r="H11" s="904"/>
      <c r="I11" s="905"/>
      <c r="J11" s="906"/>
      <c r="K11" s="907"/>
      <c r="L11" s="901"/>
      <c r="M11" s="908"/>
      <c r="N11" s="907"/>
      <c r="O11" s="907"/>
      <c r="P11" s="901"/>
      <c r="Q11" s="901"/>
      <c r="R11" s="901"/>
      <c r="S11" s="907"/>
      <c r="T11" s="907"/>
      <c r="U11" s="907"/>
      <c r="V11" s="909"/>
      <c r="W11" s="907"/>
      <c r="X11" s="907"/>
      <c r="Y11" s="907"/>
      <c r="Z11" s="907"/>
      <c r="AA11" s="907"/>
      <c r="AB11" s="901"/>
      <c r="AC11" s="901"/>
      <c r="AD11" s="901"/>
      <c r="AE11" s="910"/>
      <c r="AF11" s="907"/>
      <c r="AG11" s="904"/>
      <c r="AH11" s="901"/>
      <c r="AI11" s="907"/>
      <c r="AJ11" s="907"/>
      <c r="AK11" s="911"/>
      <c r="AL11" s="912"/>
      <c r="AM11" s="913"/>
      <c r="AN11" s="913"/>
      <c r="AO11" s="914"/>
      <c r="AP11" s="914"/>
      <c r="AQ11" s="901"/>
      <c r="AR11" s="901"/>
      <c r="AS11" s="901"/>
      <c r="AT11" s="901"/>
      <c r="AU11" s="901"/>
      <c r="AV11" s="901"/>
      <c r="AW11" s="901"/>
      <c r="AX11" s="901"/>
      <c r="AY11" s="901"/>
      <c r="AZ11" s="901"/>
      <c r="BA11" s="901"/>
      <c r="BB11" s="901"/>
      <c r="BC11" s="901"/>
      <c r="BD11" s="901"/>
      <c r="BE11" s="901"/>
      <c r="BF11" s="915"/>
      <c r="BG11" s="916"/>
      <c r="BH11" s="917" t="str">
        <f>A11</f>
        <v>VIA PRIPNCIPAL-TRAMO 1</v>
      </c>
      <c r="BI11" s="1023"/>
      <c r="BJ11" s="903"/>
      <c r="BK11" s="901" t="str">
        <f t="shared" ref="BK11:BK74" si="0">IF(C11="","",ROUND( C11,2))</f>
        <v/>
      </c>
      <c r="BL11" s="901" t="str">
        <f t="shared" ref="BL11" si="1">IF(BK11="","",ROUND((BK11-1.2),2))</f>
        <v/>
      </c>
      <c r="BM11" s="908" t="str">
        <f t="shared" ref="BM11:BM74" si="2">IF(M11="","",M11)</f>
        <v/>
      </c>
      <c r="BN11" s="901" t="str">
        <f t="shared" ref="BN11" si="3">IF(BK11="","",ROUND((BK11),2))</f>
        <v/>
      </c>
      <c r="BO11" s="698"/>
      <c r="BP11" s="901" t="str">
        <f t="shared" ref="BP11:BP74" si="4">IF(BK11="","",ROUND((AK11-AO11),2))</f>
        <v/>
      </c>
      <c r="BQ11" s="901" t="str">
        <f t="shared" ref="BQ11:BQ74" si="5">IF(BK11="","",ROUND((AL11-AP11),2))</f>
        <v/>
      </c>
      <c r="BR11" s="901" t="str">
        <f t="shared" ref="BR11:BR74" si="6">IF(BK11="","",ROUND((BP11+BQ11)/2+0.1,2))</f>
        <v/>
      </c>
      <c r="BS11" s="901" t="str">
        <f t="shared" ref="BS11:BS74" si="7">IF(BK11="","",ROUND( BR11*BO11*BL11,2))</f>
        <v/>
      </c>
      <c r="BT11" s="901"/>
      <c r="BU11" s="901"/>
      <c r="BV11" s="901"/>
      <c r="BW11" s="901" t="str">
        <f t="shared" ref="BW11:BW36" si="8">IF(BK11="","",ROUND( BS11*$BN$1,2))</f>
        <v/>
      </c>
      <c r="BX11" s="901" t="str">
        <f t="shared" ref="BX11:BX36" si="9">IF(BK11="","",ROUND(BS11*$BN$2,2))</f>
        <v/>
      </c>
      <c r="BY11" s="901" t="str">
        <f>IF(BK11="","",ROUND(BS11*$BN$3,2))</f>
        <v/>
      </c>
      <c r="BZ11" s="901"/>
      <c r="CA11" s="901" t="str">
        <f>IF(BK11="","",ROUND( (PI()*((CS11*0.0254)^2)/4)*BL11,2))</f>
        <v/>
      </c>
      <c r="CB11" s="901" t="str">
        <f t="shared" ref="CB11:CB74" si="10">IF(BK11="","",ROUND(BL11*BO11,2))</f>
        <v/>
      </c>
      <c r="CC11" s="901"/>
      <c r="CD11" s="901" t="str">
        <f t="shared" ref="CD11:CD74" si="11">IF(BK11="","",ROUND(IF(CC11="F",CB11,0),2))</f>
        <v/>
      </c>
      <c r="CE11" s="901" t="str">
        <f t="shared" ref="CE11:CE74" si="12">IF(BK11="","",ROUND(IF(CC11="R",CB11,0),2))</f>
        <v/>
      </c>
      <c r="CF11" s="901" t="str">
        <f t="shared" ref="CF11" si="13">IF(CC11="","",IF(CC11="R",0.15,IF(CC11="F",0.07,IF(CC11="D",0))))</f>
        <v/>
      </c>
      <c r="CG11" s="901" t="str">
        <f t="shared" ref="CG11" si="14">IF(BK11="","",ROUND(IF(CB11="","",CB11*CF11),2))</f>
        <v/>
      </c>
      <c r="CH11" s="901"/>
      <c r="CI11" s="901" t="str">
        <f t="shared" ref="CI11" si="15">IF(BK11="","",ROUND(CB11*0.2,2))</f>
        <v/>
      </c>
      <c r="CJ11" s="901" t="str">
        <f t="shared" ref="CJ11" si="16">IF(BK11="","",ROUND(IF(CC11="F",(CH11*CB11),IF(CC11="R",0,0)),2))</f>
        <v/>
      </c>
      <c r="CK11" s="901" t="str">
        <f t="shared" ref="CK11:CK74" si="17">IF(BK11="","",ROUND(BS11-(CA11+CG11+CI11+CJ11+CM11),2))</f>
        <v/>
      </c>
      <c r="CL11" s="901" t="str">
        <f t="shared" ref="CL11:CL74" si="18">IF(BK11="","",0.1)</f>
        <v/>
      </c>
      <c r="CM11" s="901" t="str">
        <f t="shared" ref="CM11:CM74" si="19">IF(BK11="","",ROUND((BL11*BO11)*0.1,2))</f>
        <v/>
      </c>
      <c r="CN11" s="901" t="str">
        <f>IF(BK11="","",ROUND(CK11*$BR$2,2))</f>
        <v/>
      </c>
      <c r="CO11" s="901" t="str">
        <f>IF(BK11="","",ROUND(CK11*$BR$1,2))</f>
        <v/>
      </c>
      <c r="CP11" s="901" t="str">
        <f t="shared" ref="CP11" si="20">IF(BK11="","",ROUND(BS11-(CA11+CO11),2))</f>
        <v/>
      </c>
      <c r="CQ11" s="916"/>
      <c r="CR11" s="918"/>
      <c r="CS11" s="908"/>
      <c r="CT11" s="699"/>
      <c r="CU11" s="908"/>
      <c r="CV11" s="901"/>
      <c r="CW11" s="901"/>
      <c r="CX11" s="901"/>
      <c r="CY11" s="901" t="str">
        <f>IF(BK11="","",ROUND((1+BR11)/2,2))</f>
        <v/>
      </c>
      <c r="CZ11" s="901" t="str">
        <f>IF(BK11="","",ROUND(CV11*CX11*CY11*CU11,2))</f>
        <v/>
      </c>
      <c r="DA11" s="901" t="str">
        <f>IF(BK11="","",ROUND( IF(AND(CY11&gt;=1.5, CY11&lt;2),(CY11*CW11),0),2))</f>
        <v/>
      </c>
      <c r="DB11" s="901" t="str">
        <f>IF(BK11="","",ROUND(IF(AND(CY11&gt;=2, CY11&lt;4),(CY11*CW11),0),2))</f>
        <v/>
      </c>
      <c r="DC11" s="901" t="str">
        <f>IF(BK11="","",ROUND(IF(CY11&gt;=4,(CY11*CW11),0),2))</f>
        <v/>
      </c>
      <c r="DD11" s="901" t="str">
        <f>IF(BK11="","",ROUND((PI()*((6*0.0254)^2)/4)*CW11,2))</f>
        <v/>
      </c>
      <c r="DE11" s="901" t="str">
        <f>IF(BK11="","",ROUND(CW11*CX11,2))</f>
        <v/>
      </c>
      <c r="DF11" s="901"/>
      <c r="DG11" s="901" t="str">
        <f>IF(BK11="","",ROUND(IF(DF11="F",DE11,0),2))</f>
        <v/>
      </c>
      <c r="DH11" s="901" t="str">
        <f>IF(BK11="","",ROUND( IF(DF11="R",DE11,0),2))</f>
        <v/>
      </c>
      <c r="DI11" s="901" t="str">
        <f t="shared" ref="DI11" si="21">IF(DF11="","",IF(DF11="R",0.15,IF(DF11="F",0.07,IF(DF11="D",0))))</f>
        <v/>
      </c>
      <c r="DJ11" s="901" t="str">
        <f>IF(BK11="","",ROUND(IF(DE11="","",DE11*DI11),2))</f>
        <v/>
      </c>
      <c r="DK11" s="901"/>
      <c r="DL11" s="901" t="str">
        <f>IF(BK11="","",ROUND( DE11*DK11,2))</f>
        <v/>
      </c>
      <c r="DM11" s="901" t="str">
        <f>IF(BK11="","",ROUND(IF(DF11="F",(DK11*DE11),IF(DF11="R",0,0)),2))</f>
        <v/>
      </c>
      <c r="DN11" s="901" t="str">
        <f>IF(BK11="","",ROUND(CZ11-(DD11+DJ11+DL11+DM11+DP11),2))</f>
        <v/>
      </c>
      <c r="DO11" s="901" t="str">
        <f>IF(BK11="","",0.1)</f>
        <v/>
      </c>
      <c r="DP11" s="901"/>
      <c r="DQ11" s="901" t="str">
        <f>IF(BK11="","",ROUND(DN11*$BR$2,2))</f>
        <v/>
      </c>
      <c r="DR11" s="901" t="str">
        <f>IF(BK11="","",ROUND(DN11*$BR$1,2))</f>
        <v/>
      </c>
      <c r="DS11" s="901" t="str">
        <f>IF(BK11="","",ROUND(CZ11-(DD11+DR11),2))</f>
        <v/>
      </c>
      <c r="DT11" s="916"/>
      <c r="DU11" s="917"/>
      <c r="DV11" s="917"/>
      <c r="DW11" s="917"/>
      <c r="DX11" s="917"/>
      <c r="DY11" s="917"/>
      <c r="DZ11" s="917"/>
      <c r="EA11" s="917"/>
      <c r="EB11" s="917"/>
      <c r="EC11" s="917"/>
      <c r="ED11" s="917"/>
      <c r="EE11" s="917"/>
      <c r="EF11" s="917"/>
    </row>
    <row r="12" spans="1:136">
      <c r="A12" s="920" t="s">
        <v>2184</v>
      </c>
      <c r="B12" s="920" t="s">
        <v>2185</v>
      </c>
      <c r="C12" s="1294">
        <v>42.69</v>
      </c>
      <c r="D12" s="921">
        <v>0</v>
      </c>
      <c r="E12" s="921">
        <v>42.69</v>
      </c>
      <c r="F12" s="922">
        <v>1.4999999999999999E-2</v>
      </c>
      <c r="G12" s="923">
        <v>1.5</v>
      </c>
      <c r="H12" s="924">
        <v>1.5E-3</v>
      </c>
      <c r="I12" s="925">
        <v>0.10634809088779489</v>
      </c>
      <c r="J12" s="926">
        <v>0.1065</v>
      </c>
      <c r="K12" s="927">
        <v>4.2580558078224945E-2</v>
      </c>
      <c r="L12" s="923">
        <v>1.6763999243328591</v>
      </c>
      <c r="M12" s="928">
        <v>8</v>
      </c>
      <c r="N12" s="927">
        <v>0.2</v>
      </c>
      <c r="O12" s="927">
        <v>0.182</v>
      </c>
      <c r="P12" s="923">
        <v>7.2209638943374468E-2</v>
      </c>
      <c r="Q12" s="923">
        <v>2.775629538043392</v>
      </c>
      <c r="R12" s="923">
        <v>0.02</v>
      </c>
      <c r="S12" s="927">
        <v>0.36199999999999999</v>
      </c>
      <c r="T12" s="929">
        <v>0.124</v>
      </c>
      <c r="U12" s="927">
        <v>0.315</v>
      </c>
      <c r="V12" s="930">
        <v>1.0047778927717079</v>
      </c>
      <c r="W12" s="927">
        <v>5.1456606208091428E-2</v>
      </c>
      <c r="X12" s="927">
        <v>1.43325E-2</v>
      </c>
      <c r="Y12" s="927">
        <v>2.2567999999999998E-2</v>
      </c>
      <c r="Z12" s="927">
        <v>7.4024606208091426E-2</v>
      </c>
      <c r="AA12" s="931">
        <v>6.7000000000000004E-2</v>
      </c>
      <c r="AB12" s="924">
        <v>1.2194E-2</v>
      </c>
      <c r="AC12" s="923">
        <v>14.974094362500001</v>
      </c>
      <c r="AD12" s="923">
        <v>2.9051092693450866</v>
      </c>
      <c r="AE12" s="932" t="s">
        <v>2197</v>
      </c>
      <c r="AF12" s="927">
        <v>0</v>
      </c>
      <c r="AG12" s="924">
        <v>0</v>
      </c>
      <c r="AH12" s="923">
        <v>3.2967032967032965</v>
      </c>
      <c r="AI12" s="927">
        <v>1.2864151552022859E-3</v>
      </c>
      <c r="AJ12" s="927">
        <v>1.2864151552022859E-3</v>
      </c>
      <c r="AK12" s="933">
        <v>948.92</v>
      </c>
      <c r="AL12" s="933">
        <v>944.38</v>
      </c>
      <c r="AM12" s="930">
        <v>947.71999999999991</v>
      </c>
      <c r="AN12" s="930">
        <v>943.17351499999995</v>
      </c>
      <c r="AO12" s="934">
        <v>947.51999999999987</v>
      </c>
      <c r="AP12" s="934">
        <v>942.97351499999991</v>
      </c>
      <c r="AQ12" s="923">
        <v>947.54256799999985</v>
      </c>
      <c r="AR12" s="923">
        <v>942.99608299999989</v>
      </c>
      <c r="AS12" s="923">
        <v>947.594024606208</v>
      </c>
      <c r="AT12" s="923">
        <v>943.04753960620803</v>
      </c>
      <c r="AU12" s="923">
        <v>1.2000000000000455</v>
      </c>
      <c r="AV12" s="923">
        <v>1.2064850000000433</v>
      </c>
      <c r="AW12" s="923">
        <v>1.4000000000000909</v>
      </c>
      <c r="AX12" s="923">
        <v>1.4064850000000888</v>
      </c>
      <c r="AY12" s="923">
        <v>1.999999999998181E-2</v>
      </c>
      <c r="AZ12" s="923" t="s">
        <v>2187</v>
      </c>
      <c r="BA12" s="935" t="s">
        <v>2188</v>
      </c>
      <c r="BB12" s="935" t="s">
        <v>2189</v>
      </c>
      <c r="BC12" s="935" t="s">
        <v>2198</v>
      </c>
      <c r="BD12" s="935" t="s">
        <v>2191</v>
      </c>
      <c r="BE12" s="935" t="s">
        <v>2191</v>
      </c>
      <c r="BF12" s="935"/>
      <c r="BG12" s="936"/>
      <c r="BH12" s="937"/>
      <c r="BI12" s="894" t="str">
        <f t="shared" ref="BI12:BJ27" si="22">A12</f>
        <v>PZ-1</v>
      </c>
      <c r="BJ12" s="894" t="str">
        <f t="shared" si="22"/>
        <v>PZ-2</v>
      </c>
      <c r="BK12" s="938">
        <f t="shared" si="0"/>
        <v>42.69</v>
      </c>
      <c r="BL12" s="938">
        <f>IF(BK12="","",ROUND((BK12-1.6),2))</f>
        <v>41.09</v>
      </c>
      <c r="BM12" s="895">
        <f t="shared" si="2"/>
        <v>8</v>
      </c>
      <c r="BN12" s="938">
        <f>IF(BK12="","",ROUND((BK12-1.2),2))</f>
        <v>41.49</v>
      </c>
      <c r="BO12" s="700">
        <f>IF(M12=6,0.5,IF(M12=8,0.6,IF(M12=10,0.65,IF(M12=12,0.7,IF(M12=14,0.75,IF(M12=16,0.8,IF(M12=18,0.85,"")))))))</f>
        <v>0.6</v>
      </c>
      <c r="BP12" s="938">
        <f t="shared" si="4"/>
        <v>1.4</v>
      </c>
      <c r="BQ12" s="938">
        <f t="shared" si="5"/>
        <v>1.41</v>
      </c>
      <c r="BR12" s="938">
        <f t="shared" si="6"/>
        <v>1.51</v>
      </c>
      <c r="BS12" s="938">
        <f t="shared" si="7"/>
        <v>37.229999999999997</v>
      </c>
      <c r="BT12" s="938">
        <f t="shared" ref="BT12:BT74" si="23">IF(AND(BR12&gt;=1.5, BR12&lt;2),(BR12*BL12),0)</f>
        <v>62.045900000000003</v>
      </c>
      <c r="BU12" s="938">
        <f>IF(AND(BR12&gt;=2, BR12&lt;4),(BR12*BL12),0)*0.78</f>
        <v>0</v>
      </c>
      <c r="BV12" s="938">
        <f t="shared" ref="BV12:BV74" si="24">IF(BR12&gt;=4,(BR12*BL12),0)</f>
        <v>0</v>
      </c>
      <c r="BW12" s="938">
        <f t="shared" si="8"/>
        <v>0</v>
      </c>
      <c r="BX12" s="938">
        <f t="shared" si="9"/>
        <v>29.78</v>
      </c>
      <c r="BY12" s="938">
        <f t="shared" ref="BY12:BY75" si="25">IF(BK12="","",ROUND(BS12*$BN$3,2))</f>
        <v>6.33</v>
      </c>
      <c r="BZ12" s="938">
        <f>IF(BL12="","",ROUND(BS12*$BN$4,2))</f>
        <v>1.1200000000000001</v>
      </c>
      <c r="CA12" s="938">
        <f>IF(BK12="","",ROUND( (PI()*((BM12*0.0254)^2)/4)*BL12,2))</f>
        <v>1.33</v>
      </c>
      <c r="CB12" s="938">
        <f t="shared" si="10"/>
        <v>24.65</v>
      </c>
      <c r="CC12" s="938" t="s">
        <v>2192</v>
      </c>
      <c r="CD12" s="938">
        <f t="shared" si="11"/>
        <v>0</v>
      </c>
      <c r="CE12" s="938">
        <f t="shared" si="12"/>
        <v>0</v>
      </c>
      <c r="CF12" s="938">
        <f>IF(CC12="","",IF(CC12="R",0.2,IF(CC12="F",0.07,IF(CC12="D",0))))</f>
        <v>0</v>
      </c>
      <c r="CG12" s="938">
        <f>IF(BK12="","",ROUND(IF(CB12="","",CB12*CF12),2))</f>
        <v>0</v>
      </c>
      <c r="CH12" s="938">
        <v>0.3</v>
      </c>
      <c r="CI12" s="938">
        <f>ROUND(IF(BK12="","",IF(OR(CC12="R",CC12="F"),(CH12*CB12),0)),2)</f>
        <v>0</v>
      </c>
      <c r="CJ12" s="938">
        <f>IF(BK12="","",ROUND(IF(CC12="F",CB12*CH12,0),2))</f>
        <v>0</v>
      </c>
      <c r="CK12" s="938">
        <f t="shared" si="17"/>
        <v>33.43</v>
      </c>
      <c r="CL12" s="938">
        <f t="shared" si="18"/>
        <v>0.1</v>
      </c>
      <c r="CM12" s="938">
        <f t="shared" si="19"/>
        <v>2.4700000000000002</v>
      </c>
      <c r="CN12" s="938">
        <f t="shared" ref="CN12:CN75" si="26">IF(BK12="","",ROUND(CK12*$BR$2,2))</f>
        <v>9.7100000000000009</v>
      </c>
      <c r="CO12" s="938">
        <f t="shared" ref="CO12:CO75" si="27">IF(BK12="","",ROUND(CK12*$BR$1,2))</f>
        <v>23.72</v>
      </c>
      <c r="CP12" s="938">
        <f>IF(BK12="","",ROUND(BS12-(CO12),2))</f>
        <v>13.51</v>
      </c>
      <c r="CQ12" s="936"/>
      <c r="CR12" s="853"/>
      <c r="CS12" s="895">
        <f t="shared" ref="CS12:CS74" si="28">+M12</f>
        <v>8</v>
      </c>
      <c r="CT12" s="701">
        <f t="shared" ref="CT12:CT74" si="29">IF(M12=6,160,IF(M12=8,200,IF(M12=10,250,IF(M12=12,315,IF(M12=14,350,IF(M12=16,400,IF(M12=18,450,"")))))))</f>
        <v>200</v>
      </c>
      <c r="CU12" s="895">
        <v>2</v>
      </c>
      <c r="CV12" s="938">
        <v>17.350000000000001</v>
      </c>
      <c r="CW12" s="938">
        <f>+CV12*CU12</f>
        <v>34.700000000000003</v>
      </c>
      <c r="CX12" s="938">
        <f t="shared" ref="CX12:CX74" si="30">+IF(CY12&gt;=2,0.8,0.6)</f>
        <v>0.6</v>
      </c>
      <c r="CY12" s="938">
        <f>IF(BK12="","",ROUND((1+BR12)/2,2))</f>
        <v>1.26</v>
      </c>
      <c r="CZ12" s="938">
        <f>IF(BK12="","",ROUND(CV12*CX12*CY12*CU12,2))</f>
        <v>26.23</v>
      </c>
      <c r="DA12" s="938">
        <f>IF(BK12="","",ROUND( IF(AND(CY12&gt;=1.5, CY12&lt;2),(CY12*CW12),0),2))</f>
        <v>0</v>
      </c>
      <c r="DB12" s="938">
        <f>IF(BK12="","",ROUND(IF(AND(CY12&gt;=2, CY12&lt;4),(CY12*CW12),0),2))</f>
        <v>0</v>
      </c>
      <c r="DC12" s="938">
        <f>IF(BK12="","",ROUND(IF(CY12&gt;=4,(CY12*CW12),0),2))</f>
        <v>0</v>
      </c>
      <c r="DD12" s="938">
        <f>IF(BK12="","",ROUND((PI()*((6*0.0254)^2)/4)*CW12,2))</f>
        <v>0.63</v>
      </c>
      <c r="DE12" s="938">
        <f>IF(BK12="","",ROUND(CW12*CX12,2))</f>
        <v>20.82</v>
      </c>
      <c r="DF12" s="938" t="s">
        <v>2192</v>
      </c>
      <c r="DG12" s="938">
        <f>IF(BK12="","",ROUND(IF(DF12="F",DE12,0),2))</f>
        <v>0</v>
      </c>
      <c r="DH12" s="938">
        <f>IF(BK12="","",ROUND( IF(DF12="R",DE12,0),2))</f>
        <v>0</v>
      </c>
      <c r="DI12" s="938">
        <f>IF(DF12="","",IF(DF12="R",0.2,IF(DF12="F",0.07,IF(DF12="D",0))))</f>
        <v>0</v>
      </c>
      <c r="DJ12" s="938">
        <f>IF(BK12="","",ROUND(IF(DE12="","",DE12*DI12),2))</f>
        <v>0</v>
      </c>
      <c r="DK12" s="938">
        <v>0.3</v>
      </c>
      <c r="DL12" s="938">
        <f>ROUND(IF(CO12="","",IF(OR(DF12="R",DF12="F"),(DK12*DE12),0)),2)</f>
        <v>0</v>
      </c>
      <c r="DM12" s="938">
        <f>IF(CO12="","",ROUND(IF(DF12="F",DE12*DK12,0),2))</f>
        <v>0</v>
      </c>
      <c r="DN12" s="938">
        <f>IF(BK12="","",ROUND(CZ12-(DD12+DJ12+DL12+DM12+DP12),2))</f>
        <v>23.52</v>
      </c>
      <c r="DO12" s="938">
        <f>IF(BK12="","",0.1)</f>
        <v>0.1</v>
      </c>
      <c r="DP12" s="938">
        <f>+DE12*DO12</f>
        <v>2.0820000000000003</v>
      </c>
      <c r="DQ12" s="938">
        <f>IF(BK12="","",ROUND(DN12*0.2,2))</f>
        <v>4.7</v>
      </c>
      <c r="DR12" s="938">
        <f>IF(BK12="","",ROUND(DN12*0.8,2))</f>
        <v>18.82</v>
      </c>
      <c r="DS12" s="938">
        <f>IF(BK12="","",ROUND(CZ12-(DD12+DR12),2))</f>
        <v>6.78</v>
      </c>
      <c r="DT12" s="936"/>
      <c r="DU12" s="937" t="str">
        <f t="shared" ref="DU12:DU74" si="31">+A12</f>
        <v>PZ-1</v>
      </c>
      <c r="DV12" s="938">
        <f>+BP12+0.2</f>
        <v>1.5999999999999999</v>
      </c>
      <c r="DW12" s="938">
        <v>1.2</v>
      </c>
      <c r="DX12" s="938">
        <v>1.6</v>
      </c>
      <c r="DY12" s="938">
        <f>+((PI()*DX12^2)/4)*DV12*-1</f>
        <v>-3.2169908772759483</v>
      </c>
      <c r="DZ12" s="938">
        <v>1.6</v>
      </c>
      <c r="EA12" s="938">
        <v>1.6</v>
      </c>
      <c r="EB12" s="938">
        <f>+(DZ12*EA12*DV12)</f>
        <v>4.0960000000000001</v>
      </c>
      <c r="EC12" s="938">
        <f>+EB12+DY12</f>
        <v>0.87900912272405174</v>
      </c>
      <c r="ED12" s="938">
        <f>+EC12*0.55</f>
        <v>0.4834550174982285</v>
      </c>
      <c r="EE12" s="938">
        <f>+EC12*0.45</f>
        <v>0.39555410522582329</v>
      </c>
      <c r="EF12" s="938">
        <f>+ED12</f>
        <v>0.4834550174982285</v>
      </c>
    </row>
    <row r="13" spans="1:136">
      <c r="A13" s="920" t="s">
        <v>2185</v>
      </c>
      <c r="B13" s="920" t="s">
        <v>2193</v>
      </c>
      <c r="C13" s="1294">
        <v>57.881999999999998</v>
      </c>
      <c r="D13" s="921">
        <v>42.69</v>
      </c>
      <c r="E13" s="921">
        <v>100.572</v>
      </c>
      <c r="F13" s="922">
        <v>1.4999999999999999E-2</v>
      </c>
      <c r="G13" s="923">
        <v>1.5</v>
      </c>
      <c r="H13" s="924">
        <v>1.5E-3</v>
      </c>
      <c r="I13" s="925">
        <v>7.1352061089803312E-2</v>
      </c>
      <c r="J13" s="926">
        <v>7.0999999999999994E-2</v>
      </c>
      <c r="K13" s="927">
        <v>4.5943963712012849E-2</v>
      </c>
      <c r="L13" s="923">
        <v>1.8088174689696483</v>
      </c>
      <c r="M13" s="928">
        <v>8</v>
      </c>
      <c r="N13" s="927">
        <v>0.2</v>
      </c>
      <c r="O13" s="927">
        <v>0.182</v>
      </c>
      <c r="P13" s="923">
        <v>5.8958923307290821E-2</v>
      </c>
      <c r="Q13" s="923">
        <v>2.2662920277344329</v>
      </c>
      <c r="R13" s="923">
        <v>0.03</v>
      </c>
      <c r="S13" s="927">
        <v>0.4</v>
      </c>
      <c r="T13" s="929">
        <v>0.14799999999999999</v>
      </c>
      <c r="U13" s="927">
        <v>0.37</v>
      </c>
      <c r="V13" s="930">
        <v>0.90651681109377324</v>
      </c>
      <c r="W13" s="927">
        <v>4.1884440815271345E-2</v>
      </c>
      <c r="X13" s="927">
        <v>1.6834999999999999E-2</v>
      </c>
      <c r="Y13" s="927">
        <v>2.6935999999999998E-2</v>
      </c>
      <c r="Z13" s="927">
        <v>6.8820440815271347E-2</v>
      </c>
      <c r="AA13" s="931">
        <v>8.5999999999999993E-2</v>
      </c>
      <c r="AB13" s="924">
        <v>1.5651999999999999E-2</v>
      </c>
      <c r="AC13" s="923">
        <v>11.725745850000001</v>
      </c>
      <c r="AD13" s="923">
        <v>2.3134304046296883</v>
      </c>
      <c r="AE13" s="932" t="s">
        <v>2197</v>
      </c>
      <c r="AF13" s="927">
        <v>-9.5721653928200826E-3</v>
      </c>
      <c r="AG13" s="924">
        <v>1.9144330785640165E-3</v>
      </c>
      <c r="AH13" s="923">
        <v>3.2967032967032965</v>
      </c>
      <c r="AI13" s="927">
        <v>2.3335261755840692E-3</v>
      </c>
      <c r="AJ13" s="927">
        <v>4.2479592541480853E-3</v>
      </c>
      <c r="AK13" s="933">
        <v>944.38</v>
      </c>
      <c r="AL13" s="933">
        <v>940.25</v>
      </c>
      <c r="AM13" s="930">
        <v>943.15351499999997</v>
      </c>
      <c r="AN13" s="930">
        <v>939.04389300000003</v>
      </c>
      <c r="AO13" s="934">
        <v>942.95351499999992</v>
      </c>
      <c r="AP13" s="934">
        <v>938.84389299999998</v>
      </c>
      <c r="AQ13" s="923">
        <v>942.9804509999999</v>
      </c>
      <c r="AR13" s="923">
        <v>938.87082899999996</v>
      </c>
      <c r="AS13" s="923">
        <v>943.04625319105287</v>
      </c>
      <c r="AT13" s="923">
        <v>938.93663119105292</v>
      </c>
      <c r="AU13" s="923">
        <v>1.2264850000000251</v>
      </c>
      <c r="AV13" s="923">
        <v>1.2061069999999745</v>
      </c>
      <c r="AW13" s="923">
        <v>1.4264850000000706</v>
      </c>
      <c r="AX13" s="923">
        <v>1.40610700000002</v>
      </c>
      <c r="AY13" s="923">
        <v>0.20361199999990731</v>
      </c>
      <c r="AZ13" s="923" t="s">
        <v>2187</v>
      </c>
      <c r="BA13" s="935" t="s">
        <v>2188</v>
      </c>
      <c r="BB13" s="935" t="s">
        <v>2189</v>
      </c>
      <c r="BC13" s="935" t="s">
        <v>2198</v>
      </c>
      <c r="BD13" s="935" t="s">
        <v>2191</v>
      </c>
      <c r="BE13" s="935" t="s">
        <v>2191</v>
      </c>
      <c r="BF13" s="935"/>
      <c r="BG13" s="936"/>
      <c r="BH13" s="937"/>
      <c r="BI13" s="894" t="str">
        <f t="shared" si="22"/>
        <v>PZ-2</v>
      </c>
      <c r="BJ13" s="894" t="str">
        <f t="shared" si="22"/>
        <v>PZ-3</v>
      </c>
      <c r="BK13" s="938">
        <f t="shared" si="0"/>
        <v>57.88</v>
      </c>
      <c r="BL13" s="938">
        <f t="shared" ref="BL13:BL74" si="32">IF(BK13="","",ROUND((BK13-1.6),2))</f>
        <v>56.28</v>
      </c>
      <c r="BM13" s="895">
        <f t="shared" si="2"/>
        <v>8</v>
      </c>
      <c r="BN13" s="938">
        <f t="shared" ref="BN13:BN74" si="33">IF(BK13="","",ROUND((BK13-1.2),2))</f>
        <v>56.68</v>
      </c>
      <c r="BO13" s="700">
        <f t="shared" ref="BO13:BO76" si="34">IF(M13=6,0.5,IF(M13=8,0.6,IF(M13=10,0.65,IF(M13=12,0.7,IF(M13=14,0.75,IF(M13=16,0.8,IF(M13=18,0.85,"")))))))</f>
        <v>0.6</v>
      </c>
      <c r="BP13" s="938">
        <f t="shared" si="4"/>
        <v>1.43</v>
      </c>
      <c r="BQ13" s="938">
        <f t="shared" si="5"/>
        <v>1.41</v>
      </c>
      <c r="BR13" s="938">
        <f t="shared" si="6"/>
        <v>1.52</v>
      </c>
      <c r="BS13" s="938">
        <f t="shared" si="7"/>
        <v>51.33</v>
      </c>
      <c r="BT13" s="938">
        <f t="shared" si="23"/>
        <v>85.545600000000007</v>
      </c>
      <c r="BU13" s="938">
        <f t="shared" ref="BU13:BU76" si="35">IF(AND(BR13&gt;=2, BR13&lt;4),(BR13*BL13),0)*0.78</f>
        <v>0</v>
      </c>
      <c r="BV13" s="938">
        <f t="shared" si="24"/>
        <v>0</v>
      </c>
      <c r="BW13" s="938">
        <f t="shared" si="8"/>
        <v>0</v>
      </c>
      <c r="BX13" s="938">
        <f t="shared" si="9"/>
        <v>41.06</v>
      </c>
      <c r="BY13" s="938">
        <f t="shared" si="25"/>
        <v>8.73</v>
      </c>
      <c r="BZ13" s="938">
        <f t="shared" ref="BZ13:BZ76" si="36">IF(BL13="","",ROUND(BS13*$BN$4,2))</f>
        <v>1.54</v>
      </c>
      <c r="CA13" s="938">
        <f t="shared" ref="CA13:CA74" si="37">IF(BK13="","",ROUND( (PI()*((BM13*0.0254)^2)/4)*BL13,2))</f>
        <v>1.83</v>
      </c>
      <c r="CB13" s="938">
        <f t="shared" si="10"/>
        <v>33.770000000000003</v>
      </c>
      <c r="CC13" s="938" t="s">
        <v>2192</v>
      </c>
      <c r="CD13" s="938">
        <f t="shared" si="11"/>
        <v>0</v>
      </c>
      <c r="CE13" s="938">
        <f t="shared" si="12"/>
        <v>0</v>
      </c>
      <c r="CF13" s="938">
        <f t="shared" ref="CF13:CF74" si="38">IF(CC13="","",IF(CC13="R",0.2,IF(CC13="F",0.07,IF(CC13="D",0))))</f>
        <v>0</v>
      </c>
      <c r="CG13" s="938">
        <f t="shared" ref="CG13:CG74" si="39">IF(BK13="","",ROUND(IF(CB13="","",CB13*CF13),2))</f>
        <v>0</v>
      </c>
      <c r="CH13" s="938">
        <v>0.3</v>
      </c>
      <c r="CI13" s="938">
        <f t="shared" ref="CI13:CI74" si="40">ROUND(IF(BK13="","",IF(OR(CC13="R",CC13="F"),(CH13*CB13),0)),2)</f>
        <v>0</v>
      </c>
      <c r="CJ13" s="938">
        <f t="shared" ref="CJ13:CJ74" si="41">IF(BK13="","",ROUND(IF(CC13="F",CB13*CH13,0),2))</f>
        <v>0</v>
      </c>
      <c r="CK13" s="938">
        <f t="shared" si="17"/>
        <v>46.12</v>
      </c>
      <c r="CL13" s="938">
        <f t="shared" si="18"/>
        <v>0.1</v>
      </c>
      <c r="CM13" s="938">
        <f t="shared" si="19"/>
        <v>3.38</v>
      </c>
      <c r="CN13" s="938">
        <f t="shared" si="26"/>
        <v>13.4</v>
      </c>
      <c r="CO13" s="938">
        <f t="shared" si="27"/>
        <v>32.72</v>
      </c>
      <c r="CP13" s="938">
        <f t="shared" ref="CP13:CP74" si="42">IF(BK13="","",ROUND(BS13-(CO13),2))</f>
        <v>18.61</v>
      </c>
      <c r="CQ13" s="936"/>
      <c r="CR13" s="853"/>
      <c r="CS13" s="895">
        <f t="shared" si="28"/>
        <v>8</v>
      </c>
      <c r="CT13" s="701">
        <f t="shared" si="29"/>
        <v>200</v>
      </c>
      <c r="CU13" s="895">
        <v>2</v>
      </c>
      <c r="CV13" s="938">
        <v>8.35</v>
      </c>
      <c r="CW13" s="938">
        <f t="shared" ref="CW13:CW76" si="43">+CV13*CU13</f>
        <v>16.7</v>
      </c>
      <c r="CX13" s="938">
        <f t="shared" si="30"/>
        <v>0.6</v>
      </c>
      <c r="CY13" s="938">
        <f t="shared" ref="CY13:CY76" si="44">IF(BK13="","",ROUND((1+BR13)/2,2))</f>
        <v>1.26</v>
      </c>
      <c r="CZ13" s="938">
        <f t="shared" ref="CZ13:CZ76" si="45">IF(BK13="","",ROUND(CV13*CX13*CY13*CU13,2))</f>
        <v>12.63</v>
      </c>
      <c r="DA13" s="938">
        <f t="shared" ref="DA13:DA76" si="46">IF(BK13="","",ROUND( IF(AND(CY13&gt;=1.5, CY13&lt;2),(CY13*CW13),0),2))</f>
        <v>0</v>
      </c>
      <c r="DB13" s="938">
        <f t="shared" ref="DB13:DB76" si="47">IF(BK13="","",ROUND(IF(AND(CY13&gt;=2, CY13&lt;4),(CY13*CW13),0),2))</f>
        <v>0</v>
      </c>
      <c r="DC13" s="938">
        <f t="shared" ref="DC13:DC76" si="48">IF(BK13="","",ROUND(IF(CY13&gt;=4,(CY13*CW13),0),2))</f>
        <v>0</v>
      </c>
      <c r="DD13" s="938">
        <f t="shared" ref="DD13:DD76" si="49">IF(BK13="","",ROUND((PI()*((6*0.0254)^2)/4)*CW13,2))</f>
        <v>0.3</v>
      </c>
      <c r="DE13" s="938">
        <f t="shared" ref="DE13:DE76" si="50">IF(BK13="","",ROUND(CW13*CX13,2))</f>
        <v>10.02</v>
      </c>
      <c r="DF13" s="938" t="str">
        <f t="shared" ref="DF13:DF76" si="51">+CC13</f>
        <v>D</v>
      </c>
      <c r="DG13" s="938">
        <f t="shared" ref="DG13:DG76" si="52">IF(BK13="","",ROUND(IF(DF13="F",DE13,0),2))</f>
        <v>0</v>
      </c>
      <c r="DH13" s="938">
        <f t="shared" ref="DH13:DH76" si="53">IF(BK13="","",ROUND( IF(DF13="R",DE13,0),2))</f>
        <v>0</v>
      </c>
      <c r="DI13" s="938">
        <f t="shared" ref="DI13:DI76" si="54">IF(DF13="","",IF(DF13="R",0.2,IF(DF13="F",0.07,IF(DF13="D",0))))</f>
        <v>0</v>
      </c>
      <c r="DJ13" s="938">
        <f t="shared" ref="DJ13:DJ76" si="55">IF(BK13="","",ROUND(IF(DE13="","",DE13*DI13),2))</f>
        <v>0</v>
      </c>
      <c r="DK13" s="938">
        <v>0.3</v>
      </c>
      <c r="DL13" s="938">
        <f t="shared" ref="DL13:DL76" si="56">ROUND(IF(CO13="","",IF(OR(DF13="R",DF13="F"),(DK13*DE13),0)),2)</f>
        <v>0</v>
      </c>
      <c r="DM13" s="938">
        <f t="shared" ref="DM13:DM76" si="57">IF(CO13="","",ROUND(IF(DF13="F",DE13*DK13,0),2))</f>
        <v>0</v>
      </c>
      <c r="DN13" s="938">
        <f t="shared" ref="DN13:DN76" si="58">IF(BK13="","",ROUND(CZ13-(DD13+DJ13+DL13+DM13+DP13),2))</f>
        <v>11.33</v>
      </c>
      <c r="DO13" s="938">
        <f t="shared" ref="DO13:DO76" si="59">IF(BK13="","",0.1)</f>
        <v>0.1</v>
      </c>
      <c r="DP13" s="938">
        <f t="shared" ref="DP13:DP76" si="60">+DE13*DO13</f>
        <v>1.002</v>
      </c>
      <c r="DQ13" s="938">
        <f t="shared" ref="DQ13:DQ76" si="61">IF(BK13="","",ROUND(DN13*0.2,2))</f>
        <v>2.27</v>
      </c>
      <c r="DR13" s="938">
        <f t="shared" ref="DR13:DR76" si="62">IF(BK13="","",ROUND(DN13*0.8,2))</f>
        <v>9.06</v>
      </c>
      <c r="DS13" s="938">
        <f t="shared" ref="DS13:DS76" si="63">IF(BK13="","",ROUND(CZ13-(DD13+DR13),2))</f>
        <v>3.27</v>
      </c>
      <c r="DT13" s="936"/>
      <c r="DU13" s="937" t="str">
        <f t="shared" si="31"/>
        <v>PZ-2</v>
      </c>
      <c r="DV13" s="938">
        <f t="shared" ref="DV13:DV59" si="64">+BP13+0.2</f>
        <v>1.63</v>
      </c>
      <c r="DW13" s="938">
        <v>1.2</v>
      </c>
      <c r="DX13" s="938">
        <v>1.6</v>
      </c>
      <c r="DY13" s="938">
        <f t="shared" ref="DY13:DY59" si="65">+((PI()*DX13^2)/4)*DV13*-1</f>
        <v>-3.2773094562248724</v>
      </c>
      <c r="DZ13" s="938">
        <v>1.6</v>
      </c>
      <c r="EA13" s="938">
        <v>1.6</v>
      </c>
      <c r="EB13" s="938">
        <f t="shared" ref="EB13:EB59" si="66">+(DZ13*EA13*DV13)</f>
        <v>4.1728000000000005</v>
      </c>
      <c r="EC13" s="938">
        <f t="shared" ref="EC13:EC59" si="67">+EB13+DY13</f>
        <v>0.89549054377512816</v>
      </c>
      <c r="ED13" s="938">
        <f t="shared" ref="ED13:ED59" si="68">+EC13*0.55</f>
        <v>0.49251979907632054</v>
      </c>
      <c r="EE13" s="938">
        <f t="shared" ref="EE13:EE59" si="69">+EC13*0.45</f>
        <v>0.40297074469880767</v>
      </c>
      <c r="EF13" s="938">
        <f t="shared" ref="EF13:EF59" si="70">+ED13</f>
        <v>0.49251979907632054</v>
      </c>
    </row>
    <row r="14" spans="1:136">
      <c r="A14" s="920" t="s">
        <v>2193</v>
      </c>
      <c r="B14" s="920" t="s">
        <v>2195</v>
      </c>
      <c r="C14" s="1294">
        <v>23.552</v>
      </c>
      <c r="D14" s="921">
        <v>100.572</v>
      </c>
      <c r="E14" s="921">
        <v>124.124</v>
      </c>
      <c r="F14" s="922">
        <v>1.4999999999999999E-2</v>
      </c>
      <c r="G14" s="923">
        <v>8.1</v>
      </c>
      <c r="H14" s="924">
        <v>8.0999999999999996E-3</v>
      </c>
      <c r="I14" s="925">
        <v>2.5475543478261836E-2</v>
      </c>
      <c r="J14" s="926">
        <v>1.7999999999999999E-2</v>
      </c>
      <c r="K14" s="927">
        <v>0.11184677493264501</v>
      </c>
      <c r="L14" s="923">
        <v>4.4034163359132918</v>
      </c>
      <c r="M14" s="928">
        <v>8</v>
      </c>
      <c r="N14" s="927">
        <v>0.2</v>
      </c>
      <c r="O14" s="927">
        <v>0.182</v>
      </c>
      <c r="P14" s="923">
        <v>2.9686337606833587E-2</v>
      </c>
      <c r="Q14" s="923">
        <v>1.1410980132786839</v>
      </c>
      <c r="R14" s="923">
        <v>0.27</v>
      </c>
      <c r="S14" s="927">
        <v>0.70599999999999996</v>
      </c>
      <c r="T14" s="929">
        <v>0.4</v>
      </c>
      <c r="U14" s="927">
        <v>0.86</v>
      </c>
      <c r="V14" s="930">
        <v>0.80561519737475074</v>
      </c>
      <c r="W14" s="927">
        <v>3.3079298992923473E-2</v>
      </c>
      <c r="X14" s="927">
        <v>3.9129999999999998E-2</v>
      </c>
      <c r="Y14" s="927">
        <v>7.2800000000000004E-2</v>
      </c>
      <c r="Z14" s="927">
        <v>0.10587929899292348</v>
      </c>
      <c r="AA14" s="931">
        <v>0.3</v>
      </c>
      <c r="AB14" s="924">
        <v>5.4599999999999996E-2</v>
      </c>
      <c r="AC14" s="923">
        <v>6.9095754000000005</v>
      </c>
      <c r="AD14" s="923">
        <v>1.1007706090765328</v>
      </c>
      <c r="AE14" s="932" t="s">
        <v>2197</v>
      </c>
      <c r="AF14" s="927">
        <v>-8.8051418223478728E-3</v>
      </c>
      <c r="AG14" s="924">
        <v>1.7610283644695747E-3</v>
      </c>
      <c r="AH14" s="923">
        <v>3.2967032967032965</v>
      </c>
      <c r="AI14" s="927">
        <v>1.8740934952048705E-3</v>
      </c>
      <c r="AJ14" s="927">
        <v>3.6351218596744452E-3</v>
      </c>
      <c r="AK14" s="933">
        <v>940.25</v>
      </c>
      <c r="AL14" s="933">
        <v>939.65</v>
      </c>
      <c r="AM14" s="930">
        <v>938.84028100000012</v>
      </c>
      <c r="AN14" s="930">
        <v>938.41634500000009</v>
      </c>
      <c r="AO14" s="939">
        <v>938.64028100000007</v>
      </c>
      <c r="AP14" s="934">
        <v>938.21634500000005</v>
      </c>
      <c r="AQ14" s="923">
        <v>938.7130810000001</v>
      </c>
      <c r="AR14" s="923">
        <v>938.28914500000008</v>
      </c>
      <c r="AS14" s="923">
        <v>938.93238323179878</v>
      </c>
      <c r="AT14" s="923">
        <v>938.50844723179875</v>
      </c>
      <c r="AU14" s="923">
        <v>1.4097189999998818</v>
      </c>
      <c r="AV14" s="923">
        <v>1.2336549999998851</v>
      </c>
      <c r="AW14" s="923">
        <v>1.6097189999999273</v>
      </c>
      <c r="AX14" s="923">
        <v>1.4336549999999306</v>
      </c>
      <c r="AY14" s="923">
        <v>3.2068500000036693E-2</v>
      </c>
      <c r="AZ14" s="923" t="s">
        <v>2187</v>
      </c>
      <c r="BA14" s="935" t="s">
        <v>2188</v>
      </c>
      <c r="BB14" s="935" t="s">
        <v>2189</v>
      </c>
      <c r="BC14" s="935" t="s">
        <v>2198</v>
      </c>
      <c r="BD14" s="935" t="s">
        <v>2191</v>
      </c>
      <c r="BE14" s="935" t="s">
        <v>2191</v>
      </c>
      <c r="BF14" s="935" t="s">
        <v>2309</v>
      </c>
      <c r="BG14" s="936"/>
      <c r="BH14" s="937"/>
      <c r="BI14" s="894" t="str">
        <f t="shared" si="22"/>
        <v>PZ-3</v>
      </c>
      <c r="BJ14" s="894" t="str">
        <f t="shared" si="22"/>
        <v>PZ-4</v>
      </c>
      <c r="BK14" s="938">
        <f t="shared" si="0"/>
        <v>23.55</v>
      </c>
      <c r="BL14" s="938">
        <f t="shared" si="32"/>
        <v>21.95</v>
      </c>
      <c r="BM14" s="895">
        <f t="shared" si="2"/>
        <v>8</v>
      </c>
      <c r="BN14" s="938">
        <f t="shared" si="33"/>
        <v>22.35</v>
      </c>
      <c r="BO14" s="700">
        <f t="shared" si="34"/>
        <v>0.6</v>
      </c>
      <c r="BP14" s="938">
        <f t="shared" si="4"/>
        <v>1.61</v>
      </c>
      <c r="BQ14" s="938">
        <f t="shared" si="5"/>
        <v>1.43</v>
      </c>
      <c r="BR14" s="938">
        <f t="shared" si="6"/>
        <v>1.62</v>
      </c>
      <c r="BS14" s="938">
        <f t="shared" si="7"/>
        <v>21.34</v>
      </c>
      <c r="BT14" s="938">
        <f t="shared" si="23"/>
        <v>35.559000000000005</v>
      </c>
      <c r="BU14" s="938">
        <f t="shared" si="35"/>
        <v>0</v>
      </c>
      <c r="BV14" s="938">
        <f t="shared" si="24"/>
        <v>0</v>
      </c>
      <c r="BW14" s="938">
        <f t="shared" si="8"/>
        <v>0</v>
      </c>
      <c r="BX14" s="938">
        <f t="shared" si="9"/>
        <v>17.07</v>
      </c>
      <c r="BY14" s="938">
        <f t="shared" si="25"/>
        <v>3.63</v>
      </c>
      <c r="BZ14" s="938">
        <f t="shared" si="36"/>
        <v>0.64</v>
      </c>
      <c r="CA14" s="938">
        <f t="shared" si="37"/>
        <v>0.71</v>
      </c>
      <c r="CB14" s="938">
        <f t="shared" si="10"/>
        <v>13.17</v>
      </c>
      <c r="CC14" s="938" t="s">
        <v>2192</v>
      </c>
      <c r="CD14" s="938">
        <f t="shared" si="11"/>
        <v>0</v>
      </c>
      <c r="CE14" s="938">
        <f t="shared" si="12"/>
        <v>0</v>
      </c>
      <c r="CF14" s="938">
        <f t="shared" si="38"/>
        <v>0</v>
      </c>
      <c r="CG14" s="938">
        <f t="shared" si="39"/>
        <v>0</v>
      </c>
      <c r="CH14" s="938">
        <v>0.3</v>
      </c>
      <c r="CI14" s="938">
        <f t="shared" si="40"/>
        <v>0</v>
      </c>
      <c r="CJ14" s="938">
        <f t="shared" si="41"/>
        <v>0</v>
      </c>
      <c r="CK14" s="938">
        <f t="shared" si="17"/>
        <v>19.309999999999999</v>
      </c>
      <c r="CL14" s="938">
        <f t="shared" si="18"/>
        <v>0.1</v>
      </c>
      <c r="CM14" s="938">
        <f t="shared" si="19"/>
        <v>1.32</v>
      </c>
      <c r="CN14" s="938">
        <f t="shared" si="26"/>
        <v>5.61</v>
      </c>
      <c r="CO14" s="938">
        <f t="shared" si="27"/>
        <v>13.7</v>
      </c>
      <c r="CP14" s="938">
        <f t="shared" si="42"/>
        <v>7.64</v>
      </c>
      <c r="CQ14" s="936"/>
      <c r="CR14" s="853"/>
      <c r="CS14" s="895">
        <f t="shared" si="28"/>
        <v>8</v>
      </c>
      <c r="CT14" s="701">
        <f t="shared" si="29"/>
        <v>200</v>
      </c>
      <c r="CU14" s="895">
        <v>1</v>
      </c>
      <c r="CV14" s="938">
        <v>13.5</v>
      </c>
      <c r="CW14" s="938">
        <f t="shared" si="43"/>
        <v>13.5</v>
      </c>
      <c r="CX14" s="938">
        <f t="shared" si="30"/>
        <v>0.6</v>
      </c>
      <c r="CY14" s="938">
        <f t="shared" si="44"/>
        <v>1.31</v>
      </c>
      <c r="CZ14" s="938">
        <f t="shared" si="45"/>
        <v>10.61</v>
      </c>
      <c r="DA14" s="938">
        <f t="shared" si="46"/>
        <v>0</v>
      </c>
      <c r="DB14" s="938">
        <f t="shared" si="47"/>
        <v>0</v>
      </c>
      <c r="DC14" s="938">
        <f t="shared" si="48"/>
        <v>0</v>
      </c>
      <c r="DD14" s="938">
        <f t="shared" si="49"/>
        <v>0.25</v>
      </c>
      <c r="DE14" s="938">
        <f t="shared" si="50"/>
        <v>8.1</v>
      </c>
      <c r="DF14" s="938" t="str">
        <f t="shared" si="51"/>
        <v>D</v>
      </c>
      <c r="DG14" s="938">
        <f t="shared" si="52"/>
        <v>0</v>
      </c>
      <c r="DH14" s="938">
        <f t="shared" si="53"/>
        <v>0</v>
      </c>
      <c r="DI14" s="938">
        <f t="shared" si="54"/>
        <v>0</v>
      </c>
      <c r="DJ14" s="938">
        <f t="shared" si="55"/>
        <v>0</v>
      </c>
      <c r="DK14" s="938">
        <v>0.3</v>
      </c>
      <c r="DL14" s="938">
        <f t="shared" si="56"/>
        <v>0</v>
      </c>
      <c r="DM14" s="938">
        <f t="shared" si="57"/>
        <v>0</v>
      </c>
      <c r="DN14" s="938">
        <f t="shared" si="58"/>
        <v>9.5500000000000007</v>
      </c>
      <c r="DO14" s="938">
        <f t="shared" si="59"/>
        <v>0.1</v>
      </c>
      <c r="DP14" s="938">
        <f t="shared" si="60"/>
        <v>0.81</v>
      </c>
      <c r="DQ14" s="938">
        <f t="shared" si="61"/>
        <v>1.91</v>
      </c>
      <c r="DR14" s="938">
        <f t="shared" si="62"/>
        <v>7.64</v>
      </c>
      <c r="DS14" s="938">
        <f t="shared" si="63"/>
        <v>2.72</v>
      </c>
      <c r="DT14" s="936"/>
      <c r="DU14" s="937" t="str">
        <f t="shared" si="31"/>
        <v>PZ-3</v>
      </c>
      <c r="DV14" s="938">
        <f t="shared" si="64"/>
        <v>1.81</v>
      </c>
      <c r="DW14" s="938">
        <v>1.2</v>
      </c>
      <c r="DX14" s="938">
        <v>1.6</v>
      </c>
      <c r="DY14" s="938">
        <f t="shared" si="65"/>
        <v>-3.6392209299184168</v>
      </c>
      <c r="DZ14" s="938">
        <v>1.6</v>
      </c>
      <c r="EA14" s="938">
        <v>1.6</v>
      </c>
      <c r="EB14" s="938">
        <f t="shared" si="66"/>
        <v>4.6336000000000013</v>
      </c>
      <c r="EC14" s="938">
        <f t="shared" si="67"/>
        <v>0.99437907008158444</v>
      </c>
      <c r="ED14" s="938">
        <f t="shared" si="68"/>
        <v>0.54690848854487151</v>
      </c>
      <c r="EE14" s="938">
        <f t="shared" si="69"/>
        <v>0.44747058153671299</v>
      </c>
      <c r="EF14" s="938">
        <f t="shared" si="70"/>
        <v>0.54690848854487151</v>
      </c>
    </row>
    <row r="15" spans="1:136">
      <c r="A15" s="920" t="s">
        <v>2195</v>
      </c>
      <c r="B15" s="920" t="s">
        <v>2196</v>
      </c>
      <c r="C15" s="1294">
        <v>59.786000000000001</v>
      </c>
      <c r="D15" s="921">
        <v>124.124</v>
      </c>
      <c r="E15" s="921">
        <v>183.91</v>
      </c>
      <c r="F15" s="922">
        <v>1.4999999999999999E-2</v>
      </c>
      <c r="G15" s="923">
        <v>9.8699999999999992</v>
      </c>
      <c r="H15" s="924">
        <v>9.8699999999999986E-3</v>
      </c>
      <c r="I15" s="925">
        <v>3.0776435954906364E-2</v>
      </c>
      <c r="J15" s="926">
        <v>3.1E-2</v>
      </c>
      <c r="K15" s="927">
        <v>0.10877868217546252</v>
      </c>
      <c r="L15" s="923">
        <v>4.2826252824813933</v>
      </c>
      <c r="M15" s="928">
        <v>8</v>
      </c>
      <c r="N15" s="927">
        <v>0.2</v>
      </c>
      <c r="O15" s="927">
        <v>0.182</v>
      </c>
      <c r="P15" s="923">
        <v>3.8958409344463429E-2</v>
      </c>
      <c r="Q15" s="923">
        <v>1.4975024569292648</v>
      </c>
      <c r="R15" s="923">
        <v>0.25</v>
      </c>
      <c r="S15" s="927">
        <v>0.69499999999999995</v>
      </c>
      <c r="T15" s="929">
        <v>0.38600000000000001</v>
      </c>
      <c r="U15" s="927">
        <v>0.83599999999999997</v>
      </c>
      <c r="V15" s="930">
        <v>1.040764207565839</v>
      </c>
      <c r="W15" s="927">
        <v>5.5208467673300142E-2</v>
      </c>
      <c r="X15" s="927">
        <v>3.8037999999999995E-2</v>
      </c>
      <c r="Y15" s="927">
        <v>7.0251999999999995E-2</v>
      </c>
      <c r="Z15" s="927">
        <v>0.12546046767330013</v>
      </c>
      <c r="AA15" s="931">
        <v>0.28699999999999998</v>
      </c>
      <c r="AB15" s="924">
        <v>5.2233999999999996E-2</v>
      </c>
      <c r="AC15" s="923">
        <v>11.567736179999999</v>
      </c>
      <c r="AD15" s="923">
        <v>1.4539223147682345</v>
      </c>
      <c r="AE15" s="932" t="s">
        <v>2197</v>
      </c>
      <c r="AF15" s="927">
        <v>2.2129168680376669E-2</v>
      </c>
      <c r="AG15" s="924">
        <v>2.212916868037667E-3</v>
      </c>
      <c r="AH15" s="923">
        <v>3.2967032967032965</v>
      </c>
      <c r="AI15" s="927">
        <v>2.2071941666555908E-3</v>
      </c>
      <c r="AJ15" s="927">
        <v>4.4201110346932578E-3</v>
      </c>
      <c r="AK15" s="933">
        <v>939.65</v>
      </c>
      <c r="AL15" s="933">
        <v>937.81</v>
      </c>
      <c r="AM15" s="930">
        <v>938.38427650000006</v>
      </c>
      <c r="AN15" s="930">
        <v>936.5309105</v>
      </c>
      <c r="AO15" s="940">
        <v>938.18427650000001</v>
      </c>
      <c r="AP15" s="934">
        <v>936.33091049999996</v>
      </c>
      <c r="AQ15" s="923">
        <v>938.25452849999999</v>
      </c>
      <c r="AR15" s="923">
        <v>936.40116249999994</v>
      </c>
      <c r="AS15" s="923">
        <v>938.50481210993905</v>
      </c>
      <c r="AT15" s="923">
        <v>936.651446109939</v>
      </c>
      <c r="AU15" s="923">
        <v>1.2657234999999218</v>
      </c>
      <c r="AV15" s="923">
        <v>1.2790894999999409</v>
      </c>
      <c r="AW15" s="923">
        <v>1.4657234999999673</v>
      </c>
      <c r="AX15" s="923">
        <v>1.4790894999999864</v>
      </c>
      <c r="AY15" s="923">
        <v>1.999999999998181E-2</v>
      </c>
      <c r="AZ15" s="923" t="s">
        <v>2187</v>
      </c>
      <c r="BA15" s="935" t="s">
        <v>2188</v>
      </c>
      <c r="BB15" s="935" t="s">
        <v>2189</v>
      </c>
      <c r="BC15" s="935" t="s">
        <v>2198</v>
      </c>
      <c r="BD15" s="935" t="s">
        <v>2191</v>
      </c>
      <c r="BE15" s="935" t="s">
        <v>2191</v>
      </c>
      <c r="BF15" s="935" t="s">
        <v>2310</v>
      </c>
      <c r="BG15" s="936"/>
      <c r="BH15" s="1064"/>
      <c r="BI15" s="894" t="str">
        <f t="shared" si="22"/>
        <v>PZ-4</v>
      </c>
      <c r="BJ15" s="894" t="str">
        <f t="shared" si="22"/>
        <v>PZ-5</v>
      </c>
      <c r="BK15" s="938">
        <f t="shared" si="0"/>
        <v>59.79</v>
      </c>
      <c r="BL15" s="938">
        <f t="shared" si="32"/>
        <v>58.19</v>
      </c>
      <c r="BM15" s="895">
        <f t="shared" si="2"/>
        <v>8</v>
      </c>
      <c r="BN15" s="938">
        <f t="shared" si="33"/>
        <v>58.59</v>
      </c>
      <c r="BO15" s="700">
        <f t="shared" si="34"/>
        <v>0.6</v>
      </c>
      <c r="BP15" s="938">
        <f t="shared" si="4"/>
        <v>1.47</v>
      </c>
      <c r="BQ15" s="938">
        <f t="shared" si="5"/>
        <v>1.48</v>
      </c>
      <c r="BR15" s="938">
        <f t="shared" si="6"/>
        <v>1.58</v>
      </c>
      <c r="BS15" s="938">
        <f t="shared" si="7"/>
        <v>55.16</v>
      </c>
      <c r="BT15" s="938">
        <f t="shared" si="23"/>
        <v>91.940200000000004</v>
      </c>
      <c r="BU15" s="938">
        <f t="shared" si="35"/>
        <v>0</v>
      </c>
      <c r="BV15" s="938">
        <f t="shared" si="24"/>
        <v>0</v>
      </c>
      <c r="BW15" s="938">
        <f t="shared" si="8"/>
        <v>0</v>
      </c>
      <c r="BX15" s="938">
        <f t="shared" si="9"/>
        <v>44.13</v>
      </c>
      <c r="BY15" s="938">
        <f t="shared" si="25"/>
        <v>9.3800000000000008</v>
      </c>
      <c r="BZ15" s="938">
        <f t="shared" si="36"/>
        <v>1.65</v>
      </c>
      <c r="CA15" s="938">
        <f t="shared" si="37"/>
        <v>1.89</v>
      </c>
      <c r="CB15" s="938">
        <f t="shared" si="10"/>
        <v>34.909999999999997</v>
      </c>
      <c r="CC15" s="938" t="s">
        <v>2192</v>
      </c>
      <c r="CD15" s="938">
        <f t="shared" si="11"/>
        <v>0</v>
      </c>
      <c r="CE15" s="938">
        <f t="shared" si="12"/>
        <v>0</v>
      </c>
      <c r="CF15" s="938">
        <f t="shared" si="38"/>
        <v>0</v>
      </c>
      <c r="CG15" s="938">
        <f t="shared" si="39"/>
        <v>0</v>
      </c>
      <c r="CH15" s="938">
        <v>0.3</v>
      </c>
      <c r="CI15" s="938">
        <f t="shared" si="40"/>
        <v>0</v>
      </c>
      <c r="CJ15" s="938">
        <f t="shared" si="41"/>
        <v>0</v>
      </c>
      <c r="CK15" s="938">
        <f t="shared" si="17"/>
        <v>49.78</v>
      </c>
      <c r="CL15" s="938">
        <f t="shared" si="18"/>
        <v>0.1</v>
      </c>
      <c r="CM15" s="938">
        <f t="shared" si="19"/>
        <v>3.49</v>
      </c>
      <c r="CN15" s="938">
        <f t="shared" si="26"/>
        <v>14.46</v>
      </c>
      <c r="CO15" s="938">
        <f t="shared" si="27"/>
        <v>35.32</v>
      </c>
      <c r="CP15" s="938">
        <f t="shared" si="42"/>
        <v>19.84</v>
      </c>
      <c r="CQ15" s="936"/>
      <c r="CR15" s="853"/>
      <c r="CS15" s="895">
        <f t="shared" si="28"/>
        <v>8</v>
      </c>
      <c r="CT15" s="701">
        <f t="shared" si="29"/>
        <v>200</v>
      </c>
      <c r="CU15" s="895">
        <v>3</v>
      </c>
      <c r="CV15" s="938">
        <v>15.3</v>
      </c>
      <c r="CW15" s="938">
        <f t="shared" si="43"/>
        <v>45.900000000000006</v>
      </c>
      <c r="CX15" s="938">
        <f t="shared" si="30"/>
        <v>0.6</v>
      </c>
      <c r="CY15" s="938">
        <f t="shared" si="44"/>
        <v>1.29</v>
      </c>
      <c r="CZ15" s="938">
        <f t="shared" si="45"/>
        <v>35.53</v>
      </c>
      <c r="DA15" s="938">
        <f t="shared" si="46"/>
        <v>0</v>
      </c>
      <c r="DB15" s="938">
        <f t="shared" si="47"/>
        <v>0</v>
      </c>
      <c r="DC15" s="938">
        <f t="shared" si="48"/>
        <v>0</v>
      </c>
      <c r="DD15" s="938">
        <f t="shared" si="49"/>
        <v>0.84</v>
      </c>
      <c r="DE15" s="938">
        <f t="shared" si="50"/>
        <v>27.54</v>
      </c>
      <c r="DF15" s="938" t="str">
        <f t="shared" si="51"/>
        <v>D</v>
      </c>
      <c r="DG15" s="938">
        <f t="shared" si="52"/>
        <v>0</v>
      </c>
      <c r="DH15" s="938">
        <f t="shared" si="53"/>
        <v>0</v>
      </c>
      <c r="DI15" s="938">
        <f t="shared" si="54"/>
        <v>0</v>
      </c>
      <c r="DJ15" s="938">
        <f t="shared" si="55"/>
        <v>0</v>
      </c>
      <c r="DK15" s="938">
        <v>0.3</v>
      </c>
      <c r="DL15" s="938">
        <f t="shared" si="56"/>
        <v>0</v>
      </c>
      <c r="DM15" s="938">
        <f t="shared" si="57"/>
        <v>0</v>
      </c>
      <c r="DN15" s="938">
        <f t="shared" si="58"/>
        <v>31.94</v>
      </c>
      <c r="DO15" s="938">
        <f t="shared" si="59"/>
        <v>0.1</v>
      </c>
      <c r="DP15" s="938">
        <f t="shared" si="60"/>
        <v>2.754</v>
      </c>
      <c r="DQ15" s="938">
        <f t="shared" si="61"/>
        <v>6.39</v>
      </c>
      <c r="DR15" s="938">
        <f t="shared" si="62"/>
        <v>25.55</v>
      </c>
      <c r="DS15" s="938">
        <f t="shared" si="63"/>
        <v>9.14</v>
      </c>
      <c r="DT15" s="936"/>
      <c r="DU15" s="937" t="str">
        <f t="shared" si="31"/>
        <v>PZ-4</v>
      </c>
      <c r="DV15" s="938">
        <f t="shared" si="64"/>
        <v>1.67</v>
      </c>
      <c r="DW15" s="938">
        <v>1.2</v>
      </c>
      <c r="DX15" s="938">
        <v>1.6</v>
      </c>
      <c r="DY15" s="938">
        <f t="shared" si="65"/>
        <v>-3.357734228156771</v>
      </c>
      <c r="DZ15" s="938">
        <v>1.6</v>
      </c>
      <c r="EA15" s="938">
        <v>1.6</v>
      </c>
      <c r="EB15" s="938">
        <f t="shared" si="66"/>
        <v>4.2752000000000008</v>
      </c>
      <c r="EC15" s="938">
        <f t="shared" si="67"/>
        <v>0.91746577184322975</v>
      </c>
      <c r="ED15" s="938">
        <f t="shared" si="68"/>
        <v>0.50460617451377643</v>
      </c>
      <c r="EE15" s="938">
        <f t="shared" si="69"/>
        <v>0.41285959732945338</v>
      </c>
      <c r="EF15" s="938">
        <f t="shared" si="70"/>
        <v>0.50460617451377643</v>
      </c>
    </row>
    <row r="16" spans="1:136">
      <c r="A16" s="920" t="s">
        <v>2196</v>
      </c>
      <c r="B16" s="920" t="s">
        <v>2199</v>
      </c>
      <c r="C16" s="1294">
        <v>69.86</v>
      </c>
      <c r="D16" s="921">
        <v>183.91</v>
      </c>
      <c r="E16" s="921">
        <v>253.76999999999998</v>
      </c>
      <c r="F16" s="922">
        <v>1.4999999999999999E-2</v>
      </c>
      <c r="G16" s="923">
        <v>13.32</v>
      </c>
      <c r="H16" s="924">
        <v>1.332E-2</v>
      </c>
      <c r="I16" s="925">
        <v>5.4394503292298231E-2</v>
      </c>
      <c r="J16" s="926">
        <v>5.3499999999999999E-2</v>
      </c>
      <c r="K16" s="927">
        <v>0.10988234741557226</v>
      </c>
      <c r="L16" s="923">
        <v>4.3260766698871151</v>
      </c>
      <c r="M16" s="928">
        <v>8</v>
      </c>
      <c r="N16" s="927">
        <v>0.2</v>
      </c>
      <c r="O16" s="927">
        <v>0.182</v>
      </c>
      <c r="P16" s="923">
        <v>5.117964399333394E-2</v>
      </c>
      <c r="Q16" s="923">
        <v>1.967268271841663</v>
      </c>
      <c r="R16" s="923">
        <v>0.26</v>
      </c>
      <c r="S16" s="927">
        <v>0.7</v>
      </c>
      <c r="T16" s="929">
        <v>0.39300000000000002</v>
      </c>
      <c r="U16" s="927">
        <v>0.84799999999999998</v>
      </c>
      <c r="V16" s="930">
        <v>1.3770877902891641</v>
      </c>
      <c r="W16" s="927">
        <v>9.6654983800381886E-2</v>
      </c>
      <c r="X16" s="927">
        <v>3.8584E-2</v>
      </c>
      <c r="Y16" s="927">
        <v>7.1526000000000006E-2</v>
      </c>
      <c r="Z16" s="927">
        <v>0.16818098380038188</v>
      </c>
      <c r="AA16" s="931">
        <v>0.29399999999999998</v>
      </c>
      <c r="AB16" s="924">
        <v>5.3507999999999993E-2</v>
      </c>
      <c r="AC16" s="923">
        <v>20.250233640000001</v>
      </c>
      <c r="AD16" s="923">
        <v>1.9007183381831461</v>
      </c>
      <c r="AE16" s="932" t="s">
        <v>2197</v>
      </c>
      <c r="AF16" s="927">
        <v>4.1446516127081744E-2</v>
      </c>
      <c r="AG16" s="924">
        <v>4.1446516127081742E-3</v>
      </c>
      <c r="AH16" s="923">
        <v>3.2967032967032965</v>
      </c>
      <c r="AI16" s="927">
        <v>3.7965862868420508E-3</v>
      </c>
      <c r="AJ16" s="927">
        <v>7.9412378995502245E-3</v>
      </c>
      <c r="AK16" s="933">
        <v>937.81</v>
      </c>
      <c r="AL16" s="933">
        <v>934.01</v>
      </c>
      <c r="AM16" s="930">
        <v>936.51091050000002</v>
      </c>
      <c r="AN16" s="930">
        <v>932.77340049999998</v>
      </c>
      <c r="AO16" s="941">
        <v>936.31091049999998</v>
      </c>
      <c r="AP16" s="934">
        <v>932.57340049999993</v>
      </c>
      <c r="AQ16" s="923">
        <v>936.38243649999993</v>
      </c>
      <c r="AR16" s="923">
        <v>932.64492649999988</v>
      </c>
      <c r="AS16" s="923">
        <v>936.64702599890427</v>
      </c>
      <c r="AT16" s="923">
        <v>932.90951599890423</v>
      </c>
      <c r="AU16" s="923">
        <v>1.2990894999999227</v>
      </c>
      <c r="AV16" s="923">
        <v>1.2365995000000112</v>
      </c>
      <c r="AW16" s="923">
        <v>1.4990894999999682</v>
      </c>
      <c r="AX16" s="923">
        <v>1.4365995000000567</v>
      </c>
      <c r="AY16" s="923">
        <v>1.999999999998181E-2</v>
      </c>
      <c r="AZ16" s="923" t="s">
        <v>2187</v>
      </c>
      <c r="BA16" s="935" t="s">
        <v>2188</v>
      </c>
      <c r="BB16" s="935" t="s">
        <v>2189</v>
      </c>
      <c r="BC16" s="935" t="s">
        <v>2198</v>
      </c>
      <c r="BD16" s="935" t="s">
        <v>2191</v>
      </c>
      <c r="BE16" s="935" t="s">
        <v>2191</v>
      </c>
      <c r="BF16" s="935" t="s">
        <v>2311</v>
      </c>
      <c r="BG16" s="936"/>
      <c r="BH16" s="937"/>
      <c r="BI16" s="894" t="str">
        <f t="shared" si="22"/>
        <v>PZ-5</v>
      </c>
      <c r="BJ16" s="894" t="str">
        <f t="shared" si="22"/>
        <v>PZ-6</v>
      </c>
      <c r="BK16" s="938">
        <f t="shared" si="0"/>
        <v>69.86</v>
      </c>
      <c r="BL16" s="938">
        <f t="shared" si="32"/>
        <v>68.260000000000005</v>
      </c>
      <c r="BM16" s="895">
        <f t="shared" si="2"/>
        <v>8</v>
      </c>
      <c r="BN16" s="938">
        <f t="shared" si="33"/>
        <v>68.66</v>
      </c>
      <c r="BO16" s="700">
        <f t="shared" si="34"/>
        <v>0.6</v>
      </c>
      <c r="BP16" s="938">
        <f t="shared" si="4"/>
        <v>1.5</v>
      </c>
      <c r="BQ16" s="938">
        <f t="shared" si="5"/>
        <v>1.44</v>
      </c>
      <c r="BR16" s="938">
        <f t="shared" si="6"/>
        <v>1.57</v>
      </c>
      <c r="BS16" s="938">
        <f t="shared" si="7"/>
        <v>64.3</v>
      </c>
      <c r="BT16" s="938">
        <f t="shared" si="23"/>
        <v>107.16820000000001</v>
      </c>
      <c r="BU16" s="938">
        <f t="shared" si="35"/>
        <v>0</v>
      </c>
      <c r="BV16" s="938">
        <f t="shared" si="24"/>
        <v>0</v>
      </c>
      <c r="BW16" s="938">
        <f t="shared" si="8"/>
        <v>0</v>
      </c>
      <c r="BX16" s="938">
        <f t="shared" si="9"/>
        <v>51.44</v>
      </c>
      <c r="BY16" s="938">
        <f t="shared" si="25"/>
        <v>10.93</v>
      </c>
      <c r="BZ16" s="938">
        <f t="shared" si="36"/>
        <v>1.93</v>
      </c>
      <c r="CA16" s="938">
        <f t="shared" si="37"/>
        <v>2.21</v>
      </c>
      <c r="CB16" s="938">
        <f t="shared" si="10"/>
        <v>40.96</v>
      </c>
      <c r="CC16" s="938" t="s">
        <v>2192</v>
      </c>
      <c r="CD16" s="938">
        <f t="shared" si="11"/>
        <v>0</v>
      </c>
      <c r="CE16" s="938">
        <f t="shared" si="12"/>
        <v>0</v>
      </c>
      <c r="CF16" s="938">
        <f t="shared" si="38"/>
        <v>0</v>
      </c>
      <c r="CG16" s="938">
        <f t="shared" si="39"/>
        <v>0</v>
      </c>
      <c r="CH16" s="938">
        <v>0.3</v>
      </c>
      <c r="CI16" s="938">
        <f t="shared" si="40"/>
        <v>0</v>
      </c>
      <c r="CJ16" s="938">
        <f t="shared" si="41"/>
        <v>0</v>
      </c>
      <c r="CK16" s="938">
        <f t="shared" si="17"/>
        <v>57.99</v>
      </c>
      <c r="CL16" s="938">
        <f t="shared" si="18"/>
        <v>0.1</v>
      </c>
      <c r="CM16" s="938">
        <f t="shared" si="19"/>
        <v>4.0999999999999996</v>
      </c>
      <c r="CN16" s="938">
        <f t="shared" si="26"/>
        <v>16.850000000000001</v>
      </c>
      <c r="CO16" s="938">
        <f t="shared" si="27"/>
        <v>41.14</v>
      </c>
      <c r="CP16" s="938">
        <f t="shared" si="42"/>
        <v>23.16</v>
      </c>
      <c r="CQ16" s="936"/>
      <c r="CR16" s="853"/>
      <c r="CS16" s="895">
        <f t="shared" si="28"/>
        <v>8</v>
      </c>
      <c r="CT16" s="701">
        <f t="shared" si="29"/>
        <v>200</v>
      </c>
      <c r="CU16" s="895">
        <v>3</v>
      </c>
      <c r="CV16" s="938">
        <v>20</v>
      </c>
      <c r="CW16" s="938">
        <f t="shared" si="43"/>
        <v>60</v>
      </c>
      <c r="CX16" s="938">
        <f t="shared" si="30"/>
        <v>0.6</v>
      </c>
      <c r="CY16" s="938">
        <f t="shared" si="44"/>
        <v>1.29</v>
      </c>
      <c r="CZ16" s="938">
        <f t="shared" si="45"/>
        <v>46.44</v>
      </c>
      <c r="DA16" s="938">
        <f t="shared" si="46"/>
        <v>0</v>
      </c>
      <c r="DB16" s="938">
        <f t="shared" si="47"/>
        <v>0</v>
      </c>
      <c r="DC16" s="938">
        <f t="shared" si="48"/>
        <v>0</v>
      </c>
      <c r="DD16" s="938">
        <f t="shared" si="49"/>
        <v>1.0900000000000001</v>
      </c>
      <c r="DE16" s="938">
        <f t="shared" si="50"/>
        <v>36</v>
      </c>
      <c r="DF16" s="938" t="str">
        <f t="shared" si="51"/>
        <v>D</v>
      </c>
      <c r="DG16" s="938">
        <f t="shared" si="52"/>
        <v>0</v>
      </c>
      <c r="DH16" s="938">
        <f t="shared" si="53"/>
        <v>0</v>
      </c>
      <c r="DI16" s="938">
        <f t="shared" si="54"/>
        <v>0</v>
      </c>
      <c r="DJ16" s="938">
        <f t="shared" si="55"/>
        <v>0</v>
      </c>
      <c r="DK16" s="938">
        <v>0.3</v>
      </c>
      <c r="DL16" s="938">
        <f t="shared" si="56"/>
        <v>0</v>
      </c>
      <c r="DM16" s="938">
        <f t="shared" si="57"/>
        <v>0</v>
      </c>
      <c r="DN16" s="938">
        <f t="shared" si="58"/>
        <v>41.75</v>
      </c>
      <c r="DO16" s="938">
        <f t="shared" si="59"/>
        <v>0.1</v>
      </c>
      <c r="DP16" s="938">
        <f t="shared" si="60"/>
        <v>3.6</v>
      </c>
      <c r="DQ16" s="938">
        <f t="shared" si="61"/>
        <v>8.35</v>
      </c>
      <c r="DR16" s="938">
        <f t="shared" si="62"/>
        <v>33.4</v>
      </c>
      <c r="DS16" s="938">
        <f t="shared" si="63"/>
        <v>11.95</v>
      </c>
      <c r="DT16" s="936"/>
      <c r="DU16" s="937" t="str">
        <f t="shared" si="31"/>
        <v>PZ-5</v>
      </c>
      <c r="DV16" s="938">
        <f t="shared" si="64"/>
        <v>1.7</v>
      </c>
      <c r="DW16" s="938">
        <v>1.2</v>
      </c>
      <c r="DX16" s="938">
        <v>1.6</v>
      </c>
      <c r="DY16" s="938">
        <f t="shared" si="65"/>
        <v>-3.418052807105695</v>
      </c>
      <c r="DZ16" s="938">
        <v>1.6</v>
      </c>
      <c r="EA16" s="938">
        <v>1.6</v>
      </c>
      <c r="EB16" s="938">
        <f t="shared" si="66"/>
        <v>4.3520000000000003</v>
      </c>
      <c r="EC16" s="938">
        <f t="shared" si="67"/>
        <v>0.93394719289430528</v>
      </c>
      <c r="ED16" s="938">
        <f t="shared" si="68"/>
        <v>0.51367095609186797</v>
      </c>
      <c r="EE16" s="938">
        <f t="shared" si="69"/>
        <v>0.42027623680243736</v>
      </c>
      <c r="EF16" s="938">
        <f t="shared" si="70"/>
        <v>0.51367095609186797</v>
      </c>
    </row>
    <row r="17" spans="1:136">
      <c r="A17" s="920" t="s">
        <v>2199</v>
      </c>
      <c r="B17" s="920" t="s">
        <v>2200</v>
      </c>
      <c r="C17" s="1294">
        <v>78.356999999999999</v>
      </c>
      <c r="D17" s="921">
        <v>253.76999999999998</v>
      </c>
      <c r="E17" s="921">
        <v>332.12699999999995</v>
      </c>
      <c r="F17" s="922">
        <v>1.4999999999999999E-2</v>
      </c>
      <c r="G17" s="923">
        <v>13.48</v>
      </c>
      <c r="H17" s="924">
        <v>1.3480000000000001E-2</v>
      </c>
      <c r="I17" s="925">
        <v>4.9899817501945817E-2</v>
      </c>
      <c r="J17" s="926">
        <v>0.05</v>
      </c>
      <c r="K17" s="927">
        <v>0.11178460904517834</v>
      </c>
      <c r="L17" s="923">
        <v>4.4009688600287875</v>
      </c>
      <c r="M17" s="928">
        <v>8</v>
      </c>
      <c r="N17" s="927">
        <v>0.2</v>
      </c>
      <c r="O17" s="927">
        <v>0.182</v>
      </c>
      <c r="P17" s="923">
        <v>4.9477229344722644E-2</v>
      </c>
      <c r="Q17" s="923">
        <v>1.9018300221311395</v>
      </c>
      <c r="R17" s="923">
        <v>0.27</v>
      </c>
      <c r="S17" s="927">
        <v>0.70599999999999996</v>
      </c>
      <c r="T17" s="929">
        <v>0.4</v>
      </c>
      <c r="U17" s="927">
        <v>0.86</v>
      </c>
      <c r="V17" s="930">
        <v>1.3426919956245844</v>
      </c>
      <c r="W17" s="927">
        <v>9.1886941647009626E-2</v>
      </c>
      <c r="X17" s="927">
        <v>3.9129999999999998E-2</v>
      </c>
      <c r="Y17" s="927">
        <v>7.2800000000000004E-2</v>
      </c>
      <c r="Z17" s="927">
        <v>0.16468694164700964</v>
      </c>
      <c r="AA17" s="931">
        <v>0.3</v>
      </c>
      <c r="AB17" s="924">
        <v>5.4599999999999996E-2</v>
      </c>
      <c r="AC17" s="923">
        <v>19.193265</v>
      </c>
      <c r="AD17" s="923">
        <v>1.834617681794221</v>
      </c>
      <c r="AE17" s="932" t="s">
        <v>2197</v>
      </c>
      <c r="AF17" s="927">
        <v>-4.7680421533722595E-3</v>
      </c>
      <c r="AG17" s="924">
        <v>9.5360843067445193E-4</v>
      </c>
      <c r="AH17" s="923">
        <v>3.2967032967032965</v>
      </c>
      <c r="AI17" s="927">
        <v>4.713548136184788E-3</v>
      </c>
      <c r="AJ17" s="927">
        <v>5.6671565668592397E-3</v>
      </c>
      <c r="AK17" s="933">
        <v>934.01</v>
      </c>
      <c r="AL17" s="933">
        <v>930.1</v>
      </c>
      <c r="AM17" s="930">
        <v>932.7534005</v>
      </c>
      <c r="AN17" s="930">
        <v>928.83555049999995</v>
      </c>
      <c r="AO17" s="934">
        <v>932.55340049999995</v>
      </c>
      <c r="AP17" s="934">
        <v>928.63555049999991</v>
      </c>
      <c r="AQ17" s="923">
        <v>932.62620049999998</v>
      </c>
      <c r="AR17" s="923">
        <v>928.70835049999994</v>
      </c>
      <c r="AS17" s="923">
        <v>932.90157476100467</v>
      </c>
      <c r="AT17" s="923">
        <v>928.98372476100462</v>
      </c>
      <c r="AU17" s="923">
        <v>1.256599499999993</v>
      </c>
      <c r="AV17" s="923">
        <v>1.2644495000000688</v>
      </c>
      <c r="AW17" s="923">
        <v>1.4565995000000385</v>
      </c>
      <c r="AX17" s="923">
        <v>1.4644495000001143</v>
      </c>
      <c r="AY17" s="923">
        <v>1.999999999998181E-2</v>
      </c>
      <c r="AZ17" s="923" t="s">
        <v>2187</v>
      </c>
      <c r="BA17" s="935" t="s">
        <v>2188</v>
      </c>
      <c r="BB17" s="935" t="s">
        <v>2189</v>
      </c>
      <c r="BC17" s="935" t="s">
        <v>2198</v>
      </c>
      <c r="BD17" s="935" t="s">
        <v>2191</v>
      </c>
      <c r="BE17" s="935" t="s">
        <v>2191</v>
      </c>
      <c r="BF17" s="935"/>
      <c r="BG17" s="936"/>
      <c r="BH17" s="937"/>
      <c r="BI17" s="894" t="str">
        <f t="shared" si="22"/>
        <v>PZ-6</v>
      </c>
      <c r="BJ17" s="894" t="str">
        <f t="shared" si="22"/>
        <v>PZ-7</v>
      </c>
      <c r="BK17" s="938">
        <f t="shared" si="0"/>
        <v>78.36</v>
      </c>
      <c r="BL17" s="938">
        <f t="shared" si="32"/>
        <v>76.760000000000005</v>
      </c>
      <c r="BM17" s="895">
        <f t="shared" si="2"/>
        <v>8</v>
      </c>
      <c r="BN17" s="938">
        <f t="shared" si="33"/>
        <v>77.16</v>
      </c>
      <c r="BO17" s="700">
        <f t="shared" si="34"/>
        <v>0.6</v>
      </c>
      <c r="BP17" s="938">
        <f t="shared" si="4"/>
        <v>1.46</v>
      </c>
      <c r="BQ17" s="938">
        <f t="shared" si="5"/>
        <v>1.46</v>
      </c>
      <c r="BR17" s="938">
        <f t="shared" si="6"/>
        <v>1.56</v>
      </c>
      <c r="BS17" s="938">
        <f t="shared" si="7"/>
        <v>71.849999999999994</v>
      </c>
      <c r="BT17" s="938">
        <f t="shared" si="23"/>
        <v>119.74560000000001</v>
      </c>
      <c r="BU17" s="938">
        <f t="shared" si="35"/>
        <v>0</v>
      </c>
      <c r="BV17" s="938">
        <f t="shared" si="24"/>
        <v>0</v>
      </c>
      <c r="BW17" s="938">
        <f t="shared" si="8"/>
        <v>0</v>
      </c>
      <c r="BX17" s="938">
        <f t="shared" si="9"/>
        <v>57.48</v>
      </c>
      <c r="BY17" s="938">
        <f t="shared" si="25"/>
        <v>12.21</v>
      </c>
      <c r="BZ17" s="938">
        <f t="shared" si="36"/>
        <v>2.16</v>
      </c>
      <c r="CA17" s="938">
        <f t="shared" si="37"/>
        <v>2.4900000000000002</v>
      </c>
      <c r="CB17" s="938">
        <f t="shared" si="10"/>
        <v>46.06</v>
      </c>
      <c r="CC17" s="938" t="s">
        <v>2192</v>
      </c>
      <c r="CD17" s="938">
        <f t="shared" si="11"/>
        <v>0</v>
      </c>
      <c r="CE17" s="938">
        <f t="shared" si="12"/>
        <v>0</v>
      </c>
      <c r="CF17" s="938">
        <f t="shared" si="38"/>
        <v>0</v>
      </c>
      <c r="CG17" s="938">
        <f t="shared" si="39"/>
        <v>0</v>
      </c>
      <c r="CH17" s="938">
        <v>0.3</v>
      </c>
      <c r="CI17" s="938">
        <f t="shared" si="40"/>
        <v>0</v>
      </c>
      <c r="CJ17" s="938">
        <f t="shared" si="41"/>
        <v>0</v>
      </c>
      <c r="CK17" s="938">
        <f t="shared" si="17"/>
        <v>64.75</v>
      </c>
      <c r="CL17" s="938">
        <f t="shared" si="18"/>
        <v>0.1</v>
      </c>
      <c r="CM17" s="938">
        <f t="shared" si="19"/>
        <v>4.6100000000000003</v>
      </c>
      <c r="CN17" s="938">
        <f t="shared" si="26"/>
        <v>18.809999999999999</v>
      </c>
      <c r="CO17" s="938">
        <f t="shared" si="27"/>
        <v>45.94</v>
      </c>
      <c r="CP17" s="938">
        <f t="shared" si="42"/>
        <v>25.91</v>
      </c>
      <c r="CQ17" s="936"/>
      <c r="CR17" s="853"/>
      <c r="CS17" s="895">
        <f t="shared" si="28"/>
        <v>8</v>
      </c>
      <c r="CT17" s="701">
        <f t="shared" si="29"/>
        <v>200</v>
      </c>
      <c r="CU17" s="895">
        <v>4</v>
      </c>
      <c r="CV17" s="938">
        <v>16.75</v>
      </c>
      <c r="CW17" s="938">
        <f t="shared" si="43"/>
        <v>67</v>
      </c>
      <c r="CX17" s="938">
        <f t="shared" si="30"/>
        <v>0.6</v>
      </c>
      <c r="CY17" s="938">
        <f t="shared" si="44"/>
        <v>1.28</v>
      </c>
      <c r="CZ17" s="938">
        <f t="shared" si="45"/>
        <v>51.46</v>
      </c>
      <c r="DA17" s="938">
        <f t="shared" si="46"/>
        <v>0</v>
      </c>
      <c r="DB17" s="938">
        <f t="shared" si="47"/>
        <v>0</v>
      </c>
      <c r="DC17" s="938">
        <f t="shared" si="48"/>
        <v>0</v>
      </c>
      <c r="DD17" s="938">
        <f t="shared" si="49"/>
        <v>1.22</v>
      </c>
      <c r="DE17" s="938">
        <f t="shared" si="50"/>
        <v>40.200000000000003</v>
      </c>
      <c r="DF17" s="938" t="str">
        <f t="shared" si="51"/>
        <v>D</v>
      </c>
      <c r="DG17" s="938">
        <f t="shared" si="52"/>
        <v>0</v>
      </c>
      <c r="DH17" s="938">
        <f t="shared" si="53"/>
        <v>0</v>
      </c>
      <c r="DI17" s="938">
        <f t="shared" si="54"/>
        <v>0</v>
      </c>
      <c r="DJ17" s="938">
        <f t="shared" si="55"/>
        <v>0</v>
      </c>
      <c r="DK17" s="938">
        <v>0.3</v>
      </c>
      <c r="DL17" s="938">
        <f t="shared" si="56"/>
        <v>0</v>
      </c>
      <c r="DM17" s="938">
        <f t="shared" si="57"/>
        <v>0</v>
      </c>
      <c r="DN17" s="938">
        <f t="shared" si="58"/>
        <v>46.22</v>
      </c>
      <c r="DO17" s="938">
        <f t="shared" si="59"/>
        <v>0.1</v>
      </c>
      <c r="DP17" s="938">
        <f t="shared" si="60"/>
        <v>4.0200000000000005</v>
      </c>
      <c r="DQ17" s="938">
        <f t="shared" si="61"/>
        <v>9.24</v>
      </c>
      <c r="DR17" s="938">
        <f t="shared" si="62"/>
        <v>36.979999999999997</v>
      </c>
      <c r="DS17" s="938">
        <f t="shared" si="63"/>
        <v>13.26</v>
      </c>
      <c r="DT17" s="936"/>
      <c r="DU17" s="937" t="str">
        <f t="shared" si="31"/>
        <v>PZ-6</v>
      </c>
      <c r="DV17" s="938">
        <f t="shared" si="64"/>
        <v>1.66</v>
      </c>
      <c r="DW17" s="938">
        <v>1.2</v>
      </c>
      <c r="DX17" s="938">
        <v>1.6</v>
      </c>
      <c r="DY17" s="938">
        <f t="shared" si="65"/>
        <v>-3.3376280351737964</v>
      </c>
      <c r="DZ17" s="938">
        <v>1.6</v>
      </c>
      <c r="EA17" s="938">
        <v>1.6</v>
      </c>
      <c r="EB17" s="938">
        <f t="shared" si="66"/>
        <v>4.2496000000000009</v>
      </c>
      <c r="EC17" s="938">
        <f t="shared" si="67"/>
        <v>0.91197196482620457</v>
      </c>
      <c r="ED17" s="938">
        <f t="shared" si="68"/>
        <v>0.50158458065441258</v>
      </c>
      <c r="EE17" s="938">
        <f t="shared" si="69"/>
        <v>0.41038738417179205</v>
      </c>
      <c r="EF17" s="938">
        <f t="shared" si="70"/>
        <v>0.50158458065441258</v>
      </c>
    </row>
    <row r="18" spans="1:136">
      <c r="A18" s="920" t="s">
        <v>2200</v>
      </c>
      <c r="B18" s="920" t="s">
        <v>2201</v>
      </c>
      <c r="C18" s="1294">
        <v>57.856000000000002</v>
      </c>
      <c r="D18" s="921">
        <v>332.12699999999995</v>
      </c>
      <c r="E18" s="921">
        <v>389.98299999999995</v>
      </c>
      <c r="F18" s="922">
        <v>1.4999999999999999E-2</v>
      </c>
      <c r="G18" s="923">
        <v>13.72</v>
      </c>
      <c r="H18" s="924">
        <v>1.3720000000000001E-2</v>
      </c>
      <c r="I18" s="925">
        <v>5.1334347345133216E-2</v>
      </c>
      <c r="J18" s="926">
        <v>0.05</v>
      </c>
      <c r="K18" s="927">
        <v>0.11252683257461552</v>
      </c>
      <c r="L18" s="923">
        <v>4.4301902588254096</v>
      </c>
      <c r="M18" s="928">
        <v>8</v>
      </c>
      <c r="N18" s="927">
        <v>0.2</v>
      </c>
      <c r="O18" s="927">
        <v>0.182</v>
      </c>
      <c r="P18" s="923">
        <v>4.9477229344722644E-2</v>
      </c>
      <c r="Q18" s="923">
        <v>1.9018300221311395</v>
      </c>
      <c r="R18" s="923">
        <v>0.28000000000000003</v>
      </c>
      <c r="S18" s="927">
        <v>0.71299999999999997</v>
      </c>
      <c r="T18" s="929">
        <v>0.40899999999999997</v>
      </c>
      <c r="U18" s="927">
        <v>0.874</v>
      </c>
      <c r="V18" s="930">
        <v>1.3560048057795024</v>
      </c>
      <c r="W18" s="927">
        <v>9.371809547895546E-2</v>
      </c>
      <c r="X18" s="927">
        <v>3.9766999999999997E-2</v>
      </c>
      <c r="Y18" s="927">
        <v>7.443799999999999E-2</v>
      </c>
      <c r="Z18" s="927">
        <v>0.16815609547895544</v>
      </c>
      <c r="AA18" s="931">
        <v>0.307</v>
      </c>
      <c r="AB18" s="924">
        <v>5.5874E-2</v>
      </c>
      <c r="AC18" s="923">
        <v>19.505713499999999</v>
      </c>
      <c r="AD18" s="923">
        <v>1.8315629226697197</v>
      </c>
      <c r="AE18" s="932" t="s">
        <v>2197</v>
      </c>
      <c r="AF18" s="927">
        <v>1.8311538319458337E-3</v>
      </c>
      <c r="AG18" s="924">
        <v>1.8311538319458338E-4</v>
      </c>
      <c r="AH18" s="923">
        <v>3.2967032967032965</v>
      </c>
      <c r="AI18" s="927">
        <v>4.640125928149128E-3</v>
      </c>
      <c r="AJ18" s="927">
        <v>4.823241311343711E-3</v>
      </c>
      <c r="AK18" s="933">
        <v>930.1</v>
      </c>
      <c r="AL18" s="933">
        <v>927.13</v>
      </c>
      <c r="AM18" s="930">
        <v>928.81555049999997</v>
      </c>
      <c r="AN18" s="930">
        <v>925.92275050000001</v>
      </c>
      <c r="AO18" s="934">
        <v>928.61555049999993</v>
      </c>
      <c r="AP18" s="934">
        <v>925.72275049999996</v>
      </c>
      <c r="AQ18" s="923">
        <v>928.68998849999991</v>
      </c>
      <c r="AR18" s="923">
        <v>925.79718849999995</v>
      </c>
      <c r="AS18" s="923">
        <v>928.97805760443771</v>
      </c>
      <c r="AT18" s="923">
        <v>926.08525760443774</v>
      </c>
      <c r="AU18" s="923">
        <v>1.2844495000000506</v>
      </c>
      <c r="AV18" s="923">
        <v>1.207249499999989</v>
      </c>
      <c r="AW18" s="923">
        <v>1.4844495000000961</v>
      </c>
      <c r="AX18" s="923">
        <v>1.4072495000000345</v>
      </c>
      <c r="AY18" s="923">
        <v>1.999999999998181E-2</v>
      </c>
      <c r="AZ18" s="923" t="s">
        <v>2187</v>
      </c>
      <c r="BA18" s="935" t="s">
        <v>2188</v>
      </c>
      <c r="BB18" s="935" t="s">
        <v>2189</v>
      </c>
      <c r="BC18" s="935" t="s">
        <v>2198</v>
      </c>
      <c r="BD18" s="935" t="s">
        <v>2191</v>
      </c>
      <c r="BE18" s="935" t="s">
        <v>2191</v>
      </c>
      <c r="BF18" s="935"/>
      <c r="BG18" s="936"/>
      <c r="BH18" s="937"/>
      <c r="BI18" s="894" t="str">
        <f t="shared" si="22"/>
        <v>PZ-7</v>
      </c>
      <c r="BJ18" s="894" t="str">
        <f t="shared" si="22"/>
        <v>PZ-8</v>
      </c>
      <c r="BK18" s="938">
        <f t="shared" si="0"/>
        <v>57.86</v>
      </c>
      <c r="BL18" s="938">
        <f t="shared" si="32"/>
        <v>56.26</v>
      </c>
      <c r="BM18" s="895">
        <f t="shared" si="2"/>
        <v>8</v>
      </c>
      <c r="BN18" s="938">
        <f t="shared" si="33"/>
        <v>56.66</v>
      </c>
      <c r="BO18" s="700">
        <f t="shared" si="34"/>
        <v>0.6</v>
      </c>
      <c r="BP18" s="938">
        <f t="shared" si="4"/>
        <v>1.48</v>
      </c>
      <c r="BQ18" s="938">
        <f t="shared" si="5"/>
        <v>1.41</v>
      </c>
      <c r="BR18" s="938">
        <f t="shared" si="6"/>
        <v>1.55</v>
      </c>
      <c r="BS18" s="938">
        <f t="shared" si="7"/>
        <v>52.32</v>
      </c>
      <c r="BT18" s="938">
        <f t="shared" si="23"/>
        <v>87.203000000000003</v>
      </c>
      <c r="BU18" s="938">
        <f t="shared" si="35"/>
        <v>0</v>
      </c>
      <c r="BV18" s="938">
        <f t="shared" si="24"/>
        <v>0</v>
      </c>
      <c r="BW18" s="938">
        <f t="shared" si="8"/>
        <v>0</v>
      </c>
      <c r="BX18" s="938">
        <f t="shared" si="9"/>
        <v>41.86</v>
      </c>
      <c r="BY18" s="938">
        <f t="shared" si="25"/>
        <v>8.89</v>
      </c>
      <c r="BZ18" s="938">
        <f t="shared" si="36"/>
        <v>1.57</v>
      </c>
      <c r="CA18" s="938">
        <f t="shared" si="37"/>
        <v>1.82</v>
      </c>
      <c r="CB18" s="938">
        <f t="shared" si="10"/>
        <v>33.76</v>
      </c>
      <c r="CC18" s="938" t="s">
        <v>2192</v>
      </c>
      <c r="CD18" s="938">
        <f t="shared" si="11"/>
        <v>0</v>
      </c>
      <c r="CE18" s="938">
        <f t="shared" si="12"/>
        <v>0</v>
      </c>
      <c r="CF18" s="938">
        <f t="shared" si="38"/>
        <v>0</v>
      </c>
      <c r="CG18" s="938">
        <f t="shared" si="39"/>
        <v>0</v>
      </c>
      <c r="CH18" s="938">
        <v>0.3</v>
      </c>
      <c r="CI18" s="938">
        <f t="shared" si="40"/>
        <v>0</v>
      </c>
      <c r="CJ18" s="938">
        <f t="shared" si="41"/>
        <v>0</v>
      </c>
      <c r="CK18" s="938">
        <f t="shared" si="17"/>
        <v>47.12</v>
      </c>
      <c r="CL18" s="938">
        <f t="shared" si="18"/>
        <v>0.1</v>
      </c>
      <c r="CM18" s="938">
        <f t="shared" si="19"/>
        <v>3.38</v>
      </c>
      <c r="CN18" s="938">
        <f t="shared" si="26"/>
        <v>13.69</v>
      </c>
      <c r="CO18" s="938">
        <f t="shared" si="27"/>
        <v>33.43</v>
      </c>
      <c r="CP18" s="938">
        <f t="shared" si="42"/>
        <v>18.89</v>
      </c>
      <c r="CQ18" s="936"/>
      <c r="CR18" s="853"/>
      <c r="CS18" s="895">
        <f t="shared" si="28"/>
        <v>8</v>
      </c>
      <c r="CT18" s="701">
        <f t="shared" si="29"/>
        <v>200</v>
      </c>
      <c r="CU18" s="895">
        <v>4</v>
      </c>
      <c r="CV18" s="938">
        <v>23.8</v>
      </c>
      <c r="CW18" s="938">
        <f t="shared" si="43"/>
        <v>95.2</v>
      </c>
      <c r="CX18" s="938">
        <f t="shared" si="30"/>
        <v>0.6</v>
      </c>
      <c r="CY18" s="938">
        <f t="shared" si="44"/>
        <v>1.28</v>
      </c>
      <c r="CZ18" s="938">
        <f t="shared" si="45"/>
        <v>73.11</v>
      </c>
      <c r="DA18" s="938">
        <f t="shared" si="46"/>
        <v>0</v>
      </c>
      <c r="DB18" s="938">
        <f t="shared" si="47"/>
        <v>0</v>
      </c>
      <c r="DC18" s="938">
        <f t="shared" si="48"/>
        <v>0</v>
      </c>
      <c r="DD18" s="938">
        <f t="shared" si="49"/>
        <v>1.74</v>
      </c>
      <c r="DE18" s="938">
        <f t="shared" si="50"/>
        <v>57.12</v>
      </c>
      <c r="DF18" s="938" t="str">
        <f t="shared" si="51"/>
        <v>D</v>
      </c>
      <c r="DG18" s="938">
        <f t="shared" si="52"/>
        <v>0</v>
      </c>
      <c r="DH18" s="938">
        <f t="shared" si="53"/>
        <v>0</v>
      </c>
      <c r="DI18" s="938">
        <f t="shared" si="54"/>
        <v>0</v>
      </c>
      <c r="DJ18" s="938">
        <f t="shared" si="55"/>
        <v>0</v>
      </c>
      <c r="DK18" s="938">
        <v>0.3</v>
      </c>
      <c r="DL18" s="938">
        <f t="shared" si="56"/>
        <v>0</v>
      </c>
      <c r="DM18" s="938">
        <f t="shared" si="57"/>
        <v>0</v>
      </c>
      <c r="DN18" s="938">
        <f t="shared" si="58"/>
        <v>65.66</v>
      </c>
      <c r="DO18" s="938">
        <f t="shared" si="59"/>
        <v>0.1</v>
      </c>
      <c r="DP18" s="938">
        <f t="shared" si="60"/>
        <v>5.7119999999999997</v>
      </c>
      <c r="DQ18" s="938">
        <f t="shared" si="61"/>
        <v>13.13</v>
      </c>
      <c r="DR18" s="938">
        <f t="shared" si="62"/>
        <v>52.53</v>
      </c>
      <c r="DS18" s="938">
        <f t="shared" si="63"/>
        <v>18.84</v>
      </c>
      <c r="DT18" s="936"/>
      <c r="DU18" s="937" t="str">
        <f t="shared" si="31"/>
        <v>PZ-7</v>
      </c>
      <c r="DV18" s="938">
        <f t="shared" si="64"/>
        <v>1.68</v>
      </c>
      <c r="DW18" s="938">
        <v>1.2</v>
      </c>
      <c r="DX18" s="938">
        <v>1.6</v>
      </c>
      <c r="DY18" s="938">
        <f t="shared" si="65"/>
        <v>-3.3778404211397457</v>
      </c>
      <c r="DZ18" s="938">
        <v>1.6</v>
      </c>
      <c r="EA18" s="938">
        <v>1.6</v>
      </c>
      <c r="EB18" s="938">
        <f t="shared" si="66"/>
        <v>4.3008000000000006</v>
      </c>
      <c r="EC18" s="938">
        <f t="shared" si="67"/>
        <v>0.92295957886025493</v>
      </c>
      <c r="ED18" s="938">
        <f t="shared" si="68"/>
        <v>0.50762776837314028</v>
      </c>
      <c r="EE18" s="938">
        <f t="shared" si="69"/>
        <v>0.41533181048711471</v>
      </c>
      <c r="EF18" s="938">
        <f t="shared" si="70"/>
        <v>0.50762776837314028</v>
      </c>
    </row>
    <row r="19" spans="1:136">
      <c r="A19" s="920" t="s">
        <v>2201</v>
      </c>
      <c r="B19" s="920" t="s">
        <v>2202</v>
      </c>
      <c r="C19" s="1294">
        <v>79.456000000000003</v>
      </c>
      <c r="D19" s="921">
        <v>389.98299999999995</v>
      </c>
      <c r="E19" s="921">
        <v>469.43899999999996</v>
      </c>
      <c r="F19" s="922">
        <v>1.4999999999999999E-2</v>
      </c>
      <c r="G19" s="923">
        <v>13.99</v>
      </c>
      <c r="H19" s="924">
        <v>1.3990000000000001E-2</v>
      </c>
      <c r="I19" s="925">
        <v>3.2219089810712156E-2</v>
      </c>
      <c r="J19" s="926">
        <v>3.2000000000000001E-2</v>
      </c>
      <c r="K19" s="927">
        <v>0.12324553672895859</v>
      </c>
      <c r="L19" s="923">
        <v>4.8521864853726617</v>
      </c>
      <c r="M19" s="928">
        <v>8</v>
      </c>
      <c r="N19" s="927">
        <v>0.2</v>
      </c>
      <c r="O19" s="927">
        <v>0.182</v>
      </c>
      <c r="P19" s="923">
        <v>3.9581783475778114E-2</v>
      </c>
      <c r="Q19" s="923">
        <v>1.5214640177049117</v>
      </c>
      <c r="R19" s="923">
        <v>0.35</v>
      </c>
      <c r="S19" s="927">
        <v>0.76</v>
      </c>
      <c r="T19" s="929">
        <v>0.46</v>
      </c>
      <c r="U19" s="927">
        <v>0.95</v>
      </c>
      <c r="V19" s="930">
        <v>1.1563126534557329</v>
      </c>
      <c r="W19" s="927">
        <v>6.8147754971551358E-2</v>
      </c>
      <c r="X19" s="927">
        <v>4.3225E-2</v>
      </c>
      <c r="Y19" s="927">
        <v>8.3720000000000003E-2</v>
      </c>
      <c r="Z19" s="927">
        <v>0.15186775497155136</v>
      </c>
      <c r="AA19" s="931">
        <v>0.35399999999999998</v>
      </c>
      <c r="AB19" s="924">
        <v>6.4427999999999999E-2</v>
      </c>
      <c r="AC19" s="923">
        <v>13.569192000000001</v>
      </c>
      <c r="AD19" s="923">
        <v>1.4544655844413477</v>
      </c>
      <c r="AE19" s="932" t="s">
        <v>2197</v>
      </c>
      <c r="AF19" s="927">
        <v>-2.5570340507404102E-2</v>
      </c>
      <c r="AG19" s="924">
        <v>5.1140681014808205E-3</v>
      </c>
      <c r="AH19" s="923">
        <v>3.2967032967032965</v>
      </c>
      <c r="AI19" s="927">
        <v>4.0466462612626713E-3</v>
      </c>
      <c r="AJ19" s="927">
        <v>9.1607143627434919E-3</v>
      </c>
      <c r="AK19" s="933">
        <v>927.13</v>
      </c>
      <c r="AL19" s="933">
        <v>924.57</v>
      </c>
      <c r="AM19" s="930">
        <v>925.90275050000002</v>
      </c>
      <c r="AN19" s="930">
        <v>923.36015850000001</v>
      </c>
      <c r="AO19" s="934">
        <v>925.70275049999998</v>
      </c>
      <c r="AP19" s="934">
        <v>923.16015849999997</v>
      </c>
      <c r="AQ19" s="923">
        <v>925.78647049999995</v>
      </c>
      <c r="AR19" s="923">
        <v>923.24387849999994</v>
      </c>
      <c r="AS19" s="923">
        <v>926.08043436312641</v>
      </c>
      <c r="AT19" s="923">
        <v>923.5378423631264</v>
      </c>
      <c r="AU19" s="923">
        <v>1.2272494999999708</v>
      </c>
      <c r="AV19" s="923">
        <v>1.2098415000000386</v>
      </c>
      <c r="AW19" s="923">
        <v>1.4272495000000163</v>
      </c>
      <c r="AX19" s="923">
        <v>1.4098415000000841</v>
      </c>
      <c r="AY19" s="923">
        <v>1.999999999998181E-2</v>
      </c>
      <c r="AZ19" s="923" t="s">
        <v>2187</v>
      </c>
      <c r="BA19" s="935" t="s">
        <v>2188</v>
      </c>
      <c r="BB19" s="935" t="s">
        <v>2189</v>
      </c>
      <c r="BC19" s="935" t="s">
        <v>2198</v>
      </c>
      <c r="BD19" s="935" t="s">
        <v>2191</v>
      </c>
      <c r="BE19" s="935" t="s">
        <v>2191</v>
      </c>
      <c r="BF19" s="935"/>
      <c r="BG19" s="936"/>
      <c r="BH19" s="937"/>
      <c r="BI19" s="894" t="str">
        <f t="shared" si="22"/>
        <v>PZ-8</v>
      </c>
      <c r="BJ19" s="894" t="str">
        <f t="shared" si="22"/>
        <v>PZ-9</v>
      </c>
      <c r="BK19" s="938">
        <f t="shared" si="0"/>
        <v>79.459999999999994</v>
      </c>
      <c r="BL19" s="938">
        <f t="shared" si="32"/>
        <v>77.86</v>
      </c>
      <c r="BM19" s="895">
        <f t="shared" si="2"/>
        <v>8</v>
      </c>
      <c r="BN19" s="938">
        <f t="shared" si="33"/>
        <v>78.260000000000005</v>
      </c>
      <c r="BO19" s="700">
        <f t="shared" si="34"/>
        <v>0.6</v>
      </c>
      <c r="BP19" s="938">
        <f t="shared" si="4"/>
        <v>1.43</v>
      </c>
      <c r="BQ19" s="938">
        <f t="shared" si="5"/>
        <v>1.41</v>
      </c>
      <c r="BR19" s="938">
        <f t="shared" si="6"/>
        <v>1.52</v>
      </c>
      <c r="BS19" s="938">
        <f t="shared" si="7"/>
        <v>71.010000000000005</v>
      </c>
      <c r="BT19" s="938">
        <f t="shared" si="23"/>
        <v>118.3472</v>
      </c>
      <c r="BU19" s="938">
        <f t="shared" si="35"/>
        <v>0</v>
      </c>
      <c r="BV19" s="938">
        <f t="shared" si="24"/>
        <v>0</v>
      </c>
      <c r="BW19" s="938">
        <f t="shared" si="8"/>
        <v>0</v>
      </c>
      <c r="BX19" s="938">
        <f t="shared" si="9"/>
        <v>56.81</v>
      </c>
      <c r="BY19" s="938">
        <f t="shared" si="25"/>
        <v>12.07</v>
      </c>
      <c r="BZ19" s="938">
        <f t="shared" si="36"/>
        <v>2.13</v>
      </c>
      <c r="CA19" s="938">
        <f t="shared" si="37"/>
        <v>2.52</v>
      </c>
      <c r="CB19" s="938">
        <f t="shared" si="10"/>
        <v>46.72</v>
      </c>
      <c r="CC19" s="938" t="s">
        <v>2192</v>
      </c>
      <c r="CD19" s="938">
        <f t="shared" si="11"/>
        <v>0</v>
      </c>
      <c r="CE19" s="938">
        <f t="shared" si="12"/>
        <v>0</v>
      </c>
      <c r="CF19" s="938">
        <f t="shared" si="38"/>
        <v>0</v>
      </c>
      <c r="CG19" s="938">
        <f t="shared" si="39"/>
        <v>0</v>
      </c>
      <c r="CH19" s="938">
        <v>0.3</v>
      </c>
      <c r="CI19" s="938">
        <f t="shared" si="40"/>
        <v>0</v>
      </c>
      <c r="CJ19" s="938">
        <f t="shared" si="41"/>
        <v>0</v>
      </c>
      <c r="CK19" s="938">
        <f t="shared" si="17"/>
        <v>63.82</v>
      </c>
      <c r="CL19" s="938">
        <f t="shared" si="18"/>
        <v>0.1</v>
      </c>
      <c r="CM19" s="938">
        <f t="shared" si="19"/>
        <v>4.67</v>
      </c>
      <c r="CN19" s="938">
        <f t="shared" si="26"/>
        <v>18.54</v>
      </c>
      <c r="CO19" s="938">
        <f t="shared" si="27"/>
        <v>45.28</v>
      </c>
      <c r="CP19" s="938">
        <f t="shared" si="42"/>
        <v>25.73</v>
      </c>
      <c r="CQ19" s="936"/>
      <c r="CR19" s="853"/>
      <c r="CS19" s="895">
        <f t="shared" si="28"/>
        <v>8</v>
      </c>
      <c r="CT19" s="701">
        <f t="shared" si="29"/>
        <v>200</v>
      </c>
      <c r="CU19" s="895">
        <v>5</v>
      </c>
      <c r="CV19" s="938">
        <v>23</v>
      </c>
      <c r="CW19" s="938">
        <f t="shared" si="43"/>
        <v>115</v>
      </c>
      <c r="CX19" s="938">
        <f t="shared" si="30"/>
        <v>0.6</v>
      </c>
      <c r="CY19" s="938">
        <f t="shared" si="44"/>
        <v>1.26</v>
      </c>
      <c r="CZ19" s="938">
        <f t="shared" si="45"/>
        <v>86.94</v>
      </c>
      <c r="DA19" s="938">
        <f t="shared" si="46"/>
        <v>0</v>
      </c>
      <c r="DB19" s="938">
        <f t="shared" si="47"/>
        <v>0</v>
      </c>
      <c r="DC19" s="938">
        <f t="shared" si="48"/>
        <v>0</v>
      </c>
      <c r="DD19" s="938">
        <f t="shared" si="49"/>
        <v>2.1</v>
      </c>
      <c r="DE19" s="938">
        <f t="shared" si="50"/>
        <v>69</v>
      </c>
      <c r="DF19" s="938" t="str">
        <f t="shared" si="51"/>
        <v>D</v>
      </c>
      <c r="DG19" s="938">
        <f t="shared" si="52"/>
        <v>0</v>
      </c>
      <c r="DH19" s="938">
        <f t="shared" si="53"/>
        <v>0</v>
      </c>
      <c r="DI19" s="938">
        <f t="shared" si="54"/>
        <v>0</v>
      </c>
      <c r="DJ19" s="938">
        <f t="shared" si="55"/>
        <v>0</v>
      </c>
      <c r="DK19" s="938">
        <v>0.3</v>
      </c>
      <c r="DL19" s="938">
        <f t="shared" si="56"/>
        <v>0</v>
      </c>
      <c r="DM19" s="938">
        <f t="shared" si="57"/>
        <v>0</v>
      </c>
      <c r="DN19" s="938">
        <f t="shared" si="58"/>
        <v>77.94</v>
      </c>
      <c r="DO19" s="938">
        <f t="shared" si="59"/>
        <v>0.1</v>
      </c>
      <c r="DP19" s="938">
        <f t="shared" si="60"/>
        <v>6.9</v>
      </c>
      <c r="DQ19" s="938">
        <f t="shared" si="61"/>
        <v>15.59</v>
      </c>
      <c r="DR19" s="938">
        <f t="shared" si="62"/>
        <v>62.35</v>
      </c>
      <c r="DS19" s="938">
        <f t="shared" si="63"/>
        <v>22.49</v>
      </c>
      <c r="DT19" s="936"/>
      <c r="DU19" s="937" t="str">
        <f t="shared" si="31"/>
        <v>PZ-8</v>
      </c>
      <c r="DV19" s="938">
        <f t="shared" si="64"/>
        <v>1.63</v>
      </c>
      <c r="DW19" s="938">
        <v>1.2</v>
      </c>
      <c r="DX19" s="938">
        <v>1.6</v>
      </c>
      <c r="DY19" s="938">
        <f t="shared" si="65"/>
        <v>-3.2773094562248724</v>
      </c>
      <c r="DZ19" s="938">
        <v>1.6</v>
      </c>
      <c r="EA19" s="938">
        <v>1.6</v>
      </c>
      <c r="EB19" s="938">
        <f t="shared" si="66"/>
        <v>4.1728000000000005</v>
      </c>
      <c r="EC19" s="938">
        <f t="shared" si="67"/>
        <v>0.89549054377512816</v>
      </c>
      <c r="ED19" s="938">
        <f t="shared" si="68"/>
        <v>0.49251979907632054</v>
      </c>
      <c r="EE19" s="938">
        <f t="shared" si="69"/>
        <v>0.40297074469880767</v>
      </c>
      <c r="EF19" s="938">
        <f t="shared" si="70"/>
        <v>0.49251979907632054</v>
      </c>
    </row>
    <row r="20" spans="1:136">
      <c r="A20" s="920" t="s">
        <v>2202</v>
      </c>
      <c r="B20" s="920" t="s">
        <v>2203</v>
      </c>
      <c r="C20" s="1294">
        <v>66.872</v>
      </c>
      <c r="D20" s="921">
        <v>469.43899999999996</v>
      </c>
      <c r="E20" s="921">
        <v>536.31099999999992</v>
      </c>
      <c r="F20" s="922">
        <v>1.4999999999999999E-2</v>
      </c>
      <c r="G20" s="923">
        <v>14.19</v>
      </c>
      <c r="H20" s="924">
        <v>1.4189999999999999E-2</v>
      </c>
      <c r="I20" s="925">
        <v>4.1123340112453645E-2</v>
      </c>
      <c r="J20" s="926">
        <v>4.1000000000000002E-2</v>
      </c>
      <c r="K20" s="927">
        <v>0.11827735491426597</v>
      </c>
      <c r="L20" s="923">
        <v>4.6565887761335771</v>
      </c>
      <c r="M20" s="928">
        <v>8</v>
      </c>
      <c r="N20" s="927">
        <v>0.2</v>
      </c>
      <c r="O20" s="927">
        <v>0.182</v>
      </c>
      <c r="P20" s="923">
        <v>4.4803536728441791E-2</v>
      </c>
      <c r="Q20" s="923">
        <v>1.7221803317669875</v>
      </c>
      <c r="R20" s="923">
        <v>0.32</v>
      </c>
      <c r="S20" s="927">
        <v>0.74</v>
      </c>
      <c r="T20" s="929">
        <v>0.439</v>
      </c>
      <c r="U20" s="927">
        <v>0.91900000000000004</v>
      </c>
      <c r="V20" s="930">
        <v>1.2744134455075706</v>
      </c>
      <c r="W20" s="927">
        <v>8.2779287976069191E-2</v>
      </c>
      <c r="X20" s="927">
        <v>4.1814499999999998E-2</v>
      </c>
      <c r="Y20" s="927">
        <v>7.9897999999999997E-2</v>
      </c>
      <c r="Z20" s="927">
        <v>0.16267728797606917</v>
      </c>
      <c r="AA20" s="931">
        <v>0.33400000000000002</v>
      </c>
      <c r="AB20" s="924">
        <v>6.0788000000000002E-2</v>
      </c>
      <c r="AC20" s="923">
        <v>16.818210045000001</v>
      </c>
      <c r="AD20" s="923">
        <v>1.6503152531637519</v>
      </c>
      <c r="AE20" s="932" t="s">
        <v>2197</v>
      </c>
      <c r="AF20" s="927">
        <v>1.4631533004517833E-2</v>
      </c>
      <c r="AG20" s="924">
        <v>1.4631533004517833E-3</v>
      </c>
      <c r="AH20" s="923">
        <v>3.2967032967032965</v>
      </c>
      <c r="AI20" s="927">
        <v>3.7731760736905138E-3</v>
      </c>
      <c r="AJ20" s="927">
        <v>5.2363293741422966E-3</v>
      </c>
      <c r="AK20" s="933">
        <v>924.57</v>
      </c>
      <c r="AL20" s="933">
        <v>921.82</v>
      </c>
      <c r="AM20" s="930">
        <v>923.34015850000003</v>
      </c>
      <c r="AN20" s="930">
        <v>920.59840650000001</v>
      </c>
      <c r="AO20" s="934">
        <v>923.14015849999998</v>
      </c>
      <c r="AP20" s="934">
        <v>920.39840649999996</v>
      </c>
      <c r="AQ20" s="923">
        <v>923.22005649999994</v>
      </c>
      <c r="AR20" s="923">
        <v>920.47830449999992</v>
      </c>
      <c r="AS20" s="923">
        <v>923.52868164876361</v>
      </c>
      <c r="AT20" s="923">
        <v>920.78692964876359</v>
      </c>
      <c r="AU20" s="923">
        <v>1.2298415000000205</v>
      </c>
      <c r="AV20" s="923">
        <v>1.22159350000004</v>
      </c>
      <c r="AW20" s="923">
        <v>1.4298415000000659</v>
      </c>
      <c r="AX20" s="923">
        <v>1.4215935000000854</v>
      </c>
      <c r="AY20" s="923">
        <v>0.75942450000002282</v>
      </c>
      <c r="AZ20" s="923" t="s">
        <v>2187</v>
      </c>
      <c r="BA20" s="935" t="s">
        <v>2188</v>
      </c>
      <c r="BB20" s="935" t="s">
        <v>2189</v>
      </c>
      <c r="BC20" s="935" t="s">
        <v>2198</v>
      </c>
      <c r="BD20" s="935" t="s">
        <v>2191</v>
      </c>
      <c r="BE20" s="935" t="s">
        <v>2191</v>
      </c>
      <c r="BF20" s="935"/>
      <c r="BG20" s="936"/>
      <c r="BH20" s="937"/>
      <c r="BI20" s="894" t="str">
        <f t="shared" si="22"/>
        <v>PZ-9</v>
      </c>
      <c r="BJ20" s="894" t="str">
        <f t="shared" si="22"/>
        <v>PZ-10</v>
      </c>
      <c r="BK20" s="938">
        <f t="shared" si="0"/>
        <v>66.87</v>
      </c>
      <c r="BL20" s="938">
        <f t="shared" si="32"/>
        <v>65.27</v>
      </c>
      <c r="BM20" s="895">
        <f t="shared" si="2"/>
        <v>8</v>
      </c>
      <c r="BN20" s="938">
        <f t="shared" si="33"/>
        <v>65.67</v>
      </c>
      <c r="BO20" s="700">
        <f t="shared" si="34"/>
        <v>0.6</v>
      </c>
      <c r="BP20" s="938">
        <f t="shared" si="4"/>
        <v>1.43</v>
      </c>
      <c r="BQ20" s="938">
        <f t="shared" si="5"/>
        <v>1.42</v>
      </c>
      <c r="BR20" s="938">
        <f t="shared" si="6"/>
        <v>1.53</v>
      </c>
      <c r="BS20" s="938">
        <f t="shared" si="7"/>
        <v>59.92</v>
      </c>
      <c r="BT20" s="938">
        <f t="shared" si="23"/>
        <v>99.863099999999989</v>
      </c>
      <c r="BU20" s="938">
        <f t="shared" si="35"/>
        <v>0</v>
      </c>
      <c r="BV20" s="938">
        <f t="shared" si="24"/>
        <v>0</v>
      </c>
      <c r="BW20" s="938">
        <f t="shared" si="8"/>
        <v>0</v>
      </c>
      <c r="BX20" s="938">
        <f t="shared" si="9"/>
        <v>47.94</v>
      </c>
      <c r="BY20" s="938">
        <f t="shared" si="25"/>
        <v>10.19</v>
      </c>
      <c r="BZ20" s="938">
        <f t="shared" si="36"/>
        <v>1.8</v>
      </c>
      <c r="CA20" s="938">
        <f t="shared" si="37"/>
        <v>2.12</v>
      </c>
      <c r="CB20" s="938">
        <f t="shared" si="10"/>
        <v>39.159999999999997</v>
      </c>
      <c r="CC20" s="938" t="s">
        <v>2192</v>
      </c>
      <c r="CD20" s="938">
        <f t="shared" si="11"/>
        <v>0</v>
      </c>
      <c r="CE20" s="938">
        <f t="shared" si="12"/>
        <v>0</v>
      </c>
      <c r="CF20" s="938">
        <f t="shared" si="38"/>
        <v>0</v>
      </c>
      <c r="CG20" s="938">
        <f t="shared" si="39"/>
        <v>0</v>
      </c>
      <c r="CH20" s="938">
        <v>0.3</v>
      </c>
      <c r="CI20" s="938">
        <f t="shared" si="40"/>
        <v>0</v>
      </c>
      <c r="CJ20" s="938">
        <f t="shared" si="41"/>
        <v>0</v>
      </c>
      <c r="CK20" s="938">
        <f t="shared" si="17"/>
        <v>53.88</v>
      </c>
      <c r="CL20" s="938">
        <f t="shared" si="18"/>
        <v>0.1</v>
      </c>
      <c r="CM20" s="938">
        <f t="shared" si="19"/>
        <v>3.92</v>
      </c>
      <c r="CN20" s="938">
        <f t="shared" si="26"/>
        <v>15.65</v>
      </c>
      <c r="CO20" s="938">
        <f t="shared" si="27"/>
        <v>38.229999999999997</v>
      </c>
      <c r="CP20" s="938">
        <f t="shared" si="42"/>
        <v>21.69</v>
      </c>
      <c r="CQ20" s="936"/>
      <c r="CS20" s="895">
        <f t="shared" si="28"/>
        <v>8</v>
      </c>
      <c r="CT20" s="701">
        <f t="shared" si="29"/>
        <v>200</v>
      </c>
      <c r="CU20" s="895">
        <v>2</v>
      </c>
      <c r="CV20" s="938">
        <v>16.899999999999999</v>
      </c>
      <c r="CW20" s="938">
        <f t="shared" si="43"/>
        <v>33.799999999999997</v>
      </c>
      <c r="CX20" s="938">
        <f t="shared" si="30"/>
        <v>0.6</v>
      </c>
      <c r="CY20" s="938">
        <f t="shared" si="44"/>
        <v>1.27</v>
      </c>
      <c r="CZ20" s="938">
        <f t="shared" si="45"/>
        <v>25.76</v>
      </c>
      <c r="DA20" s="938">
        <f t="shared" si="46"/>
        <v>0</v>
      </c>
      <c r="DB20" s="938">
        <f t="shared" si="47"/>
        <v>0</v>
      </c>
      <c r="DC20" s="938">
        <f t="shared" si="48"/>
        <v>0</v>
      </c>
      <c r="DD20" s="938">
        <f t="shared" si="49"/>
        <v>0.62</v>
      </c>
      <c r="DE20" s="938">
        <f t="shared" si="50"/>
        <v>20.28</v>
      </c>
      <c r="DF20" s="938" t="str">
        <f t="shared" si="51"/>
        <v>D</v>
      </c>
      <c r="DG20" s="938">
        <f t="shared" si="52"/>
        <v>0</v>
      </c>
      <c r="DH20" s="938">
        <f t="shared" si="53"/>
        <v>0</v>
      </c>
      <c r="DI20" s="938">
        <f t="shared" si="54"/>
        <v>0</v>
      </c>
      <c r="DJ20" s="938">
        <f t="shared" si="55"/>
        <v>0</v>
      </c>
      <c r="DK20" s="938">
        <v>0.3</v>
      </c>
      <c r="DL20" s="938">
        <f t="shared" si="56"/>
        <v>0</v>
      </c>
      <c r="DM20" s="938">
        <f t="shared" si="57"/>
        <v>0</v>
      </c>
      <c r="DN20" s="938">
        <f t="shared" si="58"/>
        <v>23.11</v>
      </c>
      <c r="DO20" s="938">
        <f t="shared" si="59"/>
        <v>0.1</v>
      </c>
      <c r="DP20" s="938">
        <f t="shared" si="60"/>
        <v>2.028</v>
      </c>
      <c r="DQ20" s="938">
        <f t="shared" si="61"/>
        <v>4.62</v>
      </c>
      <c r="DR20" s="938">
        <f t="shared" si="62"/>
        <v>18.489999999999998</v>
      </c>
      <c r="DS20" s="938">
        <f t="shared" si="63"/>
        <v>6.65</v>
      </c>
      <c r="DT20" s="936"/>
      <c r="DU20" s="937" t="str">
        <f t="shared" si="31"/>
        <v>PZ-9</v>
      </c>
      <c r="DV20" s="938">
        <f t="shared" si="64"/>
        <v>1.63</v>
      </c>
      <c r="DW20" s="938">
        <v>1.2</v>
      </c>
      <c r="DX20" s="938">
        <v>1.6</v>
      </c>
      <c r="DY20" s="938">
        <f t="shared" si="65"/>
        <v>-3.2773094562248724</v>
      </c>
      <c r="DZ20" s="938">
        <v>1.6</v>
      </c>
      <c r="EA20" s="938">
        <v>1.6</v>
      </c>
      <c r="EB20" s="938">
        <f t="shared" si="66"/>
        <v>4.1728000000000005</v>
      </c>
      <c r="EC20" s="938">
        <f t="shared" si="67"/>
        <v>0.89549054377512816</v>
      </c>
      <c r="ED20" s="938">
        <f t="shared" si="68"/>
        <v>0.49251979907632054</v>
      </c>
      <c r="EE20" s="938">
        <f t="shared" si="69"/>
        <v>0.40297074469880767</v>
      </c>
      <c r="EF20" s="938">
        <f t="shared" si="70"/>
        <v>0.49251979907632054</v>
      </c>
    </row>
    <row r="21" spans="1:136">
      <c r="A21" s="920" t="s">
        <v>2203</v>
      </c>
      <c r="B21" s="920" t="s">
        <v>2204</v>
      </c>
      <c r="C21" s="1294">
        <v>80.998000000000005</v>
      </c>
      <c r="D21" s="921">
        <v>536.31099999999992</v>
      </c>
      <c r="E21" s="921">
        <v>617.30899999999997</v>
      </c>
      <c r="F21" s="922">
        <v>1.4999999999999999E-2</v>
      </c>
      <c r="G21" s="923">
        <v>15.68</v>
      </c>
      <c r="H21" s="924">
        <v>1.5679999999999999E-2</v>
      </c>
      <c r="I21" s="925">
        <v>4.333440331860175E-2</v>
      </c>
      <c r="J21" s="926">
        <v>4.2999999999999997E-2</v>
      </c>
      <c r="K21" s="927">
        <v>0.12169832895429439</v>
      </c>
      <c r="L21" s="923">
        <v>4.7912727934569919</v>
      </c>
      <c r="M21" s="928">
        <v>8</v>
      </c>
      <c r="N21" s="927">
        <v>0.2</v>
      </c>
      <c r="O21" s="927">
        <v>0.182</v>
      </c>
      <c r="P21" s="923">
        <v>4.5883294915710263E-2</v>
      </c>
      <c r="Q21" s="923">
        <v>1.7636846068524337</v>
      </c>
      <c r="R21" s="923">
        <v>0.34</v>
      </c>
      <c r="S21" s="927">
        <v>0.755</v>
      </c>
      <c r="T21" s="929">
        <v>0.45200000000000001</v>
      </c>
      <c r="U21" s="927">
        <v>0.93799999999999994</v>
      </c>
      <c r="V21" s="930">
        <v>1.3315818781735875</v>
      </c>
      <c r="W21" s="927">
        <v>9.0372594203888823E-2</v>
      </c>
      <c r="X21" s="927">
        <v>4.2678999999999995E-2</v>
      </c>
      <c r="Y21" s="927">
        <v>8.2264000000000004E-2</v>
      </c>
      <c r="Z21" s="927">
        <v>0.17263659420388883</v>
      </c>
      <c r="AA21" s="931">
        <v>0.34799999999999998</v>
      </c>
      <c r="AB21" s="924">
        <v>6.333599999999999E-2</v>
      </c>
      <c r="AC21" s="923">
        <v>18.00328257</v>
      </c>
      <c r="AD21" s="923">
        <v>1.6893049570653065</v>
      </c>
      <c r="AE21" s="932" t="s">
        <v>2197</v>
      </c>
      <c r="AF21" s="927">
        <v>7.5933062278196323E-3</v>
      </c>
      <c r="AG21" s="924">
        <v>7.5933062278196327E-4</v>
      </c>
      <c r="AH21" s="923">
        <v>3.2967032967032965</v>
      </c>
      <c r="AI21" s="927">
        <v>4.328797054498951E-3</v>
      </c>
      <c r="AJ21" s="927">
        <v>5.0881276772809141E-3</v>
      </c>
      <c r="AK21" s="933">
        <v>921.82</v>
      </c>
      <c r="AL21" s="933">
        <v>918.31</v>
      </c>
      <c r="AM21" s="930">
        <v>919.83898199999999</v>
      </c>
      <c r="AN21" s="930">
        <v>916.35606799999994</v>
      </c>
      <c r="AO21" s="942">
        <v>919.63898199999994</v>
      </c>
      <c r="AP21" s="934">
        <v>916.15606799999989</v>
      </c>
      <c r="AQ21" s="923">
        <v>919.72124599999995</v>
      </c>
      <c r="AR21" s="923">
        <v>916.2383319999999</v>
      </c>
      <c r="AS21" s="923">
        <v>920.78169331938943</v>
      </c>
      <c r="AT21" s="923">
        <v>917.29877931938938</v>
      </c>
      <c r="AU21" s="923">
        <v>1.9810180000000628</v>
      </c>
      <c r="AV21" s="923">
        <v>1.9539320000000089</v>
      </c>
      <c r="AW21" s="923">
        <v>2.1810180000001083</v>
      </c>
      <c r="AX21" s="923">
        <v>2.1539320000000544</v>
      </c>
      <c r="AY21" s="923">
        <v>0.11281450000001314</v>
      </c>
      <c r="AZ21" s="923" t="s">
        <v>2187</v>
      </c>
      <c r="BA21" s="935" t="s">
        <v>2188</v>
      </c>
      <c r="BB21" s="935" t="s">
        <v>2189</v>
      </c>
      <c r="BC21" s="935" t="s">
        <v>2198</v>
      </c>
      <c r="BD21" s="935" t="s">
        <v>2191</v>
      </c>
      <c r="BE21" s="935" t="s">
        <v>2191</v>
      </c>
      <c r="BF21" s="935" t="s">
        <v>2312</v>
      </c>
      <c r="BG21" s="936"/>
      <c r="BH21" s="937"/>
      <c r="BI21" s="894" t="str">
        <f t="shared" si="22"/>
        <v>PZ-10</v>
      </c>
      <c r="BJ21" s="894" t="str">
        <f t="shared" si="22"/>
        <v>PZ-11</v>
      </c>
      <c r="BK21" s="938">
        <f t="shared" si="0"/>
        <v>81</v>
      </c>
      <c r="BL21" s="938">
        <f t="shared" si="32"/>
        <v>79.400000000000006</v>
      </c>
      <c r="BM21" s="895">
        <f t="shared" si="2"/>
        <v>8</v>
      </c>
      <c r="BN21" s="938">
        <f t="shared" si="33"/>
        <v>79.8</v>
      </c>
      <c r="BO21" s="700">
        <f t="shared" si="34"/>
        <v>0.6</v>
      </c>
      <c r="BP21" s="938">
        <f t="shared" si="4"/>
        <v>2.1800000000000002</v>
      </c>
      <c r="BQ21" s="938">
        <f t="shared" si="5"/>
        <v>2.15</v>
      </c>
      <c r="BR21" s="938">
        <f t="shared" si="6"/>
        <v>2.27</v>
      </c>
      <c r="BS21" s="938">
        <f t="shared" si="7"/>
        <v>108.14</v>
      </c>
      <c r="BT21" s="938">
        <f t="shared" si="23"/>
        <v>0</v>
      </c>
      <c r="BU21" s="938">
        <f t="shared" si="35"/>
        <v>140.58564000000004</v>
      </c>
      <c r="BV21" s="938">
        <f t="shared" si="24"/>
        <v>0</v>
      </c>
      <c r="BW21" s="938">
        <f t="shared" si="8"/>
        <v>0</v>
      </c>
      <c r="BX21" s="938">
        <f t="shared" si="9"/>
        <v>86.51</v>
      </c>
      <c r="BY21" s="938">
        <f t="shared" si="25"/>
        <v>18.38</v>
      </c>
      <c r="BZ21" s="938">
        <f t="shared" si="36"/>
        <v>3.24</v>
      </c>
      <c r="CA21" s="938">
        <f t="shared" si="37"/>
        <v>2.57</v>
      </c>
      <c r="CB21" s="938">
        <f t="shared" si="10"/>
        <v>47.64</v>
      </c>
      <c r="CC21" s="938" t="s">
        <v>2192</v>
      </c>
      <c r="CD21" s="938">
        <f t="shared" si="11"/>
        <v>0</v>
      </c>
      <c r="CE21" s="938">
        <f t="shared" si="12"/>
        <v>0</v>
      </c>
      <c r="CF21" s="938">
        <f t="shared" si="38"/>
        <v>0</v>
      </c>
      <c r="CG21" s="938">
        <f t="shared" si="39"/>
        <v>0</v>
      </c>
      <c r="CH21" s="938">
        <v>0.3</v>
      </c>
      <c r="CI21" s="938">
        <f t="shared" si="40"/>
        <v>0</v>
      </c>
      <c r="CJ21" s="938">
        <f t="shared" si="41"/>
        <v>0</v>
      </c>
      <c r="CK21" s="938">
        <f t="shared" si="17"/>
        <v>100.81</v>
      </c>
      <c r="CL21" s="938">
        <f t="shared" si="18"/>
        <v>0.1</v>
      </c>
      <c r="CM21" s="938">
        <f t="shared" si="19"/>
        <v>4.76</v>
      </c>
      <c r="CN21" s="938">
        <f t="shared" si="26"/>
        <v>29.29</v>
      </c>
      <c r="CO21" s="938">
        <f t="shared" si="27"/>
        <v>71.52</v>
      </c>
      <c r="CP21" s="938">
        <f t="shared" si="42"/>
        <v>36.619999999999997</v>
      </c>
      <c r="CQ21" s="936"/>
      <c r="CS21" s="895">
        <f t="shared" si="28"/>
        <v>8</v>
      </c>
      <c r="CT21" s="701">
        <f t="shared" si="29"/>
        <v>200</v>
      </c>
      <c r="CU21" s="895">
        <v>3</v>
      </c>
      <c r="CV21" s="938">
        <v>22.65</v>
      </c>
      <c r="CW21" s="938">
        <f t="shared" si="43"/>
        <v>67.949999999999989</v>
      </c>
      <c r="CX21" s="938">
        <f t="shared" si="30"/>
        <v>0.6</v>
      </c>
      <c r="CY21" s="938">
        <f t="shared" si="44"/>
        <v>1.64</v>
      </c>
      <c r="CZ21" s="938">
        <f t="shared" si="45"/>
        <v>66.86</v>
      </c>
      <c r="DA21" s="938">
        <f t="shared" si="46"/>
        <v>111.44</v>
      </c>
      <c r="DB21" s="938">
        <f t="shared" si="47"/>
        <v>0</v>
      </c>
      <c r="DC21" s="938">
        <f t="shared" si="48"/>
        <v>0</v>
      </c>
      <c r="DD21" s="938">
        <f t="shared" si="49"/>
        <v>1.24</v>
      </c>
      <c r="DE21" s="938">
        <f t="shared" si="50"/>
        <v>40.770000000000003</v>
      </c>
      <c r="DF21" s="938" t="str">
        <f t="shared" si="51"/>
        <v>D</v>
      </c>
      <c r="DG21" s="938">
        <f t="shared" si="52"/>
        <v>0</v>
      </c>
      <c r="DH21" s="938">
        <f t="shared" si="53"/>
        <v>0</v>
      </c>
      <c r="DI21" s="938">
        <f t="shared" si="54"/>
        <v>0</v>
      </c>
      <c r="DJ21" s="938">
        <f t="shared" si="55"/>
        <v>0</v>
      </c>
      <c r="DK21" s="938">
        <v>0.3</v>
      </c>
      <c r="DL21" s="938">
        <f t="shared" si="56"/>
        <v>0</v>
      </c>
      <c r="DM21" s="938">
        <f t="shared" si="57"/>
        <v>0</v>
      </c>
      <c r="DN21" s="938">
        <f t="shared" si="58"/>
        <v>61.54</v>
      </c>
      <c r="DO21" s="938">
        <f t="shared" si="59"/>
        <v>0.1</v>
      </c>
      <c r="DP21" s="938">
        <f t="shared" si="60"/>
        <v>4.0770000000000008</v>
      </c>
      <c r="DQ21" s="938">
        <f t="shared" si="61"/>
        <v>12.31</v>
      </c>
      <c r="DR21" s="938">
        <f t="shared" si="62"/>
        <v>49.23</v>
      </c>
      <c r="DS21" s="938">
        <f t="shared" si="63"/>
        <v>16.39</v>
      </c>
      <c r="DT21" s="936"/>
      <c r="DU21" s="937" t="str">
        <f t="shared" si="31"/>
        <v>PZ-10</v>
      </c>
      <c r="DV21" s="938">
        <f t="shared" si="64"/>
        <v>2.3800000000000003</v>
      </c>
      <c r="DW21" s="938">
        <v>1.2</v>
      </c>
      <c r="DX21" s="938">
        <v>1.6</v>
      </c>
      <c r="DY21" s="938">
        <f t="shared" si="65"/>
        <v>-4.7852739299479738</v>
      </c>
      <c r="DZ21" s="938">
        <v>1.6</v>
      </c>
      <c r="EA21" s="938">
        <v>1.6</v>
      </c>
      <c r="EB21" s="938">
        <f t="shared" si="66"/>
        <v>6.0928000000000022</v>
      </c>
      <c r="EC21" s="938">
        <f t="shared" si="67"/>
        <v>1.3075260700520284</v>
      </c>
      <c r="ED21" s="938">
        <f t="shared" si="68"/>
        <v>0.71913933852861567</v>
      </c>
      <c r="EE21" s="938">
        <f t="shared" si="69"/>
        <v>0.58838673152341281</v>
      </c>
      <c r="EF21" s="938">
        <f t="shared" si="70"/>
        <v>0.71913933852861567</v>
      </c>
    </row>
    <row r="22" spans="1:136">
      <c r="A22" s="920" t="s">
        <v>2204</v>
      </c>
      <c r="B22" s="920" t="s">
        <v>2205</v>
      </c>
      <c r="C22" s="1294">
        <v>85.262</v>
      </c>
      <c r="D22" s="921">
        <v>617.30899999999997</v>
      </c>
      <c r="E22" s="921">
        <v>702.57099999999991</v>
      </c>
      <c r="F22" s="922">
        <v>1.4999999999999999E-2</v>
      </c>
      <c r="G22" s="923">
        <v>27.67</v>
      </c>
      <c r="H22" s="924">
        <v>2.767E-2</v>
      </c>
      <c r="I22" s="925">
        <v>2.1111397809100182E-3</v>
      </c>
      <c r="J22" s="926">
        <v>5.0000000000000001E-3</v>
      </c>
      <c r="K22" s="927">
        <v>0.22542482300599589</v>
      </c>
      <c r="L22" s="923">
        <v>8.8749930316966203</v>
      </c>
      <c r="M22" s="928">
        <v>12</v>
      </c>
      <c r="N22" s="927">
        <v>0.315</v>
      </c>
      <c r="O22" s="927">
        <v>0.28399999999999997</v>
      </c>
      <c r="P22" s="923">
        <v>5.1254331946216126E-2</v>
      </c>
      <c r="Q22" s="923">
        <v>0.80910148865842202</v>
      </c>
      <c r="R22" s="923">
        <v>0.54</v>
      </c>
      <c r="S22" s="927">
        <v>0.87</v>
      </c>
      <c r="T22" s="929">
        <v>0.58799999999999997</v>
      </c>
      <c r="U22" s="927">
        <v>1.107</v>
      </c>
      <c r="V22" s="930">
        <v>0.70391829513282711</v>
      </c>
      <c r="W22" s="927">
        <v>2.5254891244786231E-2</v>
      </c>
      <c r="X22" s="927">
        <v>7.8596999999999986E-2</v>
      </c>
      <c r="Y22" s="927">
        <v>0.16699199999999997</v>
      </c>
      <c r="Z22" s="927">
        <v>0.19224689124478619</v>
      </c>
      <c r="AA22" s="931">
        <v>0.48699999999999999</v>
      </c>
      <c r="AB22" s="924">
        <v>0.13830799999999999</v>
      </c>
      <c r="AC22" s="923">
        <v>3.8551828499999994</v>
      </c>
      <c r="AD22" s="923">
        <v>0.60431600786334949</v>
      </c>
      <c r="AE22" s="932" t="s">
        <v>2186</v>
      </c>
      <c r="AF22" s="927">
        <v>-6.5117702959102589E-2</v>
      </c>
      <c r="AG22" s="924">
        <v>1.3023540591820518E-2</v>
      </c>
      <c r="AH22" s="923">
        <v>2.1126760563380285</v>
      </c>
      <c r="AI22" s="927">
        <v>1.1562748544867506E-2</v>
      </c>
      <c r="AJ22" s="927">
        <v>2.4586289136688026E-2</v>
      </c>
      <c r="AK22" s="933">
        <v>918.31</v>
      </c>
      <c r="AL22" s="933">
        <v>918.13</v>
      </c>
      <c r="AM22" s="943">
        <v>916.35825349999993</v>
      </c>
      <c r="AN22" s="930">
        <v>915.93194349999999</v>
      </c>
      <c r="AO22" s="944">
        <v>916.04325349999988</v>
      </c>
      <c r="AP22" s="934">
        <v>915.61694349999993</v>
      </c>
      <c r="AQ22" s="923">
        <v>916.21024549999993</v>
      </c>
      <c r="AR22" s="923">
        <v>915.78393549999998</v>
      </c>
      <c r="AS22" s="923">
        <v>917.29369119171213</v>
      </c>
      <c r="AT22" s="923">
        <v>916.86738119171218</v>
      </c>
      <c r="AU22" s="923">
        <v>1.9517465000000129</v>
      </c>
      <c r="AV22" s="923">
        <v>2.198056500000007</v>
      </c>
      <c r="AW22" s="923">
        <v>2.2667465000000675</v>
      </c>
      <c r="AX22" s="923">
        <v>2.5130565000000615</v>
      </c>
      <c r="AY22" s="923">
        <v>1.999999999998181E-2</v>
      </c>
      <c r="AZ22" s="923" t="s">
        <v>2187</v>
      </c>
      <c r="BA22" s="935" t="s">
        <v>2188</v>
      </c>
      <c r="BB22" s="935" t="s">
        <v>2189</v>
      </c>
      <c r="BC22" s="935" t="s">
        <v>2190</v>
      </c>
      <c r="BD22" s="935" t="s">
        <v>2191</v>
      </c>
      <c r="BE22" s="935" t="s">
        <v>2191</v>
      </c>
      <c r="BF22" s="935" t="s">
        <v>2313</v>
      </c>
      <c r="BG22" s="936"/>
      <c r="BH22" s="937"/>
      <c r="BI22" s="894" t="str">
        <f t="shared" si="22"/>
        <v>PZ-11</v>
      </c>
      <c r="BJ22" s="894" t="str">
        <f t="shared" si="22"/>
        <v>PZ-12</v>
      </c>
      <c r="BK22" s="938">
        <f t="shared" si="0"/>
        <v>85.26</v>
      </c>
      <c r="BL22" s="938">
        <f t="shared" si="32"/>
        <v>83.66</v>
      </c>
      <c r="BM22" s="895">
        <f t="shared" si="2"/>
        <v>12</v>
      </c>
      <c r="BN22" s="938">
        <f t="shared" si="33"/>
        <v>84.06</v>
      </c>
      <c r="BO22" s="700">
        <f t="shared" si="34"/>
        <v>0.7</v>
      </c>
      <c r="BP22" s="938">
        <f t="shared" si="4"/>
        <v>2.27</v>
      </c>
      <c r="BQ22" s="938">
        <f t="shared" si="5"/>
        <v>2.5099999999999998</v>
      </c>
      <c r="BR22" s="938">
        <f t="shared" si="6"/>
        <v>2.4900000000000002</v>
      </c>
      <c r="BS22" s="938">
        <f t="shared" si="7"/>
        <v>145.82</v>
      </c>
      <c r="BT22" s="938">
        <f t="shared" si="23"/>
        <v>0</v>
      </c>
      <c r="BU22" s="938">
        <f t="shared" si="35"/>
        <v>162.484452</v>
      </c>
      <c r="BV22" s="938">
        <f t="shared" si="24"/>
        <v>0</v>
      </c>
      <c r="BW22" s="938">
        <f t="shared" si="8"/>
        <v>0</v>
      </c>
      <c r="BX22" s="938">
        <f t="shared" si="9"/>
        <v>116.66</v>
      </c>
      <c r="BY22" s="938">
        <f t="shared" si="25"/>
        <v>24.79</v>
      </c>
      <c r="BZ22" s="938">
        <f t="shared" si="36"/>
        <v>4.37</v>
      </c>
      <c r="CA22" s="938">
        <f t="shared" si="37"/>
        <v>6.1</v>
      </c>
      <c r="CB22" s="938">
        <f t="shared" si="10"/>
        <v>58.56</v>
      </c>
      <c r="CC22" s="938" t="s">
        <v>2192</v>
      </c>
      <c r="CD22" s="938">
        <f t="shared" si="11"/>
        <v>0</v>
      </c>
      <c r="CE22" s="938">
        <f t="shared" si="12"/>
        <v>0</v>
      </c>
      <c r="CF22" s="938">
        <f t="shared" si="38"/>
        <v>0</v>
      </c>
      <c r="CG22" s="938">
        <f t="shared" si="39"/>
        <v>0</v>
      </c>
      <c r="CH22" s="938">
        <v>0.3</v>
      </c>
      <c r="CI22" s="938">
        <f t="shared" si="40"/>
        <v>0</v>
      </c>
      <c r="CJ22" s="938">
        <f t="shared" si="41"/>
        <v>0</v>
      </c>
      <c r="CK22" s="938">
        <f t="shared" si="17"/>
        <v>133.86000000000001</v>
      </c>
      <c r="CL22" s="938">
        <f t="shared" si="18"/>
        <v>0.1</v>
      </c>
      <c r="CM22" s="938">
        <f t="shared" si="19"/>
        <v>5.86</v>
      </c>
      <c r="CN22" s="938">
        <f t="shared" si="26"/>
        <v>38.89</v>
      </c>
      <c r="CO22" s="938">
        <f t="shared" si="27"/>
        <v>94.97</v>
      </c>
      <c r="CP22" s="938">
        <f t="shared" si="42"/>
        <v>50.85</v>
      </c>
      <c r="CQ22" s="936"/>
      <c r="CS22" s="895">
        <f t="shared" si="28"/>
        <v>12</v>
      </c>
      <c r="CT22" s="701">
        <f t="shared" si="29"/>
        <v>315</v>
      </c>
      <c r="CU22" s="895">
        <v>5</v>
      </c>
      <c r="CV22" s="938">
        <v>28.75</v>
      </c>
      <c r="CW22" s="938">
        <f t="shared" si="43"/>
        <v>143.75</v>
      </c>
      <c r="CX22" s="938">
        <f t="shared" si="30"/>
        <v>0.6</v>
      </c>
      <c r="CY22" s="938">
        <f t="shared" si="44"/>
        <v>1.75</v>
      </c>
      <c r="CZ22" s="938">
        <f t="shared" si="45"/>
        <v>150.94</v>
      </c>
      <c r="DA22" s="938">
        <f t="shared" si="46"/>
        <v>251.56</v>
      </c>
      <c r="DB22" s="938">
        <f t="shared" si="47"/>
        <v>0</v>
      </c>
      <c r="DC22" s="938">
        <f t="shared" si="48"/>
        <v>0</v>
      </c>
      <c r="DD22" s="938">
        <f t="shared" si="49"/>
        <v>2.62</v>
      </c>
      <c r="DE22" s="938">
        <f t="shared" si="50"/>
        <v>86.25</v>
      </c>
      <c r="DF22" s="938" t="str">
        <f t="shared" si="51"/>
        <v>D</v>
      </c>
      <c r="DG22" s="938">
        <f t="shared" si="52"/>
        <v>0</v>
      </c>
      <c r="DH22" s="938">
        <f t="shared" si="53"/>
        <v>0</v>
      </c>
      <c r="DI22" s="938">
        <f t="shared" si="54"/>
        <v>0</v>
      </c>
      <c r="DJ22" s="938">
        <f t="shared" si="55"/>
        <v>0</v>
      </c>
      <c r="DK22" s="938">
        <v>0.3</v>
      </c>
      <c r="DL22" s="938">
        <f t="shared" si="56"/>
        <v>0</v>
      </c>
      <c r="DM22" s="938">
        <f t="shared" si="57"/>
        <v>0</v>
      </c>
      <c r="DN22" s="938">
        <f t="shared" si="58"/>
        <v>139.69999999999999</v>
      </c>
      <c r="DO22" s="938">
        <f t="shared" si="59"/>
        <v>0.1</v>
      </c>
      <c r="DP22" s="938">
        <f t="shared" si="60"/>
        <v>8.625</v>
      </c>
      <c r="DQ22" s="938">
        <f t="shared" si="61"/>
        <v>27.94</v>
      </c>
      <c r="DR22" s="938">
        <f t="shared" si="62"/>
        <v>111.76</v>
      </c>
      <c r="DS22" s="938">
        <f t="shared" si="63"/>
        <v>36.56</v>
      </c>
      <c r="DT22" s="936"/>
      <c r="DU22" s="937" t="str">
        <f t="shared" si="31"/>
        <v>PZ-11</v>
      </c>
      <c r="DV22" s="938">
        <f t="shared" si="64"/>
        <v>2.4700000000000002</v>
      </c>
      <c r="DW22" s="938">
        <v>1.2</v>
      </c>
      <c r="DX22" s="938">
        <v>1.6</v>
      </c>
      <c r="DY22" s="938">
        <f t="shared" si="65"/>
        <v>-4.9662296667947459</v>
      </c>
      <c r="DZ22" s="938">
        <v>1.6</v>
      </c>
      <c r="EA22" s="938">
        <v>1.6</v>
      </c>
      <c r="EB22" s="938">
        <f t="shared" si="66"/>
        <v>6.3232000000000017</v>
      </c>
      <c r="EC22" s="938">
        <f t="shared" si="67"/>
        <v>1.3569703332052558</v>
      </c>
      <c r="ED22" s="938">
        <f t="shared" si="68"/>
        <v>0.74633368326289073</v>
      </c>
      <c r="EE22" s="938">
        <f t="shared" si="69"/>
        <v>0.61063664994236511</v>
      </c>
      <c r="EF22" s="938">
        <f t="shared" si="70"/>
        <v>0.74633368326289073</v>
      </c>
    </row>
    <row r="23" spans="1:136">
      <c r="A23" s="920" t="s">
        <v>2205</v>
      </c>
      <c r="B23" s="920" t="s">
        <v>2206</v>
      </c>
      <c r="C23" s="1294">
        <v>73.096000000000004</v>
      </c>
      <c r="D23" s="921">
        <v>702.57099999999991</v>
      </c>
      <c r="E23" s="921">
        <v>775.66699999999992</v>
      </c>
      <c r="F23" s="922">
        <v>1.4999999999999999E-2</v>
      </c>
      <c r="G23" s="923">
        <v>28.24</v>
      </c>
      <c r="H23" s="924">
        <v>2.8239999999999998E-2</v>
      </c>
      <c r="I23" s="925">
        <v>1.4911896683813503E-2</v>
      </c>
      <c r="J23" s="926">
        <v>5.0000000000000001E-3</v>
      </c>
      <c r="K23" s="927">
        <v>0.22715513684706609</v>
      </c>
      <c r="L23" s="923">
        <v>8.9431156238644665</v>
      </c>
      <c r="M23" s="928">
        <v>12</v>
      </c>
      <c r="N23" s="927">
        <v>0.315</v>
      </c>
      <c r="O23" s="927">
        <v>0.28399999999999997</v>
      </c>
      <c r="P23" s="923">
        <v>5.1254331946216126E-2</v>
      </c>
      <c r="Q23" s="923">
        <v>0.80910148865842202</v>
      </c>
      <c r="R23" s="923">
        <v>0.55000000000000004</v>
      </c>
      <c r="S23" s="927">
        <v>0.875</v>
      </c>
      <c r="T23" s="929">
        <v>0.59399999999999997</v>
      </c>
      <c r="U23" s="927">
        <v>1.113</v>
      </c>
      <c r="V23" s="930">
        <v>0.70796380257611924</v>
      </c>
      <c r="W23" s="927">
        <v>2.5546011506525905E-2</v>
      </c>
      <c r="X23" s="927">
        <v>7.9022999999999996E-2</v>
      </c>
      <c r="Y23" s="927">
        <v>0.16869599999999998</v>
      </c>
      <c r="Z23" s="927">
        <v>0.1942420115065259</v>
      </c>
      <c r="AA23" s="931">
        <v>0.49399999999999999</v>
      </c>
      <c r="AB23" s="924">
        <v>0.14029599999999998</v>
      </c>
      <c r="AC23" s="923">
        <v>3.8760781500000001</v>
      </c>
      <c r="AD23" s="923">
        <v>0.60346752657682146</v>
      </c>
      <c r="AE23" s="932" t="s">
        <v>2186</v>
      </c>
      <c r="AF23" s="927">
        <v>2.9112026173967395E-4</v>
      </c>
      <c r="AG23" s="924">
        <v>2.9112026173967397E-5</v>
      </c>
      <c r="AH23" s="923">
        <v>2.1126760563380285</v>
      </c>
      <c r="AI23" s="927">
        <v>5.0800902751312136E-3</v>
      </c>
      <c r="AJ23" s="927">
        <v>5.1092023013051806E-3</v>
      </c>
      <c r="AK23" s="933">
        <v>918.13</v>
      </c>
      <c r="AL23" s="933">
        <v>917.04</v>
      </c>
      <c r="AM23" s="930">
        <v>915.91194350000001</v>
      </c>
      <c r="AN23" s="930">
        <v>915.54646349999996</v>
      </c>
      <c r="AO23" s="945">
        <v>915.59694349999995</v>
      </c>
      <c r="AP23" s="934">
        <v>915.2314634999999</v>
      </c>
      <c r="AQ23" s="923">
        <v>915.76563949999991</v>
      </c>
      <c r="AR23" s="923">
        <v>915.40015949999986</v>
      </c>
      <c r="AS23" s="923">
        <v>916.84279490257552</v>
      </c>
      <c r="AT23" s="923">
        <v>916.47731490257547</v>
      </c>
      <c r="AU23" s="923">
        <v>2.2180564999999888</v>
      </c>
      <c r="AV23" s="923">
        <v>1.4935365000000047</v>
      </c>
      <c r="AW23" s="923">
        <v>2.5330565000000433</v>
      </c>
      <c r="AX23" s="923">
        <v>1.8085365000000593</v>
      </c>
      <c r="AY23" s="923">
        <v>1.999999999998181E-2</v>
      </c>
      <c r="AZ23" s="923" t="s">
        <v>2187</v>
      </c>
      <c r="BA23" s="935" t="s">
        <v>2188</v>
      </c>
      <c r="BB23" s="935" t="s">
        <v>2189</v>
      </c>
      <c r="BC23" s="935" t="s">
        <v>2190</v>
      </c>
      <c r="BD23" s="935" t="s">
        <v>2191</v>
      </c>
      <c r="BE23" s="935" t="s">
        <v>2191</v>
      </c>
      <c r="BF23" s="935"/>
      <c r="BG23" s="936"/>
      <c r="BH23" s="937"/>
      <c r="BI23" s="894" t="str">
        <f t="shared" si="22"/>
        <v>PZ-12</v>
      </c>
      <c r="BJ23" s="894" t="str">
        <f t="shared" si="22"/>
        <v>PZ-13</v>
      </c>
      <c r="BK23" s="938">
        <f t="shared" si="0"/>
        <v>73.099999999999994</v>
      </c>
      <c r="BL23" s="938">
        <f t="shared" si="32"/>
        <v>71.5</v>
      </c>
      <c r="BM23" s="895">
        <f t="shared" si="2"/>
        <v>12</v>
      </c>
      <c r="BN23" s="938">
        <f t="shared" si="33"/>
        <v>71.900000000000006</v>
      </c>
      <c r="BO23" s="700">
        <f t="shared" si="34"/>
        <v>0.7</v>
      </c>
      <c r="BP23" s="938">
        <f t="shared" si="4"/>
        <v>2.5299999999999998</v>
      </c>
      <c r="BQ23" s="938">
        <f t="shared" si="5"/>
        <v>1.81</v>
      </c>
      <c r="BR23" s="938">
        <f t="shared" si="6"/>
        <v>2.27</v>
      </c>
      <c r="BS23" s="938">
        <f t="shared" si="7"/>
        <v>113.61</v>
      </c>
      <c r="BT23" s="938">
        <f t="shared" si="23"/>
        <v>0</v>
      </c>
      <c r="BU23" s="938">
        <f t="shared" si="35"/>
        <v>126.59790000000001</v>
      </c>
      <c r="BV23" s="938">
        <f t="shared" si="24"/>
        <v>0</v>
      </c>
      <c r="BW23" s="938">
        <f t="shared" si="8"/>
        <v>0</v>
      </c>
      <c r="BX23" s="938">
        <f t="shared" si="9"/>
        <v>90.89</v>
      </c>
      <c r="BY23" s="938">
        <f t="shared" si="25"/>
        <v>19.309999999999999</v>
      </c>
      <c r="BZ23" s="938">
        <f t="shared" si="36"/>
        <v>3.41</v>
      </c>
      <c r="CA23" s="938">
        <f t="shared" si="37"/>
        <v>5.22</v>
      </c>
      <c r="CB23" s="938">
        <f t="shared" si="10"/>
        <v>50.05</v>
      </c>
      <c r="CC23" s="938" t="s">
        <v>2192</v>
      </c>
      <c r="CD23" s="938">
        <f t="shared" si="11"/>
        <v>0</v>
      </c>
      <c r="CE23" s="938">
        <f t="shared" si="12"/>
        <v>0</v>
      </c>
      <c r="CF23" s="938">
        <f t="shared" si="38"/>
        <v>0</v>
      </c>
      <c r="CG23" s="938">
        <f t="shared" si="39"/>
        <v>0</v>
      </c>
      <c r="CH23" s="938">
        <v>0.3</v>
      </c>
      <c r="CI23" s="938">
        <f t="shared" si="40"/>
        <v>0</v>
      </c>
      <c r="CJ23" s="938">
        <f t="shared" si="41"/>
        <v>0</v>
      </c>
      <c r="CK23" s="938">
        <f t="shared" si="17"/>
        <v>103.38</v>
      </c>
      <c r="CL23" s="938">
        <f t="shared" si="18"/>
        <v>0.1</v>
      </c>
      <c r="CM23" s="938">
        <f t="shared" si="19"/>
        <v>5.01</v>
      </c>
      <c r="CN23" s="938">
        <f t="shared" si="26"/>
        <v>30.03</v>
      </c>
      <c r="CO23" s="938">
        <f t="shared" si="27"/>
        <v>73.349999999999994</v>
      </c>
      <c r="CP23" s="938">
        <f t="shared" si="42"/>
        <v>40.26</v>
      </c>
      <c r="CQ23" s="936"/>
      <c r="CS23" s="895">
        <f t="shared" si="28"/>
        <v>12</v>
      </c>
      <c r="CT23" s="701">
        <f t="shared" si="29"/>
        <v>315</v>
      </c>
      <c r="CU23" s="895">
        <v>2</v>
      </c>
      <c r="CV23" s="938">
        <v>19.850000000000001</v>
      </c>
      <c r="CW23" s="938">
        <f t="shared" si="43"/>
        <v>39.700000000000003</v>
      </c>
      <c r="CX23" s="938">
        <f t="shared" si="30"/>
        <v>0.6</v>
      </c>
      <c r="CY23" s="938">
        <f t="shared" si="44"/>
        <v>1.64</v>
      </c>
      <c r="CZ23" s="938">
        <f t="shared" si="45"/>
        <v>39.06</v>
      </c>
      <c r="DA23" s="938">
        <f t="shared" si="46"/>
        <v>65.11</v>
      </c>
      <c r="DB23" s="938">
        <f t="shared" si="47"/>
        <v>0</v>
      </c>
      <c r="DC23" s="938">
        <f t="shared" si="48"/>
        <v>0</v>
      </c>
      <c r="DD23" s="938">
        <f t="shared" si="49"/>
        <v>0.72</v>
      </c>
      <c r="DE23" s="938">
        <f t="shared" si="50"/>
        <v>23.82</v>
      </c>
      <c r="DF23" s="938" t="str">
        <f t="shared" si="51"/>
        <v>D</v>
      </c>
      <c r="DG23" s="938">
        <f t="shared" si="52"/>
        <v>0</v>
      </c>
      <c r="DH23" s="938">
        <f t="shared" si="53"/>
        <v>0</v>
      </c>
      <c r="DI23" s="938">
        <f t="shared" si="54"/>
        <v>0</v>
      </c>
      <c r="DJ23" s="938">
        <f t="shared" si="55"/>
        <v>0</v>
      </c>
      <c r="DK23" s="938">
        <v>0.3</v>
      </c>
      <c r="DL23" s="938">
        <f t="shared" si="56"/>
        <v>0</v>
      </c>
      <c r="DM23" s="938">
        <f t="shared" si="57"/>
        <v>0</v>
      </c>
      <c r="DN23" s="938">
        <f t="shared" si="58"/>
        <v>35.96</v>
      </c>
      <c r="DO23" s="938">
        <f t="shared" si="59"/>
        <v>0.1</v>
      </c>
      <c r="DP23" s="938">
        <f t="shared" si="60"/>
        <v>2.3820000000000001</v>
      </c>
      <c r="DQ23" s="938">
        <f t="shared" si="61"/>
        <v>7.19</v>
      </c>
      <c r="DR23" s="938">
        <f t="shared" si="62"/>
        <v>28.77</v>
      </c>
      <c r="DS23" s="938">
        <f t="shared" si="63"/>
        <v>9.57</v>
      </c>
      <c r="DT23" s="936"/>
      <c r="DU23" s="937" t="str">
        <f t="shared" si="31"/>
        <v>PZ-12</v>
      </c>
      <c r="DV23" s="938">
        <f t="shared" si="64"/>
        <v>2.73</v>
      </c>
      <c r="DW23" s="938">
        <v>1.2</v>
      </c>
      <c r="DX23" s="938">
        <v>1.6</v>
      </c>
      <c r="DY23" s="938">
        <f t="shared" si="65"/>
        <v>-5.4889906843520873</v>
      </c>
      <c r="DZ23" s="938">
        <v>1.6</v>
      </c>
      <c r="EA23" s="938">
        <v>1.6</v>
      </c>
      <c r="EB23" s="938">
        <f t="shared" si="66"/>
        <v>6.9888000000000012</v>
      </c>
      <c r="EC23" s="938">
        <f t="shared" si="67"/>
        <v>1.499809315647914</v>
      </c>
      <c r="ED23" s="938">
        <f t="shared" si="68"/>
        <v>0.82489512360635275</v>
      </c>
      <c r="EE23" s="938">
        <f t="shared" si="69"/>
        <v>0.67491419204156133</v>
      </c>
      <c r="EF23" s="938">
        <f t="shared" si="70"/>
        <v>0.82489512360635275</v>
      </c>
    </row>
    <row r="24" spans="1:136">
      <c r="A24" s="920" t="s">
        <v>2206</v>
      </c>
      <c r="B24" s="920" t="s">
        <v>2207</v>
      </c>
      <c r="C24" s="1294">
        <v>76.936999999999998</v>
      </c>
      <c r="D24" s="921">
        <v>775.66699999999992</v>
      </c>
      <c r="E24" s="921">
        <v>852.60399999999993</v>
      </c>
      <c r="F24" s="922">
        <v>1.4999999999999999E-2</v>
      </c>
      <c r="G24" s="923">
        <v>28.45</v>
      </c>
      <c r="H24" s="924">
        <v>2.845E-2</v>
      </c>
      <c r="I24" s="925">
        <v>1.2867670951557887E-2</v>
      </c>
      <c r="J24" s="926">
        <v>1.0500000000000001E-2</v>
      </c>
      <c r="K24" s="927">
        <v>0.19820428369059326</v>
      </c>
      <c r="L24" s="923">
        <v>7.803318255503954</v>
      </c>
      <c r="M24" s="928">
        <v>12</v>
      </c>
      <c r="N24" s="927">
        <v>0.315</v>
      </c>
      <c r="O24" s="927">
        <v>0.28399999999999997</v>
      </c>
      <c r="P24" s="923">
        <v>7.4274583410687073E-2</v>
      </c>
      <c r="Q24" s="923">
        <v>1.1724994498051913</v>
      </c>
      <c r="R24" s="923">
        <v>0.38</v>
      </c>
      <c r="S24" s="927">
        <v>0.78100000000000003</v>
      </c>
      <c r="T24" s="929">
        <v>0.48199999999999998</v>
      </c>
      <c r="U24" s="927">
        <v>0.98299999999999998</v>
      </c>
      <c r="V24" s="930">
        <v>0.91572207029785446</v>
      </c>
      <c r="W24" s="927">
        <v>4.2739393987287905E-2</v>
      </c>
      <c r="X24" s="927">
        <v>6.9792999999999994E-2</v>
      </c>
      <c r="Y24" s="927">
        <v>0.13688799999999998</v>
      </c>
      <c r="Z24" s="927">
        <v>0.17962739398728789</v>
      </c>
      <c r="AA24" s="931">
        <v>0.374</v>
      </c>
      <c r="AB24" s="924">
        <v>0.10621599999999999</v>
      </c>
      <c r="AC24" s="923">
        <v>7.1890279649999993</v>
      </c>
      <c r="AD24" s="923">
        <v>0.89708626350270582</v>
      </c>
      <c r="AE24" s="932" t="s">
        <v>2186</v>
      </c>
      <c r="AF24" s="927">
        <v>1.7193382480762E-2</v>
      </c>
      <c r="AG24" s="924">
        <v>1.7193382480762001E-3</v>
      </c>
      <c r="AH24" s="923">
        <v>2.1126760563380285</v>
      </c>
      <c r="AI24" s="927">
        <v>6.8285405493813817E-3</v>
      </c>
      <c r="AJ24" s="927">
        <v>8.5478787974575809E-3</v>
      </c>
      <c r="AK24" s="933">
        <v>917.04</v>
      </c>
      <c r="AL24" s="933">
        <v>916.05</v>
      </c>
      <c r="AM24" s="930">
        <v>915.52646349999998</v>
      </c>
      <c r="AN24" s="930">
        <v>914.71862499999997</v>
      </c>
      <c r="AO24" s="934">
        <v>915.21146349999992</v>
      </c>
      <c r="AP24" s="934">
        <v>914.40362499999992</v>
      </c>
      <c r="AQ24" s="923">
        <v>915.34835149999992</v>
      </c>
      <c r="AR24" s="923">
        <v>914.54051299999992</v>
      </c>
      <c r="AS24" s="923">
        <v>916.47220570027412</v>
      </c>
      <c r="AT24" s="923">
        <v>915.66436720027411</v>
      </c>
      <c r="AU24" s="923">
        <v>1.5135364999999865</v>
      </c>
      <c r="AV24" s="923">
        <v>1.33137499999998</v>
      </c>
      <c r="AW24" s="923">
        <v>1.8285365000000411</v>
      </c>
      <c r="AX24" s="923">
        <v>1.6463750000000346</v>
      </c>
      <c r="AY24" s="923">
        <v>1.999999999998181E-2</v>
      </c>
      <c r="AZ24" s="923" t="s">
        <v>2187</v>
      </c>
      <c r="BA24" s="935" t="s">
        <v>2188</v>
      </c>
      <c r="BB24" s="935" t="s">
        <v>2189</v>
      </c>
      <c r="BC24" s="935" t="s">
        <v>2198</v>
      </c>
      <c r="BD24" s="935" t="s">
        <v>2191</v>
      </c>
      <c r="BE24" s="935" t="s">
        <v>2191</v>
      </c>
      <c r="BF24" s="935"/>
      <c r="BG24" s="936"/>
      <c r="BH24" s="937"/>
      <c r="BI24" s="894" t="str">
        <f t="shared" si="22"/>
        <v>PZ-13</v>
      </c>
      <c r="BJ24" s="894" t="str">
        <f t="shared" si="22"/>
        <v>PZ-14</v>
      </c>
      <c r="BK24" s="938">
        <f t="shared" si="0"/>
        <v>76.94</v>
      </c>
      <c r="BL24" s="938">
        <f t="shared" si="32"/>
        <v>75.34</v>
      </c>
      <c r="BM24" s="895">
        <f t="shared" si="2"/>
        <v>12</v>
      </c>
      <c r="BN24" s="938">
        <f t="shared" si="33"/>
        <v>75.739999999999995</v>
      </c>
      <c r="BO24" s="700">
        <f t="shared" si="34"/>
        <v>0.7</v>
      </c>
      <c r="BP24" s="938">
        <f t="shared" si="4"/>
        <v>1.83</v>
      </c>
      <c r="BQ24" s="938">
        <f t="shared" si="5"/>
        <v>1.65</v>
      </c>
      <c r="BR24" s="938">
        <f t="shared" si="6"/>
        <v>1.84</v>
      </c>
      <c r="BS24" s="938">
        <f t="shared" si="7"/>
        <v>97.04</v>
      </c>
      <c r="BT24" s="938">
        <f t="shared" si="23"/>
        <v>138.62560000000002</v>
      </c>
      <c r="BU24" s="938">
        <f t="shared" si="35"/>
        <v>0</v>
      </c>
      <c r="BV24" s="938">
        <f t="shared" si="24"/>
        <v>0</v>
      </c>
      <c r="BW24" s="938">
        <f t="shared" si="8"/>
        <v>0</v>
      </c>
      <c r="BX24" s="938">
        <f t="shared" si="9"/>
        <v>77.63</v>
      </c>
      <c r="BY24" s="938">
        <f t="shared" si="25"/>
        <v>16.5</v>
      </c>
      <c r="BZ24" s="938">
        <f t="shared" si="36"/>
        <v>2.91</v>
      </c>
      <c r="CA24" s="938">
        <f t="shared" si="37"/>
        <v>5.5</v>
      </c>
      <c r="CB24" s="938">
        <f t="shared" si="10"/>
        <v>52.74</v>
      </c>
      <c r="CC24" s="938" t="s">
        <v>2192</v>
      </c>
      <c r="CD24" s="938">
        <f t="shared" si="11"/>
        <v>0</v>
      </c>
      <c r="CE24" s="938">
        <f t="shared" si="12"/>
        <v>0</v>
      </c>
      <c r="CF24" s="938">
        <f t="shared" si="38"/>
        <v>0</v>
      </c>
      <c r="CG24" s="938">
        <f t="shared" si="39"/>
        <v>0</v>
      </c>
      <c r="CH24" s="938">
        <v>0.3</v>
      </c>
      <c r="CI24" s="938">
        <f t="shared" si="40"/>
        <v>0</v>
      </c>
      <c r="CJ24" s="938">
        <f t="shared" si="41"/>
        <v>0</v>
      </c>
      <c r="CK24" s="938">
        <f t="shared" si="17"/>
        <v>86.27</v>
      </c>
      <c r="CL24" s="938">
        <f t="shared" si="18"/>
        <v>0.1</v>
      </c>
      <c r="CM24" s="938">
        <f t="shared" si="19"/>
        <v>5.27</v>
      </c>
      <c r="CN24" s="938">
        <f t="shared" si="26"/>
        <v>25.06</v>
      </c>
      <c r="CO24" s="938">
        <f t="shared" si="27"/>
        <v>61.21</v>
      </c>
      <c r="CP24" s="938">
        <f t="shared" si="42"/>
        <v>35.83</v>
      </c>
      <c r="CQ24" s="936"/>
      <c r="CS24" s="895">
        <f t="shared" si="28"/>
        <v>12</v>
      </c>
      <c r="CT24" s="701">
        <f t="shared" si="29"/>
        <v>315</v>
      </c>
      <c r="CU24" s="895">
        <v>2</v>
      </c>
      <c r="CV24" s="938">
        <v>11.35</v>
      </c>
      <c r="CW24" s="938">
        <f t="shared" si="43"/>
        <v>22.7</v>
      </c>
      <c r="CX24" s="938">
        <f t="shared" si="30"/>
        <v>0.6</v>
      </c>
      <c r="CY24" s="938">
        <f t="shared" si="44"/>
        <v>1.42</v>
      </c>
      <c r="CZ24" s="938">
        <f t="shared" si="45"/>
        <v>19.34</v>
      </c>
      <c r="DA24" s="938">
        <f t="shared" si="46"/>
        <v>0</v>
      </c>
      <c r="DB24" s="938">
        <f t="shared" si="47"/>
        <v>0</v>
      </c>
      <c r="DC24" s="938">
        <f t="shared" si="48"/>
        <v>0</v>
      </c>
      <c r="DD24" s="938">
        <f t="shared" si="49"/>
        <v>0.41</v>
      </c>
      <c r="DE24" s="938">
        <f t="shared" si="50"/>
        <v>13.62</v>
      </c>
      <c r="DF24" s="938" t="str">
        <f t="shared" si="51"/>
        <v>D</v>
      </c>
      <c r="DG24" s="938">
        <f t="shared" si="52"/>
        <v>0</v>
      </c>
      <c r="DH24" s="938">
        <f t="shared" si="53"/>
        <v>0</v>
      </c>
      <c r="DI24" s="938">
        <f t="shared" si="54"/>
        <v>0</v>
      </c>
      <c r="DJ24" s="938">
        <f t="shared" si="55"/>
        <v>0</v>
      </c>
      <c r="DK24" s="938">
        <v>0.3</v>
      </c>
      <c r="DL24" s="938">
        <f t="shared" si="56"/>
        <v>0</v>
      </c>
      <c r="DM24" s="938">
        <f t="shared" si="57"/>
        <v>0</v>
      </c>
      <c r="DN24" s="938">
        <f t="shared" si="58"/>
        <v>17.57</v>
      </c>
      <c r="DO24" s="938">
        <f t="shared" si="59"/>
        <v>0.1</v>
      </c>
      <c r="DP24" s="938">
        <f t="shared" si="60"/>
        <v>1.3620000000000001</v>
      </c>
      <c r="DQ24" s="938">
        <f t="shared" si="61"/>
        <v>3.51</v>
      </c>
      <c r="DR24" s="938">
        <f t="shared" si="62"/>
        <v>14.06</v>
      </c>
      <c r="DS24" s="938">
        <f t="shared" si="63"/>
        <v>4.87</v>
      </c>
      <c r="DT24" s="936"/>
      <c r="DU24" s="937" t="str">
        <f t="shared" si="31"/>
        <v>PZ-13</v>
      </c>
      <c r="DV24" s="938">
        <f t="shared" si="64"/>
        <v>2.0300000000000002</v>
      </c>
      <c r="DW24" s="938">
        <v>1.2</v>
      </c>
      <c r="DX24" s="938">
        <v>1.6</v>
      </c>
      <c r="DY24" s="938">
        <f t="shared" si="65"/>
        <v>-4.0815571755438604</v>
      </c>
      <c r="DZ24" s="938">
        <v>1.6</v>
      </c>
      <c r="EA24" s="938">
        <v>1.6</v>
      </c>
      <c r="EB24" s="938">
        <f t="shared" si="66"/>
        <v>5.1968000000000014</v>
      </c>
      <c r="EC24" s="938">
        <f t="shared" si="67"/>
        <v>1.115242824456141</v>
      </c>
      <c r="ED24" s="938">
        <f t="shared" si="68"/>
        <v>0.61338355345087758</v>
      </c>
      <c r="EE24" s="938">
        <f t="shared" si="69"/>
        <v>0.50185927100526351</v>
      </c>
      <c r="EF24" s="938">
        <f t="shared" si="70"/>
        <v>0.61338355345087758</v>
      </c>
    </row>
    <row r="25" spans="1:136">
      <c r="A25" s="920" t="s">
        <v>2207</v>
      </c>
      <c r="B25" s="920" t="s">
        <v>2208</v>
      </c>
      <c r="C25" s="1294">
        <v>30.873999999999999</v>
      </c>
      <c r="D25" s="921">
        <v>852.60399999999993</v>
      </c>
      <c r="E25" s="921">
        <v>883.47799999999995</v>
      </c>
      <c r="F25" s="922">
        <v>1.4999999999999999E-2</v>
      </c>
      <c r="G25" s="923">
        <v>28.54</v>
      </c>
      <c r="H25" s="924">
        <v>2.8539999999999999E-2</v>
      </c>
      <c r="I25" s="925">
        <v>6.1540454751570169E-2</v>
      </c>
      <c r="J25" s="926">
        <v>5.0000000000000001E-3</v>
      </c>
      <c r="K25" s="927">
        <v>0.22805707032429817</v>
      </c>
      <c r="L25" s="923">
        <v>8.9786248158813358</v>
      </c>
      <c r="M25" s="928">
        <v>12</v>
      </c>
      <c r="N25" s="927">
        <v>0.315</v>
      </c>
      <c r="O25" s="927">
        <v>0.28399999999999997</v>
      </c>
      <c r="P25" s="923">
        <v>5.1254331946216126E-2</v>
      </c>
      <c r="Q25" s="923">
        <v>0.80910148865842202</v>
      </c>
      <c r="R25" s="923">
        <v>0.56000000000000005</v>
      </c>
      <c r="S25" s="927">
        <v>0.88</v>
      </c>
      <c r="T25" s="929">
        <v>0.60099999999999998</v>
      </c>
      <c r="U25" s="927">
        <v>1.121</v>
      </c>
      <c r="V25" s="930">
        <v>0.71200931001941137</v>
      </c>
      <c r="W25" s="927">
        <v>2.5838800079221111E-2</v>
      </c>
      <c r="X25" s="927">
        <v>7.9590999999999995E-2</v>
      </c>
      <c r="Y25" s="927">
        <v>0.17068399999999997</v>
      </c>
      <c r="Z25" s="927">
        <v>0.19652280007922107</v>
      </c>
      <c r="AA25" s="931">
        <v>0.505</v>
      </c>
      <c r="AB25" s="924">
        <v>0.14341999999999999</v>
      </c>
      <c r="AC25" s="923">
        <v>3.9039385500000003</v>
      </c>
      <c r="AD25" s="923">
        <v>0.60026954480051742</v>
      </c>
      <c r="AE25" s="932" t="s">
        <v>2186</v>
      </c>
      <c r="AF25" s="927">
        <v>-1.6900593908066794E-2</v>
      </c>
      <c r="AG25" s="924">
        <v>3.3801187816133588E-3</v>
      </c>
      <c r="AH25" s="923">
        <v>2.1126760563380285</v>
      </c>
      <c r="AI25" s="927">
        <v>6.8578194066509016E-3</v>
      </c>
      <c r="AJ25" s="927">
        <v>1.023793818826426E-2</v>
      </c>
      <c r="AK25" s="933">
        <v>916.05</v>
      </c>
      <c r="AL25" s="933">
        <v>914.15</v>
      </c>
      <c r="AM25" s="930">
        <v>914.69862499999999</v>
      </c>
      <c r="AN25" s="930">
        <v>914.54425500000002</v>
      </c>
      <c r="AO25" s="934">
        <v>914.38362499999994</v>
      </c>
      <c r="AP25" s="934">
        <v>914.22925499999997</v>
      </c>
      <c r="AQ25" s="923">
        <v>914.55430899999999</v>
      </c>
      <c r="AR25" s="923">
        <v>914.39993900000002</v>
      </c>
      <c r="AS25" s="923">
        <v>915.65581932147666</v>
      </c>
      <c r="AT25" s="923">
        <v>915.50144932147668</v>
      </c>
      <c r="AU25" s="923">
        <v>1.3513749999999618</v>
      </c>
      <c r="AV25" s="923">
        <v>-0.39425500000004376</v>
      </c>
      <c r="AW25" s="923">
        <v>1.6663750000000164</v>
      </c>
      <c r="AX25" s="923">
        <v>-7.9254999999989195E-2</v>
      </c>
      <c r="AY25" s="923">
        <v>1.999999999998181E-2</v>
      </c>
      <c r="AZ25" s="923" t="s">
        <v>2187</v>
      </c>
      <c r="BA25" s="935" t="s">
        <v>2188</v>
      </c>
      <c r="BB25" s="935" t="s">
        <v>2189</v>
      </c>
      <c r="BC25" s="935" t="s">
        <v>2190</v>
      </c>
      <c r="BD25" s="935" t="s">
        <v>2191</v>
      </c>
      <c r="BE25" s="935" t="s">
        <v>2231</v>
      </c>
      <c r="BF25" s="935" t="s">
        <v>2314</v>
      </c>
      <c r="BG25" s="936"/>
      <c r="BH25" s="937"/>
      <c r="BI25" s="894" t="str">
        <f t="shared" si="22"/>
        <v>PZ-14</v>
      </c>
      <c r="BJ25" s="894" t="str">
        <f t="shared" si="22"/>
        <v>PZ-15</v>
      </c>
      <c r="BK25" s="938">
        <f t="shared" si="0"/>
        <v>30.87</v>
      </c>
      <c r="BL25" s="938">
        <f t="shared" si="32"/>
        <v>29.27</v>
      </c>
      <c r="BM25" s="895">
        <f t="shared" si="2"/>
        <v>12</v>
      </c>
      <c r="BN25" s="938">
        <f t="shared" si="33"/>
        <v>29.67</v>
      </c>
      <c r="BO25" s="700">
        <f t="shared" si="34"/>
        <v>0.7</v>
      </c>
      <c r="BP25" s="938">
        <f t="shared" si="4"/>
        <v>1.67</v>
      </c>
      <c r="BQ25" s="938">
        <f t="shared" si="5"/>
        <v>-0.08</v>
      </c>
      <c r="BR25" s="938">
        <f t="shared" si="6"/>
        <v>0.9</v>
      </c>
      <c r="BS25" s="938">
        <f t="shared" si="7"/>
        <v>18.440000000000001</v>
      </c>
      <c r="BT25" s="938">
        <f t="shared" si="23"/>
        <v>0</v>
      </c>
      <c r="BU25" s="938">
        <f t="shared" si="35"/>
        <v>0</v>
      </c>
      <c r="BV25" s="938">
        <f t="shared" si="24"/>
        <v>0</v>
      </c>
      <c r="BW25" s="938">
        <f t="shared" si="8"/>
        <v>0</v>
      </c>
      <c r="BX25" s="938">
        <f t="shared" si="9"/>
        <v>14.75</v>
      </c>
      <c r="BY25" s="938">
        <f t="shared" si="25"/>
        <v>3.13</v>
      </c>
      <c r="BZ25" s="938">
        <f t="shared" si="36"/>
        <v>0.55000000000000004</v>
      </c>
      <c r="CA25" s="938">
        <f t="shared" si="37"/>
        <v>2.14</v>
      </c>
      <c r="CB25" s="938">
        <f t="shared" si="10"/>
        <v>20.49</v>
      </c>
      <c r="CC25" s="938" t="s">
        <v>2192</v>
      </c>
      <c r="CD25" s="938">
        <f t="shared" si="11"/>
        <v>0</v>
      </c>
      <c r="CE25" s="938">
        <f t="shared" si="12"/>
        <v>0</v>
      </c>
      <c r="CF25" s="938">
        <f t="shared" si="38"/>
        <v>0</v>
      </c>
      <c r="CG25" s="938">
        <f t="shared" si="39"/>
        <v>0</v>
      </c>
      <c r="CH25" s="938">
        <v>0.3</v>
      </c>
      <c r="CI25" s="938">
        <f t="shared" si="40"/>
        <v>0</v>
      </c>
      <c r="CJ25" s="938">
        <f t="shared" si="41"/>
        <v>0</v>
      </c>
      <c r="CK25" s="938">
        <f t="shared" si="17"/>
        <v>14.25</v>
      </c>
      <c r="CL25" s="938">
        <f t="shared" si="18"/>
        <v>0.1</v>
      </c>
      <c r="CM25" s="938">
        <f t="shared" si="19"/>
        <v>2.0499999999999998</v>
      </c>
      <c r="CN25" s="938">
        <f t="shared" si="26"/>
        <v>4.1399999999999997</v>
      </c>
      <c r="CO25" s="938">
        <f t="shared" si="27"/>
        <v>10.11</v>
      </c>
      <c r="CP25" s="938">
        <f t="shared" si="42"/>
        <v>8.33</v>
      </c>
      <c r="CQ25" s="936"/>
      <c r="CS25" s="895">
        <f t="shared" si="28"/>
        <v>12</v>
      </c>
      <c r="CT25" s="701">
        <f t="shared" si="29"/>
        <v>315</v>
      </c>
      <c r="CU25" s="895">
        <v>2</v>
      </c>
      <c r="CV25" s="938">
        <v>14.05</v>
      </c>
      <c r="CW25" s="938">
        <f t="shared" si="43"/>
        <v>28.1</v>
      </c>
      <c r="CX25" s="938">
        <f t="shared" si="30"/>
        <v>0.6</v>
      </c>
      <c r="CY25" s="938">
        <f t="shared" si="44"/>
        <v>0.95</v>
      </c>
      <c r="CZ25" s="938">
        <f t="shared" si="45"/>
        <v>16.02</v>
      </c>
      <c r="DA25" s="938">
        <f t="shared" si="46"/>
        <v>0</v>
      </c>
      <c r="DB25" s="938">
        <f t="shared" si="47"/>
        <v>0</v>
      </c>
      <c r="DC25" s="938">
        <f t="shared" si="48"/>
        <v>0</v>
      </c>
      <c r="DD25" s="938">
        <f t="shared" si="49"/>
        <v>0.51</v>
      </c>
      <c r="DE25" s="938">
        <f t="shared" si="50"/>
        <v>16.86</v>
      </c>
      <c r="DF25" s="938" t="str">
        <f t="shared" si="51"/>
        <v>D</v>
      </c>
      <c r="DG25" s="938">
        <f t="shared" si="52"/>
        <v>0</v>
      </c>
      <c r="DH25" s="938">
        <f t="shared" si="53"/>
        <v>0</v>
      </c>
      <c r="DI25" s="938">
        <f t="shared" si="54"/>
        <v>0</v>
      </c>
      <c r="DJ25" s="938">
        <f t="shared" si="55"/>
        <v>0</v>
      </c>
      <c r="DK25" s="938">
        <v>0.3</v>
      </c>
      <c r="DL25" s="938">
        <f t="shared" si="56"/>
        <v>0</v>
      </c>
      <c r="DM25" s="938">
        <f t="shared" si="57"/>
        <v>0</v>
      </c>
      <c r="DN25" s="938">
        <f t="shared" si="58"/>
        <v>13.82</v>
      </c>
      <c r="DO25" s="938">
        <f t="shared" si="59"/>
        <v>0.1</v>
      </c>
      <c r="DP25" s="938">
        <f t="shared" si="60"/>
        <v>1.6859999999999999</v>
      </c>
      <c r="DQ25" s="938">
        <f t="shared" si="61"/>
        <v>2.76</v>
      </c>
      <c r="DR25" s="938">
        <f t="shared" si="62"/>
        <v>11.06</v>
      </c>
      <c r="DS25" s="938">
        <f t="shared" si="63"/>
        <v>4.45</v>
      </c>
      <c r="DT25" s="936"/>
      <c r="DU25" s="937" t="str">
        <f t="shared" si="31"/>
        <v>PZ-14</v>
      </c>
      <c r="DV25" s="938">
        <v>1.85</v>
      </c>
      <c r="DW25" s="938">
        <v>1.2</v>
      </c>
      <c r="DX25" s="938">
        <v>1.6</v>
      </c>
      <c r="DY25" s="938">
        <f t="shared" si="65"/>
        <v>-3.7196457018503155</v>
      </c>
      <c r="DZ25" s="938">
        <v>1.6</v>
      </c>
      <c r="EA25" s="938">
        <v>1.6</v>
      </c>
      <c r="EB25" s="938">
        <f t="shared" si="66"/>
        <v>4.7360000000000015</v>
      </c>
      <c r="EC25" s="938">
        <f t="shared" si="67"/>
        <v>1.016354298149686</v>
      </c>
      <c r="ED25" s="938">
        <f t="shared" si="68"/>
        <v>0.55899486398232734</v>
      </c>
      <c r="EE25" s="938">
        <f t="shared" si="69"/>
        <v>0.45735943416735875</v>
      </c>
      <c r="EF25" s="938">
        <f t="shared" si="70"/>
        <v>0.55899486398232734</v>
      </c>
    </row>
    <row r="26" spans="1:136">
      <c r="A26" s="920" t="s">
        <v>2208</v>
      </c>
      <c r="B26" s="920" t="s">
        <v>2209</v>
      </c>
      <c r="C26" s="1294">
        <v>25.036999999999999</v>
      </c>
      <c r="D26" s="921">
        <v>883.47799999999995</v>
      </c>
      <c r="E26" s="921">
        <v>908.51499999999999</v>
      </c>
      <c r="F26" s="922">
        <v>1.4999999999999999E-2</v>
      </c>
      <c r="G26" s="923">
        <v>28.6</v>
      </c>
      <c r="H26" s="924">
        <v>2.86E-2</v>
      </c>
      <c r="I26" s="925">
        <v>1.8772217118665467E-2</v>
      </c>
      <c r="J26" s="926">
        <v>5.0000000000000001E-3</v>
      </c>
      <c r="K26" s="927">
        <v>0.22823674505458788</v>
      </c>
      <c r="L26" s="923">
        <v>8.9856986241604293</v>
      </c>
      <c r="M26" s="928">
        <v>12</v>
      </c>
      <c r="N26" s="927">
        <v>0.315</v>
      </c>
      <c r="O26" s="927">
        <v>0.28399999999999997</v>
      </c>
      <c r="P26" s="923">
        <v>5.1254331946216126E-2</v>
      </c>
      <c r="Q26" s="923">
        <v>0.80910148865842202</v>
      </c>
      <c r="R26" s="923">
        <v>0.56000000000000005</v>
      </c>
      <c r="S26" s="927">
        <v>0.88</v>
      </c>
      <c r="T26" s="929">
        <v>0.60099999999999998</v>
      </c>
      <c r="U26" s="927">
        <v>1.121</v>
      </c>
      <c r="V26" s="930">
        <v>0.71200931001941137</v>
      </c>
      <c r="W26" s="927">
        <v>2.5838800079221111E-2</v>
      </c>
      <c r="X26" s="927">
        <v>7.9590999999999995E-2</v>
      </c>
      <c r="Y26" s="927">
        <v>0.17068399999999997</v>
      </c>
      <c r="Z26" s="927">
        <v>0.19652280007922107</v>
      </c>
      <c r="AA26" s="931">
        <v>0.505</v>
      </c>
      <c r="AB26" s="924">
        <v>0.14341999999999999</v>
      </c>
      <c r="AC26" s="923">
        <v>3.9039385500000003</v>
      </c>
      <c r="AD26" s="923">
        <v>0.60026954480051742</v>
      </c>
      <c r="AE26" s="932" t="s">
        <v>2186</v>
      </c>
      <c r="AF26" s="927">
        <v>0</v>
      </c>
      <c r="AG26" s="924">
        <v>0</v>
      </c>
      <c r="AH26" s="923">
        <v>2.1126760563380285</v>
      </c>
      <c r="AI26" s="927">
        <v>5.1677600158442222E-3</v>
      </c>
      <c r="AJ26" s="927">
        <v>5.1677600158442222E-3</v>
      </c>
      <c r="AK26" s="933">
        <v>914.15</v>
      </c>
      <c r="AL26" s="933">
        <v>913.68</v>
      </c>
      <c r="AM26" s="930">
        <v>914.52425500000004</v>
      </c>
      <c r="AN26" s="930">
        <v>914.39907000000005</v>
      </c>
      <c r="AO26" s="934">
        <v>914.20925499999998</v>
      </c>
      <c r="AP26" s="934">
        <v>914.08407</v>
      </c>
      <c r="AQ26" s="923">
        <v>914.37993900000004</v>
      </c>
      <c r="AR26" s="923">
        <v>914.25475400000005</v>
      </c>
      <c r="AS26" s="923">
        <v>915.49121138328837</v>
      </c>
      <c r="AT26" s="923">
        <v>915.36602638328839</v>
      </c>
      <c r="AU26" s="923">
        <v>-0.37425500000006195</v>
      </c>
      <c r="AV26" s="923">
        <v>-0.71907000000010157</v>
      </c>
      <c r="AW26" s="923">
        <v>-5.9255000000007385E-2</v>
      </c>
      <c r="AX26" s="923">
        <v>-0.404070000000047</v>
      </c>
      <c r="AY26" s="923">
        <v>1.999999999998181E-2</v>
      </c>
      <c r="AZ26" s="923" t="s">
        <v>2187</v>
      </c>
      <c r="BA26" s="935" t="s">
        <v>2188</v>
      </c>
      <c r="BB26" s="935" t="s">
        <v>2189</v>
      </c>
      <c r="BC26" s="935" t="s">
        <v>2190</v>
      </c>
      <c r="BD26" s="935" t="s">
        <v>2231</v>
      </c>
      <c r="BE26" s="935" t="s">
        <v>2231</v>
      </c>
      <c r="BF26" s="935" t="s">
        <v>2315</v>
      </c>
      <c r="BG26" s="936"/>
      <c r="BH26" s="937"/>
      <c r="BI26" s="894" t="str">
        <f t="shared" si="22"/>
        <v>PZ-15</v>
      </c>
      <c r="BJ26" s="894" t="str">
        <f t="shared" si="22"/>
        <v>PZ-16</v>
      </c>
      <c r="BK26" s="938">
        <f t="shared" si="0"/>
        <v>25.04</v>
      </c>
      <c r="BL26" s="938">
        <f t="shared" si="32"/>
        <v>23.44</v>
      </c>
      <c r="BM26" s="895">
        <f t="shared" si="2"/>
        <v>12</v>
      </c>
      <c r="BN26" s="938">
        <f t="shared" si="33"/>
        <v>23.84</v>
      </c>
      <c r="BO26" s="700">
        <f t="shared" si="34"/>
        <v>0.7</v>
      </c>
      <c r="BP26" s="938"/>
      <c r="BQ26" s="938"/>
      <c r="BR26" s="938"/>
      <c r="BS26" s="938"/>
      <c r="BT26" s="938"/>
      <c r="BU26" s="938">
        <f t="shared" si="35"/>
        <v>0</v>
      </c>
      <c r="BV26" s="938"/>
      <c r="BW26" s="938">
        <f t="shared" si="8"/>
        <v>0</v>
      </c>
      <c r="BX26" s="938">
        <f t="shared" si="9"/>
        <v>0</v>
      </c>
      <c r="BY26" s="938">
        <f t="shared" si="25"/>
        <v>0</v>
      </c>
      <c r="BZ26" s="938">
        <f t="shared" si="36"/>
        <v>0</v>
      </c>
      <c r="CA26" s="938"/>
      <c r="CB26" s="938"/>
      <c r="CC26" s="938"/>
      <c r="CD26" s="938"/>
      <c r="CE26" s="938"/>
      <c r="CF26" s="938"/>
      <c r="CG26" s="938"/>
      <c r="CH26" s="938"/>
      <c r="CI26" s="938"/>
      <c r="CJ26" s="938"/>
      <c r="CK26" s="938"/>
      <c r="CL26" s="938"/>
      <c r="CM26" s="938"/>
      <c r="CN26" s="938">
        <f t="shared" si="26"/>
        <v>0</v>
      </c>
      <c r="CO26" s="938">
        <f t="shared" si="27"/>
        <v>0</v>
      </c>
      <c r="CP26" s="938"/>
      <c r="CQ26" s="936"/>
      <c r="CS26" s="895">
        <f t="shared" si="28"/>
        <v>12</v>
      </c>
      <c r="CT26" s="701">
        <f t="shared" si="29"/>
        <v>315</v>
      </c>
      <c r="CU26" s="895">
        <v>0</v>
      </c>
      <c r="CV26" s="938"/>
      <c r="CW26" s="938"/>
      <c r="CX26" s="938"/>
      <c r="CY26" s="938"/>
      <c r="CZ26" s="938"/>
      <c r="DA26" s="938"/>
      <c r="DB26" s="938"/>
      <c r="DC26" s="938"/>
      <c r="DD26" s="938"/>
      <c r="DE26" s="938"/>
      <c r="DF26" s="938"/>
      <c r="DG26" s="938"/>
      <c r="DH26" s="938"/>
      <c r="DI26" s="938"/>
      <c r="DJ26" s="938"/>
      <c r="DK26" s="938"/>
      <c r="DL26" s="938"/>
      <c r="DM26" s="938"/>
      <c r="DN26" s="938"/>
      <c r="DO26" s="938">
        <f t="shared" si="59"/>
        <v>0.1</v>
      </c>
      <c r="DP26" s="938"/>
      <c r="DQ26" s="938">
        <f t="shared" si="61"/>
        <v>0</v>
      </c>
      <c r="DR26" s="938">
        <f t="shared" si="62"/>
        <v>0</v>
      </c>
      <c r="DS26" s="938"/>
      <c r="DT26" s="936"/>
      <c r="DU26" s="937" t="str">
        <f t="shared" si="31"/>
        <v>PZ-15</v>
      </c>
      <c r="DV26" s="938">
        <v>1.85</v>
      </c>
      <c r="DW26" s="938">
        <v>1.2</v>
      </c>
      <c r="DX26" s="938">
        <v>1.6</v>
      </c>
      <c r="DY26" s="938">
        <f t="shared" si="65"/>
        <v>-3.7196457018503155</v>
      </c>
      <c r="DZ26" s="938">
        <v>1.6</v>
      </c>
      <c r="EA26" s="938">
        <v>1.6</v>
      </c>
      <c r="EB26" s="938">
        <f t="shared" si="66"/>
        <v>4.7360000000000015</v>
      </c>
      <c r="EC26" s="938">
        <f t="shared" si="67"/>
        <v>1.016354298149686</v>
      </c>
      <c r="ED26" s="938">
        <f t="shared" si="68"/>
        <v>0.55899486398232734</v>
      </c>
      <c r="EE26" s="938">
        <f t="shared" si="69"/>
        <v>0.45735943416735875</v>
      </c>
      <c r="EF26" s="938">
        <f t="shared" si="70"/>
        <v>0.55899486398232734</v>
      </c>
    </row>
    <row r="27" spans="1:136">
      <c r="A27" s="920" t="s">
        <v>2209</v>
      </c>
      <c r="B27" s="920" t="s">
        <v>2210</v>
      </c>
      <c r="C27" s="1294">
        <v>25.388999999999999</v>
      </c>
      <c r="D27" s="921">
        <v>908.51499999999999</v>
      </c>
      <c r="E27" s="921">
        <v>933.904</v>
      </c>
      <c r="F27" s="922">
        <v>1.4999999999999999E-2</v>
      </c>
      <c r="G27" s="923">
        <v>28.66</v>
      </c>
      <c r="H27" s="924">
        <v>2.8660000000000001E-2</v>
      </c>
      <c r="I27" s="925">
        <v>-7.7592658237820605E-2</v>
      </c>
      <c r="J27" s="926">
        <v>5.0000000000000001E-3</v>
      </c>
      <c r="K27" s="927">
        <v>0.22841618435153754</v>
      </c>
      <c r="L27" s="923">
        <v>8.9927631634103875</v>
      </c>
      <c r="M27" s="928">
        <v>12</v>
      </c>
      <c r="N27" s="927">
        <v>0.315</v>
      </c>
      <c r="O27" s="927">
        <v>0.28399999999999997</v>
      </c>
      <c r="P27" s="923">
        <v>5.1254331946216126E-2</v>
      </c>
      <c r="Q27" s="923">
        <v>0.80910148865842202</v>
      </c>
      <c r="R27" s="923">
        <v>0.56000000000000005</v>
      </c>
      <c r="S27" s="927">
        <v>0.88</v>
      </c>
      <c r="T27" s="929">
        <v>0.60099999999999998</v>
      </c>
      <c r="U27" s="927">
        <v>1.121</v>
      </c>
      <c r="V27" s="930">
        <v>0.71200931001941137</v>
      </c>
      <c r="W27" s="927">
        <v>2.5838800079221111E-2</v>
      </c>
      <c r="X27" s="927">
        <v>7.9590999999999995E-2</v>
      </c>
      <c r="Y27" s="927">
        <v>0.17068399999999997</v>
      </c>
      <c r="Z27" s="927">
        <v>0.19652280007922107</v>
      </c>
      <c r="AA27" s="931">
        <v>0.505</v>
      </c>
      <c r="AB27" s="924">
        <v>0.14341999999999999</v>
      </c>
      <c r="AC27" s="923">
        <v>3.9039385500000003</v>
      </c>
      <c r="AD27" s="923">
        <v>0.60026954480051742</v>
      </c>
      <c r="AE27" s="932" t="s">
        <v>2186</v>
      </c>
      <c r="AF27" s="927">
        <v>0</v>
      </c>
      <c r="AG27" s="924">
        <v>0</v>
      </c>
      <c r="AH27" s="923">
        <v>2.1126760563380285</v>
      </c>
      <c r="AI27" s="927">
        <v>5.1677600158442222E-3</v>
      </c>
      <c r="AJ27" s="927">
        <v>5.1677600158442222E-3</v>
      </c>
      <c r="AK27" s="933">
        <v>913.68</v>
      </c>
      <c r="AL27" s="933">
        <v>915.65</v>
      </c>
      <c r="AM27" s="930">
        <v>914.37907000000007</v>
      </c>
      <c r="AN27" s="930">
        <v>914.25212500000009</v>
      </c>
      <c r="AO27" s="934">
        <v>914.06407000000002</v>
      </c>
      <c r="AP27" s="934">
        <v>913.93712500000004</v>
      </c>
      <c r="AQ27" s="923">
        <v>914.23475400000007</v>
      </c>
      <c r="AR27" s="923">
        <v>914.10780900000009</v>
      </c>
      <c r="AS27" s="923">
        <v>915.36085862327252</v>
      </c>
      <c r="AT27" s="923">
        <v>915.23391362327254</v>
      </c>
      <c r="AU27" s="923">
        <v>-0.69907000000011976</v>
      </c>
      <c r="AV27" s="923">
        <v>1.3978749999998854</v>
      </c>
      <c r="AW27" s="923">
        <v>-0.38407000000006519</v>
      </c>
      <c r="AX27" s="923">
        <v>1.71287499999994</v>
      </c>
      <c r="AY27" s="923">
        <v>1.999999999998181E-2</v>
      </c>
      <c r="AZ27" s="923" t="s">
        <v>2187</v>
      </c>
      <c r="BA27" s="935" t="s">
        <v>2188</v>
      </c>
      <c r="BB27" s="935" t="s">
        <v>2189</v>
      </c>
      <c r="BC27" s="935" t="s">
        <v>2190</v>
      </c>
      <c r="BD27" s="935" t="s">
        <v>2231</v>
      </c>
      <c r="BE27" s="935" t="s">
        <v>2191</v>
      </c>
      <c r="BF27" s="935" t="s">
        <v>2316</v>
      </c>
      <c r="BG27" s="936"/>
      <c r="BH27" s="937"/>
      <c r="BI27" s="894" t="str">
        <f t="shared" si="22"/>
        <v>PZ-16</v>
      </c>
      <c r="BJ27" s="894" t="str">
        <f t="shared" si="22"/>
        <v>PZ-17</v>
      </c>
      <c r="BK27" s="938">
        <f t="shared" si="0"/>
        <v>25.39</v>
      </c>
      <c r="BL27" s="938">
        <f t="shared" si="32"/>
        <v>23.79</v>
      </c>
      <c r="BM27" s="895">
        <f t="shared" si="2"/>
        <v>12</v>
      </c>
      <c r="BN27" s="938">
        <f t="shared" si="33"/>
        <v>24.19</v>
      </c>
      <c r="BO27" s="700">
        <f t="shared" si="34"/>
        <v>0.7</v>
      </c>
      <c r="BP27" s="938">
        <f t="shared" si="4"/>
        <v>-0.38</v>
      </c>
      <c r="BQ27" s="938">
        <f t="shared" si="5"/>
        <v>1.71</v>
      </c>
      <c r="BR27" s="938">
        <f t="shared" si="6"/>
        <v>0.77</v>
      </c>
      <c r="BS27" s="938">
        <f t="shared" si="7"/>
        <v>12.82</v>
      </c>
      <c r="BT27" s="938">
        <f t="shared" si="23"/>
        <v>0</v>
      </c>
      <c r="BU27" s="938">
        <f t="shared" si="35"/>
        <v>0</v>
      </c>
      <c r="BV27" s="938">
        <f t="shared" si="24"/>
        <v>0</v>
      </c>
      <c r="BW27" s="938">
        <f t="shared" si="8"/>
        <v>0</v>
      </c>
      <c r="BX27" s="938">
        <f t="shared" si="9"/>
        <v>10.26</v>
      </c>
      <c r="BY27" s="938">
        <f t="shared" si="25"/>
        <v>2.1800000000000002</v>
      </c>
      <c r="BZ27" s="938">
        <f t="shared" si="36"/>
        <v>0.38</v>
      </c>
      <c r="CA27" s="938">
        <f t="shared" si="37"/>
        <v>1.74</v>
      </c>
      <c r="CB27" s="938">
        <f t="shared" si="10"/>
        <v>16.649999999999999</v>
      </c>
      <c r="CC27" s="938" t="s">
        <v>2192</v>
      </c>
      <c r="CD27" s="938">
        <f t="shared" si="11"/>
        <v>0</v>
      </c>
      <c r="CE27" s="938">
        <f t="shared" si="12"/>
        <v>0</v>
      </c>
      <c r="CF27" s="938">
        <f t="shared" si="38"/>
        <v>0</v>
      </c>
      <c r="CG27" s="938">
        <f t="shared" si="39"/>
        <v>0</v>
      </c>
      <c r="CH27" s="938">
        <v>0.3</v>
      </c>
      <c r="CI27" s="938">
        <f t="shared" si="40"/>
        <v>0</v>
      </c>
      <c r="CJ27" s="938">
        <f t="shared" si="41"/>
        <v>0</v>
      </c>
      <c r="CK27" s="938">
        <f t="shared" si="17"/>
        <v>9.41</v>
      </c>
      <c r="CL27" s="938">
        <f t="shared" si="18"/>
        <v>0.1</v>
      </c>
      <c r="CM27" s="938">
        <f t="shared" si="19"/>
        <v>1.67</v>
      </c>
      <c r="CN27" s="938">
        <f t="shared" si="26"/>
        <v>2.73</v>
      </c>
      <c r="CO27" s="938">
        <f t="shared" si="27"/>
        <v>6.68</v>
      </c>
      <c r="CP27" s="938">
        <f t="shared" si="42"/>
        <v>6.14</v>
      </c>
      <c r="CQ27" s="936"/>
      <c r="CS27" s="895">
        <f t="shared" si="28"/>
        <v>12</v>
      </c>
      <c r="CT27" s="701">
        <f t="shared" si="29"/>
        <v>315</v>
      </c>
      <c r="CU27" s="895">
        <v>0</v>
      </c>
      <c r="CV27" s="938">
        <v>0</v>
      </c>
      <c r="CW27" s="938">
        <f t="shared" si="43"/>
        <v>0</v>
      </c>
      <c r="CX27" s="938">
        <f t="shared" si="30"/>
        <v>0.6</v>
      </c>
      <c r="CY27" s="938">
        <f t="shared" si="44"/>
        <v>0.89</v>
      </c>
      <c r="CZ27" s="938">
        <f t="shared" si="45"/>
        <v>0</v>
      </c>
      <c r="DA27" s="938">
        <f t="shared" si="46"/>
        <v>0</v>
      </c>
      <c r="DB27" s="938">
        <f t="shared" si="47"/>
        <v>0</v>
      </c>
      <c r="DC27" s="938">
        <f t="shared" si="48"/>
        <v>0</v>
      </c>
      <c r="DD27" s="938">
        <f t="shared" si="49"/>
        <v>0</v>
      </c>
      <c r="DE27" s="938">
        <f t="shared" si="50"/>
        <v>0</v>
      </c>
      <c r="DF27" s="938" t="str">
        <f t="shared" si="51"/>
        <v>D</v>
      </c>
      <c r="DG27" s="938">
        <f t="shared" si="52"/>
        <v>0</v>
      </c>
      <c r="DH27" s="938">
        <f t="shared" si="53"/>
        <v>0</v>
      </c>
      <c r="DI27" s="938">
        <f t="shared" si="54"/>
        <v>0</v>
      </c>
      <c r="DJ27" s="938">
        <f t="shared" si="55"/>
        <v>0</v>
      </c>
      <c r="DK27" s="938">
        <v>0.3</v>
      </c>
      <c r="DL27" s="938">
        <f t="shared" si="56"/>
        <v>0</v>
      </c>
      <c r="DM27" s="938">
        <f t="shared" si="57"/>
        <v>0</v>
      </c>
      <c r="DN27" s="938">
        <f t="shared" si="58"/>
        <v>0</v>
      </c>
      <c r="DO27" s="938">
        <f t="shared" si="59"/>
        <v>0.1</v>
      </c>
      <c r="DP27" s="938">
        <f t="shared" si="60"/>
        <v>0</v>
      </c>
      <c r="DQ27" s="938">
        <f t="shared" si="61"/>
        <v>0</v>
      </c>
      <c r="DR27" s="938">
        <f t="shared" si="62"/>
        <v>0</v>
      </c>
      <c r="DS27" s="938">
        <f t="shared" si="63"/>
        <v>0</v>
      </c>
      <c r="DT27" s="936"/>
      <c r="DU27" s="937" t="str">
        <f t="shared" si="31"/>
        <v>PZ-16</v>
      </c>
      <c r="DV27" s="938">
        <f>1.64+0.2</f>
        <v>1.8399999999999999</v>
      </c>
      <c r="DW27" s="938">
        <v>1.2</v>
      </c>
      <c r="DX27" s="938">
        <v>1.6</v>
      </c>
      <c r="DY27" s="938">
        <f t="shared" si="65"/>
        <v>-3.6995395088673404</v>
      </c>
      <c r="DZ27" s="938">
        <v>1.6</v>
      </c>
      <c r="EA27" s="938">
        <v>1.6</v>
      </c>
      <c r="EB27" s="938">
        <f t="shared" si="66"/>
        <v>4.7104000000000008</v>
      </c>
      <c r="EC27" s="938">
        <f t="shared" si="67"/>
        <v>1.0108604911326604</v>
      </c>
      <c r="ED27" s="938">
        <f t="shared" si="68"/>
        <v>0.55597327012296327</v>
      </c>
      <c r="EE27" s="938">
        <f t="shared" si="69"/>
        <v>0.4548872210096972</v>
      </c>
      <c r="EF27" s="938">
        <f t="shared" si="70"/>
        <v>0.55597327012296327</v>
      </c>
    </row>
    <row r="28" spans="1:136">
      <c r="A28" s="920" t="s">
        <v>2210</v>
      </c>
      <c r="B28" s="920" t="s">
        <v>2211</v>
      </c>
      <c r="C28" s="1294">
        <v>87.567999999999998</v>
      </c>
      <c r="D28" s="921">
        <v>933.904</v>
      </c>
      <c r="E28" s="921">
        <v>1021.472</v>
      </c>
      <c r="F28" s="922">
        <v>1.4999999999999999E-2</v>
      </c>
      <c r="G28" s="923">
        <v>28.92</v>
      </c>
      <c r="H28" s="924">
        <v>2.8920000000000001E-2</v>
      </c>
      <c r="I28" s="925">
        <v>2.4552347889639791E-2</v>
      </c>
      <c r="J28" s="926">
        <v>2.35E-2</v>
      </c>
      <c r="K28" s="927">
        <v>0.17146651164347729</v>
      </c>
      <c r="L28" s="923">
        <v>6.7506500646768268</v>
      </c>
      <c r="M28" s="928">
        <v>12</v>
      </c>
      <c r="N28" s="927">
        <v>0.315</v>
      </c>
      <c r="O28" s="927">
        <v>0.28399999999999997</v>
      </c>
      <c r="P28" s="923">
        <v>0.11111674380258216</v>
      </c>
      <c r="Q28" s="923">
        <v>1.7540902283125548</v>
      </c>
      <c r="R28" s="923">
        <v>0.26</v>
      </c>
      <c r="S28" s="927">
        <v>0.7</v>
      </c>
      <c r="T28" s="929">
        <v>0.39300000000000002</v>
      </c>
      <c r="U28" s="927">
        <v>0.84799999999999998</v>
      </c>
      <c r="V28" s="930">
        <v>1.2278631598187884</v>
      </c>
      <c r="W28" s="927">
        <v>7.6842402611629931E-2</v>
      </c>
      <c r="X28" s="927">
        <v>6.0207999999999991E-2</v>
      </c>
      <c r="Y28" s="927">
        <v>0.11161199999999999</v>
      </c>
      <c r="Z28" s="927">
        <v>0.18845440261162993</v>
      </c>
      <c r="AA28" s="931">
        <v>0.29399999999999998</v>
      </c>
      <c r="AB28" s="924">
        <v>8.3495999999999987E-2</v>
      </c>
      <c r="AC28" s="923">
        <v>13.880051279999998</v>
      </c>
      <c r="AD28" s="923">
        <v>1.3566962678291212</v>
      </c>
      <c r="AE28" s="932" t="s">
        <v>2197</v>
      </c>
      <c r="AF28" s="927">
        <v>5.100360253240882E-2</v>
      </c>
      <c r="AG28" s="924">
        <v>5.1003602532408822E-3</v>
      </c>
      <c r="AH28" s="923">
        <v>2.1126760563380285</v>
      </c>
      <c r="AI28" s="927">
        <v>1.0268120269085105E-2</v>
      </c>
      <c r="AJ28" s="927">
        <v>1.5368480522325988E-2</v>
      </c>
      <c r="AK28" s="933">
        <v>915.65</v>
      </c>
      <c r="AL28" s="933">
        <v>913.5</v>
      </c>
      <c r="AM28" s="930">
        <v>914.23212500000011</v>
      </c>
      <c r="AN28" s="930">
        <v>912.17427700000007</v>
      </c>
      <c r="AO28" s="934">
        <v>913.91712500000006</v>
      </c>
      <c r="AP28" s="934">
        <v>911.85927700000002</v>
      </c>
      <c r="AQ28" s="923">
        <v>914.02873700000009</v>
      </c>
      <c r="AR28" s="923">
        <v>911.97088900000006</v>
      </c>
      <c r="AS28" s="923">
        <v>915.22874586325668</v>
      </c>
      <c r="AT28" s="923">
        <v>913.17089786325664</v>
      </c>
      <c r="AU28" s="923">
        <v>1.4178749999998672</v>
      </c>
      <c r="AV28" s="923">
        <v>1.3257229999999254</v>
      </c>
      <c r="AW28" s="923">
        <v>1.7328749999999218</v>
      </c>
      <c r="AX28" s="923">
        <v>1.6407229999999799</v>
      </c>
      <c r="AY28" s="923">
        <v>4.8144999998385174E-3</v>
      </c>
      <c r="AZ28" s="923" t="s">
        <v>2187</v>
      </c>
      <c r="BA28" s="935" t="s">
        <v>2188</v>
      </c>
      <c r="BB28" s="935" t="s">
        <v>2189</v>
      </c>
      <c r="BC28" s="935" t="s">
        <v>2198</v>
      </c>
      <c r="BD28" s="935" t="s">
        <v>2191</v>
      </c>
      <c r="BE28" s="935" t="s">
        <v>2191</v>
      </c>
      <c r="BF28" s="946"/>
      <c r="BH28" s="937"/>
      <c r="BI28" s="894" t="str">
        <f t="shared" ref="BI28:BJ74" si="71">A28</f>
        <v>PZ-17</v>
      </c>
      <c r="BJ28" s="894" t="str">
        <f t="shared" si="71"/>
        <v>PZ-18</v>
      </c>
      <c r="BK28" s="938">
        <f t="shared" si="0"/>
        <v>87.57</v>
      </c>
      <c r="BL28" s="938">
        <f t="shared" si="32"/>
        <v>85.97</v>
      </c>
      <c r="BM28" s="895">
        <f t="shared" si="2"/>
        <v>12</v>
      </c>
      <c r="BN28" s="938">
        <f t="shared" si="33"/>
        <v>86.37</v>
      </c>
      <c r="BO28" s="700">
        <f t="shared" si="34"/>
        <v>0.7</v>
      </c>
      <c r="BP28" s="938">
        <f t="shared" si="4"/>
        <v>1.73</v>
      </c>
      <c r="BQ28" s="938">
        <f t="shared" si="5"/>
        <v>1.64</v>
      </c>
      <c r="BR28" s="938">
        <f t="shared" si="6"/>
        <v>1.79</v>
      </c>
      <c r="BS28" s="938">
        <f t="shared" si="7"/>
        <v>107.72</v>
      </c>
      <c r="BT28" s="938">
        <f t="shared" si="23"/>
        <v>153.88630000000001</v>
      </c>
      <c r="BU28" s="938">
        <f t="shared" si="35"/>
        <v>0</v>
      </c>
      <c r="BV28" s="938">
        <f t="shared" si="24"/>
        <v>0</v>
      </c>
      <c r="BW28" s="938">
        <f t="shared" si="8"/>
        <v>0</v>
      </c>
      <c r="BX28" s="938">
        <f t="shared" si="9"/>
        <v>86.18</v>
      </c>
      <c r="BY28" s="938">
        <f t="shared" si="25"/>
        <v>18.309999999999999</v>
      </c>
      <c r="BZ28" s="938">
        <f t="shared" si="36"/>
        <v>3.23</v>
      </c>
      <c r="CA28" s="938">
        <f t="shared" si="37"/>
        <v>6.27</v>
      </c>
      <c r="CB28" s="938">
        <f t="shared" si="10"/>
        <v>60.18</v>
      </c>
      <c r="CC28" s="938" t="s">
        <v>2192</v>
      </c>
      <c r="CD28" s="938">
        <f t="shared" si="11"/>
        <v>0</v>
      </c>
      <c r="CE28" s="938">
        <f t="shared" si="12"/>
        <v>0</v>
      </c>
      <c r="CF28" s="938">
        <f t="shared" si="38"/>
        <v>0</v>
      </c>
      <c r="CG28" s="938">
        <f t="shared" si="39"/>
        <v>0</v>
      </c>
      <c r="CH28" s="938">
        <v>0.3</v>
      </c>
      <c r="CI28" s="938">
        <f t="shared" si="40"/>
        <v>0</v>
      </c>
      <c r="CJ28" s="938">
        <f t="shared" si="41"/>
        <v>0</v>
      </c>
      <c r="CK28" s="938">
        <f t="shared" si="17"/>
        <v>95.43</v>
      </c>
      <c r="CL28" s="938">
        <f t="shared" si="18"/>
        <v>0.1</v>
      </c>
      <c r="CM28" s="938">
        <f t="shared" si="19"/>
        <v>6.02</v>
      </c>
      <c r="CN28" s="938">
        <f t="shared" si="26"/>
        <v>27.72</v>
      </c>
      <c r="CO28" s="938">
        <f t="shared" si="27"/>
        <v>67.709999999999994</v>
      </c>
      <c r="CP28" s="938">
        <f t="shared" si="42"/>
        <v>40.01</v>
      </c>
      <c r="CQ28" s="936"/>
      <c r="CS28" s="895">
        <f t="shared" si="28"/>
        <v>12</v>
      </c>
      <c r="CT28" s="701">
        <f t="shared" si="29"/>
        <v>315</v>
      </c>
      <c r="CU28" s="895">
        <v>4</v>
      </c>
      <c r="CV28" s="938">
        <v>19.25</v>
      </c>
      <c r="CW28" s="938">
        <f t="shared" si="43"/>
        <v>77</v>
      </c>
      <c r="CX28" s="938">
        <f t="shared" si="30"/>
        <v>0.6</v>
      </c>
      <c r="CY28" s="938">
        <f t="shared" si="44"/>
        <v>1.4</v>
      </c>
      <c r="CZ28" s="938">
        <f t="shared" si="45"/>
        <v>64.680000000000007</v>
      </c>
      <c r="DA28" s="938">
        <f t="shared" si="46"/>
        <v>0</v>
      </c>
      <c r="DB28" s="938">
        <f t="shared" si="47"/>
        <v>0</v>
      </c>
      <c r="DC28" s="938">
        <f t="shared" si="48"/>
        <v>0</v>
      </c>
      <c r="DD28" s="938">
        <f t="shared" si="49"/>
        <v>1.4</v>
      </c>
      <c r="DE28" s="938">
        <f t="shared" si="50"/>
        <v>46.2</v>
      </c>
      <c r="DF28" s="938" t="str">
        <f t="shared" si="51"/>
        <v>D</v>
      </c>
      <c r="DG28" s="938">
        <f t="shared" si="52"/>
        <v>0</v>
      </c>
      <c r="DH28" s="938">
        <f t="shared" si="53"/>
        <v>0</v>
      </c>
      <c r="DI28" s="938">
        <f t="shared" si="54"/>
        <v>0</v>
      </c>
      <c r="DJ28" s="938">
        <f t="shared" si="55"/>
        <v>0</v>
      </c>
      <c r="DK28" s="938">
        <v>0.3</v>
      </c>
      <c r="DL28" s="938">
        <f t="shared" si="56"/>
        <v>0</v>
      </c>
      <c r="DM28" s="938">
        <f t="shared" si="57"/>
        <v>0</v>
      </c>
      <c r="DN28" s="938">
        <f t="shared" si="58"/>
        <v>58.66</v>
      </c>
      <c r="DO28" s="938">
        <f t="shared" si="59"/>
        <v>0.1</v>
      </c>
      <c r="DP28" s="938">
        <f t="shared" si="60"/>
        <v>4.62</v>
      </c>
      <c r="DQ28" s="938">
        <f t="shared" si="61"/>
        <v>11.73</v>
      </c>
      <c r="DR28" s="938">
        <f t="shared" si="62"/>
        <v>46.93</v>
      </c>
      <c r="DS28" s="938">
        <f t="shared" si="63"/>
        <v>16.350000000000001</v>
      </c>
      <c r="DU28" s="937" t="str">
        <f t="shared" si="31"/>
        <v>PZ-17</v>
      </c>
      <c r="DV28" s="938">
        <f t="shared" si="64"/>
        <v>1.93</v>
      </c>
      <c r="DW28" s="938">
        <v>1.2</v>
      </c>
      <c r="DX28" s="938">
        <v>1.6</v>
      </c>
      <c r="DY28" s="938">
        <f t="shared" si="65"/>
        <v>-3.8804952457141129</v>
      </c>
      <c r="DZ28" s="938">
        <v>1.6</v>
      </c>
      <c r="EA28" s="938">
        <v>1.6</v>
      </c>
      <c r="EB28" s="938">
        <f t="shared" si="66"/>
        <v>4.9408000000000012</v>
      </c>
      <c r="EC28" s="938">
        <f t="shared" si="67"/>
        <v>1.0603047542858883</v>
      </c>
      <c r="ED28" s="938">
        <f t="shared" si="68"/>
        <v>0.58316761485723867</v>
      </c>
      <c r="EE28" s="938">
        <f t="shared" si="69"/>
        <v>0.47713713942864977</v>
      </c>
      <c r="EF28" s="938">
        <f t="shared" si="70"/>
        <v>0.58316761485723867</v>
      </c>
    </row>
    <row r="29" spans="1:136">
      <c r="A29" s="920" t="s">
        <v>2211</v>
      </c>
      <c r="B29" s="920" t="s">
        <v>2212</v>
      </c>
      <c r="C29" s="1294">
        <v>70.424000000000007</v>
      </c>
      <c r="D29" s="921">
        <v>1021.472</v>
      </c>
      <c r="E29" s="921">
        <v>1091.896</v>
      </c>
      <c r="F29" s="922">
        <v>1.4999999999999999E-2</v>
      </c>
      <c r="G29" s="923">
        <v>30.88</v>
      </c>
      <c r="H29" s="924">
        <v>3.0879999999999998E-2</v>
      </c>
      <c r="I29" s="925">
        <v>-4.5439054867665854E-3</v>
      </c>
      <c r="J29" s="926">
        <v>5.0000000000000001E-3</v>
      </c>
      <c r="K29" s="927">
        <v>0.23489690094316693</v>
      </c>
      <c r="L29" s="923">
        <v>9.2479094859144606</v>
      </c>
      <c r="M29" s="928">
        <v>12</v>
      </c>
      <c r="N29" s="927">
        <v>0.315</v>
      </c>
      <c r="O29" s="927">
        <v>0.28399999999999997</v>
      </c>
      <c r="P29" s="923">
        <v>5.1254331946216126E-2</v>
      </c>
      <c r="Q29" s="923">
        <v>0.80910148865842202</v>
      </c>
      <c r="R29" s="923">
        <v>0.6</v>
      </c>
      <c r="S29" s="927">
        <v>0.9</v>
      </c>
      <c r="T29" s="929">
        <v>0.626</v>
      </c>
      <c r="U29" s="927">
        <v>1.1359999999999999</v>
      </c>
      <c r="V29" s="930">
        <v>0.72819133979257988</v>
      </c>
      <c r="W29" s="927">
        <v>2.7026637479557209E-2</v>
      </c>
      <c r="X29" s="927">
        <v>8.0655999999999992E-2</v>
      </c>
      <c r="Y29" s="927">
        <v>0.177784</v>
      </c>
      <c r="Z29" s="927">
        <v>0.20481063747955722</v>
      </c>
      <c r="AA29" s="931">
        <v>0.33400000000000002</v>
      </c>
      <c r="AB29" s="924">
        <v>9.4855999999999996E-2</v>
      </c>
      <c r="AC29" s="923">
        <v>3.9561767999999997</v>
      </c>
      <c r="AD29" s="923">
        <v>0.75488118776969637</v>
      </c>
      <c r="AE29" s="932" t="s">
        <v>2186</v>
      </c>
      <c r="AF29" s="927">
        <v>-4.9815765132072726E-2</v>
      </c>
      <c r="AG29" s="924">
        <v>9.9631530264145465E-3</v>
      </c>
      <c r="AH29" s="923">
        <v>2.1126760563380285</v>
      </c>
      <c r="AI29" s="927">
        <v>1.0386904009118715E-2</v>
      </c>
      <c r="AJ29" s="927">
        <v>2.0350057035533262E-2</v>
      </c>
      <c r="AK29" s="933">
        <v>913.5</v>
      </c>
      <c r="AL29" s="933">
        <v>913.82</v>
      </c>
      <c r="AM29" s="930">
        <v>912.16946250000024</v>
      </c>
      <c r="AN29" s="930">
        <v>911.81734250000022</v>
      </c>
      <c r="AO29" s="947">
        <v>911.85446250000018</v>
      </c>
      <c r="AP29" s="934">
        <v>911.50234250000017</v>
      </c>
      <c r="AQ29" s="923">
        <v>912.03224650000016</v>
      </c>
      <c r="AR29" s="923">
        <v>911.68012650000014</v>
      </c>
      <c r="AS29" s="923">
        <v>913.15552938273436</v>
      </c>
      <c r="AT29" s="923">
        <v>912.80340938273434</v>
      </c>
      <c r="AU29" s="923">
        <v>1.3305374999997639</v>
      </c>
      <c r="AV29" s="923">
        <v>2.0026574999998275</v>
      </c>
      <c r="AW29" s="923">
        <v>1.6455374999998185</v>
      </c>
      <c r="AX29" s="923">
        <v>2.317657499999882</v>
      </c>
      <c r="AY29" s="923">
        <v>1.999999999998181E-2</v>
      </c>
      <c r="AZ29" s="923" t="s">
        <v>2187</v>
      </c>
      <c r="BA29" s="935" t="s">
        <v>2188</v>
      </c>
      <c r="BB29" s="935" t="s">
        <v>2189</v>
      </c>
      <c r="BC29" s="935" t="s">
        <v>2190</v>
      </c>
      <c r="BD29" s="935" t="s">
        <v>2191</v>
      </c>
      <c r="BE29" s="935" t="s">
        <v>2191</v>
      </c>
      <c r="BF29" s="946"/>
      <c r="BH29" s="937"/>
      <c r="BI29" s="894" t="str">
        <f t="shared" si="71"/>
        <v>PZ-18</v>
      </c>
      <c r="BJ29" s="894" t="str">
        <f t="shared" si="71"/>
        <v>PZ-19</v>
      </c>
      <c r="BK29" s="938">
        <f t="shared" si="0"/>
        <v>70.42</v>
      </c>
      <c r="BL29" s="938">
        <f t="shared" si="32"/>
        <v>68.819999999999993</v>
      </c>
      <c r="BM29" s="895">
        <f t="shared" si="2"/>
        <v>12</v>
      </c>
      <c r="BN29" s="938">
        <f t="shared" si="33"/>
        <v>69.22</v>
      </c>
      <c r="BO29" s="700">
        <f t="shared" si="34"/>
        <v>0.7</v>
      </c>
      <c r="BP29" s="938">
        <f t="shared" si="4"/>
        <v>1.65</v>
      </c>
      <c r="BQ29" s="938">
        <f t="shared" si="5"/>
        <v>2.3199999999999998</v>
      </c>
      <c r="BR29" s="938">
        <f t="shared" si="6"/>
        <v>2.09</v>
      </c>
      <c r="BS29" s="938">
        <f t="shared" si="7"/>
        <v>100.68</v>
      </c>
      <c r="BT29" s="938">
        <f t="shared" si="23"/>
        <v>0</v>
      </c>
      <c r="BU29" s="938">
        <f t="shared" si="35"/>
        <v>112.19036399999997</v>
      </c>
      <c r="BV29" s="938">
        <f t="shared" si="24"/>
        <v>0</v>
      </c>
      <c r="BW29" s="938">
        <f t="shared" si="8"/>
        <v>0</v>
      </c>
      <c r="BX29" s="938">
        <f t="shared" si="9"/>
        <v>80.540000000000006</v>
      </c>
      <c r="BY29" s="938">
        <f t="shared" si="25"/>
        <v>17.12</v>
      </c>
      <c r="BZ29" s="938">
        <f t="shared" si="36"/>
        <v>3.02</v>
      </c>
      <c r="CA29" s="938">
        <f t="shared" si="37"/>
        <v>5.0199999999999996</v>
      </c>
      <c r="CB29" s="938">
        <f t="shared" si="10"/>
        <v>48.17</v>
      </c>
      <c r="CC29" s="938" t="s">
        <v>2192</v>
      </c>
      <c r="CD29" s="938">
        <f t="shared" si="11"/>
        <v>0</v>
      </c>
      <c r="CE29" s="938">
        <f t="shared" si="12"/>
        <v>0</v>
      </c>
      <c r="CF29" s="938">
        <f t="shared" si="38"/>
        <v>0</v>
      </c>
      <c r="CG29" s="938">
        <f t="shared" si="39"/>
        <v>0</v>
      </c>
      <c r="CH29" s="938">
        <v>0.3</v>
      </c>
      <c r="CI29" s="938">
        <f t="shared" si="40"/>
        <v>0</v>
      </c>
      <c r="CJ29" s="938">
        <f t="shared" si="41"/>
        <v>0</v>
      </c>
      <c r="CK29" s="938">
        <f t="shared" si="17"/>
        <v>90.84</v>
      </c>
      <c r="CL29" s="938">
        <f t="shared" si="18"/>
        <v>0.1</v>
      </c>
      <c r="CM29" s="938">
        <f t="shared" si="19"/>
        <v>4.82</v>
      </c>
      <c r="CN29" s="938">
        <f t="shared" si="26"/>
        <v>26.39</v>
      </c>
      <c r="CO29" s="938">
        <f t="shared" si="27"/>
        <v>64.45</v>
      </c>
      <c r="CP29" s="938">
        <f t="shared" si="42"/>
        <v>36.229999999999997</v>
      </c>
      <c r="CQ29" s="936"/>
      <c r="CS29" s="895">
        <f t="shared" si="28"/>
        <v>12</v>
      </c>
      <c r="CT29" s="701">
        <f t="shared" si="29"/>
        <v>315</v>
      </c>
      <c r="CU29" s="895">
        <v>0</v>
      </c>
      <c r="CV29" s="938">
        <v>0</v>
      </c>
      <c r="CW29" s="938">
        <f t="shared" si="43"/>
        <v>0</v>
      </c>
      <c r="CX29" s="938">
        <f t="shared" si="30"/>
        <v>0.6</v>
      </c>
      <c r="CY29" s="938">
        <f t="shared" si="44"/>
        <v>1.55</v>
      </c>
      <c r="CZ29" s="938">
        <f t="shared" si="45"/>
        <v>0</v>
      </c>
      <c r="DA29" s="938">
        <f t="shared" si="46"/>
        <v>0</v>
      </c>
      <c r="DB29" s="938">
        <f t="shared" si="47"/>
        <v>0</v>
      </c>
      <c r="DC29" s="938">
        <f t="shared" si="48"/>
        <v>0</v>
      </c>
      <c r="DD29" s="938">
        <f t="shared" si="49"/>
        <v>0</v>
      </c>
      <c r="DE29" s="938">
        <f t="shared" si="50"/>
        <v>0</v>
      </c>
      <c r="DF29" s="938" t="str">
        <f t="shared" si="51"/>
        <v>D</v>
      </c>
      <c r="DG29" s="938">
        <f t="shared" si="52"/>
        <v>0</v>
      </c>
      <c r="DH29" s="938">
        <f t="shared" si="53"/>
        <v>0</v>
      </c>
      <c r="DI29" s="938">
        <f t="shared" si="54"/>
        <v>0</v>
      </c>
      <c r="DJ29" s="938">
        <f t="shared" si="55"/>
        <v>0</v>
      </c>
      <c r="DK29" s="938">
        <v>0.3</v>
      </c>
      <c r="DL29" s="938">
        <f t="shared" si="56"/>
        <v>0</v>
      </c>
      <c r="DM29" s="938">
        <f t="shared" si="57"/>
        <v>0</v>
      </c>
      <c r="DN29" s="938">
        <f t="shared" si="58"/>
        <v>0</v>
      </c>
      <c r="DO29" s="938">
        <f t="shared" si="59"/>
        <v>0.1</v>
      </c>
      <c r="DP29" s="938">
        <f t="shared" si="60"/>
        <v>0</v>
      </c>
      <c r="DQ29" s="938">
        <f t="shared" si="61"/>
        <v>0</v>
      </c>
      <c r="DR29" s="938">
        <f t="shared" si="62"/>
        <v>0</v>
      </c>
      <c r="DS29" s="938">
        <f t="shared" si="63"/>
        <v>0</v>
      </c>
      <c r="DU29" s="937" t="str">
        <f t="shared" si="31"/>
        <v>PZ-18</v>
      </c>
      <c r="DV29" s="938">
        <f t="shared" si="64"/>
        <v>1.8499999999999999</v>
      </c>
      <c r="DW29" s="938">
        <v>1.2</v>
      </c>
      <c r="DX29" s="938">
        <v>1.6</v>
      </c>
      <c r="DY29" s="938">
        <f t="shared" si="65"/>
        <v>-3.7196457018503151</v>
      </c>
      <c r="DZ29" s="938">
        <v>1.6</v>
      </c>
      <c r="EA29" s="938">
        <v>1.6</v>
      </c>
      <c r="EB29" s="938">
        <f t="shared" si="66"/>
        <v>4.7360000000000007</v>
      </c>
      <c r="EC29" s="938">
        <f t="shared" si="67"/>
        <v>1.0163542981496856</v>
      </c>
      <c r="ED29" s="938">
        <f t="shared" si="68"/>
        <v>0.55899486398232712</v>
      </c>
      <c r="EE29" s="938">
        <f t="shared" si="69"/>
        <v>0.45735943416735853</v>
      </c>
      <c r="EF29" s="938">
        <f t="shared" si="70"/>
        <v>0.55899486398232712</v>
      </c>
    </row>
    <row r="30" spans="1:136">
      <c r="A30" s="920" t="s">
        <v>2212</v>
      </c>
      <c r="B30" s="920" t="s">
        <v>2213</v>
      </c>
      <c r="C30" s="1294">
        <v>105.10899999999999</v>
      </c>
      <c r="D30" s="921">
        <v>1091.896</v>
      </c>
      <c r="E30" s="921">
        <v>1197.0049999999999</v>
      </c>
      <c r="F30" s="922">
        <v>1.4999999999999999E-2</v>
      </c>
      <c r="G30" s="923">
        <v>31.23</v>
      </c>
      <c r="H30" s="924">
        <v>3.1230000000000001E-2</v>
      </c>
      <c r="I30" s="925">
        <v>5.232663235308758E-3</v>
      </c>
      <c r="J30" s="926">
        <v>5.0000000000000001E-3</v>
      </c>
      <c r="K30" s="927">
        <v>0.23589177416325374</v>
      </c>
      <c r="L30" s="923">
        <v>9.2870777229255967</v>
      </c>
      <c r="M30" s="928">
        <v>12</v>
      </c>
      <c r="N30" s="927">
        <v>0.315</v>
      </c>
      <c r="O30" s="927">
        <v>0.28399999999999997</v>
      </c>
      <c r="P30" s="923">
        <v>5.1254331946216126E-2</v>
      </c>
      <c r="Q30" s="923">
        <v>0.80910148865842202</v>
      </c>
      <c r="R30" s="923">
        <v>0.61</v>
      </c>
      <c r="S30" s="927">
        <v>0.90300000000000002</v>
      </c>
      <c r="T30" s="929">
        <v>0.63200000000000001</v>
      </c>
      <c r="U30" s="927">
        <v>1.139</v>
      </c>
      <c r="V30" s="930">
        <v>0.73061864425855505</v>
      </c>
      <c r="W30" s="927">
        <v>2.7207115358726247E-2</v>
      </c>
      <c r="X30" s="927">
        <v>8.0868999999999996E-2</v>
      </c>
      <c r="Y30" s="927">
        <v>0.17948799999999998</v>
      </c>
      <c r="Z30" s="927">
        <v>0.20669511535872623</v>
      </c>
      <c r="AA30" s="931">
        <v>0.54200000000000004</v>
      </c>
      <c r="AB30" s="924">
        <v>0.15392800000000001</v>
      </c>
      <c r="AC30" s="923">
        <v>3.9666244500000003</v>
      </c>
      <c r="AD30" s="923">
        <v>0.59456238974884679</v>
      </c>
      <c r="AE30" s="932" t="s">
        <v>2186</v>
      </c>
      <c r="AF30" s="927">
        <v>1.8047787916903799E-4</v>
      </c>
      <c r="AG30" s="924">
        <v>1.8047787916903799E-5</v>
      </c>
      <c r="AH30" s="923">
        <v>2.1126760563380285</v>
      </c>
      <c r="AI30" s="927">
        <v>5.4233752838283456E-3</v>
      </c>
      <c r="AJ30" s="927">
        <v>5.4414230717452494E-3</v>
      </c>
      <c r="AK30" s="933">
        <v>913.82</v>
      </c>
      <c r="AL30" s="933">
        <v>913.27</v>
      </c>
      <c r="AM30" s="930">
        <v>911.79734250000024</v>
      </c>
      <c r="AN30" s="930">
        <v>911.27179750000028</v>
      </c>
      <c r="AO30" s="934">
        <v>911.48234250000019</v>
      </c>
      <c r="AP30" s="934">
        <v>910.95679750000022</v>
      </c>
      <c r="AQ30" s="923">
        <v>911.66183050000018</v>
      </c>
      <c r="AR30" s="923">
        <v>911.13628550000021</v>
      </c>
      <c r="AS30" s="923">
        <v>912.78305932569879</v>
      </c>
      <c r="AT30" s="923">
        <v>912.25751432569882</v>
      </c>
      <c r="AU30" s="923">
        <v>2.0226574999998093</v>
      </c>
      <c r="AV30" s="923">
        <v>1.9982024999997066</v>
      </c>
      <c r="AW30" s="923">
        <v>2.3376574999998638</v>
      </c>
      <c r="AX30" s="923">
        <v>2.3132024999997611</v>
      </c>
      <c r="AY30" s="923">
        <v>1.999999999998181E-2</v>
      </c>
      <c r="AZ30" s="923" t="s">
        <v>2187</v>
      </c>
      <c r="BA30" s="935" t="s">
        <v>2188</v>
      </c>
      <c r="BB30" s="935" t="s">
        <v>2189</v>
      </c>
      <c r="BC30" s="935" t="s">
        <v>2190</v>
      </c>
      <c r="BD30" s="935" t="s">
        <v>2191</v>
      </c>
      <c r="BE30" s="935" t="s">
        <v>2191</v>
      </c>
      <c r="BF30" s="946"/>
      <c r="BH30" s="937"/>
      <c r="BI30" s="894" t="str">
        <f t="shared" si="71"/>
        <v>PZ-19</v>
      </c>
      <c r="BJ30" s="894" t="str">
        <f t="shared" si="71"/>
        <v>PZ-20</v>
      </c>
      <c r="BK30" s="938">
        <f t="shared" si="0"/>
        <v>105.11</v>
      </c>
      <c r="BL30" s="938">
        <f t="shared" si="32"/>
        <v>103.51</v>
      </c>
      <c r="BM30" s="895">
        <f t="shared" si="2"/>
        <v>12</v>
      </c>
      <c r="BN30" s="938">
        <f t="shared" si="33"/>
        <v>103.91</v>
      </c>
      <c r="BO30" s="700">
        <f t="shared" si="34"/>
        <v>0.7</v>
      </c>
      <c r="BP30" s="938">
        <f t="shared" si="4"/>
        <v>2.34</v>
      </c>
      <c r="BQ30" s="938">
        <f t="shared" si="5"/>
        <v>2.31</v>
      </c>
      <c r="BR30" s="938">
        <f t="shared" si="6"/>
        <v>2.4300000000000002</v>
      </c>
      <c r="BS30" s="938">
        <f t="shared" si="7"/>
        <v>176.07</v>
      </c>
      <c r="BT30" s="938">
        <f t="shared" si="23"/>
        <v>0</v>
      </c>
      <c r="BU30" s="938">
        <f t="shared" si="35"/>
        <v>196.19285400000004</v>
      </c>
      <c r="BV30" s="938">
        <f t="shared" si="24"/>
        <v>0</v>
      </c>
      <c r="BW30" s="938">
        <f t="shared" si="8"/>
        <v>0</v>
      </c>
      <c r="BX30" s="938">
        <f t="shared" si="9"/>
        <v>140.86000000000001</v>
      </c>
      <c r="BY30" s="938">
        <f t="shared" si="25"/>
        <v>29.93</v>
      </c>
      <c r="BZ30" s="938">
        <f t="shared" si="36"/>
        <v>5.28</v>
      </c>
      <c r="CA30" s="938">
        <f t="shared" si="37"/>
        <v>7.55</v>
      </c>
      <c r="CB30" s="938">
        <f t="shared" si="10"/>
        <v>72.459999999999994</v>
      </c>
      <c r="CC30" s="938" t="s">
        <v>2192</v>
      </c>
      <c r="CD30" s="938">
        <f t="shared" si="11"/>
        <v>0</v>
      </c>
      <c r="CE30" s="938">
        <f t="shared" si="12"/>
        <v>0</v>
      </c>
      <c r="CF30" s="938">
        <f t="shared" si="38"/>
        <v>0</v>
      </c>
      <c r="CG30" s="938">
        <f t="shared" si="39"/>
        <v>0</v>
      </c>
      <c r="CH30" s="938">
        <v>0.3</v>
      </c>
      <c r="CI30" s="938">
        <f t="shared" si="40"/>
        <v>0</v>
      </c>
      <c r="CJ30" s="938">
        <f t="shared" si="41"/>
        <v>0</v>
      </c>
      <c r="CK30" s="938">
        <f t="shared" si="17"/>
        <v>161.27000000000001</v>
      </c>
      <c r="CL30" s="938">
        <f t="shared" si="18"/>
        <v>0.1</v>
      </c>
      <c r="CM30" s="938">
        <f t="shared" si="19"/>
        <v>7.25</v>
      </c>
      <c r="CN30" s="938">
        <f t="shared" si="26"/>
        <v>46.85</v>
      </c>
      <c r="CO30" s="938">
        <f t="shared" si="27"/>
        <v>114.42</v>
      </c>
      <c r="CP30" s="938">
        <f t="shared" si="42"/>
        <v>61.65</v>
      </c>
      <c r="CQ30" s="936"/>
      <c r="CS30" s="895">
        <f t="shared" si="28"/>
        <v>12</v>
      </c>
      <c r="CT30" s="701">
        <f t="shared" si="29"/>
        <v>315</v>
      </c>
      <c r="CU30" s="895">
        <v>2</v>
      </c>
      <c r="CV30" s="938">
        <v>13</v>
      </c>
      <c r="CW30" s="938">
        <f t="shared" si="43"/>
        <v>26</v>
      </c>
      <c r="CX30" s="938">
        <f t="shared" si="30"/>
        <v>0.6</v>
      </c>
      <c r="CY30" s="938">
        <f t="shared" si="44"/>
        <v>1.72</v>
      </c>
      <c r="CZ30" s="938">
        <f t="shared" si="45"/>
        <v>26.83</v>
      </c>
      <c r="DA30" s="938">
        <f t="shared" si="46"/>
        <v>44.72</v>
      </c>
      <c r="DB30" s="938">
        <f t="shared" si="47"/>
        <v>0</v>
      </c>
      <c r="DC30" s="938">
        <f t="shared" si="48"/>
        <v>0</v>
      </c>
      <c r="DD30" s="938">
        <f t="shared" si="49"/>
        <v>0.47</v>
      </c>
      <c r="DE30" s="938">
        <f t="shared" si="50"/>
        <v>15.6</v>
      </c>
      <c r="DF30" s="938" t="str">
        <f t="shared" si="51"/>
        <v>D</v>
      </c>
      <c r="DG30" s="938">
        <f t="shared" si="52"/>
        <v>0</v>
      </c>
      <c r="DH30" s="938">
        <f t="shared" si="53"/>
        <v>0</v>
      </c>
      <c r="DI30" s="938">
        <f t="shared" si="54"/>
        <v>0</v>
      </c>
      <c r="DJ30" s="938">
        <f t="shared" si="55"/>
        <v>0</v>
      </c>
      <c r="DK30" s="938">
        <v>0.3</v>
      </c>
      <c r="DL30" s="938">
        <f t="shared" si="56"/>
        <v>0</v>
      </c>
      <c r="DM30" s="938">
        <f t="shared" si="57"/>
        <v>0</v>
      </c>
      <c r="DN30" s="938">
        <f t="shared" si="58"/>
        <v>24.8</v>
      </c>
      <c r="DO30" s="938">
        <f t="shared" si="59"/>
        <v>0.1</v>
      </c>
      <c r="DP30" s="938">
        <f t="shared" si="60"/>
        <v>1.56</v>
      </c>
      <c r="DQ30" s="938">
        <f t="shared" si="61"/>
        <v>4.96</v>
      </c>
      <c r="DR30" s="938">
        <f t="shared" si="62"/>
        <v>19.84</v>
      </c>
      <c r="DS30" s="938">
        <f t="shared" si="63"/>
        <v>6.52</v>
      </c>
      <c r="DU30" s="937" t="str">
        <f t="shared" si="31"/>
        <v>PZ-19</v>
      </c>
      <c r="DV30" s="938">
        <f t="shared" si="64"/>
        <v>2.54</v>
      </c>
      <c r="DW30" s="938">
        <v>1.2</v>
      </c>
      <c r="DX30" s="938">
        <v>1.6</v>
      </c>
      <c r="DY30" s="938">
        <f t="shared" si="65"/>
        <v>-5.1069730176755685</v>
      </c>
      <c r="DZ30" s="938">
        <v>1.6</v>
      </c>
      <c r="EA30" s="938">
        <v>1.6</v>
      </c>
      <c r="EB30" s="938">
        <f t="shared" si="66"/>
        <v>6.5024000000000015</v>
      </c>
      <c r="EC30" s="938">
        <f t="shared" si="67"/>
        <v>1.395426982324433</v>
      </c>
      <c r="ED30" s="938">
        <f t="shared" si="68"/>
        <v>0.76748484027843822</v>
      </c>
      <c r="EE30" s="938">
        <f t="shared" si="69"/>
        <v>0.62794214204599486</v>
      </c>
      <c r="EF30" s="938">
        <f t="shared" si="70"/>
        <v>0.76748484027843822</v>
      </c>
    </row>
    <row r="31" spans="1:136">
      <c r="A31" s="920" t="s">
        <v>2213</v>
      </c>
      <c r="B31" s="920" t="s">
        <v>2214</v>
      </c>
      <c r="C31" s="1294">
        <v>72.198999999999998</v>
      </c>
      <c r="D31" s="921">
        <v>1197.0049999999999</v>
      </c>
      <c r="E31" s="921">
        <v>1269.204</v>
      </c>
      <c r="F31" s="922">
        <v>1.4999999999999999E-2</v>
      </c>
      <c r="G31" s="923">
        <v>31.45</v>
      </c>
      <c r="H31" s="924">
        <v>3.1449999999999999E-2</v>
      </c>
      <c r="I31" s="925">
        <v>1.1218991952796374E-2</v>
      </c>
      <c r="J31" s="926">
        <v>5.0000000000000001E-3</v>
      </c>
      <c r="K31" s="927">
        <v>0.23651356066070547</v>
      </c>
      <c r="L31" s="923">
        <v>9.3115575062897395</v>
      </c>
      <c r="M31" s="928">
        <v>12</v>
      </c>
      <c r="N31" s="927">
        <v>0.315</v>
      </c>
      <c r="O31" s="927">
        <v>0.28399999999999997</v>
      </c>
      <c r="P31" s="923">
        <v>5.1254331946216126E-2</v>
      </c>
      <c r="Q31" s="923">
        <v>0.80910148865842202</v>
      </c>
      <c r="R31" s="923">
        <v>0.61</v>
      </c>
      <c r="S31" s="927">
        <v>0.90300000000000002</v>
      </c>
      <c r="T31" s="929">
        <v>0.63200000000000001</v>
      </c>
      <c r="U31" s="927">
        <v>1.139</v>
      </c>
      <c r="V31" s="930">
        <v>0.73061864425855505</v>
      </c>
      <c r="W31" s="927">
        <v>2.7207115358726247E-2</v>
      </c>
      <c r="X31" s="927">
        <v>8.0868999999999996E-2</v>
      </c>
      <c r="Y31" s="927">
        <v>0.17948799999999998</v>
      </c>
      <c r="Z31" s="927">
        <v>0.20669511535872623</v>
      </c>
      <c r="AA31" s="931">
        <v>0.54200000000000004</v>
      </c>
      <c r="AB31" s="924">
        <v>0.15392800000000001</v>
      </c>
      <c r="AC31" s="923">
        <v>3.9666244500000003</v>
      </c>
      <c r="AD31" s="923">
        <v>0.59456238974884679</v>
      </c>
      <c r="AE31" s="932" t="s">
        <v>2186</v>
      </c>
      <c r="AF31" s="927">
        <v>0</v>
      </c>
      <c r="AG31" s="924">
        <v>0</v>
      </c>
      <c r="AH31" s="923">
        <v>2.1126760563380285</v>
      </c>
      <c r="AI31" s="927">
        <v>5.4414230717452494E-3</v>
      </c>
      <c r="AJ31" s="927">
        <v>5.4414230717452494E-3</v>
      </c>
      <c r="AK31" s="933">
        <v>913.27</v>
      </c>
      <c r="AL31" s="933">
        <v>912.46</v>
      </c>
      <c r="AM31" s="930">
        <v>911.25179750000029</v>
      </c>
      <c r="AN31" s="930">
        <v>910.89080250000029</v>
      </c>
      <c r="AO31" s="934">
        <v>910.93679750000024</v>
      </c>
      <c r="AP31" s="934">
        <v>910.57580250000024</v>
      </c>
      <c r="AQ31" s="923">
        <v>911.11628550000023</v>
      </c>
      <c r="AR31" s="923">
        <v>910.75529050000023</v>
      </c>
      <c r="AS31" s="923">
        <v>912.25207290262711</v>
      </c>
      <c r="AT31" s="923">
        <v>911.8910779026271</v>
      </c>
      <c r="AU31" s="923">
        <v>2.0182024999996884</v>
      </c>
      <c r="AV31" s="923">
        <v>1.5691974999997456</v>
      </c>
      <c r="AW31" s="923">
        <v>2.3332024999997429</v>
      </c>
      <c r="AX31" s="923">
        <v>1.8841974999998001</v>
      </c>
      <c r="AY31" s="923">
        <v>4.9999999999954525E-2</v>
      </c>
      <c r="AZ31" s="923" t="s">
        <v>2187</v>
      </c>
      <c r="BA31" s="935" t="s">
        <v>2188</v>
      </c>
      <c r="BB31" s="935" t="s">
        <v>2189</v>
      </c>
      <c r="BC31" s="935" t="s">
        <v>2190</v>
      </c>
      <c r="BD31" s="935" t="s">
        <v>2191</v>
      </c>
      <c r="BE31" s="935" t="s">
        <v>2191</v>
      </c>
      <c r="BF31" s="946"/>
      <c r="BH31" s="937"/>
      <c r="BI31" s="894" t="str">
        <f t="shared" si="71"/>
        <v>PZ-20</v>
      </c>
      <c r="BJ31" s="894" t="str">
        <f t="shared" si="71"/>
        <v>PZ-21</v>
      </c>
      <c r="BK31" s="938">
        <f t="shared" si="0"/>
        <v>72.2</v>
      </c>
      <c r="BL31" s="938">
        <f t="shared" si="32"/>
        <v>70.599999999999994</v>
      </c>
      <c r="BM31" s="895">
        <f t="shared" si="2"/>
        <v>12</v>
      </c>
      <c r="BN31" s="938">
        <f t="shared" si="33"/>
        <v>71</v>
      </c>
      <c r="BO31" s="700">
        <f t="shared" si="34"/>
        <v>0.7</v>
      </c>
      <c r="BP31" s="938">
        <f t="shared" si="4"/>
        <v>2.33</v>
      </c>
      <c r="BQ31" s="938">
        <f t="shared" si="5"/>
        <v>1.88</v>
      </c>
      <c r="BR31" s="938">
        <f t="shared" si="6"/>
        <v>2.21</v>
      </c>
      <c r="BS31" s="938">
        <f t="shared" si="7"/>
        <v>109.22</v>
      </c>
      <c r="BT31" s="938">
        <f t="shared" si="23"/>
        <v>0</v>
      </c>
      <c r="BU31" s="938">
        <f t="shared" si="35"/>
        <v>121.70027999999999</v>
      </c>
      <c r="BV31" s="938">
        <f t="shared" si="24"/>
        <v>0</v>
      </c>
      <c r="BW31" s="938">
        <f t="shared" si="8"/>
        <v>0</v>
      </c>
      <c r="BX31" s="938">
        <f t="shared" si="9"/>
        <v>87.38</v>
      </c>
      <c r="BY31" s="938">
        <f t="shared" si="25"/>
        <v>18.57</v>
      </c>
      <c r="BZ31" s="938">
        <f t="shared" si="36"/>
        <v>3.28</v>
      </c>
      <c r="CA31" s="938">
        <f t="shared" si="37"/>
        <v>5.15</v>
      </c>
      <c r="CB31" s="938">
        <f t="shared" si="10"/>
        <v>49.42</v>
      </c>
      <c r="CC31" s="938" t="s">
        <v>2192</v>
      </c>
      <c r="CD31" s="938">
        <f t="shared" si="11"/>
        <v>0</v>
      </c>
      <c r="CE31" s="938">
        <f t="shared" si="12"/>
        <v>0</v>
      </c>
      <c r="CF31" s="938">
        <f t="shared" si="38"/>
        <v>0</v>
      </c>
      <c r="CG31" s="938">
        <f t="shared" si="39"/>
        <v>0</v>
      </c>
      <c r="CH31" s="938">
        <v>0.3</v>
      </c>
      <c r="CI31" s="938">
        <f t="shared" si="40"/>
        <v>0</v>
      </c>
      <c r="CJ31" s="938">
        <f t="shared" si="41"/>
        <v>0</v>
      </c>
      <c r="CK31" s="938">
        <f t="shared" si="17"/>
        <v>99.13</v>
      </c>
      <c r="CL31" s="938">
        <f t="shared" si="18"/>
        <v>0.1</v>
      </c>
      <c r="CM31" s="938">
        <f t="shared" si="19"/>
        <v>4.9400000000000004</v>
      </c>
      <c r="CN31" s="938">
        <f t="shared" si="26"/>
        <v>28.8</v>
      </c>
      <c r="CO31" s="938">
        <f t="shared" si="27"/>
        <v>70.33</v>
      </c>
      <c r="CP31" s="938">
        <f t="shared" si="42"/>
        <v>38.89</v>
      </c>
      <c r="CQ31" s="936"/>
      <c r="CS31" s="895">
        <f t="shared" si="28"/>
        <v>12</v>
      </c>
      <c r="CT31" s="701">
        <f t="shared" si="29"/>
        <v>315</v>
      </c>
      <c r="CU31" s="895">
        <v>0</v>
      </c>
      <c r="CV31" s="938">
        <v>0</v>
      </c>
      <c r="CW31" s="938">
        <f t="shared" si="43"/>
        <v>0</v>
      </c>
      <c r="CX31" s="938">
        <f t="shared" si="30"/>
        <v>0.6</v>
      </c>
      <c r="CY31" s="938">
        <f t="shared" si="44"/>
        <v>1.61</v>
      </c>
      <c r="CZ31" s="938">
        <f t="shared" si="45"/>
        <v>0</v>
      </c>
      <c r="DA31" s="938">
        <f t="shared" si="46"/>
        <v>0</v>
      </c>
      <c r="DB31" s="938">
        <f t="shared" si="47"/>
        <v>0</v>
      </c>
      <c r="DC31" s="938">
        <f t="shared" si="48"/>
        <v>0</v>
      </c>
      <c r="DD31" s="938">
        <f t="shared" si="49"/>
        <v>0</v>
      </c>
      <c r="DE31" s="938">
        <f t="shared" si="50"/>
        <v>0</v>
      </c>
      <c r="DF31" s="938" t="str">
        <f t="shared" si="51"/>
        <v>D</v>
      </c>
      <c r="DG31" s="938">
        <f t="shared" si="52"/>
        <v>0</v>
      </c>
      <c r="DH31" s="938">
        <f t="shared" si="53"/>
        <v>0</v>
      </c>
      <c r="DI31" s="938">
        <f t="shared" si="54"/>
        <v>0</v>
      </c>
      <c r="DJ31" s="938">
        <f t="shared" si="55"/>
        <v>0</v>
      </c>
      <c r="DK31" s="938">
        <v>0.3</v>
      </c>
      <c r="DL31" s="938">
        <f t="shared" si="56"/>
        <v>0</v>
      </c>
      <c r="DM31" s="938">
        <f t="shared" si="57"/>
        <v>0</v>
      </c>
      <c r="DN31" s="938">
        <f t="shared" si="58"/>
        <v>0</v>
      </c>
      <c r="DO31" s="938">
        <f t="shared" si="59"/>
        <v>0.1</v>
      </c>
      <c r="DP31" s="938">
        <f t="shared" si="60"/>
        <v>0</v>
      </c>
      <c r="DQ31" s="938">
        <f t="shared" si="61"/>
        <v>0</v>
      </c>
      <c r="DR31" s="938">
        <f t="shared" si="62"/>
        <v>0</v>
      </c>
      <c r="DS31" s="938">
        <f t="shared" si="63"/>
        <v>0</v>
      </c>
      <c r="DU31" s="937" t="str">
        <f t="shared" si="31"/>
        <v>PZ-20</v>
      </c>
      <c r="DV31" s="938">
        <f t="shared" si="64"/>
        <v>2.5300000000000002</v>
      </c>
      <c r="DW31" s="938">
        <v>1.2</v>
      </c>
      <c r="DX31" s="938">
        <v>1.6</v>
      </c>
      <c r="DY31" s="938">
        <f t="shared" si="65"/>
        <v>-5.0868668246925939</v>
      </c>
      <c r="DZ31" s="938">
        <v>1.6</v>
      </c>
      <c r="EA31" s="938">
        <v>1.6</v>
      </c>
      <c r="EB31" s="938">
        <f t="shared" si="66"/>
        <v>6.4768000000000017</v>
      </c>
      <c r="EC31" s="938">
        <f t="shared" si="67"/>
        <v>1.3899331753074078</v>
      </c>
      <c r="ED31" s="938">
        <f t="shared" si="68"/>
        <v>0.76446324641907437</v>
      </c>
      <c r="EE31" s="938">
        <f t="shared" si="69"/>
        <v>0.62546992888833353</v>
      </c>
      <c r="EF31" s="938">
        <f t="shared" si="70"/>
        <v>0.76446324641907437</v>
      </c>
    </row>
    <row r="32" spans="1:136">
      <c r="A32" s="920" t="s">
        <v>2214</v>
      </c>
      <c r="B32" s="920" t="s">
        <v>2215</v>
      </c>
      <c r="C32" s="1294">
        <v>105.898</v>
      </c>
      <c r="D32" s="921">
        <v>1269.204</v>
      </c>
      <c r="E32" s="921">
        <v>1375.1019999999999</v>
      </c>
      <c r="F32" s="922">
        <v>1.4999999999999999E-2</v>
      </c>
      <c r="G32" s="923">
        <v>31.67</v>
      </c>
      <c r="H32" s="924">
        <v>3.1670000000000004E-2</v>
      </c>
      <c r="I32" s="925">
        <v>1.945268088160361E-2</v>
      </c>
      <c r="J32" s="926">
        <v>3.0000000000000001E-3</v>
      </c>
      <c r="K32" s="927">
        <v>0.26096842649374252</v>
      </c>
      <c r="L32" s="923">
        <v>10.274347499712544</v>
      </c>
      <c r="M32" s="928">
        <v>14</v>
      </c>
      <c r="N32" s="927">
        <v>0.35499999999999998</v>
      </c>
      <c r="O32" s="927">
        <v>0.32700000000000001</v>
      </c>
      <c r="P32" s="923">
        <v>5.7820871877312358E-2</v>
      </c>
      <c r="Q32" s="923">
        <v>0.6884909466140805</v>
      </c>
      <c r="R32" s="923">
        <v>0.55000000000000004</v>
      </c>
      <c r="S32" s="927">
        <v>0.875</v>
      </c>
      <c r="T32" s="929">
        <v>0.59399999999999997</v>
      </c>
      <c r="U32" s="927">
        <v>1.113</v>
      </c>
      <c r="V32" s="930">
        <v>0.60242957828732047</v>
      </c>
      <c r="W32" s="927">
        <v>1.8497522772448458E-2</v>
      </c>
      <c r="X32" s="927">
        <v>9.0987750000000006E-2</v>
      </c>
      <c r="Y32" s="927">
        <v>0.19423799999999999</v>
      </c>
      <c r="Z32" s="927">
        <v>0.21273552277244845</v>
      </c>
      <c r="AA32" s="931">
        <v>0.49399999999999999</v>
      </c>
      <c r="AB32" s="924">
        <v>0.16153800000000001</v>
      </c>
      <c r="AC32" s="923">
        <v>2.6777694825000005</v>
      </c>
      <c r="AD32" s="923">
        <v>0.47855783657492745</v>
      </c>
      <c r="AE32" s="932" t="s">
        <v>2186</v>
      </c>
      <c r="AF32" s="927">
        <v>-8.7095925862777888E-3</v>
      </c>
      <c r="AG32" s="924">
        <v>1.7419185172555579E-3</v>
      </c>
      <c r="AH32" s="923">
        <v>1.8348623853211008</v>
      </c>
      <c r="AI32" s="927">
        <v>4.5704638131174704E-3</v>
      </c>
      <c r="AJ32" s="927">
        <v>6.3123823303730285E-3</v>
      </c>
      <c r="AK32" s="933">
        <v>912.46</v>
      </c>
      <c r="AL32" s="933">
        <v>910.4</v>
      </c>
      <c r="AM32" s="930">
        <v>910.8808025000003</v>
      </c>
      <c r="AN32" s="930">
        <v>910.56310850000034</v>
      </c>
      <c r="AO32" s="934">
        <v>910.52580250000028</v>
      </c>
      <c r="AP32" s="934">
        <v>910.20810850000032</v>
      </c>
      <c r="AQ32" s="923">
        <v>910.72004050000032</v>
      </c>
      <c r="AR32" s="923">
        <v>910.40234650000036</v>
      </c>
      <c r="AS32" s="923">
        <v>911.88563647955539</v>
      </c>
      <c r="AT32" s="923">
        <v>911.56794247955543</v>
      </c>
      <c r="AU32" s="923">
        <v>1.5791974999997365</v>
      </c>
      <c r="AV32" s="923">
        <v>-0.16310850000036226</v>
      </c>
      <c r="AW32" s="923">
        <v>1.9341974999997547</v>
      </c>
      <c r="AX32" s="923">
        <v>0.19189149999965593</v>
      </c>
      <c r="AY32" s="923">
        <v>1.999999999998181E-2</v>
      </c>
      <c r="AZ32" s="923" t="s">
        <v>2187</v>
      </c>
      <c r="BA32" s="935" t="s">
        <v>2188</v>
      </c>
      <c r="BB32" s="935" t="s">
        <v>2189</v>
      </c>
      <c r="BC32" s="935" t="s">
        <v>2190</v>
      </c>
      <c r="BD32" s="935" t="s">
        <v>2191</v>
      </c>
      <c r="BE32" s="935" t="s">
        <v>2231</v>
      </c>
      <c r="BF32" s="946" t="s">
        <v>2317</v>
      </c>
      <c r="BH32" s="937"/>
      <c r="BI32" s="894" t="str">
        <f t="shared" si="71"/>
        <v>PZ-21</v>
      </c>
      <c r="BJ32" s="894" t="str">
        <f t="shared" si="71"/>
        <v>PZ-22</v>
      </c>
      <c r="BK32" s="938">
        <f t="shared" si="0"/>
        <v>105.9</v>
      </c>
      <c r="BL32" s="938">
        <f t="shared" si="32"/>
        <v>104.3</v>
      </c>
      <c r="BM32" s="895">
        <f t="shared" si="2"/>
        <v>14</v>
      </c>
      <c r="BN32" s="938">
        <f t="shared" si="33"/>
        <v>104.7</v>
      </c>
      <c r="BO32" s="700">
        <f t="shared" si="34"/>
        <v>0.75</v>
      </c>
      <c r="BP32" s="938">
        <f t="shared" si="4"/>
        <v>1.93</v>
      </c>
      <c r="BQ32" s="938">
        <f t="shared" si="5"/>
        <v>0.19</v>
      </c>
      <c r="BR32" s="938">
        <f t="shared" si="6"/>
        <v>1.1599999999999999</v>
      </c>
      <c r="BS32" s="938">
        <f t="shared" si="7"/>
        <v>90.74</v>
      </c>
      <c r="BT32" s="938">
        <f t="shared" si="23"/>
        <v>0</v>
      </c>
      <c r="BU32" s="938">
        <f t="shared" si="35"/>
        <v>0</v>
      </c>
      <c r="BV32" s="938">
        <f t="shared" si="24"/>
        <v>0</v>
      </c>
      <c r="BW32" s="938">
        <f t="shared" si="8"/>
        <v>0</v>
      </c>
      <c r="BX32" s="938">
        <f t="shared" si="9"/>
        <v>72.59</v>
      </c>
      <c r="BY32" s="938">
        <f t="shared" si="25"/>
        <v>15.43</v>
      </c>
      <c r="BZ32" s="938">
        <f t="shared" si="36"/>
        <v>2.72</v>
      </c>
      <c r="CA32" s="938">
        <f t="shared" si="37"/>
        <v>10.36</v>
      </c>
      <c r="CB32" s="938">
        <f t="shared" si="10"/>
        <v>78.23</v>
      </c>
      <c r="CC32" s="938" t="s">
        <v>2192</v>
      </c>
      <c r="CD32" s="938">
        <f t="shared" si="11"/>
        <v>0</v>
      </c>
      <c r="CE32" s="938">
        <f t="shared" si="12"/>
        <v>0</v>
      </c>
      <c r="CF32" s="938">
        <f t="shared" si="38"/>
        <v>0</v>
      </c>
      <c r="CG32" s="938">
        <f t="shared" si="39"/>
        <v>0</v>
      </c>
      <c r="CH32" s="938">
        <v>0.3</v>
      </c>
      <c r="CI32" s="938">
        <f t="shared" si="40"/>
        <v>0</v>
      </c>
      <c r="CJ32" s="938">
        <f t="shared" si="41"/>
        <v>0</v>
      </c>
      <c r="CK32" s="938">
        <f t="shared" si="17"/>
        <v>72.56</v>
      </c>
      <c r="CL32" s="938">
        <f t="shared" si="18"/>
        <v>0.1</v>
      </c>
      <c r="CM32" s="938">
        <f t="shared" si="19"/>
        <v>7.82</v>
      </c>
      <c r="CN32" s="938">
        <f t="shared" si="26"/>
        <v>21.08</v>
      </c>
      <c r="CO32" s="938">
        <f t="shared" si="27"/>
        <v>51.48</v>
      </c>
      <c r="CP32" s="938">
        <f t="shared" si="42"/>
        <v>39.26</v>
      </c>
      <c r="CQ32" s="936"/>
      <c r="CS32" s="895">
        <f t="shared" si="28"/>
        <v>14</v>
      </c>
      <c r="CT32" s="701">
        <f t="shared" si="29"/>
        <v>350</v>
      </c>
      <c r="CU32" s="895">
        <v>0</v>
      </c>
      <c r="CV32" s="938">
        <v>0</v>
      </c>
      <c r="CW32" s="938">
        <f t="shared" si="43"/>
        <v>0</v>
      </c>
      <c r="CX32" s="938">
        <f t="shared" si="30"/>
        <v>0.6</v>
      </c>
      <c r="CY32" s="938">
        <f t="shared" si="44"/>
        <v>1.08</v>
      </c>
      <c r="CZ32" s="938">
        <f t="shared" si="45"/>
        <v>0</v>
      </c>
      <c r="DA32" s="938">
        <f t="shared" si="46"/>
        <v>0</v>
      </c>
      <c r="DB32" s="938">
        <f t="shared" si="47"/>
        <v>0</v>
      </c>
      <c r="DC32" s="938">
        <f t="shared" si="48"/>
        <v>0</v>
      </c>
      <c r="DD32" s="938">
        <f t="shared" si="49"/>
        <v>0</v>
      </c>
      <c r="DE32" s="938">
        <f t="shared" si="50"/>
        <v>0</v>
      </c>
      <c r="DF32" s="938" t="str">
        <f t="shared" si="51"/>
        <v>D</v>
      </c>
      <c r="DG32" s="938">
        <f t="shared" si="52"/>
        <v>0</v>
      </c>
      <c r="DH32" s="938">
        <f t="shared" si="53"/>
        <v>0</v>
      </c>
      <c r="DI32" s="938">
        <f t="shared" si="54"/>
        <v>0</v>
      </c>
      <c r="DJ32" s="938">
        <f t="shared" si="55"/>
        <v>0</v>
      </c>
      <c r="DK32" s="938">
        <v>0.3</v>
      </c>
      <c r="DL32" s="938">
        <f t="shared" si="56"/>
        <v>0</v>
      </c>
      <c r="DM32" s="938">
        <f t="shared" si="57"/>
        <v>0</v>
      </c>
      <c r="DN32" s="938">
        <f t="shared" si="58"/>
        <v>0</v>
      </c>
      <c r="DO32" s="938">
        <f t="shared" si="59"/>
        <v>0.1</v>
      </c>
      <c r="DP32" s="938">
        <f t="shared" si="60"/>
        <v>0</v>
      </c>
      <c r="DQ32" s="938">
        <f t="shared" si="61"/>
        <v>0</v>
      </c>
      <c r="DR32" s="938">
        <f t="shared" si="62"/>
        <v>0</v>
      </c>
      <c r="DS32" s="938">
        <f t="shared" si="63"/>
        <v>0</v>
      </c>
      <c r="DU32" s="937" t="str">
        <f t="shared" si="31"/>
        <v>PZ-21</v>
      </c>
      <c r="DV32" s="938">
        <f t="shared" si="64"/>
        <v>2.13</v>
      </c>
      <c r="DW32" s="938">
        <v>1.2</v>
      </c>
      <c r="DX32" s="938">
        <v>1.6</v>
      </c>
      <c r="DY32" s="938">
        <f t="shared" si="65"/>
        <v>-4.2826191053736062</v>
      </c>
      <c r="DZ32" s="938">
        <v>1.6</v>
      </c>
      <c r="EA32" s="938">
        <v>1.6</v>
      </c>
      <c r="EB32" s="938">
        <f t="shared" si="66"/>
        <v>5.4528000000000008</v>
      </c>
      <c r="EC32" s="938">
        <f t="shared" si="67"/>
        <v>1.1701808946263945</v>
      </c>
      <c r="ED32" s="938">
        <f t="shared" si="68"/>
        <v>0.64359949204451705</v>
      </c>
      <c r="EE32" s="938">
        <f t="shared" si="69"/>
        <v>0.52658140258187758</v>
      </c>
      <c r="EF32" s="938">
        <f t="shared" si="70"/>
        <v>0.64359949204451705</v>
      </c>
    </row>
    <row r="33" spans="1:136">
      <c r="A33" s="920" t="s">
        <v>2215</v>
      </c>
      <c r="B33" s="920" t="s">
        <v>2216</v>
      </c>
      <c r="C33" s="1294">
        <v>98.025999999999996</v>
      </c>
      <c r="D33" s="921">
        <v>1375.1019999999999</v>
      </c>
      <c r="E33" s="921">
        <v>1473.1279999999999</v>
      </c>
      <c r="F33" s="922">
        <v>1.4999999999999999E-2</v>
      </c>
      <c r="G33" s="923">
        <v>31.88</v>
      </c>
      <c r="H33" s="924">
        <v>3.1879999999999999E-2</v>
      </c>
      <c r="I33" s="925">
        <v>3.5704813008795907E-3</v>
      </c>
      <c r="J33" s="926">
        <v>3.0000000000000001E-3</v>
      </c>
      <c r="K33" s="927">
        <v>0.26161600560873405</v>
      </c>
      <c r="L33" s="923">
        <v>10.299842740460139</v>
      </c>
      <c r="M33" s="928">
        <v>14</v>
      </c>
      <c r="N33" s="927">
        <v>0.35499999999999998</v>
      </c>
      <c r="O33" s="927">
        <v>0.32700000000000001</v>
      </c>
      <c r="P33" s="923">
        <v>5.7820871877312358E-2</v>
      </c>
      <c r="Q33" s="923">
        <v>0.6884909466140805</v>
      </c>
      <c r="R33" s="923">
        <v>0.55000000000000004</v>
      </c>
      <c r="S33" s="927">
        <v>0.875</v>
      </c>
      <c r="T33" s="929">
        <v>0.59399999999999997</v>
      </c>
      <c r="U33" s="927">
        <v>1.113</v>
      </c>
      <c r="V33" s="930">
        <v>0.60242957828732047</v>
      </c>
      <c r="W33" s="927">
        <v>1.8497522772448458E-2</v>
      </c>
      <c r="X33" s="927">
        <v>9.0987750000000006E-2</v>
      </c>
      <c r="Y33" s="927">
        <v>0.19423799999999999</v>
      </c>
      <c r="Z33" s="927">
        <v>0.21273552277244845</v>
      </c>
      <c r="AA33" s="931">
        <v>0.49399999999999999</v>
      </c>
      <c r="AB33" s="924">
        <v>0.16153800000000001</v>
      </c>
      <c r="AC33" s="923">
        <v>2.6777694825000005</v>
      </c>
      <c r="AD33" s="923">
        <v>0.47855783657492745</v>
      </c>
      <c r="AE33" s="932" t="s">
        <v>2186</v>
      </c>
      <c r="AF33" s="927">
        <v>0</v>
      </c>
      <c r="AG33" s="924">
        <v>0</v>
      </c>
      <c r="AH33" s="923">
        <v>1.8348623853211008</v>
      </c>
      <c r="AI33" s="927">
        <v>3.6995045544896917E-3</v>
      </c>
      <c r="AJ33" s="927">
        <v>3.6995045544896917E-3</v>
      </c>
      <c r="AK33" s="933">
        <v>910.4</v>
      </c>
      <c r="AL33" s="933">
        <v>910.05</v>
      </c>
      <c r="AM33" s="930">
        <v>910.54310850000036</v>
      </c>
      <c r="AN33" s="930">
        <v>910.24903050000034</v>
      </c>
      <c r="AO33" s="934">
        <v>910.18810850000034</v>
      </c>
      <c r="AP33" s="934">
        <v>909.89403050000033</v>
      </c>
      <c r="AQ33" s="923">
        <v>910.38234650000038</v>
      </c>
      <c r="AR33" s="923">
        <v>910.08826850000037</v>
      </c>
      <c r="AS33" s="923">
        <v>911.56163009722502</v>
      </c>
      <c r="AT33" s="923">
        <v>911.26755209722501</v>
      </c>
      <c r="AU33" s="923">
        <v>-0.14310850000038045</v>
      </c>
      <c r="AV33" s="923">
        <v>-0.19903050000039002</v>
      </c>
      <c r="AW33" s="923">
        <v>0.21189149999963774</v>
      </c>
      <c r="AX33" s="923">
        <v>0.15596949999962817</v>
      </c>
      <c r="AY33" s="923">
        <v>1.999999999998181E-2</v>
      </c>
      <c r="AZ33" s="923" t="s">
        <v>2187</v>
      </c>
      <c r="BA33" s="935" t="s">
        <v>2188</v>
      </c>
      <c r="BB33" s="935" t="s">
        <v>2189</v>
      </c>
      <c r="BC33" s="935" t="s">
        <v>2190</v>
      </c>
      <c r="BD33" s="935" t="s">
        <v>2231</v>
      </c>
      <c r="BE33" s="935" t="s">
        <v>2231</v>
      </c>
      <c r="BF33" s="946" t="s">
        <v>2317</v>
      </c>
      <c r="BH33" s="937"/>
      <c r="BI33" s="894" t="str">
        <f t="shared" si="71"/>
        <v>PZ-22</v>
      </c>
      <c r="BJ33" s="894" t="str">
        <f t="shared" si="71"/>
        <v>PZ-23</v>
      </c>
      <c r="BK33" s="938">
        <f t="shared" si="0"/>
        <v>98.03</v>
      </c>
      <c r="BL33" s="938">
        <f t="shared" si="32"/>
        <v>96.43</v>
      </c>
      <c r="BM33" s="895">
        <f t="shared" si="2"/>
        <v>14</v>
      </c>
      <c r="BN33" s="938">
        <f t="shared" si="33"/>
        <v>96.83</v>
      </c>
      <c r="BO33" s="700">
        <f t="shared" si="34"/>
        <v>0.75</v>
      </c>
      <c r="BP33" s="938">
        <f t="shared" si="4"/>
        <v>0.21</v>
      </c>
      <c r="BQ33" s="938">
        <f t="shared" si="5"/>
        <v>0.16</v>
      </c>
      <c r="BR33" s="938">
        <f t="shared" si="6"/>
        <v>0.28999999999999998</v>
      </c>
      <c r="BS33" s="938">
        <f t="shared" si="7"/>
        <v>20.97</v>
      </c>
      <c r="BT33" s="938">
        <f t="shared" si="23"/>
        <v>0</v>
      </c>
      <c r="BU33" s="938">
        <f t="shared" si="35"/>
        <v>0</v>
      </c>
      <c r="BV33" s="938">
        <f t="shared" si="24"/>
        <v>0</v>
      </c>
      <c r="BW33" s="938">
        <f t="shared" si="8"/>
        <v>0</v>
      </c>
      <c r="BX33" s="938">
        <f t="shared" si="9"/>
        <v>16.78</v>
      </c>
      <c r="BY33" s="938">
        <f t="shared" si="25"/>
        <v>3.56</v>
      </c>
      <c r="BZ33" s="938">
        <f t="shared" si="36"/>
        <v>0.63</v>
      </c>
      <c r="CA33" s="938">
        <f t="shared" si="37"/>
        <v>9.58</v>
      </c>
      <c r="CB33" s="938">
        <f t="shared" si="10"/>
        <v>72.319999999999993</v>
      </c>
      <c r="CC33" s="938" t="s">
        <v>2192</v>
      </c>
      <c r="CD33" s="938">
        <f t="shared" si="11"/>
        <v>0</v>
      </c>
      <c r="CE33" s="938">
        <f t="shared" si="12"/>
        <v>0</v>
      </c>
      <c r="CF33" s="938">
        <f t="shared" si="38"/>
        <v>0</v>
      </c>
      <c r="CG33" s="938">
        <f t="shared" si="39"/>
        <v>0</v>
      </c>
      <c r="CH33" s="938">
        <v>0.3</v>
      </c>
      <c r="CI33" s="938">
        <f t="shared" si="40"/>
        <v>0</v>
      </c>
      <c r="CJ33" s="938">
        <f t="shared" si="41"/>
        <v>0</v>
      </c>
      <c r="CK33" s="938">
        <f t="shared" si="17"/>
        <v>4.16</v>
      </c>
      <c r="CL33" s="938">
        <f t="shared" si="18"/>
        <v>0.1</v>
      </c>
      <c r="CM33" s="938">
        <f t="shared" si="19"/>
        <v>7.23</v>
      </c>
      <c r="CN33" s="938">
        <f t="shared" si="26"/>
        <v>1.21</v>
      </c>
      <c r="CO33" s="938">
        <f t="shared" si="27"/>
        <v>2.95</v>
      </c>
      <c r="CP33" s="938">
        <f t="shared" si="42"/>
        <v>18.02</v>
      </c>
      <c r="CQ33" s="936"/>
      <c r="CS33" s="895">
        <f t="shared" si="28"/>
        <v>14</v>
      </c>
      <c r="CT33" s="701">
        <f t="shared" si="29"/>
        <v>350</v>
      </c>
      <c r="CU33" s="895">
        <v>0</v>
      </c>
      <c r="CV33" s="938">
        <v>0</v>
      </c>
      <c r="CW33" s="938">
        <f t="shared" si="43"/>
        <v>0</v>
      </c>
      <c r="CX33" s="938">
        <f t="shared" si="30"/>
        <v>0.6</v>
      </c>
      <c r="CY33" s="938">
        <f t="shared" si="44"/>
        <v>0.65</v>
      </c>
      <c r="CZ33" s="938">
        <f t="shared" si="45"/>
        <v>0</v>
      </c>
      <c r="DA33" s="938">
        <f t="shared" si="46"/>
        <v>0</v>
      </c>
      <c r="DB33" s="938">
        <f t="shared" si="47"/>
        <v>0</v>
      </c>
      <c r="DC33" s="938">
        <f t="shared" si="48"/>
        <v>0</v>
      </c>
      <c r="DD33" s="938">
        <f t="shared" si="49"/>
        <v>0</v>
      </c>
      <c r="DE33" s="938">
        <f t="shared" si="50"/>
        <v>0</v>
      </c>
      <c r="DF33" s="938" t="str">
        <f t="shared" si="51"/>
        <v>D</v>
      </c>
      <c r="DG33" s="938">
        <f t="shared" si="52"/>
        <v>0</v>
      </c>
      <c r="DH33" s="938">
        <f t="shared" si="53"/>
        <v>0</v>
      </c>
      <c r="DI33" s="938">
        <f t="shared" si="54"/>
        <v>0</v>
      </c>
      <c r="DJ33" s="938">
        <f t="shared" si="55"/>
        <v>0</v>
      </c>
      <c r="DK33" s="938">
        <v>0.3</v>
      </c>
      <c r="DL33" s="938">
        <f t="shared" si="56"/>
        <v>0</v>
      </c>
      <c r="DM33" s="938">
        <f t="shared" si="57"/>
        <v>0</v>
      </c>
      <c r="DN33" s="938">
        <f t="shared" si="58"/>
        <v>0</v>
      </c>
      <c r="DO33" s="938">
        <f t="shared" si="59"/>
        <v>0.1</v>
      </c>
      <c r="DP33" s="938">
        <f t="shared" si="60"/>
        <v>0</v>
      </c>
      <c r="DQ33" s="938">
        <f t="shared" si="61"/>
        <v>0</v>
      </c>
      <c r="DR33" s="938">
        <f t="shared" si="62"/>
        <v>0</v>
      </c>
      <c r="DS33" s="938">
        <f t="shared" si="63"/>
        <v>0</v>
      </c>
      <c r="DU33" s="937" t="str">
        <f t="shared" si="31"/>
        <v>PZ-22</v>
      </c>
      <c r="DV33" s="938">
        <v>1.85</v>
      </c>
      <c r="DW33" s="938">
        <v>1.2</v>
      </c>
      <c r="DX33" s="938">
        <v>1.6</v>
      </c>
      <c r="DY33" s="938">
        <f t="shared" si="65"/>
        <v>-3.7196457018503155</v>
      </c>
      <c r="DZ33" s="938">
        <v>1.6</v>
      </c>
      <c r="EA33" s="938">
        <v>1.6</v>
      </c>
      <c r="EB33" s="938">
        <f t="shared" si="66"/>
        <v>4.7360000000000015</v>
      </c>
      <c r="EC33" s="938">
        <f t="shared" si="67"/>
        <v>1.016354298149686</v>
      </c>
      <c r="ED33" s="938">
        <f t="shared" si="68"/>
        <v>0.55899486398232734</v>
      </c>
      <c r="EE33" s="938">
        <f t="shared" si="69"/>
        <v>0.45735943416735875</v>
      </c>
      <c r="EF33" s="938">
        <f t="shared" si="70"/>
        <v>0.55899486398232734</v>
      </c>
    </row>
    <row r="34" spans="1:136">
      <c r="A34" s="920"/>
      <c r="B34" s="920"/>
      <c r="C34" s="1294"/>
      <c r="D34" s="921"/>
      <c r="E34" s="921"/>
      <c r="F34" s="922"/>
      <c r="G34" s="923"/>
      <c r="H34" s="924"/>
      <c r="I34" s="925"/>
      <c r="J34" s="926"/>
      <c r="K34" s="927"/>
      <c r="L34" s="923"/>
      <c r="M34" s="928"/>
      <c r="N34" s="927"/>
      <c r="O34" s="927"/>
      <c r="P34" s="923"/>
      <c r="Q34" s="923"/>
      <c r="R34" s="923"/>
      <c r="S34" s="927"/>
      <c r="T34" s="929"/>
      <c r="U34" s="927"/>
      <c r="V34" s="930"/>
      <c r="W34" s="927"/>
      <c r="X34" s="927"/>
      <c r="Y34" s="927"/>
      <c r="Z34" s="927"/>
      <c r="AA34" s="931"/>
      <c r="AB34" s="924"/>
      <c r="AC34" s="923"/>
      <c r="AD34" s="923"/>
      <c r="AE34" s="932"/>
      <c r="AF34" s="927"/>
      <c r="AG34" s="924"/>
      <c r="AH34" s="923"/>
      <c r="AI34" s="927"/>
      <c r="AJ34" s="927"/>
      <c r="AK34" s="933"/>
      <c r="AL34" s="933"/>
      <c r="AM34" s="930"/>
      <c r="AN34" s="930"/>
      <c r="AO34" s="934"/>
      <c r="AP34" s="934"/>
      <c r="AQ34" s="923"/>
      <c r="AR34" s="923"/>
      <c r="AS34" s="923"/>
      <c r="AT34" s="923"/>
      <c r="AU34" s="923"/>
      <c r="AV34" s="923"/>
      <c r="AW34" s="923"/>
      <c r="AX34" s="923"/>
      <c r="AY34" s="923"/>
      <c r="AZ34" s="923"/>
      <c r="BA34" s="935"/>
      <c r="BB34" s="935"/>
      <c r="BC34" s="935"/>
      <c r="BD34" s="935"/>
      <c r="BE34" s="935"/>
      <c r="BF34" s="1041"/>
      <c r="BH34" s="937"/>
      <c r="BI34" s="894"/>
      <c r="BJ34" s="894"/>
      <c r="BK34" s="938"/>
      <c r="BL34" s="938"/>
      <c r="BM34" s="895"/>
      <c r="BN34" s="938"/>
      <c r="BO34" s="700"/>
      <c r="BP34" s="938"/>
      <c r="BQ34" s="938"/>
      <c r="BR34" s="938"/>
      <c r="BS34" s="938"/>
      <c r="BT34" s="938"/>
      <c r="BU34" s="938"/>
      <c r="BV34" s="938"/>
      <c r="BW34" s="938" t="str">
        <f t="shared" si="8"/>
        <v/>
      </c>
      <c r="BX34" s="938" t="str">
        <f t="shared" si="9"/>
        <v/>
      </c>
      <c r="BY34" s="938" t="str">
        <f t="shared" si="25"/>
        <v/>
      </c>
      <c r="BZ34" s="938" t="str">
        <f t="shared" si="36"/>
        <v/>
      </c>
      <c r="CA34" s="938"/>
      <c r="CB34" s="938"/>
      <c r="CC34" s="938"/>
      <c r="CD34" s="938"/>
      <c r="CE34" s="938"/>
      <c r="CF34" s="938"/>
      <c r="CG34" s="938"/>
      <c r="CH34" s="938"/>
      <c r="CI34" s="938"/>
      <c r="CJ34" s="938"/>
      <c r="CK34" s="938"/>
      <c r="CL34" s="938"/>
      <c r="CM34" s="938"/>
      <c r="CN34" s="938" t="str">
        <f t="shared" si="26"/>
        <v/>
      </c>
      <c r="CO34" s="938" t="str">
        <f t="shared" si="27"/>
        <v/>
      </c>
      <c r="CP34" s="938"/>
      <c r="CQ34" s="936"/>
      <c r="CS34" s="895"/>
      <c r="CT34" s="701"/>
      <c r="CU34" s="895"/>
      <c r="CV34" s="938"/>
      <c r="CW34" s="938"/>
      <c r="CX34" s="938"/>
      <c r="CY34" s="938"/>
      <c r="CZ34" s="938"/>
      <c r="DA34" s="938"/>
      <c r="DB34" s="938"/>
      <c r="DC34" s="938"/>
      <c r="DD34" s="938"/>
      <c r="DE34" s="938"/>
      <c r="DF34" s="938"/>
      <c r="DG34" s="938"/>
      <c r="DH34" s="938"/>
      <c r="DI34" s="938"/>
      <c r="DJ34" s="938"/>
      <c r="DK34" s="938"/>
      <c r="DL34" s="938"/>
      <c r="DM34" s="938"/>
      <c r="DN34" s="938"/>
      <c r="DO34" s="938"/>
      <c r="DP34" s="938"/>
      <c r="DQ34" s="938" t="str">
        <f t="shared" si="61"/>
        <v/>
      </c>
      <c r="DR34" s="938" t="str">
        <f t="shared" si="62"/>
        <v/>
      </c>
      <c r="DS34" s="938"/>
      <c r="DU34" s="937"/>
      <c r="DV34" s="938"/>
      <c r="DW34" s="938"/>
      <c r="DX34" s="938"/>
      <c r="DY34" s="938"/>
      <c r="DZ34" s="938"/>
      <c r="EA34" s="938"/>
      <c r="EB34" s="938"/>
      <c r="EC34" s="938"/>
      <c r="ED34" s="938"/>
      <c r="EE34" s="938"/>
      <c r="EF34" s="938"/>
    </row>
    <row r="35" spans="1:136">
      <c r="A35" s="920"/>
      <c r="B35" s="920"/>
      <c r="C35" s="1294"/>
      <c r="D35" s="921"/>
      <c r="E35" s="921"/>
      <c r="F35" s="922"/>
      <c r="G35" s="923"/>
      <c r="H35" s="924"/>
      <c r="I35" s="925"/>
      <c r="J35" s="926"/>
      <c r="K35" s="927"/>
      <c r="L35" s="923"/>
      <c r="M35" s="928"/>
      <c r="N35" s="927"/>
      <c r="O35" s="927"/>
      <c r="P35" s="923"/>
      <c r="Q35" s="923"/>
      <c r="R35" s="923"/>
      <c r="S35" s="927"/>
      <c r="T35" s="929"/>
      <c r="U35" s="927"/>
      <c r="V35" s="930"/>
      <c r="W35" s="927"/>
      <c r="X35" s="927"/>
      <c r="Y35" s="927"/>
      <c r="Z35" s="927"/>
      <c r="AA35" s="931"/>
      <c r="AB35" s="924"/>
      <c r="AC35" s="923"/>
      <c r="AD35" s="923"/>
      <c r="AE35" s="932"/>
      <c r="AF35" s="927"/>
      <c r="AG35" s="924"/>
      <c r="AH35" s="923"/>
      <c r="AI35" s="927"/>
      <c r="AJ35" s="927"/>
      <c r="AK35" s="933"/>
      <c r="AL35" s="933"/>
      <c r="AM35" s="930"/>
      <c r="AN35" s="930"/>
      <c r="AO35" s="934"/>
      <c r="AP35" s="934"/>
      <c r="AQ35" s="923"/>
      <c r="AR35" s="923"/>
      <c r="AS35" s="923"/>
      <c r="AT35" s="923"/>
      <c r="AU35" s="923"/>
      <c r="AV35" s="923"/>
      <c r="AW35" s="923"/>
      <c r="AX35" s="923"/>
      <c r="AY35" s="923"/>
      <c r="AZ35" s="923"/>
      <c r="BA35" s="935"/>
      <c r="BB35" s="935"/>
      <c r="BC35" s="935"/>
      <c r="BD35" s="935"/>
      <c r="BE35" s="935"/>
      <c r="BF35" s="946"/>
      <c r="BH35" s="937"/>
      <c r="BI35" s="894"/>
      <c r="BJ35" s="894"/>
      <c r="BK35" s="938"/>
      <c r="BL35" s="938"/>
      <c r="BM35" s="895"/>
      <c r="BN35" s="938"/>
      <c r="BO35" s="700"/>
      <c r="BP35" s="938"/>
      <c r="BQ35" s="938"/>
      <c r="BR35" s="938"/>
      <c r="BS35" s="938"/>
      <c r="BT35" s="938"/>
      <c r="BU35" s="938"/>
      <c r="BV35" s="938"/>
      <c r="BW35" s="938" t="str">
        <f t="shared" si="8"/>
        <v/>
      </c>
      <c r="BX35" s="938" t="str">
        <f t="shared" si="9"/>
        <v/>
      </c>
      <c r="BY35" s="938" t="str">
        <f t="shared" si="25"/>
        <v/>
      </c>
      <c r="BZ35" s="938" t="str">
        <f t="shared" si="36"/>
        <v/>
      </c>
      <c r="CA35" s="938"/>
      <c r="CB35" s="938"/>
      <c r="CC35" s="938"/>
      <c r="CD35" s="938"/>
      <c r="CE35" s="938"/>
      <c r="CF35" s="938"/>
      <c r="CG35" s="938"/>
      <c r="CH35" s="938"/>
      <c r="CI35" s="938"/>
      <c r="CJ35" s="938"/>
      <c r="CK35" s="938"/>
      <c r="CL35" s="938"/>
      <c r="CM35" s="938"/>
      <c r="CN35" s="938" t="str">
        <f t="shared" si="26"/>
        <v/>
      </c>
      <c r="CO35" s="938" t="str">
        <f t="shared" si="27"/>
        <v/>
      </c>
      <c r="CP35" s="938"/>
      <c r="CQ35" s="936"/>
      <c r="CS35" s="895"/>
      <c r="CT35" s="701"/>
      <c r="CU35" s="895"/>
      <c r="CV35" s="938"/>
      <c r="CW35" s="938"/>
      <c r="CX35" s="938"/>
      <c r="CY35" s="938"/>
      <c r="CZ35" s="938"/>
      <c r="DA35" s="938"/>
      <c r="DB35" s="938"/>
      <c r="DC35" s="938"/>
      <c r="DD35" s="938"/>
      <c r="DE35" s="938"/>
      <c r="DF35" s="938"/>
      <c r="DG35" s="938"/>
      <c r="DH35" s="938"/>
      <c r="DI35" s="938"/>
      <c r="DJ35" s="938"/>
      <c r="DK35" s="938"/>
      <c r="DL35" s="938"/>
      <c r="DM35" s="938"/>
      <c r="DN35" s="938"/>
      <c r="DO35" s="938"/>
      <c r="DP35" s="938"/>
      <c r="DQ35" s="938" t="str">
        <f t="shared" si="61"/>
        <v/>
      </c>
      <c r="DR35" s="938" t="str">
        <f t="shared" si="62"/>
        <v/>
      </c>
      <c r="DS35" s="938"/>
      <c r="DU35" s="937"/>
      <c r="DV35" s="938"/>
      <c r="DW35" s="938"/>
      <c r="DX35" s="938"/>
      <c r="DY35" s="938"/>
      <c r="DZ35" s="938"/>
      <c r="EA35" s="938"/>
      <c r="EB35" s="938"/>
      <c r="EC35" s="938"/>
      <c r="ED35" s="938"/>
      <c r="EE35" s="938"/>
      <c r="EF35" s="938"/>
    </row>
    <row r="36" spans="1:136" s="919" customFormat="1">
      <c r="A36" s="948" t="s">
        <v>2322</v>
      </c>
      <c r="B36" s="949"/>
      <c r="C36" s="1295"/>
      <c r="D36" s="950"/>
      <c r="E36" s="950"/>
      <c r="F36" s="948"/>
      <c r="G36" s="951"/>
      <c r="H36" s="952"/>
      <c r="I36" s="953"/>
      <c r="J36" s="954"/>
      <c r="K36" s="955"/>
      <c r="L36" s="951"/>
      <c r="M36" s="956"/>
      <c r="N36" s="955"/>
      <c r="O36" s="955"/>
      <c r="P36" s="951"/>
      <c r="Q36" s="951"/>
      <c r="R36" s="951"/>
      <c r="S36" s="955"/>
      <c r="T36" s="957"/>
      <c r="U36" s="955"/>
      <c r="V36" s="958"/>
      <c r="W36" s="955"/>
      <c r="X36" s="955"/>
      <c r="Y36" s="955"/>
      <c r="Z36" s="955"/>
      <c r="AA36" s="959"/>
      <c r="AB36" s="951"/>
      <c r="AC36" s="951"/>
      <c r="AD36" s="951"/>
      <c r="AE36" s="960"/>
      <c r="AF36" s="955"/>
      <c r="AG36" s="952"/>
      <c r="AH36" s="951"/>
      <c r="AI36" s="955"/>
      <c r="AJ36" s="955"/>
      <c r="AK36" s="961"/>
      <c r="AL36" s="961"/>
      <c r="AM36" s="958"/>
      <c r="AN36" s="958"/>
      <c r="AO36" s="962"/>
      <c r="AP36" s="962"/>
      <c r="AQ36" s="951"/>
      <c r="AR36" s="951"/>
      <c r="AS36" s="951"/>
      <c r="AT36" s="951"/>
      <c r="AU36" s="951"/>
      <c r="AV36" s="951"/>
      <c r="AW36" s="951"/>
      <c r="AX36" s="951"/>
      <c r="AY36" s="951"/>
      <c r="AZ36" s="951"/>
      <c r="BA36" s="963"/>
      <c r="BB36" s="963"/>
      <c r="BC36" s="963"/>
      <c r="BD36" s="963"/>
      <c r="BE36" s="963"/>
      <c r="BF36" s="963"/>
      <c r="BH36" s="917"/>
      <c r="BI36" s="903" t="str">
        <f t="shared" si="71"/>
        <v>TRAMO 2</v>
      </c>
      <c r="BJ36" s="903"/>
      <c r="BK36" s="901" t="str">
        <f t="shared" si="0"/>
        <v/>
      </c>
      <c r="BL36" s="901" t="str">
        <f t="shared" si="32"/>
        <v/>
      </c>
      <c r="BM36" s="908" t="str">
        <f t="shared" si="2"/>
        <v/>
      </c>
      <c r="BN36" s="901" t="str">
        <f t="shared" si="33"/>
        <v/>
      </c>
      <c r="BO36" s="698" t="str">
        <f t="shared" si="34"/>
        <v/>
      </c>
      <c r="BP36" s="901" t="str">
        <f t="shared" si="4"/>
        <v/>
      </c>
      <c r="BQ36" s="901" t="str">
        <f t="shared" si="5"/>
        <v/>
      </c>
      <c r="BR36" s="901" t="str">
        <f t="shared" si="6"/>
        <v/>
      </c>
      <c r="BS36" s="901" t="str">
        <f t="shared" si="7"/>
        <v/>
      </c>
      <c r="BT36" s="901"/>
      <c r="BU36" s="901">
        <f t="shared" si="35"/>
        <v>0</v>
      </c>
      <c r="BV36" s="901"/>
      <c r="BW36" s="901" t="str">
        <f t="shared" si="8"/>
        <v/>
      </c>
      <c r="BX36" s="901" t="str">
        <f t="shared" si="9"/>
        <v/>
      </c>
      <c r="BY36" s="901" t="str">
        <f t="shared" si="25"/>
        <v/>
      </c>
      <c r="BZ36" s="901" t="str">
        <f t="shared" si="36"/>
        <v/>
      </c>
      <c r="CA36" s="901"/>
      <c r="CB36" s="901"/>
      <c r="CC36" s="901"/>
      <c r="CD36" s="901"/>
      <c r="CE36" s="901"/>
      <c r="CF36" s="901"/>
      <c r="CG36" s="901"/>
      <c r="CH36" s="901"/>
      <c r="CI36" s="901"/>
      <c r="CJ36" s="901"/>
      <c r="CK36" s="901"/>
      <c r="CL36" s="901"/>
      <c r="CM36" s="901"/>
      <c r="CN36" s="901" t="str">
        <f t="shared" si="26"/>
        <v/>
      </c>
      <c r="CO36" s="901" t="str">
        <f t="shared" si="27"/>
        <v/>
      </c>
      <c r="CP36" s="901"/>
      <c r="CQ36" s="916"/>
      <c r="CS36" s="908"/>
      <c r="CT36" s="699"/>
      <c r="CU36" s="908"/>
      <c r="CV36" s="901"/>
      <c r="CW36" s="901"/>
      <c r="CX36" s="901"/>
      <c r="CY36" s="901"/>
      <c r="CZ36" s="901"/>
      <c r="DA36" s="901"/>
      <c r="DB36" s="901"/>
      <c r="DC36" s="901"/>
      <c r="DD36" s="901"/>
      <c r="DE36" s="901"/>
      <c r="DF36" s="901"/>
      <c r="DG36" s="901"/>
      <c r="DH36" s="901"/>
      <c r="DI36" s="901"/>
      <c r="DJ36" s="901"/>
      <c r="DK36" s="901"/>
      <c r="DL36" s="901"/>
      <c r="DM36" s="901"/>
      <c r="DN36" s="901"/>
      <c r="DO36" s="901" t="str">
        <f t="shared" si="59"/>
        <v/>
      </c>
      <c r="DP36" s="901"/>
      <c r="DQ36" s="901" t="str">
        <f t="shared" si="61"/>
        <v/>
      </c>
      <c r="DR36" s="901" t="str">
        <f t="shared" si="62"/>
        <v/>
      </c>
      <c r="DS36" s="901"/>
      <c r="DU36" s="917"/>
      <c r="DV36" s="901"/>
      <c r="DW36" s="901"/>
      <c r="DX36" s="901"/>
      <c r="DY36" s="901"/>
      <c r="DZ36" s="901"/>
      <c r="EA36" s="901"/>
      <c r="EB36" s="901"/>
      <c r="EC36" s="901"/>
      <c r="ED36" s="901"/>
      <c r="EE36" s="901"/>
      <c r="EF36" s="901"/>
    </row>
    <row r="37" spans="1:136">
      <c r="A37" s="920" t="s">
        <v>2677</v>
      </c>
      <c r="B37" s="920" t="s">
        <v>2678</v>
      </c>
      <c r="C37" s="1294">
        <v>57.835999999999999</v>
      </c>
      <c r="D37" s="921">
        <v>0</v>
      </c>
      <c r="E37" s="921">
        <v>57.835999999999999</v>
      </c>
      <c r="F37" s="922">
        <v>1.4999999999999999E-2</v>
      </c>
      <c r="G37" s="923">
        <v>1.5</v>
      </c>
      <c r="H37" s="924">
        <v>1.5E-3</v>
      </c>
      <c r="I37" s="925">
        <v>4.460889411439313E-2</v>
      </c>
      <c r="J37" s="926">
        <v>4.4999999999999998E-2</v>
      </c>
      <c r="K37" s="927">
        <v>5.0045156799898113E-2</v>
      </c>
      <c r="L37" s="923">
        <v>1.9702817637676351</v>
      </c>
      <c r="M37" s="928">
        <v>8</v>
      </c>
      <c r="N37" s="927">
        <v>0.2</v>
      </c>
      <c r="O37" s="927">
        <v>0.182</v>
      </c>
      <c r="P37" s="923">
        <v>4.6938221113153135E-2</v>
      </c>
      <c r="Q37" s="923">
        <v>1.804234377726851</v>
      </c>
      <c r="R37" s="923">
        <v>0.03</v>
      </c>
      <c r="S37" s="927">
        <v>0.4</v>
      </c>
      <c r="T37" s="929">
        <v>0.14799999999999999</v>
      </c>
      <c r="U37" s="927">
        <v>0.37</v>
      </c>
      <c r="V37" s="930">
        <v>0.72169375109074041</v>
      </c>
      <c r="W37" s="927">
        <v>2.6546476573059304E-2</v>
      </c>
      <c r="X37" s="927">
        <v>1.6834999999999999E-2</v>
      </c>
      <c r="Y37" s="927">
        <v>2.6935999999999998E-2</v>
      </c>
      <c r="Z37" s="927">
        <v>5.3482476573059302E-2</v>
      </c>
      <c r="AA37" s="931">
        <v>8.5999999999999993E-2</v>
      </c>
      <c r="AB37" s="923">
        <v>1.5651999999999999E-2</v>
      </c>
      <c r="AC37" s="923">
        <v>7.4318107500000004</v>
      </c>
      <c r="AD37" s="923">
        <v>1.8417620568890489</v>
      </c>
      <c r="AE37" s="932" t="s">
        <v>2197</v>
      </c>
      <c r="AF37" s="927">
        <v>2.6546476573059304E-2</v>
      </c>
      <c r="AG37" s="924">
        <v>2.6546476573059306E-3</v>
      </c>
      <c r="AH37" s="923">
        <v>3.2967032967032965</v>
      </c>
      <c r="AI37" s="927">
        <v>6.6366191432648265E-4</v>
      </c>
      <c r="AJ37" s="927">
        <v>3.3183095716324135E-3</v>
      </c>
      <c r="AK37" s="933">
        <v>967.1</v>
      </c>
      <c r="AL37" s="933">
        <v>964.52</v>
      </c>
      <c r="AM37" s="930">
        <v>965.9</v>
      </c>
      <c r="AN37" s="930">
        <v>963.29737999999998</v>
      </c>
      <c r="AO37" s="934">
        <v>965.69999999999993</v>
      </c>
      <c r="AP37" s="934">
        <v>963.09737999999993</v>
      </c>
      <c r="AQ37" s="923">
        <v>965.72693599999991</v>
      </c>
      <c r="AR37" s="923">
        <v>963.12431599999991</v>
      </c>
      <c r="AS37" s="923">
        <v>965.75348247657303</v>
      </c>
      <c r="AT37" s="923">
        <v>963.15086247657302</v>
      </c>
      <c r="AU37" s="923">
        <v>1.2000000000000455</v>
      </c>
      <c r="AV37" s="923">
        <v>1.2226200000000063</v>
      </c>
      <c r="AW37" s="923">
        <v>1.4000000000000909</v>
      </c>
      <c r="AX37" s="923">
        <v>1.4226200000000517</v>
      </c>
      <c r="AY37" s="923">
        <v>1.999999999998181E-2</v>
      </c>
      <c r="AZ37" s="923" t="s">
        <v>2187</v>
      </c>
      <c r="BA37" s="935" t="s">
        <v>2188</v>
      </c>
      <c r="BB37" s="935" t="s">
        <v>2189</v>
      </c>
      <c r="BC37" s="935" t="s">
        <v>2198</v>
      </c>
      <c r="BD37" s="935" t="s">
        <v>2191</v>
      </c>
      <c r="BE37" s="935" t="s">
        <v>2191</v>
      </c>
      <c r="BF37" s="946"/>
      <c r="BH37" s="937"/>
      <c r="BI37" s="894" t="str">
        <f t="shared" si="71"/>
        <v>PZ-26</v>
      </c>
      <c r="BJ37" s="894" t="str">
        <f t="shared" ref="BJ37" si="72">B37</f>
        <v>PZ-27</v>
      </c>
      <c r="BK37" s="938">
        <f t="shared" ref="BK37" si="73">IF(C37="","",ROUND( C37,2))</f>
        <v>57.84</v>
      </c>
      <c r="BL37" s="938">
        <f>IF(BK37="","",ROUND((BK37-1.6),2))</f>
        <v>56.24</v>
      </c>
      <c r="BM37" s="895">
        <f t="shared" ref="BM37" si="74">IF(M37="","",M37)</f>
        <v>8</v>
      </c>
      <c r="BN37" s="938">
        <f>IF(BK37="","",ROUND((BK37-1.2),2))</f>
        <v>56.64</v>
      </c>
      <c r="BO37" s="700">
        <f>IF(M37=6,0.5,IF(M37=8,0.6,IF(M37=10,0.65,IF(M37=12,0.7,IF(M37=14,0.75,IF(M37=16,0.8,IF(M37=18,0.85,"")))))))</f>
        <v>0.6</v>
      </c>
      <c r="BP37" s="938">
        <f t="shared" ref="BP37" si="75">IF(BK37="","",ROUND((AK37-AO37),2))</f>
        <v>1.4</v>
      </c>
      <c r="BQ37" s="938">
        <f t="shared" ref="BQ37" si="76">IF(BK37="","",ROUND((AL37-AP37),2))</f>
        <v>1.42</v>
      </c>
      <c r="BR37" s="938">
        <f t="shared" ref="BR37" si="77">IF(BK37="","",ROUND((BP37+BQ37)/2+0.1,2))</f>
        <v>1.51</v>
      </c>
      <c r="BS37" s="938">
        <f t="shared" ref="BS37" si="78">IF(BK37="","",ROUND( BR37*BO37*BL37,2))</f>
        <v>50.95</v>
      </c>
      <c r="BT37" s="938">
        <f t="shared" ref="BT37" si="79">IF(AND(BR37&gt;=1.5, BR37&lt;2),(BR37*BL37),0)</f>
        <v>84.92240000000001</v>
      </c>
      <c r="BU37" s="938">
        <f>IF(AND(BR37&gt;=2, BR37&lt;4),(BR37*BL37),0)*0.78</f>
        <v>0</v>
      </c>
      <c r="BV37" s="938">
        <f t="shared" ref="BV37" si="80">IF(BR37&gt;=4,(BR37*BL37),0)</f>
        <v>0</v>
      </c>
      <c r="BW37" s="938">
        <f t="shared" ref="BW37" si="81">IF(BK37="","",ROUND( BS37*$BN$1,2))</f>
        <v>0</v>
      </c>
      <c r="BX37" s="938">
        <f t="shared" ref="BX37" si="82">IF(BK37="","",ROUND(BS37*$BN$2,2))</f>
        <v>40.76</v>
      </c>
      <c r="BY37" s="938">
        <f t="shared" ref="BY37" si="83">IF(BK37="","",ROUND(BS37*$BN$3,2))</f>
        <v>8.66</v>
      </c>
      <c r="BZ37" s="938">
        <f>IF(BL37="","",ROUND(BS37*$BN$4,2))</f>
        <v>1.53</v>
      </c>
      <c r="CA37" s="938">
        <f>IF(BK37="","",ROUND( (PI()*((BM37*0.0254)^2)/4)*BL37,2))</f>
        <v>1.82</v>
      </c>
      <c r="CB37" s="938">
        <f t="shared" ref="CB37" si="84">IF(BK37="","",ROUND(BL37*BO37,2))</f>
        <v>33.74</v>
      </c>
      <c r="CC37" s="938" t="s">
        <v>2192</v>
      </c>
      <c r="CD37" s="938">
        <f t="shared" ref="CD37" si="85">IF(BK37="","",ROUND(IF(CC37="F",CB37,0),2))</f>
        <v>0</v>
      </c>
      <c r="CE37" s="938">
        <f t="shared" ref="CE37" si="86">IF(BK37="","",ROUND(IF(CC37="R",CB37,0),2))</f>
        <v>0</v>
      </c>
      <c r="CF37" s="938">
        <f>IF(CC37="","",IF(CC37="R",0.2,IF(CC37="F",0.07,IF(CC37="D",0))))</f>
        <v>0</v>
      </c>
      <c r="CG37" s="938">
        <f>IF(BK37="","",ROUND(IF(CB37="","",CB37*CF37),2))</f>
        <v>0</v>
      </c>
      <c r="CH37" s="938">
        <v>0.3</v>
      </c>
      <c r="CI37" s="938">
        <f>ROUND(IF(BK37="","",IF(OR(CC37="R",CC37="F"),(CH37*CB37),0)),2)</f>
        <v>0</v>
      </c>
      <c r="CJ37" s="938">
        <f>IF(BK37="","",ROUND(IF(CC37="F",CB37*CH37,0),2))</f>
        <v>0</v>
      </c>
      <c r="CK37" s="938">
        <f t="shared" ref="CK37" si="87">IF(BK37="","",ROUND(BS37-(CA37+CG37+CI37+CJ37+CM37),2))</f>
        <v>45.76</v>
      </c>
      <c r="CL37" s="938">
        <f t="shared" ref="CL37" si="88">IF(BK37="","",0.1)</f>
        <v>0.1</v>
      </c>
      <c r="CM37" s="938">
        <f t="shared" ref="CM37" si="89">IF(BK37="","",ROUND((BL37*BO37)*0.1,2))</f>
        <v>3.37</v>
      </c>
      <c r="CN37" s="938">
        <f t="shared" ref="CN37" si="90">IF(BK37="","",ROUND(CK37*$BR$2,2))</f>
        <v>13.29</v>
      </c>
      <c r="CO37" s="938">
        <f t="shared" ref="CO37" si="91">IF(BK37="","",ROUND(CK37*$BR$1,2))</f>
        <v>32.47</v>
      </c>
      <c r="CP37" s="938">
        <f>IF(BK37="","",ROUND(BS37-(CO37),2))</f>
        <v>18.48</v>
      </c>
      <c r="CQ37" s="936"/>
      <c r="CR37" s="853"/>
      <c r="CS37" s="895">
        <f t="shared" ref="CS37" si="92">+M37</f>
        <v>8</v>
      </c>
      <c r="CT37" s="701">
        <f t="shared" ref="CT37" si="93">IF(M37=6,160,IF(M37=8,200,IF(M37=10,250,IF(M37=12,315,IF(M37=14,350,IF(M37=16,400,IF(M37=18,450,"")))))))</f>
        <v>200</v>
      </c>
      <c r="CU37" s="895">
        <v>5</v>
      </c>
      <c r="CV37" s="938">
        <v>17.350000000000001</v>
      </c>
      <c r="CW37" s="938">
        <f>+CV37*CU37</f>
        <v>86.75</v>
      </c>
      <c r="CX37" s="938">
        <f t="shared" ref="CX37" si="94">+IF(CY37&gt;=2,0.8,0.6)</f>
        <v>0.6</v>
      </c>
      <c r="CY37" s="938">
        <f>IF(BK37="","",ROUND((1+BR37)/2,2))</f>
        <v>1.26</v>
      </c>
      <c r="CZ37" s="938">
        <f>IF(BK37="","",ROUND(CV37*CX37*CY37*CU37,2))</f>
        <v>65.58</v>
      </c>
      <c r="DA37" s="938">
        <f>IF(BK37="","",ROUND( IF(AND(CY37&gt;=1.5, CY37&lt;2),(CY37*CW37),0),2))</f>
        <v>0</v>
      </c>
      <c r="DB37" s="938">
        <f>IF(BK37="","",ROUND(IF(AND(CY37&gt;=2, CY37&lt;4),(CY37*CW37),0),2))</f>
        <v>0</v>
      </c>
      <c r="DC37" s="938">
        <f>IF(BK37="","",ROUND(IF(CY37&gt;=4,(CY37*CW37),0),2))</f>
        <v>0</v>
      </c>
      <c r="DD37" s="938">
        <f>IF(BK37="","",ROUND((PI()*((6*0.0254)^2)/4)*CW37,2))</f>
        <v>1.58</v>
      </c>
      <c r="DE37" s="938">
        <f>IF(BK37="","",ROUND(CW37*CX37,2))</f>
        <v>52.05</v>
      </c>
      <c r="DF37" s="938" t="s">
        <v>2192</v>
      </c>
      <c r="DG37" s="938">
        <f>IF(BK37="","",ROUND(IF(DF37="F",DE37,0),2))</f>
        <v>0</v>
      </c>
      <c r="DH37" s="938">
        <f>IF(BK37="","",ROUND( IF(DF37="R",DE37,0),2))</f>
        <v>0</v>
      </c>
      <c r="DI37" s="938">
        <f>IF(DF37="","",IF(DF37="R",0.2,IF(DF37="F",0.07,IF(DF37="D",0))))</f>
        <v>0</v>
      </c>
      <c r="DJ37" s="938">
        <f>IF(BK37="","",ROUND(IF(DE37="","",DE37*DI37),2))</f>
        <v>0</v>
      </c>
      <c r="DK37" s="938">
        <v>0.3</v>
      </c>
      <c r="DL37" s="938">
        <f>ROUND(IF(CO37="","",IF(OR(DF37="R",DF37="F"),(DK37*DE37),0)),2)</f>
        <v>0</v>
      </c>
      <c r="DM37" s="938">
        <f>IF(CO37="","",ROUND(IF(DF37="F",DE37*DK37,0),2))</f>
        <v>0</v>
      </c>
      <c r="DN37" s="938">
        <f>IF(BK37="","",ROUND(CZ37-(DD37+DJ37+DL37+DM37+DP37),2))</f>
        <v>58.8</v>
      </c>
      <c r="DO37" s="938">
        <f>IF(BK37="","",0.1)</f>
        <v>0.1</v>
      </c>
      <c r="DP37" s="938">
        <f>+DE37*DO37</f>
        <v>5.2050000000000001</v>
      </c>
      <c r="DQ37" s="938">
        <f>IF(BK37="","",ROUND(DN37*0.2,2))</f>
        <v>11.76</v>
      </c>
      <c r="DR37" s="938">
        <f>IF(BK37="","",ROUND(DN37*0.8,2))</f>
        <v>47.04</v>
      </c>
      <c r="DS37" s="938">
        <f>IF(BK37="","",ROUND(CZ37-(DD37+DR37),2))</f>
        <v>16.96</v>
      </c>
      <c r="DT37" s="936"/>
      <c r="DU37" s="937" t="str">
        <f t="shared" ref="DU37" si="95">+A37</f>
        <v>PZ-26</v>
      </c>
      <c r="DV37" s="938">
        <f>+BP37+0.2</f>
        <v>1.5999999999999999</v>
      </c>
      <c r="DW37" s="938">
        <v>1.2</v>
      </c>
      <c r="DX37" s="938">
        <v>1.6</v>
      </c>
      <c r="DY37" s="938">
        <f>+((PI()*DX37^2)/4)*DV37*-1</f>
        <v>-3.2169908772759483</v>
      </c>
      <c r="DZ37" s="938">
        <v>1.6</v>
      </c>
      <c r="EA37" s="938">
        <v>1.6</v>
      </c>
      <c r="EB37" s="938">
        <f>+(DZ37*EA37*DV37)</f>
        <v>4.0960000000000001</v>
      </c>
      <c r="EC37" s="938">
        <f>+EB37+DY37</f>
        <v>0.87900912272405174</v>
      </c>
      <c r="ED37" s="938">
        <f>+EC37*0.55</f>
        <v>0.4834550174982285</v>
      </c>
      <c r="EE37" s="938">
        <f>+EC37*0.45</f>
        <v>0.39555410522582329</v>
      </c>
      <c r="EF37" s="938">
        <f>+ED37</f>
        <v>0.4834550174982285</v>
      </c>
    </row>
    <row r="38" spans="1:136">
      <c r="A38" s="920" t="s">
        <v>2678</v>
      </c>
      <c r="B38" s="920" t="s">
        <v>2679</v>
      </c>
      <c r="C38" s="1294">
        <v>56.655999999999999</v>
      </c>
      <c r="D38" s="921">
        <v>57.835999999999999</v>
      </c>
      <c r="E38" s="921">
        <v>114.49199999999999</v>
      </c>
      <c r="F38" s="922">
        <v>1.4999999999999999E-2</v>
      </c>
      <c r="G38" s="923">
        <v>1.5</v>
      </c>
      <c r="H38" s="924">
        <v>1.5E-3</v>
      </c>
      <c r="I38" s="925">
        <v>6.5835922055916735E-2</v>
      </c>
      <c r="J38" s="926">
        <v>6.5500000000000003E-2</v>
      </c>
      <c r="K38" s="927">
        <v>4.6643824958120861E-2</v>
      </c>
      <c r="L38" s="923">
        <v>1.8363710613359954</v>
      </c>
      <c r="M38" s="928">
        <v>8</v>
      </c>
      <c r="N38" s="927">
        <v>0.2</v>
      </c>
      <c r="O38" s="927">
        <v>0.182</v>
      </c>
      <c r="P38" s="923">
        <v>5.6629277347990864E-2</v>
      </c>
      <c r="Q38" s="923">
        <v>2.1767439530946038</v>
      </c>
      <c r="R38" s="923">
        <v>0.03</v>
      </c>
      <c r="S38" s="927">
        <v>0.4</v>
      </c>
      <c r="T38" s="929">
        <v>0.14799999999999999</v>
      </c>
      <c r="U38" s="927">
        <v>0.37</v>
      </c>
      <c r="V38" s="930">
        <v>0.87069758123784158</v>
      </c>
      <c r="W38" s="927">
        <v>3.863987145634188E-2</v>
      </c>
      <c r="X38" s="927">
        <v>1.6834999999999999E-2</v>
      </c>
      <c r="Y38" s="927">
        <v>2.6935999999999998E-2</v>
      </c>
      <c r="Z38" s="927">
        <v>6.5575871456341875E-2</v>
      </c>
      <c r="AA38" s="931">
        <v>8.5999999999999993E-2</v>
      </c>
      <c r="AB38" s="923">
        <v>1.5651999999999999E-2</v>
      </c>
      <c r="AC38" s="923">
        <v>10.817413425</v>
      </c>
      <c r="AD38" s="923">
        <v>2.2220197496864564</v>
      </c>
      <c r="AE38" s="932" t="s">
        <v>2197</v>
      </c>
      <c r="AF38" s="927">
        <v>1.2093394883282576E-2</v>
      </c>
      <c r="AG38" s="924">
        <v>1.2093394883282576E-3</v>
      </c>
      <c r="AH38" s="923">
        <v>3.2967032967032965</v>
      </c>
      <c r="AI38" s="927">
        <v>1.6296587007350297E-3</v>
      </c>
      <c r="AJ38" s="927">
        <v>2.8389981890632873E-3</v>
      </c>
      <c r="AK38" s="933">
        <v>964.52</v>
      </c>
      <c r="AL38" s="933">
        <v>960.79</v>
      </c>
      <c r="AM38" s="930">
        <v>963.27737999999999</v>
      </c>
      <c r="AN38" s="930">
        <v>959.56641200000001</v>
      </c>
      <c r="AO38" s="934">
        <v>963.07737999999995</v>
      </c>
      <c r="AP38" s="934">
        <v>959.36641199999997</v>
      </c>
      <c r="AQ38" s="923">
        <v>963.10431599999993</v>
      </c>
      <c r="AR38" s="923">
        <v>959.39334799999995</v>
      </c>
      <c r="AS38" s="923">
        <v>963.14754416700134</v>
      </c>
      <c r="AT38" s="923">
        <v>959.43657616700136</v>
      </c>
      <c r="AU38" s="923">
        <v>1.2426199999999881</v>
      </c>
      <c r="AV38" s="923">
        <v>1.2235879999999497</v>
      </c>
      <c r="AW38" s="923">
        <v>1.4426200000000335</v>
      </c>
      <c r="AX38" s="923">
        <v>1.4235879999999952</v>
      </c>
      <c r="AY38" s="923">
        <v>1.999999999998181E-2</v>
      </c>
      <c r="AZ38" s="923" t="s">
        <v>2187</v>
      </c>
      <c r="BA38" s="935" t="s">
        <v>2188</v>
      </c>
      <c r="BB38" s="935" t="s">
        <v>2189</v>
      </c>
      <c r="BC38" s="935" t="s">
        <v>2198</v>
      </c>
      <c r="BD38" s="935" t="s">
        <v>2191</v>
      </c>
      <c r="BE38" s="935" t="s">
        <v>2191</v>
      </c>
      <c r="BF38" s="946"/>
      <c r="BH38" s="937"/>
      <c r="BI38" s="894" t="str">
        <f t="shared" ref="BI38:BI45" si="96">A38</f>
        <v>PZ-27</v>
      </c>
      <c r="BJ38" s="894" t="str">
        <f t="shared" ref="BJ38:BJ45" si="97">B38</f>
        <v>PZ-28</v>
      </c>
      <c r="BK38" s="938">
        <f t="shared" ref="BK38:BK45" si="98">IF(C38="","",ROUND( C38,2))</f>
        <v>56.66</v>
      </c>
      <c r="BL38" s="938">
        <f t="shared" ref="BL38:BL45" si="99">IF(BK38="","",ROUND((BK38-1.6),2))</f>
        <v>55.06</v>
      </c>
      <c r="BM38" s="895">
        <f t="shared" ref="BM38:BM45" si="100">IF(M38="","",M38)</f>
        <v>8</v>
      </c>
      <c r="BN38" s="938">
        <f t="shared" ref="BN38:BN45" si="101">IF(BK38="","",ROUND((BK38-1.2),2))</f>
        <v>55.46</v>
      </c>
      <c r="BO38" s="700">
        <f t="shared" ref="BO38:BO45" si="102">IF(M38=6,0.5,IF(M38=8,0.6,IF(M38=10,0.65,IF(M38=12,0.7,IF(M38=14,0.75,IF(M38=16,0.8,IF(M38=18,0.85,"")))))))</f>
        <v>0.6</v>
      </c>
      <c r="BP38" s="938">
        <f t="shared" ref="BP38:BP45" si="103">IF(BK38="","",ROUND((AK38-AO38),2))</f>
        <v>1.44</v>
      </c>
      <c r="BQ38" s="938">
        <f t="shared" ref="BQ38:BQ45" si="104">IF(BK38="","",ROUND((AL38-AP38),2))</f>
        <v>1.42</v>
      </c>
      <c r="BR38" s="938">
        <f t="shared" ref="BR38:BR45" si="105">IF(BK38="","",ROUND((BP38+BQ38)/2+0.1,2))</f>
        <v>1.53</v>
      </c>
      <c r="BS38" s="938">
        <f t="shared" ref="BS38:BS45" si="106">IF(BK38="","",ROUND( BR38*BO38*BL38,2))</f>
        <v>50.55</v>
      </c>
      <c r="BT38" s="938">
        <f t="shared" ref="BT38:BT45" si="107">IF(AND(BR38&gt;=1.5, BR38&lt;2),(BR38*BL38),0)</f>
        <v>84.241800000000012</v>
      </c>
      <c r="BU38" s="938">
        <f t="shared" ref="BU38:BU45" si="108">IF(AND(BR38&gt;=2, BR38&lt;4),(BR38*BL38),0)*0.78</f>
        <v>0</v>
      </c>
      <c r="BV38" s="938">
        <f t="shared" ref="BV38:BV45" si="109">IF(BR38&gt;=4,(BR38*BL38),0)</f>
        <v>0</v>
      </c>
      <c r="BW38" s="938">
        <f t="shared" ref="BW38:BW45" si="110">IF(BK38="","",ROUND( BS38*$BN$1,2))</f>
        <v>0</v>
      </c>
      <c r="BX38" s="938">
        <f t="shared" ref="BX38:BX45" si="111">IF(BK38="","",ROUND(BS38*$BN$2,2))</f>
        <v>40.44</v>
      </c>
      <c r="BY38" s="938">
        <f t="shared" ref="BY38:BY45" si="112">IF(BK38="","",ROUND(BS38*$BN$3,2))</f>
        <v>8.59</v>
      </c>
      <c r="BZ38" s="938">
        <f t="shared" ref="BZ38:BZ45" si="113">IF(BL38="","",ROUND(BS38*$BN$4,2))</f>
        <v>1.52</v>
      </c>
      <c r="CA38" s="938">
        <f t="shared" ref="CA38:CA45" si="114">IF(BK38="","",ROUND( (PI()*((BM38*0.0254)^2)/4)*BL38,2))</f>
        <v>1.79</v>
      </c>
      <c r="CB38" s="938">
        <f t="shared" ref="CB38:CB45" si="115">IF(BK38="","",ROUND(BL38*BO38,2))</f>
        <v>33.04</v>
      </c>
      <c r="CC38" s="938" t="s">
        <v>2192</v>
      </c>
      <c r="CD38" s="938">
        <f t="shared" ref="CD38:CD45" si="116">IF(BK38="","",ROUND(IF(CC38="F",CB38,0),2))</f>
        <v>0</v>
      </c>
      <c r="CE38" s="938">
        <f t="shared" ref="CE38:CE45" si="117">IF(BK38="","",ROUND(IF(CC38="R",CB38,0),2))</f>
        <v>0</v>
      </c>
      <c r="CF38" s="938">
        <f t="shared" ref="CF38:CF45" si="118">IF(CC38="","",IF(CC38="R",0.2,IF(CC38="F",0.07,IF(CC38="D",0))))</f>
        <v>0</v>
      </c>
      <c r="CG38" s="938">
        <f t="shared" ref="CG38:CG45" si="119">IF(BK38="","",ROUND(IF(CB38="","",CB38*CF38),2))</f>
        <v>0</v>
      </c>
      <c r="CH38" s="938">
        <v>1.3</v>
      </c>
      <c r="CI38" s="938">
        <f t="shared" ref="CI38:CI45" si="120">ROUND(IF(BK38="","",IF(OR(CC38="R",CC38="F"),(CH38*CB38),0)),2)</f>
        <v>0</v>
      </c>
      <c r="CJ38" s="938">
        <f t="shared" ref="CJ38:CJ45" si="121">IF(BK38="","",ROUND(IF(CC38="F",CB38*CH38,0),2))</f>
        <v>0</v>
      </c>
      <c r="CK38" s="938">
        <f t="shared" ref="CK38:CK45" si="122">IF(BK38="","",ROUND(BS38-(CA38+CG38+CI38+CJ38+CM38),2))</f>
        <v>45.46</v>
      </c>
      <c r="CL38" s="938">
        <f t="shared" ref="CL38:CL45" si="123">IF(BK38="","",0.1)</f>
        <v>0.1</v>
      </c>
      <c r="CM38" s="938">
        <f t="shared" ref="CM38:CM45" si="124">IF(BK38="","",ROUND((BL38*BO38)*0.1,2))</f>
        <v>3.3</v>
      </c>
      <c r="CN38" s="938">
        <f t="shared" ref="CN38:CN45" si="125">IF(BK38="","",ROUND(CK38*$BR$2,2))</f>
        <v>13.21</v>
      </c>
      <c r="CO38" s="938">
        <f t="shared" ref="CO38:CO45" si="126">IF(BK38="","",ROUND(CK38*$BR$1,2))</f>
        <v>32.25</v>
      </c>
      <c r="CP38" s="938">
        <f t="shared" ref="CP38:CP45" si="127">IF(BK38="","",ROUND(BS38-(CO38),2))</f>
        <v>18.3</v>
      </c>
      <c r="CQ38" s="936"/>
      <c r="CR38" s="853"/>
      <c r="CS38" s="895">
        <f t="shared" ref="CS38:CS45" si="128">+M38</f>
        <v>8</v>
      </c>
      <c r="CT38" s="701">
        <f t="shared" ref="CT38:CT45" si="129">IF(M38=6,160,IF(M38=8,200,IF(M38=10,250,IF(M38=12,315,IF(M38=14,350,IF(M38=16,400,IF(M38=18,450,"")))))))</f>
        <v>200</v>
      </c>
      <c r="CU38" s="895">
        <v>1</v>
      </c>
      <c r="CV38" s="938">
        <v>17.350000000000001</v>
      </c>
      <c r="CW38" s="938">
        <f t="shared" ref="CW38:CW45" si="130">+CV38*CU38</f>
        <v>17.350000000000001</v>
      </c>
      <c r="CX38" s="938">
        <f t="shared" ref="CX38:CX45" si="131">+IF(CY38&gt;=2,0.8,0.6)</f>
        <v>0.6</v>
      </c>
      <c r="CY38" s="938">
        <f t="shared" ref="CY38:CY45" si="132">IF(BK38="","",ROUND((1+BR38)/2,2))</f>
        <v>1.27</v>
      </c>
      <c r="CZ38" s="938">
        <f t="shared" ref="CZ38:CZ45" si="133">IF(BK38="","",ROUND(CV38*CX38*CY38*CU38,2))</f>
        <v>13.22</v>
      </c>
      <c r="DA38" s="938">
        <f t="shared" ref="DA38:DA45" si="134">IF(BK38="","",ROUND( IF(AND(CY38&gt;=1.5, CY38&lt;2),(CY38*CW38),0),2))</f>
        <v>0</v>
      </c>
      <c r="DB38" s="938">
        <f t="shared" ref="DB38:DB45" si="135">IF(BK38="","",ROUND(IF(AND(CY38&gt;=2, CY38&lt;4),(CY38*CW38),0),2))</f>
        <v>0</v>
      </c>
      <c r="DC38" s="938">
        <f t="shared" ref="DC38:DC45" si="136">IF(BK38="","",ROUND(IF(CY38&gt;=4,(CY38*CW38),0),2))</f>
        <v>0</v>
      </c>
      <c r="DD38" s="938">
        <f t="shared" ref="DD38:DD45" si="137">IF(BK38="","",ROUND((PI()*((6*0.0254)^2)/4)*CW38,2))</f>
        <v>0.32</v>
      </c>
      <c r="DE38" s="938">
        <f t="shared" ref="DE38:DE45" si="138">IF(BK38="","",ROUND(CW38*CX38,2))</f>
        <v>10.41</v>
      </c>
      <c r="DF38" s="938" t="s">
        <v>2192</v>
      </c>
      <c r="DG38" s="938">
        <f t="shared" ref="DG38:DG45" si="139">IF(BK38="","",ROUND(IF(DF38="F",DE38,0),2))</f>
        <v>0</v>
      </c>
      <c r="DH38" s="938">
        <f t="shared" ref="DH38:DH45" si="140">IF(BK38="","",ROUND( IF(DF38="R",DE38,0),2))</f>
        <v>0</v>
      </c>
      <c r="DI38" s="938">
        <f t="shared" ref="DI38:DI45" si="141">IF(DF38="","",IF(DF38="R",0.2,IF(DF38="F",0.07,IF(DF38="D",0))))</f>
        <v>0</v>
      </c>
      <c r="DJ38" s="938">
        <f t="shared" ref="DJ38:DJ45" si="142">IF(BK38="","",ROUND(IF(DE38="","",DE38*DI38),2))</f>
        <v>0</v>
      </c>
      <c r="DK38" s="938">
        <v>1.3</v>
      </c>
      <c r="DL38" s="938">
        <f t="shared" ref="DL38:DL45" si="143">ROUND(IF(CO38="","",IF(OR(DF38="R",DF38="F"),(DK38*DE38),0)),2)</f>
        <v>0</v>
      </c>
      <c r="DM38" s="938">
        <f t="shared" ref="DM38:DM45" si="144">IF(CO38="","",ROUND(IF(DF38="F",DE38*DK38,0),2))</f>
        <v>0</v>
      </c>
      <c r="DN38" s="938">
        <f t="shared" ref="DN38:DN45" si="145">IF(BK38="","",ROUND(CZ38-(DD38+DJ38+DL38+DM38+DP38),2))</f>
        <v>11.86</v>
      </c>
      <c r="DO38" s="938">
        <f t="shared" ref="DO38:DO45" si="146">IF(BK38="","",0.1)</f>
        <v>0.1</v>
      </c>
      <c r="DP38" s="938">
        <f t="shared" ref="DP38:DP45" si="147">+DE38*DO38</f>
        <v>1.0410000000000001</v>
      </c>
      <c r="DQ38" s="938">
        <f t="shared" ref="DQ38:DQ45" si="148">IF(BK38="","",ROUND(DN38*0.2,2))</f>
        <v>2.37</v>
      </c>
      <c r="DR38" s="938">
        <f t="shared" ref="DR38:DR45" si="149">IF(BK38="","",ROUND(DN38*0.8,2))</f>
        <v>9.49</v>
      </c>
      <c r="DS38" s="938">
        <f t="shared" ref="DS38:DS45" si="150">IF(BK38="","",ROUND(CZ38-(DD38+DR38),2))</f>
        <v>3.41</v>
      </c>
      <c r="DT38" s="936"/>
      <c r="DU38" s="937" t="str">
        <f t="shared" ref="DU38:DU45" si="151">+A38</f>
        <v>PZ-27</v>
      </c>
      <c r="DV38" s="938">
        <f t="shared" ref="DV38:DV45" si="152">+BP38+0.2</f>
        <v>1.64</v>
      </c>
      <c r="DW38" s="938">
        <v>1.2</v>
      </c>
      <c r="DX38" s="938">
        <v>1.6</v>
      </c>
      <c r="DY38" s="938">
        <f t="shared" ref="DY38:DY45" si="153">+((PI()*DX38^2)/4)*DV38*-1</f>
        <v>-3.297415649207847</v>
      </c>
      <c r="DZ38" s="938">
        <v>1.6</v>
      </c>
      <c r="EA38" s="938">
        <v>1.6</v>
      </c>
      <c r="EB38" s="938">
        <f t="shared" ref="EB38:EB45" si="154">+(DZ38*EA38*DV38)</f>
        <v>4.1984000000000004</v>
      </c>
      <c r="EC38" s="938">
        <f t="shared" ref="EC38:EC45" si="155">+EB38+DY38</f>
        <v>0.90098435079215333</v>
      </c>
      <c r="ED38" s="938">
        <f t="shared" ref="ED38:ED45" si="156">+EC38*0.55</f>
        <v>0.49554139293568439</v>
      </c>
      <c r="EE38" s="938">
        <f t="shared" ref="EE38:EE45" si="157">+EC38*0.45</f>
        <v>0.405442957856469</v>
      </c>
      <c r="EF38" s="938">
        <f t="shared" ref="EF38:EF45" si="158">+ED38</f>
        <v>0.49554139293568439</v>
      </c>
    </row>
    <row r="39" spans="1:136">
      <c r="A39" s="920" t="s">
        <v>2679</v>
      </c>
      <c r="B39" s="920" t="s">
        <v>2680</v>
      </c>
      <c r="C39" s="1294">
        <v>32.097000000000001</v>
      </c>
      <c r="D39" s="921">
        <v>114.49199999999999</v>
      </c>
      <c r="E39" s="921">
        <v>146.589</v>
      </c>
      <c r="F39" s="922">
        <v>1.4999999999999999E-2</v>
      </c>
      <c r="G39" s="923">
        <v>1.57</v>
      </c>
      <c r="H39" s="924">
        <v>1.57E-3</v>
      </c>
      <c r="I39" s="925">
        <v>7.6331121288591819E-2</v>
      </c>
      <c r="J39" s="926">
        <v>7.5999999999999998E-2</v>
      </c>
      <c r="K39" s="927">
        <v>4.6143974594479956E-2</v>
      </c>
      <c r="L39" s="923">
        <v>1.8166919131612353</v>
      </c>
      <c r="M39" s="928">
        <v>8</v>
      </c>
      <c r="N39" s="927">
        <v>0.2</v>
      </c>
      <c r="O39" s="927">
        <v>0.182</v>
      </c>
      <c r="P39" s="923">
        <v>6.0999625080143165E-2</v>
      </c>
      <c r="Q39" s="923">
        <v>2.3447335239383991</v>
      </c>
      <c r="R39" s="923">
        <v>0.03</v>
      </c>
      <c r="S39" s="927">
        <v>0.4</v>
      </c>
      <c r="T39" s="929">
        <v>0.14799999999999999</v>
      </c>
      <c r="U39" s="927">
        <v>0.37</v>
      </c>
      <c r="V39" s="930">
        <v>0.93789340957535972</v>
      </c>
      <c r="W39" s="927">
        <v>4.4834049323389066E-2</v>
      </c>
      <c r="X39" s="927">
        <v>1.6834999999999999E-2</v>
      </c>
      <c r="Y39" s="927">
        <v>2.6935999999999998E-2</v>
      </c>
      <c r="Z39" s="927">
        <v>7.1770049323389068E-2</v>
      </c>
      <c r="AA39" s="931">
        <v>8.5999999999999993E-2</v>
      </c>
      <c r="AB39" s="923">
        <v>1.5651999999999999E-2</v>
      </c>
      <c r="AC39" s="923">
        <v>12.551502600000001</v>
      </c>
      <c r="AD39" s="923">
        <v>2.3935034667426547</v>
      </c>
      <c r="AE39" s="932" t="s">
        <v>2197</v>
      </c>
      <c r="AF39" s="927">
        <v>6.1941778670471861E-3</v>
      </c>
      <c r="AG39" s="924">
        <v>6.1941778670471866E-4</v>
      </c>
      <c r="AH39" s="923">
        <v>3.2967032967032965</v>
      </c>
      <c r="AI39" s="927">
        <v>2.0868480194932738E-3</v>
      </c>
      <c r="AJ39" s="927">
        <v>2.7062658061979923E-3</v>
      </c>
      <c r="AK39" s="933">
        <v>960.79</v>
      </c>
      <c r="AL39" s="933">
        <v>958.34</v>
      </c>
      <c r="AM39" s="930">
        <v>959.54641200000003</v>
      </c>
      <c r="AN39" s="930">
        <v>957.10703999999998</v>
      </c>
      <c r="AO39" s="934">
        <v>959.34641199999999</v>
      </c>
      <c r="AP39" s="934">
        <v>956.90703999999994</v>
      </c>
      <c r="AQ39" s="923">
        <v>959.37334799999996</v>
      </c>
      <c r="AR39" s="923">
        <v>956.93397599999992</v>
      </c>
      <c r="AS39" s="923">
        <v>959.43373716881229</v>
      </c>
      <c r="AT39" s="923">
        <v>956.99436516881224</v>
      </c>
      <c r="AU39" s="923">
        <v>1.2435879999999315</v>
      </c>
      <c r="AV39" s="923">
        <v>1.2329600000000482</v>
      </c>
      <c r="AW39" s="923">
        <v>1.443587999999977</v>
      </c>
      <c r="AX39" s="923">
        <v>1.4329600000000937</v>
      </c>
      <c r="AY39" s="923">
        <v>1.999999999998181E-2</v>
      </c>
      <c r="AZ39" s="923" t="s">
        <v>2187</v>
      </c>
      <c r="BA39" s="935" t="s">
        <v>2188</v>
      </c>
      <c r="BB39" s="935" t="s">
        <v>2189</v>
      </c>
      <c r="BC39" s="935" t="s">
        <v>2198</v>
      </c>
      <c r="BD39" s="935" t="s">
        <v>2191</v>
      </c>
      <c r="BE39" s="935" t="s">
        <v>2191</v>
      </c>
      <c r="BF39" s="946"/>
      <c r="BH39" s="937"/>
      <c r="BI39" s="894" t="str">
        <f t="shared" si="96"/>
        <v>PZ-28</v>
      </c>
      <c r="BJ39" s="894" t="str">
        <f t="shared" si="97"/>
        <v>PZ-29</v>
      </c>
      <c r="BK39" s="938">
        <f t="shared" si="98"/>
        <v>32.1</v>
      </c>
      <c r="BL39" s="938">
        <f t="shared" si="99"/>
        <v>30.5</v>
      </c>
      <c r="BM39" s="895">
        <f t="shared" si="100"/>
        <v>8</v>
      </c>
      <c r="BN39" s="938">
        <f t="shared" si="101"/>
        <v>30.9</v>
      </c>
      <c r="BO39" s="700">
        <f t="shared" si="102"/>
        <v>0.6</v>
      </c>
      <c r="BP39" s="938">
        <f t="shared" si="103"/>
        <v>1.44</v>
      </c>
      <c r="BQ39" s="938">
        <f t="shared" si="104"/>
        <v>1.43</v>
      </c>
      <c r="BR39" s="938">
        <f t="shared" si="105"/>
        <v>1.54</v>
      </c>
      <c r="BS39" s="938">
        <f t="shared" si="106"/>
        <v>28.18</v>
      </c>
      <c r="BT39" s="938">
        <f t="shared" si="107"/>
        <v>46.97</v>
      </c>
      <c r="BU39" s="938">
        <f t="shared" si="108"/>
        <v>0</v>
      </c>
      <c r="BV39" s="938">
        <f t="shared" si="109"/>
        <v>0</v>
      </c>
      <c r="BW39" s="938">
        <f t="shared" si="110"/>
        <v>0</v>
      </c>
      <c r="BX39" s="938">
        <f t="shared" si="111"/>
        <v>22.54</v>
      </c>
      <c r="BY39" s="938">
        <f t="shared" si="112"/>
        <v>4.79</v>
      </c>
      <c r="BZ39" s="938">
        <f t="shared" si="113"/>
        <v>0.85</v>
      </c>
      <c r="CA39" s="938">
        <f t="shared" si="114"/>
        <v>0.99</v>
      </c>
      <c r="CB39" s="938">
        <f t="shared" si="115"/>
        <v>18.3</v>
      </c>
      <c r="CC39" s="938" t="s">
        <v>2192</v>
      </c>
      <c r="CD39" s="938">
        <f t="shared" si="116"/>
        <v>0</v>
      </c>
      <c r="CE39" s="938">
        <f t="shared" si="117"/>
        <v>0</v>
      </c>
      <c r="CF39" s="938">
        <f t="shared" si="118"/>
        <v>0</v>
      </c>
      <c r="CG39" s="938">
        <f t="shared" si="119"/>
        <v>0</v>
      </c>
      <c r="CH39" s="938">
        <v>2.2999999999999998</v>
      </c>
      <c r="CI39" s="938">
        <f t="shared" si="120"/>
        <v>0</v>
      </c>
      <c r="CJ39" s="938">
        <f t="shared" si="121"/>
        <v>0</v>
      </c>
      <c r="CK39" s="938">
        <f t="shared" si="122"/>
        <v>25.36</v>
      </c>
      <c r="CL39" s="938">
        <f t="shared" si="123"/>
        <v>0.1</v>
      </c>
      <c r="CM39" s="938">
        <f t="shared" si="124"/>
        <v>1.83</v>
      </c>
      <c r="CN39" s="938">
        <f t="shared" si="125"/>
        <v>7.37</v>
      </c>
      <c r="CO39" s="938">
        <f t="shared" si="126"/>
        <v>17.989999999999998</v>
      </c>
      <c r="CP39" s="938">
        <f t="shared" si="127"/>
        <v>10.19</v>
      </c>
      <c r="CQ39" s="936"/>
      <c r="CR39" s="853"/>
      <c r="CS39" s="895">
        <f t="shared" si="128"/>
        <v>8</v>
      </c>
      <c r="CT39" s="701">
        <f t="shared" si="129"/>
        <v>200</v>
      </c>
      <c r="CU39" s="895">
        <v>3</v>
      </c>
      <c r="CV39" s="938">
        <v>17.350000000000001</v>
      </c>
      <c r="CW39" s="938">
        <f t="shared" si="130"/>
        <v>52.050000000000004</v>
      </c>
      <c r="CX39" s="938">
        <f t="shared" si="131"/>
        <v>0.6</v>
      </c>
      <c r="CY39" s="938">
        <f t="shared" si="132"/>
        <v>1.27</v>
      </c>
      <c r="CZ39" s="938">
        <f t="shared" si="133"/>
        <v>39.659999999999997</v>
      </c>
      <c r="DA39" s="938">
        <f t="shared" si="134"/>
        <v>0</v>
      </c>
      <c r="DB39" s="938">
        <f t="shared" si="135"/>
        <v>0</v>
      </c>
      <c r="DC39" s="938">
        <f t="shared" si="136"/>
        <v>0</v>
      </c>
      <c r="DD39" s="938">
        <f t="shared" si="137"/>
        <v>0.95</v>
      </c>
      <c r="DE39" s="938">
        <f t="shared" si="138"/>
        <v>31.23</v>
      </c>
      <c r="DF39" s="938" t="s">
        <v>2192</v>
      </c>
      <c r="DG39" s="938">
        <f t="shared" si="139"/>
        <v>0</v>
      </c>
      <c r="DH39" s="938">
        <f t="shared" si="140"/>
        <v>0</v>
      </c>
      <c r="DI39" s="938">
        <f t="shared" si="141"/>
        <v>0</v>
      </c>
      <c r="DJ39" s="938">
        <f t="shared" si="142"/>
        <v>0</v>
      </c>
      <c r="DK39" s="938">
        <v>2.2999999999999998</v>
      </c>
      <c r="DL39" s="938">
        <f t="shared" si="143"/>
        <v>0</v>
      </c>
      <c r="DM39" s="938">
        <f t="shared" si="144"/>
        <v>0</v>
      </c>
      <c r="DN39" s="938">
        <f t="shared" si="145"/>
        <v>35.590000000000003</v>
      </c>
      <c r="DO39" s="938">
        <f t="shared" si="146"/>
        <v>0.1</v>
      </c>
      <c r="DP39" s="938">
        <f t="shared" si="147"/>
        <v>3.1230000000000002</v>
      </c>
      <c r="DQ39" s="938">
        <f t="shared" si="148"/>
        <v>7.12</v>
      </c>
      <c r="DR39" s="938">
        <f t="shared" si="149"/>
        <v>28.47</v>
      </c>
      <c r="DS39" s="938">
        <f t="shared" si="150"/>
        <v>10.24</v>
      </c>
      <c r="DT39" s="936"/>
      <c r="DU39" s="937" t="str">
        <f t="shared" si="151"/>
        <v>PZ-28</v>
      </c>
      <c r="DV39" s="938">
        <f t="shared" si="152"/>
        <v>1.64</v>
      </c>
      <c r="DW39" s="938">
        <v>1.2</v>
      </c>
      <c r="DX39" s="938">
        <v>1.6</v>
      </c>
      <c r="DY39" s="938">
        <f t="shared" si="153"/>
        <v>-3.297415649207847</v>
      </c>
      <c r="DZ39" s="938">
        <v>1.6</v>
      </c>
      <c r="EA39" s="938">
        <v>1.6</v>
      </c>
      <c r="EB39" s="938">
        <f t="shared" si="154"/>
        <v>4.1984000000000004</v>
      </c>
      <c r="EC39" s="938">
        <f t="shared" si="155"/>
        <v>0.90098435079215333</v>
      </c>
      <c r="ED39" s="938">
        <f t="shared" si="156"/>
        <v>0.49554139293568439</v>
      </c>
      <c r="EE39" s="938">
        <f t="shared" si="157"/>
        <v>0.405442957856469</v>
      </c>
      <c r="EF39" s="938">
        <f t="shared" si="158"/>
        <v>0.49554139293568439</v>
      </c>
    </row>
    <row r="40" spans="1:136">
      <c r="A40" s="920" t="s">
        <v>2680</v>
      </c>
      <c r="B40" s="920" t="s">
        <v>2681</v>
      </c>
      <c r="C40" s="1294">
        <v>47.213999999999999</v>
      </c>
      <c r="D40" s="921">
        <v>146.589</v>
      </c>
      <c r="E40" s="921">
        <v>193.803</v>
      </c>
      <c r="F40" s="922">
        <v>1.4999999999999999E-2</v>
      </c>
      <c r="G40" s="923">
        <v>2.02</v>
      </c>
      <c r="H40" s="924">
        <v>2.0200000000000001E-3</v>
      </c>
      <c r="I40" s="925">
        <v>5.337399923751391E-2</v>
      </c>
      <c r="J40" s="926">
        <v>5.2999999999999999E-2</v>
      </c>
      <c r="K40" s="927">
        <v>5.4263801637261383E-2</v>
      </c>
      <c r="L40" s="923">
        <v>2.1363701431907214</v>
      </c>
      <c r="M40" s="928">
        <v>8</v>
      </c>
      <c r="N40" s="927">
        <v>0.2</v>
      </c>
      <c r="O40" s="927">
        <v>0.182</v>
      </c>
      <c r="P40" s="923">
        <v>5.0939925373405297E-2</v>
      </c>
      <c r="Q40" s="923">
        <v>1.9580538498887334</v>
      </c>
      <c r="R40" s="923">
        <v>0.04</v>
      </c>
      <c r="S40" s="927">
        <v>0.42699999999999999</v>
      </c>
      <c r="T40" s="929">
        <v>0.16500000000000001</v>
      </c>
      <c r="U40" s="927">
        <v>0.41</v>
      </c>
      <c r="V40" s="930">
        <v>0.83608899390248914</v>
      </c>
      <c r="W40" s="927">
        <v>3.5629194991074233E-2</v>
      </c>
      <c r="X40" s="927">
        <v>1.8654999999999998E-2</v>
      </c>
      <c r="Y40" s="927">
        <v>3.0030000000000001E-2</v>
      </c>
      <c r="Z40" s="927">
        <v>6.5659194991074227E-2</v>
      </c>
      <c r="AA40" s="931">
        <v>0.10199999999999999</v>
      </c>
      <c r="AB40" s="923">
        <v>1.8563999999999997E-2</v>
      </c>
      <c r="AC40" s="923">
        <v>9.6992941500000001</v>
      </c>
      <c r="AD40" s="923">
        <v>1.9592155675330933</v>
      </c>
      <c r="AE40" s="932" t="s">
        <v>2197</v>
      </c>
      <c r="AF40" s="927">
        <v>-9.2048543323148338E-3</v>
      </c>
      <c r="AG40" s="924">
        <v>1.8409708664629668E-3</v>
      </c>
      <c r="AH40" s="923">
        <v>3.2967032967032965</v>
      </c>
      <c r="AI40" s="927">
        <v>2.0115811078615826E-3</v>
      </c>
      <c r="AJ40" s="927">
        <v>3.8525519743245495E-3</v>
      </c>
      <c r="AK40" s="933">
        <v>958.34</v>
      </c>
      <c r="AL40" s="933">
        <v>955.82</v>
      </c>
      <c r="AM40" s="930">
        <v>957.08704</v>
      </c>
      <c r="AN40" s="930">
        <v>954.584698</v>
      </c>
      <c r="AO40" s="934">
        <v>956.88703999999996</v>
      </c>
      <c r="AP40" s="934">
        <v>954.38469799999996</v>
      </c>
      <c r="AQ40" s="923">
        <v>956.91706999999997</v>
      </c>
      <c r="AR40" s="923">
        <v>954.41472799999997</v>
      </c>
      <c r="AS40" s="923">
        <v>956.99165890300605</v>
      </c>
      <c r="AT40" s="923">
        <v>954.48931690300606</v>
      </c>
      <c r="AU40" s="923">
        <v>1.25296000000003</v>
      </c>
      <c r="AV40" s="923">
        <v>1.235302000000047</v>
      </c>
      <c r="AW40" s="923">
        <v>1.4529600000000755</v>
      </c>
      <c r="AX40" s="923">
        <v>1.4353020000000924</v>
      </c>
      <c r="AY40" s="923">
        <v>1.999999999998181E-2</v>
      </c>
      <c r="AZ40" s="923" t="s">
        <v>2187</v>
      </c>
      <c r="BA40" s="935" t="s">
        <v>2188</v>
      </c>
      <c r="BB40" s="935" t="s">
        <v>2189</v>
      </c>
      <c r="BC40" s="935" t="s">
        <v>2198</v>
      </c>
      <c r="BD40" s="935" t="s">
        <v>2191</v>
      </c>
      <c r="BE40" s="935" t="s">
        <v>2191</v>
      </c>
      <c r="BF40" s="946"/>
      <c r="BH40" s="937"/>
      <c r="BI40" s="894" t="str">
        <f t="shared" si="96"/>
        <v>PZ-29</v>
      </c>
      <c r="BJ40" s="894" t="str">
        <f t="shared" si="97"/>
        <v>PZ-30</v>
      </c>
      <c r="BK40" s="938">
        <f t="shared" si="98"/>
        <v>47.21</v>
      </c>
      <c r="BL40" s="938">
        <f t="shared" si="99"/>
        <v>45.61</v>
      </c>
      <c r="BM40" s="895">
        <f t="shared" si="100"/>
        <v>8</v>
      </c>
      <c r="BN40" s="938">
        <f t="shared" si="101"/>
        <v>46.01</v>
      </c>
      <c r="BO40" s="700">
        <f t="shared" si="102"/>
        <v>0.6</v>
      </c>
      <c r="BP40" s="938">
        <f t="shared" si="103"/>
        <v>1.45</v>
      </c>
      <c r="BQ40" s="938">
        <f t="shared" si="104"/>
        <v>1.44</v>
      </c>
      <c r="BR40" s="938">
        <f t="shared" si="105"/>
        <v>1.55</v>
      </c>
      <c r="BS40" s="938">
        <f t="shared" si="106"/>
        <v>42.42</v>
      </c>
      <c r="BT40" s="938">
        <f t="shared" si="107"/>
        <v>70.695499999999996</v>
      </c>
      <c r="BU40" s="938">
        <f t="shared" si="108"/>
        <v>0</v>
      </c>
      <c r="BV40" s="938">
        <f t="shared" si="109"/>
        <v>0</v>
      </c>
      <c r="BW40" s="938">
        <f t="shared" si="110"/>
        <v>0</v>
      </c>
      <c r="BX40" s="938">
        <f t="shared" si="111"/>
        <v>33.94</v>
      </c>
      <c r="BY40" s="938">
        <f t="shared" si="112"/>
        <v>7.21</v>
      </c>
      <c r="BZ40" s="938">
        <f t="shared" si="113"/>
        <v>1.27</v>
      </c>
      <c r="CA40" s="938">
        <f t="shared" si="114"/>
        <v>1.48</v>
      </c>
      <c r="CB40" s="938">
        <f t="shared" si="115"/>
        <v>27.37</v>
      </c>
      <c r="CC40" s="938" t="s">
        <v>2192</v>
      </c>
      <c r="CD40" s="938">
        <f t="shared" si="116"/>
        <v>0</v>
      </c>
      <c r="CE40" s="938">
        <f t="shared" si="117"/>
        <v>0</v>
      </c>
      <c r="CF40" s="938">
        <f t="shared" si="118"/>
        <v>0</v>
      </c>
      <c r="CG40" s="938">
        <f t="shared" si="119"/>
        <v>0</v>
      </c>
      <c r="CH40" s="938">
        <v>3.3</v>
      </c>
      <c r="CI40" s="938">
        <f t="shared" si="120"/>
        <v>0</v>
      </c>
      <c r="CJ40" s="938">
        <f t="shared" si="121"/>
        <v>0</v>
      </c>
      <c r="CK40" s="938">
        <f t="shared" si="122"/>
        <v>38.200000000000003</v>
      </c>
      <c r="CL40" s="938">
        <f t="shared" si="123"/>
        <v>0.1</v>
      </c>
      <c r="CM40" s="938">
        <f t="shared" si="124"/>
        <v>2.74</v>
      </c>
      <c r="CN40" s="938">
        <f t="shared" si="125"/>
        <v>11.1</v>
      </c>
      <c r="CO40" s="938">
        <f t="shared" si="126"/>
        <v>27.1</v>
      </c>
      <c r="CP40" s="938">
        <f t="shared" si="127"/>
        <v>15.32</v>
      </c>
      <c r="CQ40" s="936"/>
      <c r="CR40" s="853"/>
      <c r="CS40" s="895">
        <f t="shared" si="128"/>
        <v>8</v>
      </c>
      <c r="CT40" s="701">
        <f t="shared" si="129"/>
        <v>200</v>
      </c>
      <c r="CU40" s="895">
        <v>0</v>
      </c>
      <c r="CV40" s="938">
        <v>17.350000000000001</v>
      </c>
      <c r="CW40" s="938">
        <f t="shared" si="130"/>
        <v>0</v>
      </c>
      <c r="CX40" s="938">
        <f t="shared" si="131"/>
        <v>0.6</v>
      </c>
      <c r="CY40" s="938">
        <f t="shared" si="132"/>
        <v>1.28</v>
      </c>
      <c r="CZ40" s="938">
        <f t="shared" si="133"/>
        <v>0</v>
      </c>
      <c r="DA40" s="938">
        <f t="shared" si="134"/>
        <v>0</v>
      </c>
      <c r="DB40" s="938">
        <f t="shared" si="135"/>
        <v>0</v>
      </c>
      <c r="DC40" s="938">
        <f t="shared" si="136"/>
        <v>0</v>
      </c>
      <c r="DD40" s="938">
        <f t="shared" si="137"/>
        <v>0</v>
      </c>
      <c r="DE40" s="938">
        <f t="shared" si="138"/>
        <v>0</v>
      </c>
      <c r="DF40" s="938" t="s">
        <v>2192</v>
      </c>
      <c r="DG40" s="938">
        <f t="shared" si="139"/>
        <v>0</v>
      </c>
      <c r="DH40" s="938">
        <f t="shared" si="140"/>
        <v>0</v>
      </c>
      <c r="DI40" s="938">
        <f t="shared" si="141"/>
        <v>0</v>
      </c>
      <c r="DJ40" s="938">
        <f t="shared" si="142"/>
        <v>0</v>
      </c>
      <c r="DK40" s="938">
        <v>3.3</v>
      </c>
      <c r="DL40" s="938">
        <f t="shared" si="143"/>
        <v>0</v>
      </c>
      <c r="DM40" s="938">
        <f t="shared" si="144"/>
        <v>0</v>
      </c>
      <c r="DN40" s="938">
        <f t="shared" si="145"/>
        <v>0</v>
      </c>
      <c r="DO40" s="938">
        <f t="shared" si="146"/>
        <v>0.1</v>
      </c>
      <c r="DP40" s="938">
        <f t="shared" si="147"/>
        <v>0</v>
      </c>
      <c r="DQ40" s="938">
        <f t="shared" si="148"/>
        <v>0</v>
      </c>
      <c r="DR40" s="938">
        <f t="shared" si="149"/>
        <v>0</v>
      </c>
      <c r="DS40" s="938">
        <f t="shared" si="150"/>
        <v>0</v>
      </c>
      <c r="DT40" s="936"/>
      <c r="DU40" s="937" t="str">
        <f t="shared" si="151"/>
        <v>PZ-29</v>
      </c>
      <c r="DV40" s="938">
        <f t="shared" si="152"/>
        <v>1.65</v>
      </c>
      <c r="DW40" s="938">
        <v>1.2</v>
      </c>
      <c r="DX40" s="938">
        <v>1.6</v>
      </c>
      <c r="DY40" s="938">
        <f t="shared" si="153"/>
        <v>-3.3175218421908217</v>
      </c>
      <c r="DZ40" s="938">
        <v>1.6</v>
      </c>
      <c r="EA40" s="938">
        <v>1.6</v>
      </c>
      <c r="EB40" s="938">
        <f t="shared" si="154"/>
        <v>4.2240000000000002</v>
      </c>
      <c r="EC40" s="938">
        <f t="shared" si="155"/>
        <v>0.90647815780917851</v>
      </c>
      <c r="ED40" s="938">
        <f t="shared" si="156"/>
        <v>0.49856298679504824</v>
      </c>
      <c r="EE40" s="938">
        <f t="shared" si="157"/>
        <v>0.40791517101413033</v>
      </c>
      <c r="EF40" s="938">
        <f t="shared" si="158"/>
        <v>0.49856298679504824</v>
      </c>
    </row>
    <row r="41" spans="1:136">
      <c r="A41" s="920" t="s">
        <v>2681</v>
      </c>
      <c r="B41" s="920" t="s">
        <v>2682</v>
      </c>
      <c r="C41" s="1294">
        <v>60.594999999999999</v>
      </c>
      <c r="D41" s="921">
        <v>193.803</v>
      </c>
      <c r="E41" s="921">
        <v>254.398</v>
      </c>
      <c r="F41" s="922">
        <v>1.4999999999999999E-2</v>
      </c>
      <c r="G41" s="923">
        <v>2.65</v>
      </c>
      <c r="H41" s="924">
        <v>2.65E-3</v>
      </c>
      <c r="I41" s="925">
        <v>5.1324366696922412E-2</v>
      </c>
      <c r="J41" s="926">
        <v>5.0999999999999997E-2</v>
      </c>
      <c r="K41" s="927">
        <v>6.0513597630049015E-2</v>
      </c>
      <c r="L41" s="923">
        <v>2.3824251035357071</v>
      </c>
      <c r="M41" s="928">
        <v>8</v>
      </c>
      <c r="N41" s="927">
        <v>0.2</v>
      </c>
      <c r="O41" s="927">
        <v>0.182</v>
      </c>
      <c r="P41" s="923">
        <v>4.9969552210349946E-2</v>
      </c>
      <c r="Q41" s="923">
        <v>1.9207541700438704</v>
      </c>
      <c r="R41" s="923">
        <v>0.05</v>
      </c>
      <c r="S41" s="927">
        <v>0.45300000000000001</v>
      </c>
      <c r="T41" s="929">
        <v>0.182</v>
      </c>
      <c r="U41" s="927">
        <v>0.44900000000000001</v>
      </c>
      <c r="V41" s="930">
        <v>0.87010163902987336</v>
      </c>
      <c r="W41" s="927">
        <v>3.8586996036823244E-2</v>
      </c>
      <c r="X41" s="927">
        <v>2.04295E-2</v>
      </c>
      <c r="Y41" s="927">
        <v>3.3124000000000001E-2</v>
      </c>
      <c r="Z41" s="927">
        <v>7.1710996036823238E-2</v>
      </c>
      <c r="AA41" s="931">
        <v>0.11600000000000001</v>
      </c>
      <c r="AB41" s="923">
        <v>2.1111999999999999E-2</v>
      </c>
      <c r="AC41" s="923">
        <v>10.221083145</v>
      </c>
      <c r="AD41" s="923">
        <v>1.9119247466650255</v>
      </c>
      <c r="AE41" s="932" t="s">
        <v>2197</v>
      </c>
      <c r="AF41" s="927">
        <v>2.9578010457490117E-3</v>
      </c>
      <c r="AG41" s="924">
        <v>2.9578010457490119E-4</v>
      </c>
      <c r="AH41" s="923">
        <v>3.2967032967032965</v>
      </c>
      <c r="AI41" s="927">
        <v>1.855404775697437E-3</v>
      </c>
      <c r="AJ41" s="927">
        <v>2.1511848802723381E-3</v>
      </c>
      <c r="AK41" s="933">
        <v>955.82</v>
      </c>
      <c r="AL41" s="933">
        <v>952.71</v>
      </c>
      <c r="AM41" s="930">
        <v>954.56469800000002</v>
      </c>
      <c r="AN41" s="930">
        <v>951.47435300000006</v>
      </c>
      <c r="AO41" s="934">
        <v>954.36469799999998</v>
      </c>
      <c r="AP41" s="934">
        <v>951.27435300000002</v>
      </c>
      <c r="AQ41" s="923">
        <v>954.39782200000002</v>
      </c>
      <c r="AR41" s="923">
        <v>951.30747700000006</v>
      </c>
      <c r="AS41" s="923">
        <v>954.48546435103174</v>
      </c>
      <c r="AT41" s="923">
        <v>951.39511935103178</v>
      </c>
      <c r="AU41" s="923">
        <v>1.2553020000000288</v>
      </c>
      <c r="AV41" s="923">
        <v>1.2356469999999717</v>
      </c>
      <c r="AW41" s="923">
        <v>1.4553020000000743</v>
      </c>
      <c r="AX41" s="923">
        <v>1.4356470000000172</v>
      </c>
      <c r="AY41" s="923">
        <v>1.999999999998181E-2</v>
      </c>
      <c r="AZ41" s="923" t="s">
        <v>2187</v>
      </c>
      <c r="BA41" s="935" t="s">
        <v>2188</v>
      </c>
      <c r="BB41" s="935" t="s">
        <v>2189</v>
      </c>
      <c r="BC41" s="935" t="s">
        <v>2198</v>
      </c>
      <c r="BD41" s="935" t="s">
        <v>2191</v>
      </c>
      <c r="BE41" s="935" t="s">
        <v>2191</v>
      </c>
      <c r="BF41" s="946"/>
      <c r="BH41" s="937"/>
      <c r="BI41" s="894" t="str">
        <f t="shared" si="96"/>
        <v>PZ-30</v>
      </c>
      <c r="BJ41" s="894" t="str">
        <f t="shared" si="97"/>
        <v>PZ-31</v>
      </c>
      <c r="BK41" s="938">
        <f t="shared" si="98"/>
        <v>60.6</v>
      </c>
      <c r="BL41" s="938">
        <f t="shared" si="99"/>
        <v>59</v>
      </c>
      <c r="BM41" s="895">
        <f t="shared" si="100"/>
        <v>8</v>
      </c>
      <c r="BN41" s="938">
        <f t="shared" si="101"/>
        <v>59.4</v>
      </c>
      <c r="BO41" s="700">
        <f t="shared" si="102"/>
        <v>0.6</v>
      </c>
      <c r="BP41" s="938">
        <f t="shared" si="103"/>
        <v>1.46</v>
      </c>
      <c r="BQ41" s="938">
        <f t="shared" si="104"/>
        <v>1.44</v>
      </c>
      <c r="BR41" s="938">
        <f t="shared" si="105"/>
        <v>1.55</v>
      </c>
      <c r="BS41" s="938">
        <f t="shared" si="106"/>
        <v>54.87</v>
      </c>
      <c r="BT41" s="938">
        <f t="shared" si="107"/>
        <v>91.45</v>
      </c>
      <c r="BU41" s="938">
        <f t="shared" si="108"/>
        <v>0</v>
      </c>
      <c r="BV41" s="938">
        <f t="shared" si="109"/>
        <v>0</v>
      </c>
      <c r="BW41" s="938">
        <f t="shared" si="110"/>
        <v>0</v>
      </c>
      <c r="BX41" s="938">
        <f t="shared" si="111"/>
        <v>43.9</v>
      </c>
      <c r="BY41" s="938">
        <f t="shared" si="112"/>
        <v>9.33</v>
      </c>
      <c r="BZ41" s="938">
        <f t="shared" si="113"/>
        <v>1.65</v>
      </c>
      <c r="CA41" s="938">
        <f t="shared" si="114"/>
        <v>1.91</v>
      </c>
      <c r="CB41" s="938">
        <f t="shared" si="115"/>
        <v>35.4</v>
      </c>
      <c r="CC41" s="938" t="s">
        <v>2192</v>
      </c>
      <c r="CD41" s="938">
        <f t="shared" si="116"/>
        <v>0</v>
      </c>
      <c r="CE41" s="938">
        <f t="shared" si="117"/>
        <v>0</v>
      </c>
      <c r="CF41" s="938">
        <f t="shared" si="118"/>
        <v>0</v>
      </c>
      <c r="CG41" s="938">
        <f t="shared" si="119"/>
        <v>0</v>
      </c>
      <c r="CH41" s="938">
        <v>4.3</v>
      </c>
      <c r="CI41" s="938">
        <f t="shared" si="120"/>
        <v>0</v>
      </c>
      <c r="CJ41" s="938">
        <f t="shared" si="121"/>
        <v>0</v>
      </c>
      <c r="CK41" s="938">
        <f t="shared" si="122"/>
        <v>49.42</v>
      </c>
      <c r="CL41" s="938">
        <f t="shared" si="123"/>
        <v>0.1</v>
      </c>
      <c r="CM41" s="938">
        <f t="shared" si="124"/>
        <v>3.54</v>
      </c>
      <c r="CN41" s="938">
        <f t="shared" si="125"/>
        <v>14.36</v>
      </c>
      <c r="CO41" s="938">
        <f t="shared" si="126"/>
        <v>35.06</v>
      </c>
      <c r="CP41" s="938">
        <f t="shared" si="127"/>
        <v>19.809999999999999</v>
      </c>
      <c r="CQ41" s="936"/>
      <c r="CR41" s="853"/>
      <c r="CS41" s="895">
        <f t="shared" si="128"/>
        <v>8</v>
      </c>
      <c r="CT41" s="701">
        <f t="shared" si="129"/>
        <v>200</v>
      </c>
      <c r="CU41" s="895">
        <v>1</v>
      </c>
      <c r="CV41" s="938">
        <v>17.350000000000001</v>
      </c>
      <c r="CW41" s="938">
        <f t="shared" si="130"/>
        <v>17.350000000000001</v>
      </c>
      <c r="CX41" s="938">
        <f t="shared" si="131"/>
        <v>0.6</v>
      </c>
      <c r="CY41" s="938">
        <f t="shared" si="132"/>
        <v>1.28</v>
      </c>
      <c r="CZ41" s="938">
        <f t="shared" si="133"/>
        <v>13.32</v>
      </c>
      <c r="DA41" s="938">
        <f t="shared" si="134"/>
        <v>0</v>
      </c>
      <c r="DB41" s="938">
        <f t="shared" si="135"/>
        <v>0</v>
      </c>
      <c r="DC41" s="938">
        <f t="shared" si="136"/>
        <v>0</v>
      </c>
      <c r="DD41" s="938">
        <f t="shared" si="137"/>
        <v>0.32</v>
      </c>
      <c r="DE41" s="938">
        <f t="shared" si="138"/>
        <v>10.41</v>
      </c>
      <c r="DF41" s="938" t="s">
        <v>2192</v>
      </c>
      <c r="DG41" s="938">
        <f t="shared" si="139"/>
        <v>0</v>
      </c>
      <c r="DH41" s="938">
        <f t="shared" si="140"/>
        <v>0</v>
      </c>
      <c r="DI41" s="938">
        <f t="shared" si="141"/>
        <v>0</v>
      </c>
      <c r="DJ41" s="938">
        <f t="shared" si="142"/>
        <v>0</v>
      </c>
      <c r="DK41" s="938">
        <v>4.3</v>
      </c>
      <c r="DL41" s="938">
        <f t="shared" si="143"/>
        <v>0</v>
      </c>
      <c r="DM41" s="938">
        <f t="shared" si="144"/>
        <v>0</v>
      </c>
      <c r="DN41" s="938">
        <f t="shared" si="145"/>
        <v>11.96</v>
      </c>
      <c r="DO41" s="938">
        <f t="shared" si="146"/>
        <v>0.1</v>
      </c>
      <c r="DP41" s="938">
        <f t="shared" si="147"/>
        <v>1.0410000000000001</v>
      </c>
      <c r="DQ41" s="938">
        <f t="shared" si="148"/>
        <v>2.39</v>
      </c>
      <c r="DR41" s="938">
        <f t="shared" si="149"/>
        <v>9.57</v>
      </c>
      <c r="DS41" s="938">
        <f t="shared" si="150"/>
        <v>3.43</v>
      </c>
      <c r="DT41" s="936"/>
      <c r="DU41" s="937" t="str">
        <f t="shared" si="151"/>
        <v>PZ-30</v>
      </c>
      <c r="DV41" s="938">
        <f t="shared" si="152"/>
        <v>1.66</v>
      </c>
      <c r="DW41" s="938">
        <v>1.2</v>
      </c>
      <c r="DX41" s="938">
        <v>1.6</v>
      </c>
      <c r="DY41" s="938">
        <f t="shared" si="153"/>
        <v>-3.3376280351737964</v>
      </c>
      <c r="DZ41" s="938">
        <v>1.6</v>
      </c>
      <c r="EA41" s="938">
        <v>1.6</v>
      </c>
      <c r="EB41" s="938">
        <f t="shared" si="154"/>
        <v>4.2496000000000009</v>
      </c>
      <c r="EC41" s="938">
        <f t="shared" si="155"/>
        <v>0.91197196482620457</v>
      </c>
      <c r="ED41" s="938">
        <f t="shared" si="156"/>
        <v>0.50158458065441258</v>
      </c>
      <c r="EE41" s="938">
        <f t="shared" si="157"/>
        <v>0.41038738417179205</v>
      </c>
      <c r="EF41" s="938">
        <f t="shared" si="158"/>
        <v>0.50158458065441258</v>
      </c>
    </row>
    <row r="42" spans="1:136">
      <c r="A42" s="920" t="s">
        <v>2682</v>
      </c>
      <c r="B42" s="920" t="s">
        <v>2683</v>
      </c>
      <c r="C42" s="1294">
        <v>58.292999999999999</v>
      </c>
      <c r="D42" s="921">
        <v>254.398</v>
      </c>
      <c r="E42" s="921">
        <v>312.69099999999997</v>
      </c>
      <c r="F42" s="922">
        <v>1.4999999999999999E-2</v>
      </c>
      <c r="G42" s="923">
        <v>3.46</v>
      </c>
      <c r="H42" s="924">
        <v>3.46E-3</v>
      </c>
      <c r="I42" s="925">
        <v>7.050589264577245E-2</v>
      </c>
      <c r="J42" s="926">
        <v>7.0000000000000007E-2</v>
      </c>
      <c r="K42" s="927">
        <v>6.3023545719846377E-2</v>
      </c>
      <c r="L42" s="923">
        <v>2.4812419574643418</v>
      </c>
      <c r="M42" s="928">
        <v>8</v>
      </c>
      <c r="N42" s="927">
        <v>0.2</v>
      </c>
      <c r="O42" s="927">
        <v>0.182</v>
      </c>
      <c r="P42" s="923">
        <v>5.8542247250019344E-2</v>
      </c>
      <c r="Q42" s="923">
        <v>2.2502756289643862</v>
      </c>
      <c r="R42" s="923">
        <v>0.06</v>
      </c>
      <c r="S42" s="927">
        <v>0.47299999999999998</v>
      </c>
      <c r="T42" s="929">
        <v>0.19600000000000001</v>
      </c>
      <c r="U42" s="927">
        <v>0.48099999999999998</v>
      </c>
      <c r="V42" s="930">
        <v>1.0643803725001546</v>
      </c>
      <c r="W42" s="927">
        <v>5.7742384167358198E-2</v>
      </c>
      <c r="X42" s="927">
        <v>2.1885499999999999E-2</v>
      </c>
      <c r="Y42" s="927">
        <v>3.5672000000000002E-2</v>
      </c>
      <c r="Z42" s="927">
        <v>9.34143841673582E-2</v>
      </c>
      <c r="AA42" s="931">
        <v>0.128</v>
      </c>
      <c r="AB42" s="923">
        <v>2.3296000000000001E-2</v>
      </c>
      <c r="AC42" s="923">
        <v>15.028772849999999</v>
      </c>
      <c r="AD42" s="923">
        <v>2.2264947474723185</v>
      </c>
      <c r="AE42" s="932" t="s">
        <v>2197</v>
      </c>
      <c r="AF42" s="927">
        <v>1.9155388130534953E-2</v>
      </c>
      <c r="AG42" s="924">
        <v>1.9155388130534955E-3</v>
      </c>
      <c r="AH42" s="923">
        <v>3.2967032967032965</v>
      </c>
      <c r="AI42" s="927">
        <v>2.4082345051045363E-3</v>
      </c>
      <c r="AJ42" s="927">
        <v>4.3237733181580315E-3</v>
      </c>
      <c r="AK42" s="933">
        <v>952.71</v>
      </c>
      <c r="AL42" s="933">
        <v>948.6</v>
      </c>
      <c r="AM42" s="930">
        <v>951.45435300000008</v>
      </c>
      <c r="AN42" s="930">
        <v>947.37384300000008</v>
      </c>
      <c r="AO42" s="934">
        <v>951.25435300000004</v>
      </c>
      <c r="AP42" s="934">
        <v>947.17384300000003</v>
      </c>
      <c r="AQ42" s="923">
        <v>951.29002500000001</v>
      </c>
      <c r="AR42" s="923">
        <v>947.20951500000001</v>
      </c>
      <c r="AS42" s="923">
        <v>951.39296816615149</v>
      </c>
      <c r="AT42" s="923">
        <v>947.31245816615149</v>
      </c>
      <c r="AU42" s="923">
        <v>1.2556469999999536</v>
      </c>
      <c r="AV42" s="923">
        <v>1.2261569999999438</v>
      </c>
      <c r="AW42" s="923">
        <v>1.455646999999999</v>
      </c>
      <c r="AX42" s="923">
        <v>1.4261569999999892</v>
      </c>
      <c r="AY42" s="923">
        <v>1.999999999998181E-2</v>
      </c>
      <c r="AZ42" s="923" t="s">
        <v>2187</v>
      </c>
      <c r="BA42" s="935" t="s">
        <v>2188</v>
      </c>
      <c r="BB42" s="935" t="s">
        <v>2189</v>
      </c>
      <c r="BC42" s="935" t="s">
        <v>2198</v>
      </c>
      <c r="BD42" s="935" t="s">
        <v>2191</v>
      </c>
      <c r="BE42" s="935" t="s">
        <v>2191</v>
      </c>
      <c r="BF42" s="935"/>
      <c r="BH42" s="937"/>
      <c r="BI42" s="894" t="str">
        <f t="shared" si="96"/>
        <v>PZ-31</v>
      </c>
      <c r="BJ42" s="894" t="str">
        <f t="shared" si="97"/>
        <v>PZ-32</v>
      </c>
      <c r="BK42" s="938">
        <f t="shared" si="98"/>
        <v>58.29</v>
      </c>
      <c r="BL42" s="938">
        <f t="shared" si="99"/>
        <v>56.69</v>
      </c>
      <c r="BM42" s="895">
        <f t="shared" si="100"/>
        <v>8</v>
      </c>
      <c r="BN42" s="938">
        <f t="shared" si="101"/>
        <v>57.09</v>
      </c>
      <c r="BO42" s="700">
        <f t="shared" si="102"/>
        <v>0.6</v>
      </c>
      <c r="BP42" s="938">
        <f t="shared" si="103"/>
        <v>1.46</v>
      </c>
      <c r="BQ42" s="938">
        <f t="shared" si="104"/>
        <v>1.43</v>
      </c>
      <c r="BR42" s="938">
        <f t="shared" si="105"/>
        <v>1.55</v>
      </c>
      <c r="BS42" s="938">
        <f t="shared" si="106"/>
        <v>52.72</v>
      </c>
      <c r="BT42" s="938">
        <f t="shared" si="107"/>
        <v>87.869500000000002</v>
      </c>
      <c r="BU42" s="938">
        <f t="shared" si="108"/>
        <v>0</v>
      </c>
      <c r="BV42" s="938">
        <f t="shared" si="109"/>
        <v>0</v>
      </c>
      <c r="BW42" s="938">
        <f t="shared" si="110"/>
        <v>0</v>
      </c>
      <c r="BX42" s="938">
        <f t="shared" si="111"/>
        <v>42.18</v>
      </c>
      <c r="BY42" s="938">
        <f t="shared" si="112"/>
        <v>8.9600000000000009</v>
      </c>
      <c r="BZ42" s="938">
        <f t="shared" si="113"/>
        <v>1.58</v>
      </c>
      <c r="CA42" s="938">
        <f t="shared" si="114"/>
        <v>1.84</v>
      </c>
      <c r="CB42" s="938">
        <f t="shared" si="115"/>
        <v>34.01</v>
      </c>
      <c r="CC42" s="938" t="s">
        <v>2192</v>
      </c>
      <c r="CD42" s="938">
        <f t="shared" si="116"/>
        <v>0</v>
      </c>
      <c r="CE42" s="938">
        <f t="shared" si="117"/>
        <v>0</v>
      </c>
      <c r="CF42" s="938">
        <f t="shared" si="118"/>
        <v>0</v>
      </c>
      <c r="CG42" s="938">
        <f t="shared" si="119"/>
        <v>0</v>
      </c>
      <c r="CH42" s="938">
        <v>5.3</v>
      </c>
      <c r="CI42" s="938">
        <f t="shared" si="120"/>
        <v>0</v>
      </c>
      <c r="CJ42" s="938">
        <f t="shared" si="121"/>
        <v>0</v>
      </c>
      <c r="CK42" s="938">
        <f t="shared" si="122"/>
        <v>47.48</v>
      </c>
      <c r="CL42" s="938">
        <f t="shared" si="123"/>
        <v>0.1</v>
      </c>
      <c r="CM42" s="938">
        <f t="shared" si="124"/>
        <v>3.4</v>
      </c>
      <c r="CN42" s="938">
        <f t="shared" si="125"/>
        <v>13.79</v>
      </c>
      <c r="CO42" s="938">
        <f t="shared" si="126"/>
        <v>33.69</v>
      </c>
      <c r="CP42" s="938">
        <f t="shared" si="127"/>
        <v>19.03</v>
      </c>
      <c r="CQ42" s="936"/>
      <c r="CR42" s="853"/>
      <c r="CS42" s="895">
        <f t="shared" si="128"/>
        <v>8</v>
      </c>
      <c r="CT42" s="701">
        <f t="shared" si="129"/>
        <v>200</v>
      </c>
      <c r="CU42" s="895">
        <v>0</v>
      </c>
      <c r="CV42" s="938">
        <v>17.350000000000001</v>
      </c>
      <c r="CW42" s="938">
        <f t="shared" si="130"/>
        <v>0</v>
      </c>
      <c r="CX42" s="938">
        <f t="shared" si="131"/>
        <v>0.6</v>
      </c>
      <c r="CY42" s="938">
        <f t="shared" si="132"/>
        <v>1.28</v>
      </c>
      <c r="CZ42" s="938">
        <f t="shared" si="133"/>
        <v>0</v>
      </c>
      <c r="DA42" s="938">
        <f t="shared" si="134"/>
        <v>0</v>
      </c>
      <c r="DB42" s="938">
        <f t="shared" si="135"/>
        <v>0</v>
      </c>
      <c r="DC42" s="938">
        <f t="shared" si="136"/>
        <v>0</v>
      </c>
      <c r="DD42" s="938">
        <f t="shared" si="137"/>
        <v>0</v>
      </c>
      <c r="DE42" s="938">
        <f t="shared" si="138"/>
        <v>0</v>
      </c>
      <c r="DF42" s="938" t="s">
        <v>2192</v>
      </c>
      <c r="DG42" s="938">
        <f t="shared" si="139"/>
        <v>0</v>
      </c>
      <c r="DH42" s="938">
        <f t="shared" si="140"/>
        <v>0</v>
      </c>
      <c r="DI42" s="938">
        <f t="shared" si="141"/>
        <v>0</v>
      </c>
      <c r="DJ42" s="938">
        <f t="shared" si="142"/>
        <v>0</v>
      </c>
      <c r="DK42" s="938">
        <v>5.3</v>
      </c>
      <c r="DL42" s="938">
        <f t="shared" si="143"/>
        <v>0</v>
      </c>
      <c r="DM42" s="938">
        <f t="shared" si="144"/>
        <v>0</v>
      </c>
      <c r="DN42" s="938">
        <f t="shared" si="145"/>
        <v>0</v>
      </c>
      <c r="DO42" s="938">
        <f t="shared" si="146"/>
        <v>0.1</v>
      </c>
      <c r="DP42" s="938">
        <f t="shared" si="147"/>
        <v>0</v>
      </c>
      <c r="DQ42" s="938">
        <f t="shared" si="148"/>
        <v>0</v>
      </c>
      <c r="DR42" s="938">
        <f t="shared" si="149"/>
        <v>0</v>
      </c>
      <c r="DS42" s="938">
        <f t="shared" si="150"/>
        <v>0</v>
      </c>
      <c r="DT42" s="936"/>
      <c r="DU42" s="937" t="str">
        <f t="shared" si="151"/>
        <v>PZ-31</v>
      </c>
      <c r="DV42" s="938">
        <f t="shared" si="152"/>
        <v>1.66</v>
      </c>
      <c r="DW42" s="938">
        <v>1.2</v>
      </c>
      <c r="DX42" s="938">
        <v>1.6</v>
      </c>
      <c r="DY42" s="938">
        <f t="shared" si="153"/>
        <v>-3.3376280351737964</v>
      </c>
      <c r="DZ42" s="938">
        <v>1.6</v>
      </c>
      <c r="EA42" s="938">
        <v>1.6</v>
      </c>
      <c r="EB42" s="938">
        <f t="shared" si="154"/>
        <v>4.2496000000000009</v>
      </c>
      <c r="EC42" s="938">
        <f t="shared" si="155"/>
        <v>0.91197196482620457</v>
      </c>
      <c r="ED42" s="938">
        <f t="shared" si="156"/>
        <v>0.50158458065441258</v>
      </c>
      <c r="EE42" s="938">
        <f t="shared" si="157"/>
        <v>0.41038738417179205</v>
      </c>
      <c r="EF42" s="938">
        <f t="shared" si="158"/>
        <v>0.50158458065441258</v>
      </c>
    </row>
    <row r="43" spans="1:136">
      <c r="A43" s="920" t="s">
        <v>2683</v>
      </c>
      <c r="B43" s="920" t="s">
        <v>2684</v>
      </c>
      <c r="C43" s="1294">
        <v>61.481999999999999</v>
      </c>
      <c r="D43" s="921">
        <v>312.69099999999997</v>
      </c>
      <c r="E43" s="921">
        <v>374.173</v>
      </c>
      <c r="F43" s="922">
        <v>1.4999999999999999E-2</v>
      </c>
      <c r="G43" s="923">
        <v>4.0599999999999996</v>
      </c>
      <c r="H43" s="924">
        <v>4.0599999999999994E-3</v>
      </c>
      <c r="I43" s="925">
        <v>6.1644058423604917E-2</v>
      </c>
      <c r="J43" s="926">
        <v>6.0999999999999999E-2</v>
      </c>
      <c r="K43" s="927">
        <v>6.8667794222877401E-2</v>
      </c>
      <c r="L43" s="923">
        <v>2.7034564654568003</v>
      </c>
      <c r="M43" s="928">
        <v>8</v>
      </c>
      <c r="N43" s="927">
        <v>0.2</v>
      </c>
      <c r="O43" s="927">
        <v>0.182</v>
      </c>
      <c r="P43" s="923">
        <v>5.4649386024263308E-2</v>
      </c>
      <c r="Q43" s="923">
        <v>2.1006399187763676</v>
      </c>
      <c r="R43" s="923">
        <v>7.0000000000000007E-2</v>
      </c>
      <c r="S43" s="927">
        <v>0.49199999999999999</v>
      </c>
      <c r="T43" s="929">
        <v>0.21</v>
      </c>
      <c r="U43" s="927">
        <v>0.51</v>
      </c>
      <c r="V43" s="930">
        <v>1.0335148400379728</v>
      </c>
      <c r="W43" s="927">
        <v>5.444204508556149E-2</v>
      </c>
      <c r="X43" s="927">
        <v>2.3205E-2</v>
      </c>
      <c r="Y43" s="927">
        <v>3.8219999999999997E-2</v>
      </c>
      <c r="Z43" s="927">
        <v>9.2662045085561487E-2</v>
      </c>
      <c r="AA43" s="931">
        <v>0.14000000000000001</v>
      </c>
      <c r="AB43" s="923">
        <v>2.5480000000000003E-2</v>
      </c>
      <c r="AC43" s="923">
        <v>13.88610405</v>
      </c>
      <c r="AD43" s="923">
        <v>2.0672000243764286</v>
      </c>
      <c r="AE43" s="932" t="s">
        <v>2197</v>
      </c>
      <c r="AF43" s="927">
        <v>-3.3003390817967077E-3</v>
      </c>
      <c r="AG43" s="924">
        <v>6.6006781635934153E-4</v>
      </c>
      <c r="AH43" s="923">
        <v>3.2967032967032965</v>
      </c>
      <c r="AI43" s="927">
        <v>2.8046107313229925E-3</v>
      </c>
      <c r="AJ43" s="927">
        <v>3.4646785476823341E-3</v>
      </c>
      <c r="AK43" s="933">
        <v>948.6</v>
      </c>
      <c r="AL43" s="933">
        <v>944.81</v>
      </c>
      <c r="AM43" s="930">
        <v>947.3538430000001</v>
      </c>
      <c r="AN43" s="930">
        <v>943.60344100000009</v>
      </c>
      <c r="AO43" s="934">
        <v>947.15384300000005</v>
      </c>
      <c r="AP43" s="934">
        <v>943.40344100000004</v>
      </c>
      <c r="AQ43" s="923">
        <v>947.19206300000008</v>
      </c>
      <c r="AR43" s="923">
        <v>943.44166100000007</v>
      </c>
      <c r="AS43" s="923">
        <v>947.30813439283338</v>
      </c>
      <c r="AT43" s="923">
        <v>943.55773239283337</v>
      </c>
      <c r="AU43" s="923">
        <v>1.2461569999999256</v>
      </c>
      <c r="AV43" s="923">
        <v>1.2065589999998565</v>
      </c>
      <c r="AW43" s="923">
        <v>1.446156999999971</v>
      </c>
      <c r="AX43" s="923">
        <v>1.406558999999902</v>
      </c>
      <c r="AY43" s="923">
        <v>1.999999999998181E-2</v>
      </c>
      <c r="AZ43" s="923" t="s">
        <v>2187</v>
      </c>
      <c r="BA43" s="935" t="s">
        <v>2188</v>
      </c>
      <c r="BB43" s="935" t="s">
        <v>2189</v>
      </c>
      <c r="BC43" s="935" t="s">
        <v>2198</v>
      </c>
      <c r="BD43" s="935" t="s">
        <v>2191</v>
      </c>
      <c r="BE43" s="935" t="s">
        <v>2191</v>
      </c>
      <c r="BF43" s="946"/>
      <c r="BH43" s="937"/>
      <c r="BI43" s="894" t="str">
        <f t="shared" si="96"/>
        <v>PZ-32</v>
      </c>
      <c r="BJ43" s="894" t="str">
        <f t="shared" si="97"/>
        <v>PZ-33</v>
      </c>
      <c r="BK43" s="938">
        <f t="shared" si="98"/>
        <v>61.48</v>
      </c>
      <c r="BL43" s="938">
        <f t="shared" si="99"/>
        <v>59.88</v>
      </c>
      <c r="BM43" s="895">
        <f t="shared" si="100"/>
        <v>8</v>
      </c>
      <c r="BN43" s="938">
        <f t="shared" si="101"/>
        <v>60.28</v>
      </c>
      <c r="BO43" s="700">
        <f t="shared" si="102"/>
        <v>0.6</v>
      </c>
      <c r="BP43" s="938">
        <f t="shared" si="103"/>
        <v>1.45</v>
      </c>
      <c r="BQ43" s="938">
        <f t="shared" si="104"/>
        <v>1.41</v>
      </c>
      <c r="BR43" s="938">
        <f t="shared" si="105"/>
        <v>1.53</v>
      </c>
      <c r="BS43" s="938">
        <f t="shared" si="106"/>
        <v>54.97</v>
      </c>
      <c r="BT43" s="938">
        <f t="shared" si="107"/>
        <v>91.616399999999999</v>
      </c>
      <c r="BU43" s="938">
        <f t="shared" si="108"/>
        <v>0</v>
      </c>
      <c r="BV43" s="938">
        <f t="shared" si="109"/>
        <v>0</v>
      </c>
      <c r="BW43" s="938">
        <f t="shared" si="110"/>
        <v>0</v>
      </c>
      <c r="BX43" s="938">
        <f t="shared" si="111"/>
        <v>43.98</v>
      </c>
      <c r="BY43" s="938">
        <f t="shared" si="112"/>
        <v>9.34</v>
      </c>
      <c r="BZ43" s="938">
        <f t="shared" si="113"/>
        <v>1.65</v>
      </c>
      <c r="CA43" s="938">
        <f t="shared" si="114"/>
        <v>1.94</v>
      </c>
      <c r="CB43" s="938">
        <f t="shared" si="115"/>
        <v>35.93</v>
      </c>
      <c r="CC43" s="938" t="s">
        <v>2192</v>
      </c>
      <c r="CD43" s="938">
        <f t="shared" si="116"/>
        <v>0</v>
      </c>
      <c r="CE43" s="938">
        <f t="shared" si="117"/>
        <v>0</v>
      </c>
      <c r="CF43" s="938">
        <f t="shared" si="118"/>
        <v>0</v>
      </c>
      <c r="CG43" s="938">
        <f t="shared" si="119"/>
        <v>0</v>
      </c>
      <c r="CH43" s="938">
        <v>6.3</v>
      </c>
      <c r="CI43" s="938">
        <f t="shared" si="120"/>
        <v>0</v>
      </c>
      <c r="CJ43" s="938">
        <f t="shared" si="121"/>
        <v>0</v>
      </c>
      <c r="CK43" s="938">
        <f t="shared" si="122"/>
        <v>49.44</v>
      </c>
      <c r="CL43" s="938">
        <f t="shared" si="123"/>
        <v>0.1</v>
      </c>
      <c r="CM43" s="938">
        <f t="shared" si="124"/>
        <v>3.59</v>
      </c>
      <c r="CN43" s="938">
        <f t="shared" si="125"/>
        <v>14.36</v>
      </c>
      <c r="CO43" s="938">
        <f t="shared" si="126"/>
        <v>35.08</v>
      </c>
      <c r="CP43" s="938">
        <f t="shared" si="127"/>
        <v>19.89</v>
      </c>
      <c r="CQ43" s="936"/>
      <c r="CR43" s="853"/>
      <c r="CS43" s="895">
        <f t="shared" si="128"/>
        <v>8</v>
      </c>
      <c r="CT43" s="701">
        <f t="shared" si="129"/>
        <v>200</v>
      </c>
      <c r="CU43" s="895">
        <v>2</v>
      </c>
      <c r="CV43" s="938">
        <v>17.350000000000001</v>
      </c>
      <c r="CW43" s="938">
        <f t="shared" si="130"/>
        <v>34.700000000000003</v>
      </c>
      <c r="CX43" s="938">
        <f t="shared" si="131"/>
        <v>0.6</v>
      </c>
      <c r="CY43" s="938">
        <f t="shared" si="132"/>
        <v>1.27</v>
      </c>
      <c r="CZ43" s="938">
        <f t="shared" si="133"/>
        <v>26.44</v>
      </c>
      <c r="DA43" s="938">
        <f t="shared" si="134"/>
        <v>0</v>
      </c>
      <c r="DB43" s="938">
        <f t="shared" si="135"/>
        <v>0</v>
      </c>
      <c r="DC43" s="938">
        <f t="shared" si="136"/>
        <v>0</v>
      </c>
      <c r="DD43" s="938">
        <f t="shared" si="137"/>
        <v>0.63</v>
      </c>
      <c r="DE43" s="938">
        <f t="shared" si="138"/>
        <v>20.82</v>
      </c>
      <c r="DF43" s="938" t="s">
        <v>2192</v>
      </c>
      <c r="DG43" s="938">
        <f t="shared" si="139"/>
        <v>0</v>
      </c>
      <c r="DH43" s="938">
        <f t="shared" si="140"/>
        <v>0</v>
      </c>
      <c r="DI43" s="938">
        <f t="shared" si="141"/>
        <v>0</v>
      </c>
      <c r="DJ43" s="938">
        <f t="shared" si="142"/>
        <v>0</v>
      </c>
      <c r="DK43" s="938">
        <v>6.3</v>
      </c>
      <c r="DL43" s="938">
        <f t="shared" si="143"/>
        <v>0</v>
      </c>
      <c r="DM43" s="938">
        <f t="shared" si="144"/>
        <v>0</v>
      </c>
      <c r="DN43" s="938">
        <f t="shared" si="145"/>
        <v>23.73</v>
      </c>
      <c r="DO43" s="938">
        <f t="shared" si="146"/>
        <v>0.1</v>
      </c>
      <c r="DP43" s="938">
        <f t="shared" si="147"/>
        <v>2.0820000000000003</v>
      </c>
      <c r="DQ43" s="938">
        <f t="shared" si="148"/>
        <v>4.75</v>
      </c>
      <c r="DR43" s="938">
        <f t="shared" si="149"/>
        <v>18.98</v>
      </c>
      <c r="DS43" s="938">
        <f t="shared" si="150"/>
        <v>6.83</v>
      </c>
      <c r="DT43" s="936"/>
      <c r="DU43" s="937" t="str">
        <f t="shared" si="151"/>
        <v>PZ-32</v>
      </c>
      <c r="DV43" s="938">
        <f t="shared" si="152"/>
        <v>1.65</v>
      </c>
      <c r="DW43" s="938">
        <v>1.2</v>
      </c>
      <c r="DX43" s="938">
        <v>1.6</v>
      </c>
      <c r="DY43" s="938">
        <f t="shared" si="153"/>
        <v>-3.3175218421908217</v>
      </c>
      <c r="DZ43" s="938">
        <v>1.6</v>
      </c>
      <c r="EA43" s="938">
        <v>1.6</v>
      </c>
      <c r="EB43" s="938">
        <f t="shared" si="154"/>
        <v>4.2240000000000002</v>
      </c>
      <c r="EC43" s="938">
        <f t="shared" si="155"/>
        <v>0.90647815780917851</v>
      </c>
      <c r="ED43" s="938">
        <f t="shared" si="156"/>
        <v>0.49856298679504824</v>
      </c>
      <c r="EE43" s="938">
        <f t="shared" si="157"/>
        <v>0.40791517101413033</v>
      </c>
      <c r="EF43" s="938">
        <f t="shared" si="158"/>
        <v>0.49856298679504824</v>
      </c>
    </row>
    <row r="44" spans="1:136">
      <c r="A44" s="920" t="s">
        <v>2684</v>
      </c>
      <c r="B44" s="920" t="s">
        <v>2685</v>
      </c>
      <c r="C44" s="1294">
        <v>90.84</v>
      </c>
      <c r="D44" s="921">
        <v>374.173</v>
      </c>
      <c r="E44" s="921">
        <v>465.01300000000003</v>
      </c>
      <c r="F44" s="922">
        <v>1.4999999999999999E-2</v>
      </c>
      <c r="G44" s="923">
        <v>4.71</v>
      </c>
      <c r="H44" s="924">
        <v>4.7099999999999998E-3</v>
      </c>
      <c r="I44" s="925">
        <v>4.5574636723910017E-2</v>
      </c>
      <c r="J44" s="926">
        <v>4.5999999999999999E-2</v>
      </c>
      <c r="K44" s="927">
        <v>7.6545722252972626E-2</v>
      </c>
      <c r="L44" s="923">
        <v>3.013611112309702</v>
      </c>
      <c r="M44" s="928">
        <v>8</v>
      </c>
      <c r="N44" s="927">
        <v>0.2</v>
      </c>
      <c r="O44" s="927">
        <v>0.182</v>
      </c>
      <c r="P44" s="923">
        <v>4.74568912355188E-2</v>
      </c>
      <c r="Q44" s="923">
        <v>1.8241712744238094</v>
      </c>
      <c r="R44" s="923">
        <v>0.1</v>
      </c>
      <c r="S44" s="927">
        <v>0.54</v>
      </c>
      <c r="T44" s="929">
        <v>0.248</v>
      </c>
      <c r="U44" s="927">
        <v>0.58599999999999997</v>
      </c>
      <c r="V44" s="930">
        <v>0.98505248818885716</v>
      </c>
      <c r="W44" s="927">
        <v>4.9456085855609511E-2</v>
      </c>
      <c r="X44" s="927">
        <v>2.6662999999999999E-2</v>
      </c>
      <c r="Y44" s="927">
        <v>4.5135999999999996E-2</v>
      </c>
      <c r="Z44" s="927">
        <v>9.4592085855609506E-2</v>
      </c>
      <c r="AA44" s="931">
        <v>0.17</v>
      </c>
      <c r="AB44" s="923">
        <v>3.0940000000000002E-2</v>
      </c>
      <c r="AC44" s="923">
        <v>12.03194538</v>
      </c>
      <c r="AD44" s="923">
        <v>1.7879884703878228</v>
      </c>
      <c r="AE44" s="932" t="s">
        <v>2197</v>
      </c>
      <c r="AF44" s="927">
        <v>-4.9859592299519792E-3</v>
      </c>
      <c r="AG44" s="924">
        <v>9.9719184599039593E-4</v>
      </c>
      <c r="AH44" s="923">
        <v>3.2967032967032965</v>
      </c>
      <c r="AI44" s="927">
        <v>2.5974532735292752E-3</v>
      </c>
      <c r="AJ44" s="927">
        <v>3.5946451195196711E-3</v>
      </c>
      <c r="AK44" s="933">
        <v>944.81</v>
      </c>
      <c r="AL44" s="933">
        <v>940.67</v>
      </c>
      <c r="AM44" s="930">
        <v>943.58344100000011</v>
      </c>
      <c r="AN44" s="930">
        <v>939.40480100000013</v>
      </c>
      <c r="AO44" s="934">
        <v>943.38344100000006</v>
      </c>
      <c r="AP44" s="934">
        <v>939.20480100000009</v>
      </c>
      <c r="AQ44" s="923">
        <v>943.42857700000002</v>
      </c>
      <c r="AR44" s="923">
        <v>939.24993700000005</v>
      </c>
      <c r="AS44" s="923">
        <v>943.55426771428574</v>
      </c>
      <c r="AT44" s="923">
        <v>939.37562771428577</v>
      </c>
      <c r="AU44" s="923">
        <v>1.2265589999998383</v>
      </c>
      <c r="AV44" s="923">
        <v>1.265198999999825</v>
      </c>
      <c r="AW44" s="923">
        <v>1.4265589999998838</v>
      </c>
      <c r="AX44" s="923">
        <v>1.4651989999998705</v>
      </c>
      <c r="AY44" s="923">
        <v>1.999999999998181E-2</v>
      </c>
      <c r="AZ44" s="923" t="s">
        <v>2187</v>
      </c>
      <c r="BA44" s="935" t="s">
        <v>2188</v>
      </c>
      <c r="BB44" s="935" t="s">
        <v>2189</v>
      </c>
      <c r="BC44" s="935" t="s">
        <v>2198</v>
      </c>
      <c r="BD44" s="935" t="s">
        <v>2191</v>
      </c>
      <c r="BE44" s="935" t="s">
        <v>2191</v>
      </c>
      <c r="BF44" s="946"/>
      <c r="BH44" s="937"/>
      <c r="BI44" s="894" t="str">
        <f t="shared" si="96"/>
        <v>PZ-33</v>
      </c>
      <c r="BJ44" s="894" t="str">
        <f t="shared" si="97"/>
        <v>PZ-34</v>
      </c>
      <c r="BK44" s="938">
        <f t="shared" si="98"/>
        <v>90.84</v>
      </c>
      <c r="BL44" s="938">
        <f t="shared" si="99"/>
        <v>89.24</v>
      </c>
      <c r="BM44" s="895">
        <f t="shared" si="100"/>
        <v>8</v>
      </c>
      <c r="BN44" s="938">
        <f t="shared" si="101"/>
        <v>89.64</v>
      </c>
      <c r="BO44" s="700">
        <f t="shared" si="102"/>
        <v>0.6</v>
      </c>
      <c r="BP44" s="938">
        <f t="shared" si="103"/>
        <v>1.43</v>
      </c>
      <c r="BQ44" s="938">
        <f t="shared" si="104"/>
        <v>1.47</v>
      </c>
      <c r="BR44" s="938">
        <f t="shared" si="105"/>
        <v>1.55</v>
      </c>
      <c r="BS44" s="938">
        <f t="shared" si="106"/>
        <v>82.99</v>
      </c>
      <c r="BT44" s="938">
        <f t="shared" si="107"/>
        <v>138.322</v>
      </c>
      <c r="BU44" s="938">
        <f t="shared" si="108"/>
        <v>0</v>
      </c>
      <c r="BV44" s="938">
        <f t="shared" si="109"/>
        <v>0</v>
      </c>
      <c r="BW44" s="938">
        <f t="shared" si="110"/>
        <v>0</v>
      </c>
      <c r="BX44" s="938">
        <f t="shared" si="111"/>
        <v>66.39</v>
      </c>
      <c r="BY44" s="938">
        <f t="shared" si="112"/>
        <v>14.11</v>
      </c>
      <c r="BZ44" s="938">
        <f t="shared" si="113"/>
        <v>2.4900000000000002</v>
      </c>
      <c r="CA44" s="938">
        <f t="shared" si="114"/>
        <v>2.89</v>
      </c>
      <c r="CB44" s="938">
        <f t="shared" si="115"/>
        <v>53.54</v>
      </c>
      <c r="CC44" s="938" t="s">
        <v>2192</v>
      </c>
      <c r="CD44" s="938">
        <f t="shared" si="116"/>
        <v>0</v>
      </c>
      <c r="CE44" s="938">
        <f t="shared" si="117"/>
        <v>0</v>
      </c>
      <c r="CF44" s="938">
        <f t="shared" si="118"/>
        <v>0</v>
      </c>
      <c r="CG44" s="938">
        <f t="shared" si="119"/>
        <v>0</v>
      </c>
      <c r="CH44" s="938">
        <v>7.3</v>
      </c>
      <c r="CI44" s="938">
        <f t="shared" si="120"/>
        <v>0</v>
      </c>
      <c r="CJ44" s="938">
        <f t="shared" si="121"/>
        <v>0</v>
      </c>
      <c r="CK44" s="938">
        <f t="shared" si="122"/>
        <v>74.75</v>
      </c>
      <c r="CL44" s="938">
        <f t="shared" si="123"/>
        <v>0.1</v>
      </c>
      <c r="CM44" s="938">
        <f t="shared" si="124"/>
        <v>5.35</v>
      </c>
      <c r="CN44" s="938">
        <f t="shared" si="125"/>
        <v>21.71</v>
      </c>
      <c r="CO44" s="938">
        <f t="shared" si="126"/>
        <v>53.04</v>
      </c>
      <c r="CP44" s="938">
        <f t="shared" si="127"/>
        <v>29.95</v>
      </c>
      <c r="CQ44" s="936"/>
      <c r="CR44" s="853"/>
      <c r="CS44" s="895">
        <f t="shared" si="128"/>
        <v>8</v>
      </c>
      <c r="CT44" s="701">
        <f t="shared" si="129"/>
        <v>200</v>
      </c>
      <c r="CU44" s="895">
        <v>4</v>
      </c>
      <c r="CV44" s="938">
        <v>17.350000000000001</v>
      </c>
      <c r="CW44" s="938">
        <f t="shared" si="130"/>
        <v>69.400000000000006</v>
      </c>
      <c r="CX44" s="938">
        <f t="shared" si="131"/>
        <v>0.6</v>
      </c>
      <c r="CY44" s="938">
        <f t="shared" si="132"/>
        <v>1.28</v>
      </c>
      <c r="CZ44" s="938">
        <f t="shared" si="133"/>
        <v>53.3</v>
      </c>
      <c r="DA44" s="938">
        <f t="shared" si="134"/>
        <v>0</v>
      </c>
      <c r="DB44" s="938">
        <f t="shared" si="135"/>
        <v>0</v>
      </c>
      <c r="DC44" s="938">
        <f t="shared" si="136"/>
        <v>0</v>
      </c>
      <c r="DD44" s="938">
        <f t="shared" si="137"/>
        <v>1.27</v>
      </c>
      <c r="DE44" s="938">
        <f t="shared" si="138"/>
        <v>41.64</v>
      </c>
      <c r="DF44" s="938" t="s">
        <v>2192</v>
      </c>
      <c r="DG44" s="938">
        <f t="shared" si="139"/>
        <v>0</v>
      </c>
      <c r="DH44" s="938">
        <f t="shared" si="140"/>
        <v>0</v>
      </c>
      <c r="DI44" s="938">
        <f t="shared" si="141"/>
        <v>0</v>
      </c>
      <c r="DJ44" s="938">
        <f t="shared" si="142"/>
        <v>0</v>
      </c>
      <c r="DK44" s="938">
        <v>7.3</v>
      </c>
      <c r="DL44" s="938">
        <f t="shared" si="143"/>
        <v>0</v>
      </c>
      <c r="DM44" s="938">
        <f t="shared" si="144"/>
        <v>0</v>
      </c>
      <c r="DN44" s="938">
        <f t="shared" si="145"/>
        <v>47.87</v>
      </c>
      <c r="DO44" s="938">
        <f t="shared" si="146"/>
        <v>0.1</v>
      </c>
      <c r="DP44" s="938">
        <f t="shared" si="147"/>
        <v>4.1640000000000006</v>
      </c>
      <c r="DQ44" s="938">
        <f t="shared" si="148"/>
        <v>9.57</v>
      </c>
      <c r="DR44" s="938">
        <f t="shared" si="149"/>
        <v>38.299999999999997</v>
      </c>
      <c r="DS44" s="938">
        <f t="shared" si="150"/>
        <v>13.73</v>
      </c>
      <c r="DT44" s="936"/>
      <c r="DU44" s="937" t="str">
        <f t="shared" si="151"/>
        <v>PZ-33</v>
      </c>
      <c r="DV44" s="938">
        <f t="shared" si="152"/>
        <v>1.63</v>
      </c>
      <c r="DW44" s="938">
        <v>1.2</v>
      </c>
      <c r="DX44" s="938">
        <v>1.6</v>
      </c>
      <c r="DY44" s="938">
        <f t="shared" si="153"/>
        <v>-3.2773094562248724</v>
      </c>
      <c r="DZ44" s="938">
        <v>1.6</v>
      </c>
      <c r="EA44" s="938">
        <v>1.6</v>
      </c>
      <c r="EB44" s="938">
        <f t="shared" si="154"/>
        <v>4.1728000000000005</v>
      </c>
      <c r="EC44" s="938">
        <f t="shared" si="155"/>
        <v>0.89549054377512816</v>
      </c>
      <c r="ED44" s="938">
        <f t="shared" si="156"/>
        <v>0.49251979907632054</v>
      </c>
      <c r="EE44" s="938">
        <f t="shared" si="157"/>
        <v>0.40297074469880767</v>
      </c>
      <c r="EF44" s="938">
        <f t="shared" si="158"/>
        <v>0.49251979907632054</v>
      </c>
    </row>
    <row r="45" spans="1:136">
      <c r="A45" s="920" t="s">
        <v>2685</v>
      </c>
      <c r="B45" s="920" t="s">
        <v>2193</v>
      </c>
      <c r="C45" s="1294">
        <v>29.14</v>
      </c>
      <c r="D45" s="921">
        <v>465.01300000000003</v>
      </c>
      <c r="E45" s="921">
        <v>494.15300000000002</v>
      </c>
      <c r="F45" s="922">
        <v>1.4999999999999999E-2</v>
      </c>
      <c r="G45" s="923">
        <v>4.75</v>
      </c>
      <c r="H45" s="924">
        <v>4.7499999999999999E-3</v>
      </c>
      <c r="I45" s="925">
        <v>1.4413177762524333E-2</v>
      </c>
      <c r="J45" s="926">
        <v>1.7999999999999999E-2</v>
      </c>
      <c r="K45" s="927">
        <v>9.1559136338105584E-2</v>
      </c>
      <c r="L45" s="923">
        <v>3.6046904069976118</v>
      </c>
      <c r="M45" s="928">
        <v>8</v>
      </c>
      <c r="N45" s="927">
        <v>0.2</v>
      </c>
      <c r="O45" s="927">
        <v>0.182</v>
      </c>
      <c r="P45" s="923">
        <v>2.9686337606833587E-2</v>
      </c>
      <c r="Q45" s="923">
        <v>1.1410980132786839</v>
      </c>
      <c r="R45" s="923">
        <v>0.16</v>
      </c>
      <c r="S45" s="927">
        <v>0.61299999999999999</v>
      </c>
      <c r="T45" s="929">
        <v>0.308</v>
      </c>
      <c r="U45" s="927">
        <v>0.70399999999999996</v>
      </c>
      <c r="V45" s="930">
        <v>0.69949308213983319</v>
      </c>
      <c r="W45" s="927">
        <v>2.4938357388454811E-2</v>
      </c>
      <c r="X45" s="927">
        <v>3.2031999999999998E-2</v>
      </c>
      <c r="Y45" s="927">
        <v>5.6055999999999995E-2</v>
      </c>
      <c r="Z45" s="927">
        <v>8.0994357388454813E-2</v>
      </c>
      <c r="AA45" s="931">
        <v>0.221</v>
      </c>
      <c r="AB45" s="923">
        <v>4.0222000000000001E-2</v>
      </c>
      <c r="AC45" s="923">
        <v>5.6562105599999999</v>
      </c>
      <c r="AD45" s="923">
        <v>1.1135688894029925</v>
      </c>
      <c r="AE45" s="932" t="s">
        <v>2197</v>
      </c>
      <c r="AF45" s="927">
        <v>-2.4517728467154699E-2</v>
      </c>
      <c r="AG45" s="924">
        <v>4.9035456934309399E-3</v>
      </c>
      <c r="AH45" s="923">
        <v>3.2967032967032965</v>
      </c>
      <c r="AI45" s="927">
        <v>1.8598610811016083E-3</v>
      </c>
      <c r="AJ45" s="927">
        <v>6.7634067745325479E-3</v>
      </c>
      <c r="AK45" s="933">
        <v>940.67</v>
      </c>
      <c r="AL45" s="933">
        <v>940.25</v>
      </c>
      <c r="AM45" s="930">
        <v>939.38480100000015</v>
      </c>
      <c r="AN45" s="930">
        <v>938.8602810000001</v>
      </c>
      <c r="AO45" s="934">
        <v>939.18480100000011</v>
      </c>
      <c r="AP45" s="939">
        <v>938.66028100000005</v>
      </c>
      <c r="AQ45" s="923">
        <v>939.24085700000012</v>
      </c>
      <c r="AR45" s="923">
        <v>938.71633700000007</v>
      </c>
      <c r="AS45" s="923">
        <v>939.37203306916626</v>
      </c>
      <c r="AT45" s="923">
        <v>938.84751306916621</v>
      </c>
      <c r="AU45" s="923">
        <v>1.2851989999998068</v>
      </c>
      <c r="AV45" s="923">
        <v>1.3897189999999</v>
      </c>
      <c r="AW45" s="923">
        <v>1.4851989999998523</v>
      </c>
      <c r="AX45" s="923">
        <v>1.5897189999999455</v>
      </c>
      <c r="AY45" s="923">
        <v>938.66028100000005</v>
      </c>
      <c r="AZ45" s="923" t="s">
        <v>2187</v>
      </c>
      <c r="BA45" s="935" t="s">
        <v>2188</v>
      </c>
      <c r="BB45" s="935" t="s">
        <v>2189</v>
      </c>
      <c r="BC45" s="935" t="s">
        <v>2198</v>
      </c>
      <c r="BD45" s="935" t="s">
        <v>2191</v>
      </c>
      <c r="BE45" s="935" t="s">
        <v>2191</v>
      </c>
      <c r="BF45" s="946"/>
      <c r="BH45" s="937"/>
      <c r="BI45" s="894" t="str">
        <f t="shared" si="96"/>
        <v>PZ-34</v>
      </c>
      <c r="BJ45" s="894" t="str">
        <f t="shared" si="97"/>
        <v>PZ-3</v>
      </c>
      <c r="BK45" s="938">
        <f t="shared" si="98"/>
        <v>29.14</v>
      </c>
      <c r="BL45" s="938">
        <f t="shared" si="99"/>
        <v>27.54</v>
      </c>
      <c r="BM45" s="895">
        <f t="shared" si="100"/>
        <v>8</v>
      </c>
      <c r="BN45" s="938">
        <f t="shared" si="101"/>
        <v>27.94</v>
      </c>
      <c r="BO45" s="700">
        <f t="shared" si="102"/>
        <v>0.6</v>
      </c>
      <c r="BP45" s="938">
        <f t="shared" si="103"/>
        <v>1.49</v>
      </c>
      <c r="BQ45" s="938">
        <f t="shared" si="104"/>
        <v>1.59</v>
      </c>
      <c r="BR45" s="938">
        <f t="shared" si="105"/>
        <v>1.64</v>
      </c>
      <c r="BS45" s="938">
        <f t="shared" si="106"/>
        <v>27.1</v>
      </c>
      <c r="BT45" s="938">
        <f t="shared" si="107"/>
        <v>45.165599999999998</v>
      </c>
      <c r="BU45" s="938">
        <f t="shared" si="108"/>
        <v>0</v>
      </c>
      <c r="BV45" s="938">
        <f t="shared" si="109"/>
        <v>0</v>
      </c>
      <c r="BW45" s="938">
        <f t="shared" si="110"/>
        <v>0</v>
      </c>
      <c r="BX45" s="938">
        <f t="shared" si="111"/>
        <v>21.68</v>
      </c>
      <c r="BY45" s="938">
        <f t="shared" si="112"/>
        <v>4.6100000000000003</v>
      </c>
      <c r="BZ45" s="938">
        <f t="shared" si="113"/>
        <v>0.81</v>
      </c>
      <c r="CA45" s="938">
        <f t="shared" si="114"/>
        <v>0.89</v>
      </c>
      <c r="CB45" s="938">
        <f t="shared" si="115"/>
        <v>16.52</v>
      </c>
      <c r="CC45" s="938" t="s">
        <v>2192</v>
      </c>
      <c r="CD45" s="938">
        <f t="shared" si="116"/>
        <v>0</v>
      </c>
      <c r="CE45" s="938">
        <f t="shared" si="117"/>
        <v>0</v>
      </c>
      <c r="CF45" s="938">
        <f t="shared" si="118"/>
        <v>0</v>
      </c>
      <c r="CG45" s="938">
        <f t="shared" si="119"/>
        <v>0</v>
      </c>
      <c r="CH45" s="938">
        <v>8.3000000000000007</v>
      </c>
      <c r="CI45" s="938">
        <f t="shared" si="120"/>
        <v>0</v>
      </c>
      <c r="CJ45" s="938">
        <f t="shared" si="121"/>
        <v>0</v>
      </c>
      <c r="CK45" s="938">
        <f t="shared" si="122"/>
        <v>24.56</v>
      </c>
      <c r="CL45" s="938">
        <f t="shared" si="123"/>
        <v>0.1</v>
      </c>
      <c r="CM45" s="938">
        <f t="shared" si="124"/>
        <v>1.65</v>
      </c>
      <c r="CN45" s="938">
        <f t="shared" si="125"/>
        <v>7.13</v>
      </c>
      <c r="CO45" s="938">
        <f t="shared" si="126"/>
        <v>17.43</v>
      </c>
      <c r="CP45" s="938">
        <f t="shared" si="127"/>
        <v>9.67</v>
      </c>
      <c r="CQ45" s="936"/>
      <c r="CR45" s="853"/>
      <c r="CS45" s="895">
        <f t="shared" si="128"/>
        <v>8</v>
      </c>
      <c r="CT45" s="701">
        <f t="shared" si="129"/>
        <v>200</v>
      </c>
      <c r="CU45" s="895">
        <v>1</v>
      </c>
      <c r="CV45" s="938">
        <v>17.350000000000001</v>
      </c>
      <c r="CW45" s="938">
        <f t="shared" si="130"/>
        <v>17.350000000000001</v>
      </c>
      <c r="CX45" s="938">
        <f t="shared" si="131"/>
        <v>0.6</v>
      </c>
      <c r="CY45" s="938">
        <f t="shared" si="132"/>
        <v>1.32</v>
      </c>
      <c r="CZ45" s="938">
        <f t="shared" si="133"/>
        <v>13.74</v>
      </c>
      <c r="DA45" s="938">
        <f t="shared" si="134"/>
        <v>0</v>
      </c>
      <c r="DB45" s="938">
        <f t="shared" si="135"/>
        <v>0</v>
      </c>
      <c r="DC45" s="938">
        <f t="shared" si="136"/>
        <v>0</v>
      </c>
      <c r="DD45" s="938">
        <f t="shared" si="137"/>
        <v>0.32</v>
      </c>
      <c r="DE45" s="938">
        <f t="shared" si="138"/>
        <v>10.41</v>
      </c>
      <c r="DF45" s="938" t="s">
        <v>2192</v>
      </c>
      <c r="DG45" s="938">
        <f t="shared" si="139"/>
        <v>0</v>
      </c>
      <c r="DH45" s="938">
        <f t="shared" si="140"/>
        <v>0</v>
      </c>
      <c r="DI45" s="938">
        <f t="shared" si="141"/>
        <v>0</v>
      </c>
      <c r="DJ45" s="938">
        <f t="shared" si="142"/>
        <v>0</v>
      </c>
      <c r="DK45" s="938">
        <v>8.3000000000000007</v>
      </c>
      <c r="DL45" s="938">
        <f t="shared" si="143"/>
        <v>0</v>
      </c>
      <c r="DM45" s="938">
        <f t="shared" si="144"/>
        <v>0</v>
      </c>
      <c r="DN45" s="938">
        <f t="shared" si="145"/>
        <v>12.38</v>
      </c>
      <c r="DO45" s="938">
        <f t="shared" si="146"/>
        <v>0.1</v>
      </c>
      <c r="DP45" s="938">
        <f t="shared" si="147"/>
        <v>1.0410000000000001</v>
      </c>
      <c r="DQ45" s="938">
        <f t="shared" si="148"/>
        <v>2.48</v>
      </c>
      <c r="DR45" s="938">
        <f t="shared" si="149"/>
        <v>9.9</v>
      </c>
      <c r="DS45" s="938">
        <f t="shared" si="150"/>
        <v>3.52</v>
      </c>
      <c r="DT45" s="936"/>
      <c r="DU45" s="937" t="str">
        <f t="shared" si="151"/>
        <v>PZ-34</v>
      </c>
      <c r="DV45" s="938">
        <f t="shared" si="152"/>
        <v>1.69</v>
      </c>
      <c r="DW45" s="938">
        <v>1.2</v>
      </c>
      <c r="DX45" s="938">
        <v>1.6</v>
      </c>
      <c r="DY45" s="938">
        <f t="shared" si="153"/>
        <v>-3.3979466141227204</v>
      </c>
      <c r="DZ45" s="938">
        <v>1.6</v>
      </c>
      <c r="EA45" s="938">
        <v>1.6</v>
      </c>
      <c r="EB45" s="938">
        <f t="shared" si="154"/>
        <v>4.3264000000000005</v>
      </c>
      <c r="EC45" s="938">
        <f t="shared" si="155"/>
        <v>0.9284533858772801</v>
      </c>
      <c r="ED45" s="938">
        <f t="shared" si="156"/>
        <v>0.51064936223250412</v>
      </c>
      <c r="EE45" s="938">
        <f t="shared" si="157"/>
        <v>0.41780402364477603</v>
      </c>
      <c r="EF45" s="938">
        <f t="shared" si="158"/>
        <v>0.51064936223250412</v>
      </c>
    </row>
    <row r="46" spans="1:136" s="919" customFormat="1">
      <c r="A46" s="948" t="s">
        <v>2323</v>
      </c>
      <c r="B46" s="949"/>
      <c r="C46" s="1295"/>
      <c r="D46" s="964"/>
      <c r="E46" s="964"/>
      <c r="F46" s="948"/>
      <c r="G46" s="951"/>
      <c r="H46" s="952"/>
      <c r="I46" s="953"/>
      <c r="J46" s="965"/>
      <c r="K46" s="955"/>
      <c r="L46" s="951"/>
      <c r="M46" s="956"/>
      <c r="N46" s="955"/>
      <c r="O46" s="955"/>
      <c r="P46" s="951"/>
      <c r="Q46" s="951"/>
      <c r="R46" s="951"/>
      <c r="S46" s="955"/>
      <c r="T46" s="957"/>
      <c r="U46" s="955"/>
      <c r="V46" s="958"/>
      <c r="W46" s="955"/>
      <c r="X46" s="955"/>
      <c r="Y46" s="955"/>
      <c r="Z46" s="955"/>
      <c r="AA46" s="959"/>
      <c r="AB46" s="951"/>
      <c r="AC46" s="951"/>
      <c r="AD46" s="951"/>
      <c r="AE46" s="960"/>
      <c r="AF46" s="955"/>
      <c r="AG46" s="952"/>
      <c r="AH46" s="951"/>
      <c r="AI46" s="955"/>
      <c r="AJ46" s="955"/>
      <c r="AK46" s="961"/>
      <c r="AL46" s="961"/>
      <c r="AM46" s="958"/>
      <c r="AN46" s="958"/>
      <c r="AO46" s="962"/>
      <c r="AP46" s="962"/>
      <c r="AQ46" s="951"/>
      <c r="AR46" s="951"/>
      <c r="AS46" s="951"/>
      <c r="AT46" s="951"/>
      <c r="AU46" s="951"/>
      <c r="AV46" s="951"/>
      <c r="AW46" s="951"/>
      <c r="AX46" s="951"/>
      <c r="AY46" s="951"/>
      <c r="AZ46" s="951"/>
      <c r="BA46" s="963"/>
      <c r="BB46" s="963"/>
      <c r="BC46" s="963"/>
      <c r="BD46" s="963"/>
      <c r="BE46" s="963"/>
      <c r="BF46" s="966"/>
      <c r="BH46" s="917"/>
      <c r="BI46" s="903" t="str">
        <f t="shared" si="71"/>
        <v>TRAMO 3</v>
      </c>
      <c r="BJ46" s="903"/>
      <c r="BK46" s="901" t="str">
        <f t="shared" si="0"/>
        <v/>
      </c>
      <c r="BL46" s="901" t="str">
        <f t="shared" si="32"/>
        <v/>
      </c>
      <c r="BM46" s="908" t="str">
        <f t="shared" si="2"/>
        <v/>
      </c>
      <c r="BN46" s="901" t="str">
        <f t="shared" si="33"/>
        <v/>
      </c>
      <c r="BO46" s="698" t="str">
        <f t="shared" si="34"/>
        <v/>
      </c>
      <c r="BP46" s="901" t="str">
        <f t="shared" si="4"/>
        <v/>
      </c>
      <c r="BQ46" s="901" t="str">
        <f t="shared" si="5"/>
        <v/>
      </c>
      <c r="BR46" s="901" t="str">
        <f t="shared" si="6"/>
        <v/>
      </c>
      <c r="BS46" s="901" t="str">
        <f t="shared" si="7"/>
        <v/>
      </c>
      <c r="BT46" s="901"/>
      <c r="BU46" s="901">
        <f t="shared" si="35"/>
        <v>0</v>
      </c>
      <c r="BV46" s="901"/>
      <c r="BW46" s="901" t="str">
        <f t="shared" ref="BW46:BW74" si="159">IF(BK46="","",ROUND( BS46*$BN$1,2))</f>
        <v/>
      </c>
      <c r="BX46" s="901" t="str">
        <f t="shared" ref="BX46:BX74" si="160">IF(BK46="","",ROUND(BS46*$BN$2,2))</f>
        <v/>
      </c>
      <c r="BY46" s="901" t="str">
        <f t="shared" si="25"/>
        <v/>
      </c>
      <c r="BZ46" s="901" t="str">
        <f t="shared" si="36"/>
        <v/>
      </c>
      <c r="CA46" s="901" t="str">
        <f t="shared" si="37"/>
        <v/>
      </c>
      <c r="CB46" s="901" t="str">
        <f t="shared" si="10"/>
        <v/>
      </c>
      <c r="CC46" s="901"/>
      <c r="CD46" s="901"/>
      <c r="CE46" s="901"/>
      <c r="CF46" s="901"/>
      <c r="CG46" s="901"/>
      <c r="CH46" s="901"/>
      <c r="CI46" s="901"/>
      <c r="CJ46" s="901" t="str">
        <f t="shared" si="41"/>
        <v/>
      </c>
      <c r="CK46" s="901"/>
      <c r="CL46" s="901"/>
      <c r="CM46" s="901" t="str">
        <f t="shared" si="19"/>
        <v/>
      </c>
      <c r="CN46" s="901" t="str">
        <f t="shared" si="26"/>
        <v/>
      </c>
      <c r="CO46" s="901" t="str">
        <f t="shared" si="27"/>
        <v/>
      </c>
      <c r="CP46" s="901" t="str">
        <f t="shared" si="42"/>
        <v/>
      </c>
      <c r="CQ46" s="916"/>
      <c r="CS46" s="908"/>
      <c r="CT46" s="699"/>
      <c r="CU46" s="908"/>
      <c r="CV46" s="901"/>
      <c r="CW46" s="901"/>
      <c r="CX46" s="901"/>
      <c r="CY46" s="901"/>
      <c r="CZ46" s="901"/>
      <c r="DA46" s="901"/>
      <c r="DB46" s="901"/>
      <c r="DC46" s="901"/>
      <c r="DD46" s="901"/>
      <c r="DE46" s="901"/>
      <c r="DF46" s="901"/>
      <c r="DG46" s="901" t="str">
        <f t="shared" si="52"/>
        <v/>
      </c>
      <c r="DH46" s="901" t="str">
        <f t="shared" si="53"/>
        <v/>
      </c>
      <c r="DI46" s="901" t="str">
        <f t="shared" si="54"/>
        <v/>
      </c>
      <c r="DJ46" s="901" t="str">
        <f t="shared" si="55"/>
        <v/>
      </c>
      <c r="DK46" s="901"/>
      <c r="DL46" s="901"/>
      <c r="DM46" s="901" t="str">
        <f t="shared" si="57"/>
        <v/>
      </c>
      <c r="DN46" s="901" t="str">
        <f t="shared" si="58"/>
        <v/>
      </c>
      <c r="DO46" s="901" t="str">
        <f t="shared" si="59"/>
        <v/>
      </c>
      <c r="DP46" s="901"/>
      <c r="DQ46" s="901" t="str">
        <f t="shared" si="61"/>
        <v/>
      </c>
      <c r="DR46" s="901" t="str">
        <f t="shared" si="62"/>
        <v/>
      </c>
      <c r="DS46" s="901" t="str">
        <f t="shared" si="63"/>
        <v/>
      </c>
      <c r="DU46" s="917"/>
      <c r="DV46" s="901"/>
      <c r="DW46" s="901"/>
      <c r="DX46" s="901"/>
      <c r="DY46" s="901"/>
      <c r="DZ46" s="901"/>
      <c r="EA46" s="901"/>
      <c r="EB46" s="901"/>
      <c r="EC46" s="901"/>
      <c r="ED46" s="901"/>
      <c r="EE46" s="901"/>
      <c r="EF46" s="901"/>
    </row>
    <row r="47" spans="1:136">
      <c r="A47" s="920"/>
      <c r="B47" s="920"/>
      <c r="C47" s="1294"/>
      <c r="D47" s="921"/>
      <c r="E47" s="921"/>
      <c r="F47" s="922"/>
      <c r="G47" s="923"/>
      <c r="H47" s="924"/>
      <c r="I47" s="925"/>
      <c r="J47" s="926"/>
      <c r="K47" s="927"/>
      <c r="L47" s="923"/>
      <c r="M47" s="928"/>
      <c r="N47" s="927"/>
      <c r="O47" s="927"/>
      <c r="P47" s="923"/>
      <c r="Q47" s="923"/>
      <c r="R47" s="923"/>
      <c r="S47" s="927"/>
      <c r="T47" s="929"/>
      <c r="U47" s="927"/>
      <c r="V47" s="930"/>
      <c r="W47" s="927"/>
      <c r="X47" s="927"/>
      <c r="Y47" s="927"/>
      <c r="Z47" s="927"/>
      <c r="AA47" s="931"/>
      <c r="AB47" s="923"/>
      <c r="AC47" s="923"/>
      <c r="AD47" s="923"/>
      <c r="AE47" s="932"/>
      <c r="AF47" s="927"/>
      <c r="AG47" s="924"/>
      <c r="AH47" s="923"/>
      <c r="AI47" s="927"/>
      <c r="AJ47" s="927"/>
      <c r="AK47" s="933"/>
      <c r="AL47" s="933"/>
      <c r="AM47" s="930"/>
      <c r="AN47" s="930"/>
      <c r="AO47" s="934"/>
      <c r="AP47" s="934"/>
      <c r="AQ47" s="923"/>
      <c r="AR47" s="923"/>
      <c r="AS47" s="923"/>
      <c r="AT47" s="923"/>
      <c r="AU47" s="923"/>
      <c r="AV47" s="923"/>
      <c r="AW47" s="923"/>
      <c r="AX47" s="923"/>
      <c r="AY47" s="923"/>
      <c r="AZ47" s="923"/>
      <c r="BA47" s="935"/>
      <c r="BB47" s="935"/>
      <c r="BC47" s="935"/>
      <c r="BD47" s="935"/>
      <c r="BE47" s="935"/>
      <c r="BF47" s="946"/>
      <c r="BH47" s="937"/>
      <c r="BI47" s="894"/>
      <c r="BJ47" s="894"/>
      <c r="BK47" s="938"/>
      <c r="BL47" s="938"/>
      <c r="BM47" s="895"/>
      <c r="BN47" s="938"/>
      <c r="BO47" s="700"/>
      <c r="BP47" s="938"/>
      <c r="BQ47" s="938"/>
      <c r="BR47" s="938"/>
      <c r="BS47" s="938"/>
      <c r="BT47" s="938"/>
      <c r="BU47" s="938"/>
      <c r="BV47" s="938"/>
      <c r="BW47" s="938"/>
      <c r="BX47" s="938"/>
      <c r="BY47" s="938"/>
      <c r="BZ47" s="938"/>
      <c r="CA47" s="938"/>
      <c r="CB47" s="938"/>
      <c r="CC47" s="938"/>
      <c r="CD47" s="938"/>
      <c r="CE47" s="938"/>
      <c r="CF47" s="938"/>
      <c r="CG47" s="938"/>
      <c r="CH47" s="938"/>
      <c r="CI47" s="938"/>
      <c r="CJ47" s="938"/>
      <c r="CK47" s="938"/>
      <c r="CL47" s="938"/>
      <c r="CM47" s="938"/>
      <c r="CN47" s="938"/>
      <c r="CO47" s="938"/>
      <c r="CP47" s="938"/>
      <c r="CQ47" s="936"/>
      <c r="CS47" s="895"/>
      <c r="CT47" s="701"/>
      <c r="CU47" s="895"/>
      <c r="CV47" s="938"/>
      <c r="CW47" s="938"/>
      <c r="CX47" s="938"/>
      <c r="CY47" s="938"/>
      <c r="CZ47" s="938"/>
      <c r="DA47" s="938"/>
      <c r="DB47" s="938"/>
      <c r="DC47" s="938"/>
      <c r="DD47" s="938"/>
      <c r="DE47" s="938"/>
      <c r="DF47" s="938"/>
      <c r="DG47" s="938"/>
      <c r="DH47" s="938"/>
      <c r="DI47" s="938"/>
      <c r="DJ47" s="938"/>
      <c r="DK47" s="938"/>
      <c r="DL47" s="938"/>
      <c r="DM47" s="938"/>
      <c r="DN47" s="938"/>
      <c r="DO47" s="938"/>
      <c r="DP47" s="938"/>
      <c r="DQ47" s="938"/>
      <c r="DR47" s="938"/>
      <c r="DS47" s="938"/>
      <c r="DU47" s="937"/>
      <c r="DV47" s="938"/>
      <c r="DW47" s="938"/>
      <c r="DX47" s="938"/>
      <c r="DY47" s="938"/>
      <c r="DZ47" s="938"/>
      <c r="EA47" s="938"/>
      <c r="EB47" s="938"/>
      <c r="EC47" s="938"/>
      <c r="ED47" s="938"/>
      <c r="EE47" s="938"/>
      <c r="EF47" s="938"/>
    </row>
    <row r="48" spans="1:136">
      <c r="A48" s="920"/>
      <c r="B48" s="920"/>
      <c r="C48" s="1294"/>
      <c r="D48" s="921"/>
      <c r="E48" s="921"/>
      <c r="F48" s="922"/>
      <c r="G48" s="923"/>
      <c r="H48" s="924"/>
      <c r="I48" s="925"/>
      <c r="J48" s="926"/>
      <c r="K48" s="927"/>
      <c r="L48" s="923"/>
      <c r="M48" s="928"/>
      <c r="N48" s="927"/>
      <c r="O48" s="927"/>
      <c r="P48" s="923"/>
      <c r="Q48" s="923"/>
      <c r="R48" s="923"/>
      <c r="S48" s="927"/>
      <c r="T48" s="929"/>
      <c r="U48" s="927"/>
      <c r="V48" s="930"/>
      <c r="W48" s="927"/>
      <c r="X48" s="927"/>
      <c r="Y48" s="927"/>
      <c r="Z48" s="927"/>
      <c r="AA48" s="931"/>
      <c r="AB48" s="923"/>
      <c r="AC48" s="923"/>
      <c r="AD48" s="923"/>
      <c r="AE48" s="932"/>
      <c r="AF48" s="927"/>
      <c r="AG48" s="924"/>
      <c r="AH48" s="923"/>
      <c r="AI48" s="927"/>
      <c r="AJ48" s="927"/>
      <c r="AK48" s="933"/>
      <c r="AL48" s="933"/>
      <c r="AM48" s="930"/>
      <c r="AN48" s="930"/>
      <c r="AO48" s="934"/>
      <c r="AP48" s="934"/>
      <c r="AQ48" s="923"/>
      <c r="AR48" s="923"/>
      <c r="AS48" s="923"/>
      <c r="AT48" s="923"/>
      <c r="AU48" s="923"/>
      <c r="AV48" s="923"/>
      <c r="AW48" s="923"/>
      <c r="AX48" s="923"/>
      <c r="AY48" s="923"/>
      <c r="AZ48" s="923"/>
      <c r="BA48" s="935"/>
      <c r="BB48" s="935"/>
      <c r="BC48" s="935"/>
      <c r="BD48" s="935"/>
      <c r="BE48" s="935"/>
      <c r="BF48" s="946"/>
      <c r="BH48" s="937"/>
      <c r="BI48" s="894"/>
      <c r="BJ48" s="894"/>
      <c r="BK48" s="938"/>
      <c r="BL48" s="938"/>
      <c r="BM48" s="895"/>
      <c r="BN48" s="938"/>
      <c r="BO48" s="700"/>
      <c r="BP48" s="938"/>
      <c r="BQ48" s="938"/>
      <c r="BR48" s="938"/>
      <c r="BS48" s="938"/>
      <c r="BT48" s="938"/>
      <c r="BU48" s="938"/>
      <c r="BV48" s="938"/>
      <c r="BW48" s="938"/>
      <c r="BX48" s="938"/>
      <c r="BY48" s="938"/>
      <c r="BZ48" s="938"/>
      <c r="CA48" s="938"/>
      <c r="CB48" s="938"/>
      <c r="CC48" s="938"/>
      <c r="CD48" s="938"/>
      <c r="CE48" s="938"/>
      <c r="CF48" s="938"/>
      <c r="CG48" s="938"/>
      <c r="CH48" s="938"/>
      <c r="CI48" s="938"/>
      <c r="CJ48" s="938"/>
      <c r="CK48" s="938"/>
      <c r="CL48" s="938"/>
      <c r="CM48" s="938"/>
      <c r="CN48" s="938"/>
      <c r="CO48" s="938"/>
      <c r="CP48" s="938"/>
      <c r="CQ48" s="936"/>
      <c r="CS48" s="895"/>
      <c r="CT48" s="701"/>
      <c r="CU48" s="895"/>
      <c r="CV48" s="938"/>
      <c r="CW48" s="938"/>
      <c r="CX48" s="938"/>
      <c r="CY48" s="938"/>
      <c r="CZ48" s="938"/>
      <c r="DA48" s="938"/>
      <c r="DB48" s="938"/>
      <c r="DC48" s="938"/>
      <c r="DD48" s="938"/>
      <c r="DE48" s="938"/>
      <c r="DF48" s="938"/>
      <c r="DG48" s="938"/>
      <c r="DH48" s="938"/>
      <c r="DI48" s="938"/>
      <c r="DJ48" s="938"/>
      <c r="DK48" s="938"/>
      <c r="DL48" s="938"/>
      <c r="DM48" s="938"/>
      <c r="DN48" s="938"/>
      <c r="DO48" s="938"/>
      <c r="DP48" s="938"/>
      <c r="DQ48" s="938"/>
      <c r="DR48" s="938"/>
      <c r="DS48" s="938"/>
      <c r="DU48" s="937"/>
      <c r="DV48" s="938"/>
      <c r="DW48" s="938"/>
      <c r="DX48" s="938"/>
      <c r="DY48" s="938"/>
      <c r="DZ48" s="938"/>
      <c r="EA48" s="938"/>
      <c r="EB48" s="938"/>
      <c r="EC48" s="938"/>
      <c r="ED48" s="938"/>
      <c r="EE48" s="938"/>
      <c r="EF48" s="938"/>
    </row>
    <row r="49" spans="1:136">
      <c r="A49" s="920"/>
      <c r="B49" s="920"/>
      <c r="C49" s="1294"/>
      <c r="D49" s="921"/>
      <c r="E49" s="921"/>
      <c r="F49" s="922"/>
      <c r="G49" s="923"/>
      <c r="H49" s="924"/>
      <c r="I49" s="925"/>
      <c r="J49" s="926"/>
      <c r="K49" s="927"/>
      <c r="L49" s="923"/>
      <c r="M49" s="928"/>
      <c r="N49" s="927"/>
      <c r="O49" s="927"/>
      <c r="P49" s="923"/>
      <c r="Q49" s="923"/>
      <c r="R49" s="923"/>
      <c r="S49" s="927"/>
      <c r="T49" s="929"/>
      <c r="U49" s="927"/>
      <c r="V49" s="930"/>
      <c r="W49" s="927"/>
      <c r="X49" s="927"/>
      <c r="Y49" s="927"/>
      <c r="Z49" s="927"/>
      <c r="AA49" s="931"/>
      <c r="AB49" s="923"/>
      <c r="AC49" s="923"/>
      <c r="AD49" s="923"/>
      <c r="AE49" s="932"/>
      <c r="AF49" s="927"/>
      <c r="AG49" s="924"/>
      <c r="AH49" s="923"/>
      <c r="AI49" s="927"/>
      <c r="AJ49" s="927"/>
      <c r="AK49" s="933"/>
      <c r="AL49" s="933"/>
      <c r="AM49" s="930"/>
      <c r="AN49" s="930"/>
      <c r="AO49" s="934"/>
      <c r="AP49" s="934"/>
      <c r="AQ49" s="923"/>
      <c r="AR49" s="923"/>
      <c r="AS49" s="923"/>
      <c r="AT49" s="923"/>
      <c r="AU49" s="923"/>
      <c r="AV49" s="923"/>
      <c r="AW49" s="923"/>
      <c r="AX49" s="923"/>
      <c r="AY49" s="923"/>
      <c r="AZ49" s="923"/>
      <c r="BA49" s="935"/>
      <c r="BB49" s="935"/>
      <c r="BC49" s="935"/>
      <c r="BD49" s="935"/>
      <c r="BE49" s="935"/>
      <c r="BF49" s="946"/>
      <c r="BH49" s="937"/>
      <c r="BI49" s="894"/>
      <c r="BJ49" s="894"/>
      <c r="BK49" s="938"/>
      <c r="BL49" s="938"/>
      <c r="BM49" s="895"/>
      <c r="BN49" s="938"/>
      <c r="BO49" s="700"/>
      <c r="BP49" s="938"/>
      <c r="BQ49" s="938"/>
      <c r="BR49" s="938"/>
      <c r="BS49" s="938"/>
      <c r="BT49" s="938"/>
      <c r="BU49" s="938"/>
      <c r="BV49" s="938"/>
      <c r="BW49" s="938"/>
      <c r="BX49" s="938"/>
      <c r="BY49" s="938"/>
      <c r="BZ49" s="938"/>
      <c r="CA49" s="938"/>
      <c r="CB49" s="938"/>
      <c r="CC49" s="938"/>
      <c r="CD49" s="938"/>
      <c r="CE49" s="938"/>
      <c r="CF49" s="938"/>
      <c r="CG49" s="938"/>
      <c r="CH49" s="938"/>
      <c r="CI49" s="938"/>
      <c r="CJ49" s="938"/>
      <c r="CK49" s="938"/>
      <c r="CL49" s="938"/>
      <c r="CM49" s="938"/>
      <c r="CN49" s="938"/>
      <c r="CO49" s="938"/>
      <c r="CP49" s="938"/>
      <c r="CQ49" s="936"/>
      <c r="CS49" s="895"/>
      <c r="CT49" s="701"/>
      <c r="CU49" s="895"/>
      <c r="CV49" s="938"/>
      <c r="CW49" s="938"/>
      <c r="CX49" s="938"/>
      <c r="CY49" s="938"/>
      <c r="CZ49" s="938"/>
      <c r="DA49" s="938"/>
      <c r="DB49" s="938"/>
      <c r="DC49" s="938"/>
      <c r="DD49" s="938"/>
      <c r="DE49" s="938"/>
      <c r="DF49" s="938"/>
      <c r="DG49" s="938"/>
      <c r="DH49" s="938"/>
      <c r="DI49" s="938"/>
      <c r="DJ49" s="938"/>
      <c r="DK49" s="938"/>
      <c r="DL49" s="938"/>
      <c r="DM49" s="938"/>
      <c r="DN49" s="938"/>
      <c r="DO49" s="938"/>
      <c r="DP49" s="938"/>
      <c r="DQ49" s="938"/>
      <c r="DR49" s="938"/>
      <c r="DS49" s="938"/>
      <c r="DU49" s="937"/>
      <c r="DV49" s="938"/>
      <c r="DW49" s="938"/>
      <c r="DX49" s="938"/>
      <c r="DY49" s="938"/>
      <c r="DZ49" s="938"/>
      <c r="EA49" s="938"/>
      <c r="EB49" s="938"/>
      <c r="EC49" s="938"/>
      <c r="ED49" s="938"/>
      <c r="EE49" s="938"/>
      <c r="EF49" s="938"/>
    </row>
    <row r="50" spans="1:136">
      <c r="A50" s="920"/>
      <c r="B50" s="920"/>
      <c r="C50" s="1294"/>
      <c r="D50" s="921"/>
      <c r="E50" s="921"/>
      <c r="F50" s="922"/>
      <c r="G50" s="923"/>
      <c r="H50" s="924"/>
      <c r="I50" s="925"/>
      <c r="J50" s="926"/>
      <c r="K50" s="927"/>
      <c r="L50" s="923"/>
      <c r="M50" s="928"/>
      <c r="N50" s="927"/>
      <c r="O50" s="927"/>
      <c r="P50" s="923"/>
      <c r="Q50" s="923"/>
      <c r="R50" s="923"/>
      <c r="S50" s="927"/>
      <c r="T50" s="929"/>
      <c r="U50" s="927"/>
      <c r="V50" s="930"/>
      <c r="W50" s="927"/>
      <c r="X50" s="927"/>
      <c r="Y50" s="927"/>
      <c r="Z50" s="927"/>
      <c r="AA50" s="931"/>
      <c r="AB50" s="923"/>
      <c r="AC50" s="923"/>
      <c r="AD50" s="923"/>
      <c r="AE50" s="932"/>
      <c r="AF50" s="927"/>
      <c r="AG50" s="924"/>
      <c r="AH50" s="923"/>
      <c r="AI50" s="927"/>
      <c r="AJ50" s="927"/>
      <c r="AK50" s="933"/>
      <c r="AL50" s="933"/>
      <c r="AM50" s="930"/>
      <c r="AN50" s="930"/>
      <c r="AO50" s="934"/>
      <c r="AP50" s="940"/>
      <c r="AQ50" s="923"/>
      <c r="AR50" s="923"/>
      <c r="AS50" s="923"/>
      <c r="AT50" s="923"/>
      <c r="AU50" s="923"/>
      <c r="AV50" s="923"/>
      <c r="AW50" s="923"/>
      <c r="AX50" s="923"/>
      <c r="AY50" s="923"/>
      <c r="AZ50" s="923"/>
      <c r="BA50" s="935"/>
      <c r="BB50" s="935"/>
      <c r="BC50" s="935"/>
      <c r="BD50" s="935"/>
      <c r="BE50" s="935"/>
      <c r="BF50" s="946"/>
      <c r="BH50" s="937"/>
      <c r="BI50" s="894"/>
      <c r="BJ50" s="894"/>
      <c r="BK50" s="938"/>
      <c r="BL50" s="938"/>
      <c r="BM50" s="895"/>
      <c r="BN50" s="938"/>
      <c r="BO50" s="700"/>
      <c r="BP50" s="938"/>
      <c r="BQ50" s="938"/>
      <c r="BR50" s="938"/>
      <c r="BS50" s="938"/>
      <c r="BT50" s="938"/>
      <c r="BU50" s="938"/>
      <c r="BV50" s="938"/>
      <c r="BW50" s="938"/>
      <c r="BX50" s="938"/>
      <c r="BY50" s="938"/>
      <c r="BZ50" s="938"/>
      <c r="CA50" s="938"/>
      <c r="CB50" s="938"/>
      <c r="CC50" s="938"/>
      <c r="CD50" s="938"/>
      <c r="CE50" s="938"/>
      <c r="CF50" s="938"/>
      <c r="CG50" s="938"/>
      <c r="CH50" s="938"/>
      <c r="CI50" s="938"/>
      <c r="CJ50" s="938"/>
      <c r="CK50" s="938"/>
      <c r="CL50" s="938"/>
      <c r="CM50" s="938"/>
      <c r="CN50" s="938"/>
      <c r="CO50" s="938"/>
      <c r="CP50" s="938"/>
      <c r="CQ50" s="936"/>
      <c r="CS50" s="895"/>
      <c r="CT50" s="701"/>
      <c r="CU50" s="895"/>
      <c r="CV50" s="938"/>
      <c r="CW50" s="938"/>
      <c r="CX50" s="938"/>
      <c r="CY50" s="938"/>
      <c r="CZ50" s="938"/>
      <c r="DA50" s="938"/>
      <c r="DB50" s="938"/>
      <c r="DC50" s="938"/>
      <c r="DD50" s="938"/>
      <c r="DE50" s="938"/>
      <c r="DF50" s="938"/>
      <c r="DG50" s="938"/>
      <c r="DH50" s="938"/>
      <c r="DI50" s="938"/>
      <c r="DJ50" s="938"/>
      <c r="DK50" s="938"/>
      <c r="DL50" s="938"/>
      <c r="DM50" s="938"/>
      <c r="DN50" s="938"/>
      <c r="DO50" s="938"/>
      <c r="DP50" s="938"/>
      <c r="DQ50" s="938"/>
      <c r="DR50" s="938"/>
      <c r="DS50" s="938"/>
      <c r="DU50" s="937"/>
      <c r="DV50" s="938"/>
      <c r="DW50" s="938"/>
      <c r="DX50" s="938"/>
      <c r="DY50" s="938"/>
      <c r="DZ50" s="938"/>
      <c r="EA50" s="938"/>
      <c r="EB50" s="938"/>
      <c r="EC50" s="938"/>
      <c r="ED50" s="938"/>
      <c r="EE50" s="938"/>
      <c r="EF50" s="938"/>
    </row>
    <row r="51" spans="1:136" s="919" customFormat="1">
      <c r="A51" s="948" t="s">
        <v>2324</v>
      </c>
      <c r="B51" s="949"/>
      <c r="C51" s="1295"/>
      <c r="D51" s="964"/>
      <c r="E51" s="964"/>
      <c r="F51" s="948"/>
      <c r="G51" s="951"/>
      <c r="H51" s="952"/>
      <c r="I51" s="953"/>
      <c r="J51" s="954"/>
      <c r="K51" s="955"/>
      <c r="L51" s="951"/>
      <c r="M51" s="956"/>
      <c r="N51" s="955"/>
      <c r="O51" s="955"/>
      <c r="P51" s="951"/>
      <c r="Q51" s="951"/>
      <c r="R51" s="951"/>
      <c r="S51" s="955"/>
      <c r="T51" s="957"/>
      <c r="U51" s="955"/>
      <c r="V51" s="958"/>
      <c r="W51" s="955"/>
      <c r="X51" s="955"/>
      <c r="Y51" s="955"/>
      <c r="Z51" s="955"/>
      <c r="AA51" s="959"/>
      <c r="AB51" s="951"/>
      <c r="AC51" s="951"/>
      <c r="AD51" s="951"/>
      <c r="AE51" s="960"/>
      <c r="AF51" s="955"/>
      <c r="AG51" s="952"/>
      <c r="AH51" s="951"/>
      <c r="AI51" s="955"/>
      <c r="AJ51" s="955"/>
      <c r="AK51" s="961"/>
      <c r="AL51" s="961"/>
      <c r="AM51" s="958"/>
      <c r="AN51" s="958"/>
      <c r="AO51" s="962"/>
      <c r="AP51" s="962"/>
      <c r="AQ51" s="951"/>
      <c r="AR51" s="951"/>
      <c r="AS51" s="951"/>
      <c r="AT51" s="951"/>
      <c r="AU51" s="951"/>
      <c r="AV51" s="951"/>
      <c r="AW51" s="951"/>
      <c r="AX51" s="951"/>
      <c r="AY51" s="951"/>
      <c r="AZ51" s="951"/>
      <c r="BA51" s="963"/>
      <c r="BB51" s="963"/>
      <c r="BC51" s="963"/>
      <c r="BD51" s="963"/>
      <c r="BE51" s="963"/>
      <c r="BF51" s="966"/>
      <c r="BH51" s="917"/>
      <c r="BI51" s="903"/>
      <c r="BJ51" s="903"/>
      <c r="BK51" s="901"/>
      <c r="BL51" s="901"/>
      <c r="BM51" s="908"/>
      <c r="BN51" s="901"/>
      <c r="BO51" s="698" t="str">
        <f t="shared" si="34"/>
        <v/>
      </c>
      <c r="BP51" s="901"/>
      <c r="BQ51" s="901"/>
      <c r="BR51" s="901"/>
      <c r="BS51" s="901"/>
      <c r="BT51" s="901"/>
      <c r="BU51" s="901">
        <f t="shared" si="35"/>
        <v>0</v>
      </c>
      <c r="BV51" s="901"/>
      <c r="BW51" s="901" t="str">
        <f t="shared" si="159"/>
        <v/>
      </c>
      <c r="BX51" s="901" t="str">
        <f t="shared" si="160"/>
        <v/>
      </c>
      <c r="BY51" s="901" t="str">
        <f t="shared" si="25"/>
        <v/>
      </c>
      <c r="BZ51" s="901" t="str">
        <f t="shared" si="36"/>
        <v/>
      </c>
      <c r="CA51" s="901"/>
      <c r="CB51" s="901"/>
      <c r="CC51" s="901"/>
      <c r="CD51" s="901"/>
      <c r="CE51" s="901"/>
      <c r="CF51" s="901"/>
      <c r="CG51" s="901"/>
      <c r="CH51" s="901"/>
      <c r="CI51" s="901"/>
      <c r="CJ51" s="901"/>
      <c r="CK51" s="901"/>
      <c r="CL51" s="901"/>
      <c r="CM51" s="901"/>
      <c r="CN51" s="901" t="str">
        <f t="shared" si="26"/>
        <v/>
      </c>
      <c r="CO51" s="901" t="str">
        <f t="shared" si="27"/>
        <v/>
      </c>
      <c r="CP51" s="901"/>
      <c r="CQ51" s="916"/>
      <c r="CS51" s="908"/>
      <c r="CT51" s="699"/>
      <c r="CU51" s="908"/>
      <c r="CV51" s="901"/>
      <c r="CW51" s="901"/>
      <c r="CX51" s="901"/>
      <c r="CY51" s="901"/>
      <c r="CZ51" s="901"/>
      <c r="DA51" s="901"/>
      <c r="DB51" s="901"/>
      <c r="DC51" s="901"/>
      <c r="DD51" s="901"/>
      <c r="DE51" s="901"/>
      <c r="DF51" s="901"/>
      <c r="DG51" s="901"/>
      <c r="DH51" s="901"/>
      <c r="DI51" s="901"/>
      <c r="DJ51" s="901"/>
      <c r="DK51" s="901"/>
      <c r="DL51" s="901"/>
      <c r="DM51" s="901"/>
      <c r="DN51" s="901"/>
      <c r="DO51" s="901" t="str">
        <f t="shared" si="59"/>
        <v/>
      </c>
      <c r="DP51" s="901"/>
      <c r="DQ51" s="901" t="str">
        <f t="shared" si="61"/>
        <v/>
      </c>
      <c r="DR51" s="901" t="str">
        <f t="shared" si="62"/>
        <v/>
      </c>
      <c r="DS51" s="901"/>
      <c r="DU51" s="917"/>
      <c r="DV51" s="901"/>
      <c r="DW51" s="901"/>
      <c r="DX51" s="901"/>
      <c r="DY51" s="901"/>
      <c r="DZ51" s="901"/>
      <c r="EA51" s="901"/>
      <c r="EB51" s="901"/>
      <c r="EC51" s="901"/>
      <c r="ED51" s="901"/>
      <c r="EE51" s="901"/>
      <c r="EF51" s="901"/>
    </row>
    <row r="52" spans="1:136">
      <c r="A52" s="920"/>
      <c r="B52" s="920"/>
      <c r="C52" s="1294"/>
      <c r="D52" s="921"/>
      <c r="E52" s="921"/>
      <c r="F52" s="922"/>
      <c r="G52" s="923"/>
      <c r="H52" s="924"/>
      <c r="I52" s="925"/>
      <c r="J52" s="926"/>
      <c r="K52" s="927"/>
      <c r="L52" s="923"/>
      <c r="M52" s="928"/>
      <c r="N52" s="927"/>
      <c r="O52" s="927"/>
      <c r="P52" s="923"/>
      <c r="Q52" s="923"/>
      <c r="R52" s="923"/>
      <c r="S52" s="927"/>
      <c r="T52" s="929"/>
      <c r="U52" s="927"/>
      <c r="V52" s="930"/>
      <c r="W52" s="927"/>
      <c r="X52" s="927"/>
      <c r="Y52" s="927"/>
      <c r="Z52" s="927"/>
      <c r="AA52" s="931"/>
      <c r="AB52" s="923"/>
      <c r="AC52" s="923"/>
      <c r="AD52" s="923"/>
      <c r="AE52" s="932"/>
      <c r="AF52" s="927"/>
      <c r="AG52" s="924"/>
      <c r="AH52" s="923"/>
      <c r="AI52" s="927"/>
      <c r="AJ52" s="927"/>
      <c r="AK52" s="933"/>
      <c r="AL52" s="933"/>
      <c r="AM52" s="930"/>
      <c r="AN52" s="930"/>
      <c r="AO52" s="934"/>
      <c r="AP52" s="934"/>
      <c r="AQ52" s="923"/>
      <c r="AR52" s="923"/>
      <c r="AS52" s="923"/>
      <c r="AT52" s="923"/>
      <c r="AU52" s="923"/>
      <c r="AV52" s="923"/>
      <c r="AW52" s="923"/>
      <c r="AX52" s="923"/>
      <c r="AY52" s="923"/>
      <c r="AZ52" s="923"/>
      <c r="BA52" s="935"/>
      <c r="BB52" s="935"/>
      <c r="BC52" s="935"/>
      <c r="BD52" s="935"/>
      <c r="BE52" s="935"/>
      <c r="BF52" s="946"/>
      <c r="BH52" s="937"/>
      <c r="BI52" s="894"/>
      <c r="BJ52" s="894"/>
      <c r="BK52" s="938"/>
      <c r="BL52" s="938"/>
      <c r="BM52" s="895"/>
      <c r="BN52" s="938"/>
      <c r="BO52" s="700"/>
      <c r="BP52" s="938"/>
      <c r="BQ52" s="938"/>
      <c r="BR52" s="938"/>
      <c r="BS52" s="938"/>
      <c r="BT52" s="938"/>
      <c r="BU52" s="938"/>
      <c r="BV52" s="938"/>
      <c r="BW52" s="938"/>
      <c r="BX52" s="938"/>
      <c r="BY52" s="938"/>
      <c r="BZ52" s="938"/>
      <c r="CA52" s="938"/>
      <c r="CB52" s="938"/>
      <c r="CC52" s="938"/>
      <c r="CD52" s="938"/>
      <c r="CE52" s="938"/>
      <c r="CF52" s="938"/>
      <c r="CG52" s="938"/>
      <c r="CH52" s="938"/>
      <c r="CI52" s="938"/>
      <c r="CJ52" s="938"/>
      <c r="CK52" s="938"/>
      <c r="CL52" s="938"/>
      <c r="CM52" s="938"/>
      <c r="CN52" s="938"/>
      <c r="CO52" s="938"/>
      <c r="CP52" s="938"/>
      <c r="CQ52" s="936"/>
      <c r="CS52" s="895"/>
      <c r="CT52" s="701"/>
      <c r="CU52" s="895"/>
      <c r="CV52" s="938"/>
      <c r="CW52" s="938"/>
      <c r="CX52" s="938"/>
      <c r="CY52" s="938"/>
      <c r="CZ52" s="938"/>
      <c r="DA52" s="938"/>
      <c r="DB52" s="938"/>
      <c r="DC52" s="938"/>
      <c r="DD52" s="938"/>
      <c r="DE52" s="938"/>
      <c r="DF52" s="938"/>
      <c r="DG52" s="938"/>
      <c r="DH52" s="938"/>
      <c r="DI52" s="938"/>
      <c r="DJ52" s="938"/>
      <c r="DK52" s="938"/>
      <c r="DL52" s="938"/>
      <c r="DM52" s="938"/>
      <c r="DN52" s="938"/>
      <c r="DO52" s="938"/>
      <c r="DP52" s="938"/>
      <c r="DQ52" s="938"/>
      <c r="DR52" s="938"/>
      <c r="DS52" s="938"/>
      <c r="DU52" s="937"/>
      <c r="DV52" s="938"/>
      <c r="DW52" s="938"/>
      <c r="DX52" s="938"/>
      <c r="DY52" s="938"/>
      <c r="DZ52" s="938"/>
      <c r="EA52" s="938"/>
      <c r="EB52" s="938"/>
      <c r="EC52" s="938"/>
      <c r="ED52" s="938"/>
      <c r="EE52" s="938"/>
      <c r="EF52" s="938"/>
    </row>
    <row r="53" spans="1:136">
      <c r="A53" s="920"/>
      <c r="B53" s="920"/>
      <c r="C53" s="1294"/>
      <c r="D53" s="921"/>
      <c r="E53" s="921"/>
      <c r="F53" s="922"/>
      <c r="G53" s="923"/>
      <c r="H53" s="924"/>
      <c r="I53" s="925"/>
      <c r="J53" s="926"/>
      <c r="K53" s="927"/>
      <c r="L53" s="923"/>
      <c r="M53" s="928"/>
      <c r="N53" s="927"/>
      <c r="O53" s="927"/>
      <c r="P53" s="923"/>
      <c r="Q53" s="923"/>
      <c r="R53" s="923"/>
      <c r="S53" s="927"/>
      <c r="T53" s="929"/>
      <c r="U53" s="927"/>
      <c r="V53" s="930"/>
      <c r="W53" s="927"/>
      <c r="X53" s="927"/>
      <c r="Y53" s="927"/>
      <c r="Z53" s="927"/>
      <c r="AA53" s="931"/>
      <c r="AB53" s="923"/>
      <c r="AC53" s="923"/>
      <c r="AD53" s="923"/>
      <c r="AE53" s="932"/>
      <c r="AF53" s="927"/>
      <c r="AG53" s="924"/>
      <c r="AH53" s="923"/>
      <c r="AI53" s="927"/>
      <c r="AJ53" s="927"/>
      <c r="AK53" s="933"/>
      <c r="AL53" s="933"/>
      <c r="AM53" s="930"/>
      <c r="AN53" s="930"/>
      <c r="AO53" s="934"/>
      <c r="AP53" s="934"/>
      <c r="AQ53" s="923"/>
      <c r="AR53" s="923"/>
      <c r="AS53" s="923"/>
      <c r="AT53" s="923"/>
      <c r="AU53" s="923"/>
      <c r="AV53" s="923"/>
      <c r="AW53" s="923"/>
      <c r="AX53" s="923"/>
      <c r="AY53" s="923"/>
      <c r="AZ53" s="923"/>
      <c r="BA53" s="935"/>
      <c r="BB53" s="935"/>
      <c r="BC53" s="935"/>
      <c r="BD53" s="935"/>
      <c r="BE53" s="935"/>
      <c r="BF53" s="946"/>
      <c r="BH53" s="937"/>
      <c r="BI53" s="894"/>
      <c r="BJ53" s="894"/>
      <c r="BK53" s="938"/>
      <c r="BL53" s="938"/>
      <c r="BM53" s="895"/>
      <c r="BN53" s="938"/>
      <c r="BO53" s="700"/>
      <c r="BP53" s="938"/>
      <c r="BQ53" s="938"/>
      <c r="BR53" s="938"/>
      <c r="BS53" s="938"/>
      <c r="BT53" s="938"/>
      <c r="BU53" s="938"/>
      <c r="BV53" s="938"/>
      <c r="BW53" s="938"/>
      <c r="BX53" s="938"/>
      <c r="BY53" s="938"/>
      <c r="BZ53" s="938"/>
      <c r="CA53" s="938"/>
      <c r="CB53" s="938"/>
      <c r="CC53" s="938"/>
      <c r="CD53" s="938"/>
      <c r="CE53" s="938"/>
      <c r="CF53" s="938"/>
      <c r="CG53" s="938"/>
      <c r="CH53" s="938"/>
      <c r="CI53" s="938"/>
      <c r="CJ53" s="938"/>
      <c r="CK53" s="938"/>
      <c r="CL53" s="938"/>
      <c r="CM53" s="938"/>
      <c r="CN53" s="938"/>
      <c r="CO53" s="938"/>
      <c r="CP53" s="938"/>
      <c r="CQ53" s="936"/>
      <c r="CS53" s="895"/>
      <c r="CT53" s="701"/>
      <c r="CU53" s="895"/>
      <c r="CV53" s="938"/>
      <c r="CW53" s="938"/>
      <c r="CX53" s="938"/>
      <c r="CY53" s="938"/>
      <c r="CZ53" s="938"/>
      <c r="DA53" s="938"/>
      <c r="DB53" s="938"/>
      <c r="DC53" s="938"/>
      <c r="DD53" s="938"/>
      <c r="DE53" s="938"/>
      <c r="DF53" s="938"/>
      <c r="DG53" s="938"/>
      <c r="DH53" s="938"/>
      <c r="DI53" s="938"/>
      <c r="DJ53" s="938"/>
      <c r="DK53" s="938"/>
      <c r="DL53" s="938"/>
      <c r="DM53" s="938"/>
      <c r="DN53" s="938"/>
      <c r="DO53" s="938"/>
      <c r="DP53" s="938"/>
      <c r="DQ53" s="938"/>
      <c r="DR53" s="938"/>
      <c r="DS53" s="938"/>
      <c r="DU53" s="937"/>
      <c r="DV53" s="938"/>
      <c r="DW53" s="938"/>
      <c r="DX53" s="938"/>
      <c r="DY53" s="938"/>
      <c r="DZ53" s="938"/>
      <c r="EA53" s="938"/>
      <c r="EB53" s="938"/>
      <c r="EC53" s="938"/>
      <c r="ED53" s="938"/>
      <c r="EE53" s="938"/>
      <c r="EF53" s="938"/>
    </row>
    <row r="54" spans="1:136">
      <c r="A54" s="920"/>
      <c r="B54" s="920"/>
      <c r="C54" s="1294"/>
      <c r="D54" s="921"/>
      <c r="E54" s="921"/>
      <c r="F54" s="922"/>
      <c r="G54" s="923"/>
      <c r="H54" s="924"/>
      <c r="I54" s="925"/>
      <c r="J54" s="926"/>
      <c r="K54" s="927"/>
      <c r="L54" s="923"/>
      <c r="M54" s="928"/>
      <c r="N54" s="927"/>
      <c r="O54" s="927"/>
      <c r="P54" s="923"/>
      <c r="Q54" s="923"/>
      <c r="R54" s="923"/>
      <c r="S54" s="927"/>
      <c r="T54" s="929"/>
      <c r="U54" s="927"/>
      <c r="V54" s="930"/>
      <c r="W54" s="927"/>
      <c r="X54" s="927"/>
      <c r="Y54" s="927"/>
      <c r="Z54" s="927"/>
      <c r="AA54" s="931"/>
      <c r="AB54" s="923"/>
      <c r="AC54" s="923"/>
      <c r="AD54" s="923"/>
      <c r="AE54" s="932"/>
      <c r="AF54" s="927"/>
      <c r="AG54" s="924"/>
      <c r="AH54" s="923"/>
      <c r="AI54" s="927"/>
      <c r="AJ54" s="927"/>
      <c r="AK54" s="933"/>
      <c r="AL54" s="933"/>
      <c r="AM54" s="930"/>
      <c r="AN54" s="930"/>
      <c r="AO54" s="934"/>
      <c r="AP54" s="934"/>
      <c r="AQ54" s="923"/>
      <c r="AR54" s="923"/>
      <c r="AS54" s="923"/>
      <c r="AT54" s="923"/>
      <c r="AU54" s="923"/>
      <c r="AV54" s="923"/>
      <c r="AW54" s="923"/>
      <c r="AX54" s="923"/>
      <c r="AY54" s="923"/>
      <c r="AZ54" s="923"/>
      <c r="BA54" s="935"/>
      <c r="BB54" s="935"/>
      <c r="BC54" s="935"/>
      <c r="BD54" s="935"/>
      <c r="BE54" s="935"/>
      <c r="BF54" s="946"/>
      <c r="BH54" s="937"/>
      <c r="BI54" s="894"/>
      <c r="BJ54" s="894"/>
      <c r="BK54" s="938"/>
      <c r="BL54" s="938"/>
      <c r="BM54" s="895"/>
      <c r="BN54" s="938"/>
      <c r="BO54" s="700"/>
      <c r="BP54" s="938"/>
      <c r="BQ54" s="938"/>
      <c r="BR54" s="938"/>
      <c r="BS54" s="938"/>
      <c r="BT54" s="938"/>
      <c r="BU54" s="938"/>
      <c r="BV54" s="938"/>
      <c r="BW54" s="938"/>
      <c r="BX54" s="938"/>
      <c r="BY54" s="938"/>
      <c r="BZ54" s="938"/>
      <c r="CA54" s="938"/>
      <c r="CB54" s="938"/>
      <c r="CC54" s="938"/>
      <c r="CD54" s="938"/>
      <c r="CE54" s="938"/>
      <c r="CF54" s="938"/>
      <c r="CG54" s="938"/>
      <c r="CH54" s="938"/>
      <c r="CI54" s="938"/>
      <c r="CJ54" s="938"/>
      <c r="CK54" s="938"/>
      <c r="CL54" s="938"/>
      <c r="CM54" s="938"/>
      <c r="CN54" s="938"/>
      <c r="CO54" s="938"/>
      <c r="CP54" s="938"/>
      <c r="CQ54" s="936"/>
      <c r="CS54" s="895"/>
      <c r="CT54" s="701"/>
      <c r="CU54" s="895"/>
      <c r="CV54" s="938"/>
      <c r="CW54" s="938"/>
      <c r="CX54" s="938"/>
      <c r="CY54" s="938"/>
      <c r="CZ54" s="938"/>
      <c r="DA54" s="938"/>
      <c r="DB54" s="938"/>
      <c r="DC54" s="938"/>
      <c r="DD54" s="938"/>
      <c r="DE54" s="938"/>
      <c r="DF54" s="938"/>
      <c r="DG54" s="938"/>
      <c r="DH54" s="938"/>
      <c r="DI54" s="938"/>
      <c r="DJ54" s="938"/>
      <c r="DK54" s="938"/>
      <c r="DL54" s="938"/>
      <c r="DM54" s="938"/>
      <c r="DN54" s="938"/>
      <c r="DO54" s="938"/>
      <c r="DP54" s="938"/>
      <c r="DQ54" s="938"/>
      <c r="DR54" s="938"/>
      <c r="DS54" s="938"/>
      <c r="DU54" s="937"/>
      <c r="DV54" s="938"/>
      <c r="DW54" s="938"/>
      <c r="DX54" s="938"/>
      <c r="DY54" s="938"/>
      <c r="DZ54" s="938"/>
      <c r="EA54" s="938"/>
      <c r="EB54" s="938"/>
      <c r="EC54" s="938"/>
      <c r="ED54" s="938"/>
      <c r="EE54" s="938"/>
      <c r="EF54" s="938"/>
    </row>
    <row r="55" spans="1:136">
      <c r="A55" s="920"/>
      <c r="B55" s="920"/>
      <c r="C55" s="1294"/>
      <c r="D55" s="921"/>
      <c r="E55" s="921"/>
      <c r="F55" s="922"/>
      <c r="G55" s="923"/>
      <c r="H55" s="924"/>
      <c r="I55" s="925"/>
      <c r="J55" s="926"/>
      <c r="K55" s="927"/>
      <c r="L55" s="923"/>
      <c r="M55" s="928"/>
      <c r="N55" s="927"/>
      <c r="O55" s="927"/>
      <c r="P55" s="923"/>
      <c r="Q55" s="923"/>
      <c r="R55" s="923"/>
      <c r="S55" s="927"/>
      <c r="T55" s="929"/>
      <c r="U55" s="927"/>
      <c r="V55" s="930"/>
      <c r="W55" s="927"/>
      <c r="X55" s="927"/>
      <c r="Y55" s="927"/>
      <c r="Z55" s="927"/>
      <c r="AA55" s="931"/>
      <c r="AB55" s="923"/>
      <c r="AC55" s="923"/>
      <c r="AD55" s="923"/>
      <c r="AE55" s="932"/>
      <c r="AF55" s="927"/>
      <c r="AG55" s="924"/>
      <c r="AH55" s="923"/>
      <c r="AI55" s="927"/>
      <c r="AJ55" s="927"/>
      <c r="AK55" s="933"/>
      <c r="AL55" s="933"/>
      <c r="AM55" s="930"/>
      <c r="AN55" s="930"/>
      <c r="AO55" s="934"/>
      <c r="AP55" s="934"/>
      <c r="AQ55" s="923"/>
      <c r="AR55" s="923"/>
      <c r="AS55" s="923"/>
      <c r="AT55" s="923"/>
      <c r="AU55" s="923"/>
      <c r="AV55" s="923"/>
      <c r="AW55" s="923"/>
      <c r="AX55" s="923"/>
      <c r="AY55" s="923"/>
      <c r="AZ55" s="923"/>
      <c r="BA55" s="935"/>
      <c r="BB55" s="935"/>
      <c r="BC55" s="935"/>
      <c r="BD55" s="935"/>
      <c r="BE55" s="935"/>
      <c r="BF55" s="946"/>
      <c r="BH55" s="937"/>
      <c r="BI55" s="894"/>
      <c r="BJ55" s="894"/>
      <c r="BK55" s="938"/>
      <c r="BL55" s="938"/>
      <c r="BM55" s="895"/>
      <c r="BN55" s="938"/>
      <c r="BO55" s="700"/>
      <c r="BP55" s="938"/>
      <c r="BQ55" s="938"/>
      <c r="BR55" s="938"/>
      <c r="BS55" s="938"/>
      <c r="BT55" s="938"/>
      <c r="BU55" s="938"/>
      <c r="BV55" s="938"/>
      <c r="BW55" s="938"/>
      <c r="BX55" s="938"/>
      <c r="BY55" s="938"/>
      <c r="BZ55" s="938"/>
      <c r="CA55" s="938"/>
      <c r="CB55" s="938"/>
      <c r="CC55" s="938"/>
      <c r="CD55" s="938"/>
      <c r="CE55" s="938"/>
      <c r="CF55" s="938"/>
      <c r="CG55" s="938"/>
      <c r="CH55" s="938"/>
      <c r="CI55" s="938"/>
      <c r="CJ55" s="938"/>
      <c r="CK55" s="938"/>
      <c r="CL55" s="938"/>
      <c r="CM55" s="938"/>
      <c r="CN55" s="938"/>
      <c r="CO55" s="938"/>
      <c r="CP55" s="938"/>
      <c r="CQ55" s="936"/>
      <c r="CS55" s="895"/>
      <c r="CT55" s="701"/>
      <c r="CU55" s="895"/>
      <c r="CV55" s="938"/>
      <c r="CW55" s="938"/>
      <c r="CX55" s="938"/>
      <c r="CY55" s="938"/>
      <c r="CZ55" s="938"/>
      <c r="DA55" s="938"/>
      <c r="DB55" s="938"/>
      <c r="DC55" s="938"/>
      <c r="DD55" s="938"/>
      <c r="DE55" s="938"/>
      <c r="DF55" s="938"/>
      <c r="DG55" s="938"/>
      <c r="DH55" s="938"/>
      <c r="DI55" s="938"/>
      <c r="DJ55" s="938"/>
      <c r="DK55" s="938"/>
      <c r="DL55" s="938"/>
      <c r="DM55" s="938"/>
      <c r="DN55" s="938"/>
      <c r="DO55" s="938"/>
      <c r="DP55" s="938"/>
      <c r="DQ55" s="938"/>
      <c r="DR55" s="938"/>
      <c r="DS55" s="938"/>
      <c r="DU55" s="937"/>
      <c r="DV55" s="938"/>
      <c r="DW55" s="938"/>
      <c r="DX55" s="938"/>
      <c r="DY55" s="938"/>
      <c r="DZ55" s="938"/>
      <c r="EA55" s="938"/>
      <c r="EB55" s="938"/>
      <c r="EC55" s="938"/>
      <c r="ED55" s="938"/>
      <c r="EE55" s="938"/>
      <c r="EF55" s="938"/>
    </row>
    <row r="56" spans="1:136">
      <c r="A56" s="920"/>
      <c r="B56" s="920"/>
      <c r="C56" s="1294"/>
      <c r="D56" s="921"/>
      <c r="E56" s="921"/>
      <c r="F56" s="922"/>
      <c r="G56" s="923"/>
      <c r="H56" s="924"/>
      <c r="I56" s="925"/>
      <c r="J56" s="926"/>
      <c r="K56" s="927"/>
      <c r="L56" s="923"/>
      <c r="M56" s="928"/>
      <c r="N56" s="927"/>
      <c r="O56" s="927"/>
      <c r="P56" s="923"/>
      <c r="Q56" s="923"/>
      <c r="R56" s="923"/>
      <c r="S56" s="927"/>
      <c r="T56" s="929"/>
      <c r="U56" s="927"/>
      <c r="V56" s="930"/>
      <c r="W56" s="927"/>
      <c r="X56" s="927"/>
      <c r="Y56" s="927"/>
      <c r="Z56" s="927"/>
      <c r="AA56" s="931"/>
      <c r="AB56" s="923"/>
      <c r="AC56" s="923"/>
      <c r="AD56" s="923"/>
      <c r="AE56" s="932"/>
      <c r="AF56" s="927"/>
      <c r="AG56" s="924"/>
      <c r="AH56" s="923"/>
      <c r="AI56" s="927"/>
      <c r="AJ56" s="927"/>
      <c r="AK56" s="933"/>
      <c r="AL56" s="933"/>
      <c r="AM56" s="930"/>
      <c r="AN56" s="930"/>
      <c r="AO56" s="934"/>
      <c r="AP56" s="934"/>
      <c r="AQ56" s="923"/>
      <c r="AR56" s="923"/>
      <c r="AS56" s="923"/>
      <c r="AT56" s="923"/>
      <c r="AU56" s="923"/>
      <c r="AV56" s="923"/>
      <c r="AW56" s="923"/>
      <c r="AX56" s="923"/>
      <c r="AY56" s="923"/>
      <c r="AZ56" s="923"/>
      <c r="BA56" s="935"/>
      <c r="BB56" s="935"/>
      <c r="BC56" s="935"/>
      <c r="BD56" s="935"/>
      <c r="BE56" s="935"/>
      <c r="BF56" s="946"/>
      <c r="BH56" s="937"/>
      <c r="BI56" s="894"/>
      <c r="BJ56" s="894"/>
      <c r="BK56" s="938"/>
      <c r="BL56" s="938"/>
      <c r="BM56" s="895"/>
      <c r="BN56" s="938"/>
      <c r="BO56" s="700"/>
      <c r="BP56" s="938"/>
      <c r="BQ56" s="938"/>
      <c r="BR56" s="938"/>
      <c r="BS56" s="938"/>
      <c r="BT56" s="938"/>
      <c r="BU56" s="938"/>
      <c r="BV56" s="938"/>
      <c r="BW56" s="938"/>
      <c r="BX56" s="938"/>
      <c r="BY56" s="938"/>
      <c r="BZ56" s="938"/>
      <c r="CA56" s="938"/>
      <c r="CB56" s="938"/>
      <c r="CC56" s="938"/>
      <c r="CD56" s="938"/>
      <c r="CE56" s="938"/>
      <c r="CF56" s="938"/>
      <c r="CG56" s="938"/>
      <c r="CH56" s="938"/>
      <c r="CI56" s="938"/>
      <c r="CJ56" s="938"/>
      <c r="CK56" s="938"/>
      <c r="CL56" s="938"/>
      <c r="CM56" s="938"/>
      <c r="CN56" s="938"/>
      <c r="CO56" s="938"/>
      <c r="CP56" s="938"/>
      <c r="CQ56" s="936"/>
      <c r="CS56" s="895"/>
      <c r="CT56" s="701"/>
      <c r="CU56" s="895"/>
      <c r="CV56" s="938"/>
      <c r="CW56" s="938"/>
      <c r="CX56" s="938"/>
      <c r="CY56" s="938"/>
      <c r="CZ56" s="938"/>
      <c r="DA56" s="938"/>
      <c r="DB56" s="938"/>
      <c r="DC56" s="938"/>
      <c r="DD56" s="938"/>
      <c r="DE56" s="938"/>
      <c r="DF56" s="938"/>
      <c r="DG56" s="938"/>
      <c r="DH56" s="938"/>
      <c r="DI56" s="938"/>
      <c r="DJ56" s="938"/>
      <c r="DK56" s="938"/>
      <c r="DL56" s="938"/>
      <c r="DM56" s="938"/>
      <c r="DN56" s="938"/>
      <c r="DO56" s="938"/>
      <c r="DP56" s="938"/>
      <c r="DQ56" s="938"/>
      <c r="DR56" s="938"/>
      <c r="DS56" s="938"/>
      <c r="DU56" s="937"/>
      <c r="DV56" s="938"/>
      <c r="DW56" s="938"/>
      <c r="DX56" s="938"/>
      <c r="DY56" s="938"/>
      <c r="DZ56" s="938"/>
      <c r="EA56" s="938"/>
      <c r="EB56" s="938"/>
      <c r="EC56" s="938"/>
      <c r="ED56" s="938"/>
      <c r="EE56" s="938"/>
      <c r="EF56" s="938"/>
    </row>
    <row r="57" spans="1:136">
      <c r="A57" s="920"/>
      <c r="B57" s="920"/>
      <c r="C57" s="1294"/>
      <c r="D57" s="921"/>
      <c r="E57" s="921"/>
      <c r="F57" s="922"/>
      <c r="G57" s="923"/>
      <c r="H57" s="924"/>
      <c r="I57" s="925"/>
      <c r="J57" s="926"/>
      <c r="K57" s="927"/>
      <c r="L57" s="923"/>
      <c r="M57" s="928"/>
      <c r="N57" s="927"/>
      <c r="O57" s="927"/>
      <c r="P57" s="923"/>
      <c r="Q57" s="923"/>
      <c r="R57" s="923"/>
      <c r="S57" s="927"/>
      <c r="T57" s="929"/>
      <c r="U57" s="927"/>
      <c r="V57" s="930"/>
      <c r="W57" s="927"/>
      <c r="X57" s="927"/>
      <c r="Y57" s="927"/>
      <c r="Z57" s="927"/>
      <c r="AA57" s="931"/>
      <c r="AB57" s="923"/>
      <c r="AC57" s="923"/>
      <c r="AD57" s="923"/>
      <c r="AE57" s="932"/>
      <c r="AF57" s="927"/>
      <c r="AG57" s="924"/>
      <c r="AH57" s="923"/>
      <c r="AI57" s="927"/>
      <c r="AJ57" s="927"/>
      <c r="AK57" s="933"/>
      <c r="AL57" s="933"/>
      <c r="AM57" s="930"/>
      <c r="AN57" s="930"/>
      <c r="AO57" s="934"/>
      <c r="AP57" s="940"/>
      <c r="AQ57" s="923"/>
      <c r="AR57" s="923"/>
      <c r="AS57" s="923"/>
      <c r="AT57" s="923"/>
      <c r="AU57" s="923"/>
      <c r="AV57" s="923"/>
      <c r="AW57" s="923"/>
      <c r="AX57" s="923"/>
      <c r="AY57" s="923"/>
      <c r="AZ57" s="923"/>
      <c r="BA57" s="935"/>
      <c r="BB57" s="935"/>
      <c r="BC57" s="935"/>
      <c r="BD57" s="935"/>
      <c r="BE57" s="935"/>
      <c r="BF57" s="946"/>
      <c r="BH57" s="937"/>
      <c r="BI57" s="894"/>
      <c r="BJ57" s="894"/>
      <c r="BK57" s="938"/>
      <c r="BL57" s="938"/>
      <c r="BM57" s="895"/>
      <c r="BN57" s="938"/>
      <c r="BO57" s="700"/>
      <c r="BP57" s="938"/>
      <c r="BQ57" s="938"/>
      <c r="BR57" s="938"/>
      <c r="BS57" s="938"/>
      <c r="BT57" s="938"/>
      <c r="BU57" s="938"/>
      <c r="BV57" s="938"/>
      <c r="BW57" s="938"/>
      <c r="BX57" s="938"/>
      <c r="BY57" s="938"/>
      <c r="BZ57" s="938"/>
      <c r="CA57" s="938"/>
      <c r="CB57" s="938"/>
      <c r="CC57" s="938"/>
      <c r="CD57" s="938"/>
      <c r="CE57" s="938"/>
      <c r="CF57" s="938"/>
      <c r="CG57" s="938"/>
      <c r="CH57" s="938"/>
      <c r="CI57" s="938"/>
      <c r="CJ57" s="938"/>
      <c r="CK57" s="938"/>
      <c r="CL57" s="938"/>
      <c r="CM57" s="938"/>
      <c r="CN57" s="938"/>
      <c r="CO57" s="938"/>
      <c r="CP57" s="938"/>
      <c r="CQ57" s="936"/>
      <c r="CS57" s="895"/>
      <c r="CT57" s="701"/>
      <c r="CU57" s="895"/>
      <c r="CV57" s="938"/>
      <c r="CW57" s="938"/>
      <c r="CX57" s="938"/>
      <c r="CY57" s="938"/>
      <c r="CZ57" s="938"/>
      <c r="DA57" s="938"/>
      <c r="DB57" s="938"/>
      <c r="DC57" s="938"/>
      <c r="DD57" s="938"/>
      <c r="DE57" s="938"/>
      <c r="DF57" s="938"/>
      <c r="DG57" s="938"/>
      <c r="DH57" s="938"/>
      <c r="DI57" s="938"/>
      <c r="DJ57" s="938"/>
      <c r="DK57" s="938"/>
      <c r="DL57" s="938"/>
      <c r="DM57" s="938"/>
      <c r="DN57" s="938"/>
      <c r="DO57" s="938"/>
      <c r="DP57" s="938"/>
      <c r="DQ57" s="938"/>
      <c r="DR57" s="938"/>
      <c r="DS57" s="938"/>
      <c r="DU57" s="937"/>
      <c r="DV57" s="938"/>
      <c r="DW57" s="938"/>
      <c r="DX57" s="938"/>
      <c r="DY57" s="938"/>
      <c r="DZ57" s="938"/>
      <c r="EA57" s="938"/>
      <c r="EB57" s="938"/>
      <c r="EC57" s="938"/>
      <c r="ED57" s="938"/>
      <c r="EE57" s="938"/>
      <c r="EF57" s="938"/>
    </row>
    <row r="58" spans="1:136" s="919" customFormat="1">
      <c r="A58" s="948" t="s">
        <v>2325</v>
      </c>
      <c r="B58" s="949"/>
      <c r="C58" s="1295"/>
      <c r="D58" s="964"/>
      <c r="E58" s="964"/>
      <c r="F58" s="948"/>
      <c r="G58" s="951"/>
      <c r="H58" s="952"/>
      <c r="I58" s="953"/>
      <c r="J58" s="954"/>
      <c r="K58" s="955"/>
      <c r="L58" s="951"/>
      <c r="M58" s="956"/>
      <c r="N58" s="955"/>
      <c r="O58" s="955"/>
      <c r="P58" s="951"/>
      <c r="Q58" s="951"/>
      <c r="R58" s="951"/>
      <c r="S58" s="955"/>
      <c r="T58" s="957"/>
      <c r="U58" s="955"/>
      <c r="V58" s="958"/>
      <c r="W58" s="955"/>
      <c r="X58" s="955"/>
      <c r="Y58" s="955"/>
      <c r="Z58" s="955"/>
      <c r="AA58" s="959"/>
      <c r="AB58" s="951"/>
      <c r="AC58" s="951"/>
      <c r="AD58" s="951"/>
      <c r="AE58" s="960"/>
      <c r="AF58" s="955"/>
      <c r="AG58" s="952"/>
      <c r="AH58" s="951"/>
      <c r="AI58" s="955"/>
      <c r="AJ58" s="955"/>
      <c r="AK58" s="961"/>
      <c r="AL58" s="961"/>
      <c r="AM58" s="958"/>
      <c r="AN58" s="958"/>
      <c r="AO58" s="962"/>
      <c r="AP58" s="962"/>
      <c r="AQ58" s="951"/>
      <c r="AR58" s="951"/>
      <c r="AS58" s="951"/>
      <c r="AT58" s="951"/>
      <c r="AU58" s="951"/>
      <c r="AV58" s="951"/>
      <c r="AW58" s="951"/>
      <c r="AX58" s="951"/>
      <c r="AY58" s="951"/>
      <c r="AZ58" s="951"/>
      <c r="BA58" s="963"/>
      <c r="BB58" s="963"/>
      <c r="BC58" s="963"/>
      <c r="BD58" s="963"/>
      <c r="BE58" s="963"/>
      <c r="BF58" s="966"/>
      <c r="BH58" s="917"/>
      <c r="BI58" s="903"/>
      <c r="BJ58" s="903"/>
      <c r="BK58" s="901"/>
      <c r="BL58" s="901"/>
      <c r="BM58" s="908"/>
      <c r="BN58" s="901"/>
      <c r="BO58" s="698" t="str">
        <f t="shared" si="34"/>
        <v/>
      </c>
      <c r="BP58" s="901"/>
      <c r="BQ58" s="901"/>
      <c r="BR58" s="901"/>
      <c r="BS58" s="901"/>
      <c r="BT58" s="901"/>
      <c r="BU58" s="901">
        <f t="shared" si="35"/>
        <v>0</v>
      </c>
      <c r="BV58" s="901"/>
      <c r="BW58" s="901" t="str">
        <f t="shared" si="159"/>
        <v/>
      </c>
      <c r="BX58" s="901" t="str">
        <f t="shared" si="160"/>
        <v/>
      </c>
      <c r="BY58" s="901" t="str">
        <f t="shared" si="25"/>
        <v/>
      </c>
      <c r="BZ58" s="901" t="str">
        <f t="shared" si="36"/>
        <v/>
      </c>
      <c r="CA58" s="901"/>
      <c r="CB58" s="901"/>
      <c r="CC58" s="901"/>
      <c r="CD58" s="901"/>
      <c r="CE58" s="901"/>
      <c r="CF58" s="901"/>
      <c r="CG58" s="901"/>
      <c r="CH58" s="901"/>
      <c r="CI58" s="901"/>
      <c r="CJ58" s="901"/>
      <c r="CK58" s="901"/>
      <c r="CL58" s="901"/>
      <c r="CM58" s="901"/>
      <c r="CN58" s="901" t="str">
        <f t="shared" si="26"/>
        <v/>
      </c>
      <c r="CO58" s="901" t="str">
        <f t="shared" si="27"/>
        <v/>
      </c>
      <c r="CP58" s="901"/>
      <c r="CQ58" s="916"/>
      <c r="CS58" s="908"/>
      <c r="CT58" s="699"/>
      <c r="CU58" s="908"/>
      <c r="CV58" s="901"/>
      <c r="CW58" s="901"/>
      <c r="CX58" s="901"/>
      <c r="CY58" s="901"/>
      <c r="CZ58" s="901"/>
      <c r="DA58" s="901"/>
      <c r="DB58" s="901"/>
      <c r="DC58" s="901"/>
      <c r="DD58" s="901"/>
      <c r="DE58" s="901"/>
      <c r="DF58" s="901"/>
      <c r="DG58" s="901"/>
      <c r="DH58" s="901"/>
      <c r="DI58" s="901"/>
      <c r="DJ58" s="901"/>
      <c r="DK58" s="901"/>
      <c r="DL58" s="901"/>
      <c r="DM58" s="901"/>
      <c r="DN58" s="901"/>
      <c r="DO58" s="901" t="str">
        <f t="shared" si="59"/>
        <v/>
      </c>
      <c r="DP58" s="901"/>
      <c r="DQ58" s="901" t="str">
        <f t="shared" si="61"/>
        <v/>
      </c>
      <c r="DR58" s="901" t="str">
        <f t="shared" si="62"/>
        <v/>
      </c>
      <c r="DS58" s="901"/>
      <c r="DU58" s="917"/>
      <c r="DV58" s="901"/>
      <c r="DW58" s="901"/>
      <c r="DX58" s="901"/>
      <c r="DY58" s="901"/>
      <c r="DZ58" s="901"/>
      <c r="EA58" s="901"/>
      <c r="EB58" s="901"/>
      <c r="EC58" s="901"/>
      <c r="ED58" s="901"/>
      <c r="EE58" s="901"/>
      <c r="EF58" s="901"/>
    </row>
    <row r="59" spans="1:136">
      <c r="A59" s="920" t="s">
        <v>2217</v>
      </c>
      <c r="B59" s="920" t="s">
        <v>2218</v>
      </c>
      <c r="C59" s="1294">
        <v>43.668999999999997</v>
      </c>
      <c r="D59" s="921">
        <v>0</v>
      </c>
      <c r="E59" s="921">
        <v>43.668999999999997</v>
      </c>
      <c r="F59" s="922">
        <v>1.4999999999999999E-2</v>
      </c>
      <c r="G59" s="923">
        <v>1.5</v>
      </c>
      <c r="H59" s="924">
        <v>1.5E-3</v>
      </c>
      <c r="I59" s="925">
        <v>0.11884861114291469</v>
      </c>
      <c r="J59" s="926">
        <v>0.11899999999999999</v>
      </c>
      <c r="K59" s="927">
        <v>4.170367672234998E-2</v>
      </c>
      <c r="L59" s="923">
        <v>1.6418770363064237</v>
      </c>
      <c r="M59" s="928">
        <v>8</v>
      </c>
      <c r="N59" s="927">
        <v>0.2</v>
      </c>
      <c r="O59" s="927">
        <v>0.182</v>
      </c>
      <c r="P59" s="923">
        <v>7.6329751815658847E-2</v>
      </c>
      <c r="Q59" s="923">
        <v>2.9340004585427057</v>
      </c>
      <c r="R59" s="923">
        <v>0.02</v>
      </c>
      <c r="S59" s="927">
        <v>0.36199999999999999</v>
      </c>
      <c r="T59" s="929">
        <v>0.124</v>
      </c>
      <c r="U59" s="927">
        <v>0.315</v>
      </c>
      <c r="V59" s="930">
        <v>1.0621081659924594</v>
      </c>
      <c r="W59" s="927">
        <v>5.7496113978994172E-2</v>
      </c>
      <c r="X59" s="927">
        <v>1.43325E-2</v>
      </c>
      <c r="Y59" s="927">
        <v>2.2567999999999998E-2</v>
      </c>
      <c r="Z59" s="927">
        <v>8.006411397899417E-2</v>
      </c>
      <c r="AA59" s="931">
        <v>6.7000000000000004E-2</v>
      </c>
      <c r="AB59" s="923">
        <v>1.2194E-2</v>
      </c>
      <c r="AC59" s="923">
        <v>16.731617175</v>
      </c>
      <c r="AD59" s="923">
        <v>3.0708680000514885</v>
      </c>
      <c r="AE59" s="932" t="s">
        <v>2197</v>
      </c>
      <c r="AF59" s="927">
        <v>5.7496113978994172E-2</v>
      </c>
      <c r="AG59" s="924">
        <v>5.7496113978994174E-3</v>
      </c>
      <c r="AH59" s="923">
        <v>3.2967032967032965</v>
      </c>
      <c r="AI59" s="927">
        <v>1.4374028494748543E-3</v>
      </c>
      <c r="AJ59" s="927">
        <v>7.1870142473742715E-3</v>
      </c>
      <c r="AK59" s="933">
        <v>990.88</v>
      </c>
      <c r="AL59" s="933">
        <v>985.69</v>
      </c>
      <c r="AM59" s="930">
        <v>989.68</v>
      </c>
      <c r="AN59" s="930">
        <v>984.48338899999999</v>
      </c>
      <c r="AO59" s="934">
        <v>989.4799999999999</v>
      </c>
      <c r="AP59" s="934">
        <v>984.28338899999994</v>
      </c>
      <c r="AQ59" s="923">
        <v>989.50256799999988</v>
      </c>
      <c r="AR59" s="923">
        <v>984.30595699999992</v>
      </c>
      <c r="AS59" s="923">
        <v>989.56006411397891</v>
      </c>
      <c r="AT59" s="923">
        <v>984.36345311397895</v>
      </c>
      <c r="AU59" s="923">
        <v>1.2000000000000455</v>
      </c>
      <c r="AV59" s="923">
        <v>1.2066110000000663</v>
      </c>
      <c r="AW59" s="923">
        <v>1.4000000000000909</v>
      </c>
      <c r="AX59" s="923">
        <v>1.4066110000001117</v>
      </c>
      <c r="AY59" s="923">
        <v>1.999999999998181E-2</v>
      </c>
      <c r="AZ59" s="923" t="s">
        <v>2187</v>
      </c>
      <c r="BA59" s="935" t="s">
        <v>2188</v>
      </c>
      <c r="BB59" s="935" t="s">
        <v>2189</v>
      </c>
      <c r="BC59" s="935" t="s">
        <v>2198</v>
      </c>
      <c r="BD59" s="935" t="s">
        <v>2191</v>
      </c>
      <c r="BE59" s="935" t="s">
        <v>2191</v>
      </c>
      <c r="BF59" s="946"/>
      <c r="BH59" s="937"/>
      <c r="BI59" s="894" t="str">
        <f t="shared" si="71"/>
        <v>PZ-45</v>
      </c>
      <c r="BJ59" s="894" t="str">
        <f t="shared" si="71"/>
        <v>PZ-46</v>
      </c>
      <c r="BK59" s="938">
        <f t="shared" si="0"/>
        <v>43.67</v>
      </c>
      <c r="BL59" s="938">
        <f t="shared" si="32"/>
        <v>42.07</v>
      </c>
      <c r="BM59" s="895">
        <f t="shared" si="2"/>
        <v>8</v>
      </c>
      <c r="BN59" s="938">
        <f t="shared" si="33"/>
        <v>42.47</v>
      </c>
      <c r="BO59" s="700">
        <f t="shared" si="34"/>
        <v>0.6</v>
      </c>
      <c r="BP59" s="938">
        <f t="shared" si="4"/>
        <v>1.4</v>
      </c>
      <c r="BQ59" s="938">
        <f t="shared" si="5"/>
        <v>1.41</v>
      </c>
      <c r="BR59" s="938">
        <f t="shared" si="6"/>
        <v>1.51</v>
      </c>
      <c r="BS59" s="938">
        <f t="shared" si="7"/>
        <v>38.119999999999997</v>
      </c>
      <c r="BT59" s="938">
        <f t="shared" si="23"/>
        <v>63.525700000000001</v>
      </c>
      <c r="BU59" s="938">
        <f t="shared" si="35"/>
        <v>0</v>
      </c>
      <c r="BV59" s="938">
        <f t="shared" si="24"/>
        <v>0</v>
      </c>
      <c r="BW59" s="938">
        <f t="shared" si="159"/>
        <v>0</v>
      </c>
      <c r="BX59" s="938">
        <f t="shared" si="160"/>
        <v>30.5</v>
      </c>
      <c r="BY59" s="938">
        <f t="shared" si="25"/>
        <v>6.48</v>
      </c>
      <c r="BZ59" s="938">
        <f t="shared" si="36"/>
        <v>1.1399999999999999</v>
      </c>
      <c r="CA59" s="938">
        <f t="shared" si="37"/>
        <v>1.36</v>
      </c>
      <c r="CB59" s="938">
        <f t="shared" si="10"/>
        <v>25.24</v>
      </c>
      <c r="CC59" s="938" t="s">
        <v>2192</v>
      </c>
      <c r="CD59" s="938">
        <f t="shared" si="11"/>
        <v>0</v>
      </c>
      <c r="CE59" s="938">
        <f t="shared" si="12"/>
        <v>0</v>
      </c>
      <c r="CF59" s="938">
        <f t="shared" si="38"/>
        <v>0</v>
      </c>
      <c r="CG59" s="938">
        <f t="shared" si="39"/>
        <v>0</v>
      </c>
      <c r="CH59" s="938">
        <v>0.3</v>
      </c>
      <c r="CI59" s="938">
        <f t="shared" si="40"/>
        <v>0</v>
      </c>
      <c r="CJ59" s="938">
        <f t="shared" si="41"/>
        <v>0</v>
      </c>
      <c r="CK59" s="938">
        <f t="shared" si="17"/>
        <v>34.24</v>
      </c>
      <c r="CL59" s="938">
        <f t="shared" si="18"/>
        <v>0.1</v>
      </c>
      <c r="CM59" s="938">
        <f t="shared" si="19"/>
        <v>2.52</v>
      </c>
      <c r="CN59" s="938">
        <f t="shared" si="26"/>
        <v>9.9499999999999993</v>
      </c>
      <c r="CO59" s="938">
        <f t="shared" si="27"/>
        <v>24.29</v>
      </c>
      <c r="CP59" s="938">
        <f t="shared" si="42"/>
        <v>13.83</v>
      </c>
      <c r="CQ59" s="936"/>
      <c r="CS59" s="895">
        <f t="shared" si="28"/>
        <v>8</v>
      </c>
      <c r="CT59" s="701">
        <f t="shared" si="29"/>
        <v>200</v>
      </c>
      <c r="CU59" s="895">
        <v>3</v>
      </c>
      <c r="CV59" s="938">
        <v>33.5</v>
      </c>
      <c r="CW59" s="938">
        <f t="shared" si="43"/>
        <v>100.5</v>
      </c>
      <c r="CX59" s="938">
        <f t="shared" si="30"/>
        <v>0.6</v>
      </c>
      <c r="CY59" s="938">
        <f t="shared" si="44"/>
        <v>1.26</v>
      </c>
      <c r="CZ59" s="938">
        <f t="shared" si="45"/>
        <v>75.98</v>
      </c>
      <c r="DA59" s="938">
        <f t="shared" si="46"/>
        <v>0</v>
      </c>
      <c r="DB59" s="938">
        <f t="shared" si="47"/>
        <v>0</v>
      </c>
      <c r="DC59" s="938">
        <f t="shared" si="48"/>
        <v>0</v>
      </c>
      <c r="DD59" s="938">
        <f t="shared" si="49"/>
        <v>1.83</v>
      </c>
      <c r="DE59" s="938">
        <f t="shared" si="50"/>
        <v>60.3</v>
      </c>
      <c r="DF59" s="938" t="str">
        <f t="shared" si="51"/>
        <v>D</v>
      </c>
      <c r="DG59" s="938">
        <f t="shared" si="52"/>
        <v>0</v>
      </c>
      <c r="DH59" s="938">
        <f t="shared" si="53"/>
        <v>0</v>
      </c>
      <c r="DI59" s="938">
        <f t="shared" si="54"/>
        <v>0</v>
      </c>
      <c r="DJ59" s="938">
        <f t="shared" si="55"/>
        <v>0</v>
      </c>
      <c r="DK59" s="938">
        <v>0.3</v>
      </c>
      <c r="DL59" s="938">
        <f t="shared" si="56"/>
        <v>0</v>
      </c>
      <c r="DM59" s="938">
        <f t="shared" si="57"/>
        <v>0</v>
      </c>
      <c r="DN59" s="938">
        <f t="shared" si="58"/>
        <v>68.12</v>
      </c>
      <c r="DO59" s="938">
        <f t="shared" si="59"/>
        <v>0.1</v>
      </c>
      <c r="DP59" s="938">
        <f t="shared" si="60"/>
        <v>6.03</v>
      </c>
      <c r="DQ59" s="938">
        <f t="shared" si="61"/>
        <v>13.62</v>
      </c>
      <c r="DR59" s="938">
        <f t="shared" si="62"/>
        <v>54.5</v>
      </c>
      <c r="DS59" s="938">
        <f t="shared" si="63"/>
        <v>19.649999999999999</v>
      </c>
      <c r="DU59" s="937" t="str">
        <f t="shared" si="31"/>
        <v>PZ-45</v>
      </c>
      <c r="DV59" s="938">
        <f t="shared" si="64"/>
        <v>1.5999999999999999</v>
      </c>
      <c r="DW59" s="938">
        <v>1.2</v>
      </c>
      <c r="DX59" s="938">
        <v>1.6</v>
      </c>
      <c r="DY59" s="938">
        <f t="shared" si="65"/>
        <v>-3.2169908772759483</v>
      </c>
      <c r="DZ59" s="938">
        <v>1.6</v>
      </c>
      <c r="EA59" s="938">
        <v>1.6</v>
      </c>
      <c r="EB59" s="938">
        <f t="shared" si="66"/>
        <v>4.0960000000000001</v>
      </c>
      <c r="EC59" s="938">
        <f t="shared" si="67"/>
        <v>0.87900912272405174</v>
      </c>
      <c r="ED59" s="938">
        <f t="shared" si="68"/>
        <v>0.4834550174982285</v>
      </c>
      <c r="EE59" s="938">
        <f t="shared" si="69"/>
        <v>0.39555410522582329</v>
      </c>
      <c r="EF59" s="938">
        <f t="shared" si="70"/>
        <v>0.4834550174982285</v>
      </c>
    </row>
    <row r="60" spans="1:136">
      <c r="A60" s="920" t="s">
        <v>2218</v>
      </c>
      <c r="B60" s="920" t="s">
        <v>2219</v>
      </c>
      <c r="C60" s="1294">
        <v>20.32</v>
      </c>
      <c r="D60" s="921">
        <v>43.668999999999997</v>
      </c>
      <c r="E60" s="921">
        <v>63.988999999999997</v>
      </c>
      <c r="F60" s="922">
        <v>1.4999999999999999E-2</v>
      </c>
      <c r="G60" s="923">
        <v>1.5</v>
      </c>
      <c r="H60" s="924">
        <v>1.5E-3</v>
      </c>
      <c r="I60" s="925">
        <v>-4.3799212598424522E-2</v>
      </c>
      <c r="J60" s="926">
        <v>1.7000000000000001E-2</v>
      </c>
      <c r="K60" s="927">
        <v>6.0066209690782142E-2</v>
      </c>
      <c r="L60" s="923">
        <v>2.3648114051394438</v>
      </c>
      <c r="M60" s="928">
        <v>8</v>
      </c>
      <c r="N60" s="927">
        <v>0.2</v>
      </c>
      <c r="O60" s="927">
        <v>0.182</v>
      </c>
      <c r="P60" s="923">
        <v>2.8849934419930605E-2</v>
      </c>
      <c r="Q60" s="923">
        <v>1.1089479371219251</v>
      </c>
      <c r="R60" s="923">
        <v>0.05</v>
      </c>
      <c r="S60" s="927">
        <v>0.45300000000000001</v>
      </c>
      <c r="T60" s="929">
        <v>0.182</v>
      </c>
      <c r="U60" s="927">
        <v>0.44900000000000001</v>
      </c>
      <c r="V60" s="930">
        <v>0.50235341551623203</v>
      </c>
      <c r="W60" s="927">
        <v>1.2862332012274418E-2</v>
      </c>
      <c r="X60" s="927">
        <v>2.04295E-2</v>
      </c>
      <c r="Y60" s="927">
        <v>3.3124000000000001E-2</v>
      </c>
      <c r="Z60" s="927">
        <v>4.5986332012274422E-2</v>
      </c>
      <c r="AA60" s="931">
        <v>0.11600000000000001</v>
      </c>
      <c r="AB60" s="923">
        <v>2.1111999999999999E-2</v>
      </c>
      <c r="AC60" s="923">
        <v>3.4070277149999999</v>
      </c>
      <c r="AD60" s="923">
        <v>1.1038502671573596</v>
      </c>
      <c r="AE60" s="932" t="s">
        <v>2197</v>
      </c>
      <c r="AF60" s="927">
        <v>-4.4633781966719757E-2</v>
      </c>
      <c r="AG60" s="924">
        <v>8.9267563933439521E-3</v>
      </c>
      <c r="AH60" s="923">
        <v>3.2967032967032965</v>
      </c>
      <c r="AI60" s="927">
        <v>1.7589611497817147E-3</v>
      </c>
      <c r="AJ60" s="927">
        <v>1.0685717543125667E-2</v>
      </c>
      <c r="AK60" s="933">
        <v>985.69</v>
      </c>
      <c r="AL60" s="933">
        <v>986.58</v>
      </c>
      <c r="AM60" s="930">
        <v>984.46338900000001</v>
      </c>
      <c r="AN60" s="930">
        <v>984.11794899999995</v>
      </c>
      <c r="AO60" s="934">
        <v>984.26338899999996</v>
      </c>
      <c r="AP60" s="934">
        <v>983.91794899999991</v>
      </c>
      <c r="AQ60" s="923">
        <v>984.296513</v>
      </c>
      <c r="AR60" s="923">
        <v>983.95107299999995</v>
      </c>
      <c r="AS60" s="923">
        <v>984.35626609973156</v>
      </c>
      <c r="AT60" s="923">
        <v>984.0108260997315</v>
      </c>
      <c r="AU60" s="923">
        <v>1.2266110000000481</v>
      </c>
      <c r="AV60" s="923">
        <v>2.4620510000000877</v>
      </c>
      <c r="AW60" s="923">
        <v>1.4266110000000936</v>
      </c>
      <c r="AX60" s="923">
        <v>2.6620510000001332</v>
      </c>
      <c r="AY60" s="923">
        <v>1.999999999998181E-2</v>
      </c>
      <c r="AZ60" s="923" t="s">
        <v>2187</v>
      </c>
      <c r="BA60" s="935" t="s">
        <v>2188</v>
      </c>
      <c r="BB60" s="935" t="s">
        <v>2189</v>
      </c>
      <c r="BC60" s="935" t="s">
        <v>2190</v>
      </c>
      <c r="BD60" s="935" t="s">
        <v>2191</v>
      </c>
      <c r="BE60" s="935" t="s">
        <v>2191</v>
      </c>
      <c r="BF60" s="946"/>
      <c r="BH60" s="937"/>
      <c r="BI60" s="894" t="str">
        <f t="shared" si="71"/>
        <v>PZ-46</v>
      </c>
      <c r="BJ60" s="894" t="str">
        <f t="shared" si="71"/>
        <v>PZ-47</v>
      </c>
      <c r="BK60" s="938">
        <f t="shared" si="0"/>
        <v>20.32</v>
      </c>
      <c r="BL60" s="938">
        <f t="shared" si="32"/>
        <v>18.72</v>
      </c>
      <c r="BM60" s="895">
        <f t="shared" si="2"/>
        <v>8</v>
      </c>
      <c r="BN60" s="938">
        <f t="shared" si="33"/>
        <v>19.12</v>
      </c>
      <c r="BO60" s="700">
        <f t="shared" si="34"/>
        <v>0.6</v>
      </c>
      <c r="BP60" s="938">
        <f t="shared" si="4"/>
        <v>1.43</v>
      </c>
      <c r="BQ60" s="938">
        <f t="shared" si="5"/>
        <v>2.66</v>
      </c>
      <c r="BR60" s="938">
        <f t="shared" si="6"/>
        <v>2.15</v>
      </c>
      <c r="BS60" s="938">
        <f t="shared" si="7"/>
        <v>24.15</v>
      </c>
      <c r="BT60" s="938">
        <f t="shared" si="23"/>
        <v>0</v>
      </c>
      <c r="BU60" s="938">
        <f t="shared" si="35"/>
        <v>31.393439999999998</v>
      </c>
      <c r="BV60" s="938">
        <f t="shared" si="24"/>
        <v>0</v>
      </c>
      <c r="BW60" s="938">
        <f t="shared" si="159"/>
        <v>0</v>
      </c>
      <c r="BX60" s="938">
        <f t="shared" si="160"/>
        <v>19.32</v>
      </c>
      <c r="BY60" s="938">
        <f t="shared" si="25"/>
        <v>4.1100000000000003</v>
      </c>
      <c r="BZ60" s="938">
        <f t="shared" si="36"/>
        <v>0.72</v>
      </c>
      <c r="CA60" s="938">
        <f t="shared" si="37"/>
        <v>0.61</v>
      </c>
      <c r="CB60" s="938">
        <f t="shared" si="10"/>
        <v>11.23</v>
      </c>
      <c r="CC60" s="938" t="s">
        <v>2192</v>
      </c>
      <c r="CD60" s="938">
        <f t="shared" si="11"/>
        <v>0</v>
      </c>
      <c r="CE60" s="938">
        <f t="shared" si="12"/>
        <v>0</v>
      </c>
      <c r="CF60" s="938">
        <f t="shared" si="38"/>
        <v>0</v>
      </c>
      <c r="CG60" s="938">
        <f t="shared" si="39"/>
        <v>0</v>
      </c>
      <c r="CH60" s="938">
        <v>0.3</v>
      </c>
      <c r="CI60" s="938">
        <f t="shared" si="40"/>
        <v>0</v>
      </c>
      <c r="CJ60" s="938">
        <f t="shared" si="41"/>
        <v>0</v>
      </c>
      <c r="CK60" s="938">
        <f t="shared" si="17"/>
        <v>22.42</v>
      </c>
      <c r="CL60" s="938">
        <f t="shared" si="18"/>
        <v>0.1</v>
      </c>
      <c r="CM60" s="938">
        <f t="shared" si="19"/>
        <v>1.1200000000000001</v>
      </c>
      <c r="CN60" s="938">
        <f t="shared" si="26"/>
        <v>6.51</v>
      </c>
      <c r="CO60" s="938">
        <f t="shared" si="27"/>
        <v>15.91</v>
      </c>
      <c r="CP60" s="938">
        <f t="shared" si="42"/>
        <v>8.24</v>
      </c>
      <c r="CQ60" s="936"/>
      <c r="CS60" s="895">
        <f t="shared" si="28"/>
        <v>8</v>
      </c>
      <c r="CT60" s="701">
        <f t="shared" si="29"/>
        <v>200</v>
      </c>
      <c r="CU60" s="895">
        <v>2</v>
      </c>
      <c r="CV60" s="938">
        <v>28.9</v>
      </c>
      <c r="CW60" s="938">
        <f t="shared" si="43"/>
        <v>57.8</v>
      </c>
      <c r="CX60" s="938">
        <f t="shared" si="30"/>
        <v>0.6</v>
      </c>
      <c r="CY60" s="938">
        <f t="shared" si="44"/>
        <v>1.58</v>
      </c>
      <c r="CZ60" s="938">
        <f t="shared" si="45"/>
        <v>54.79</v>
      </c>
      <c r="DA60" s="938">
        <f t="shared" si="46"/>
        <v>91.32</v>
      </c>
      <c r="DB60" s="938">
        <f t="shared" si="47"/>
        <v>0</v>
      </c>
      <c r="DC60" s="938">
        <f t="shared" si="48"/>
        <v>0</v>
      </c>
      <c r="DD60" s="938">
        <f t="shared" si="49"/>
        <v>1.05</v>
      </c>
      <c r="DE60" s="938">
        <f t="shared" si="50"/>
        <v>34.68</v>
      </c>
      <c r="DF60" s="938" t="str">
        <f t="shared" si="51"/>
        <v>D</v>
      </c>
      <c r="DG60" s="938">
        <f t="shared" si="52"/>
        <v>0</v>
      </c>
      <c r="DH60" s="938">
        <f t="shared" si="53"/>
        <v>0</v>
      </c>
      <c r="DI60" s="938">
        <f t="shared" si="54"/>
        <v>0</v>
      </c>
      <c r="DJ60" s="938">
        <f t="shared" si="55"/>
        <v>0</v>
      </c>
      <c r="DK60" s="938">
        <v>0.3</v>
      </c>
      <c r="DL60" s="938">
        <f t="shared" si="56"/>
        <v>0</v>
      </c>
      <c r="DM60" s="938">
        <f t="shared" si="57"/>
        <v>0</v>
      </c>
      <c r="DN60" s="938">
        <f t="shared" si="58"/>
        <v>50.27</v>
      </c>
      <c r="DO60" s="938">
        <f t="shared" si="59"/>
        <v>0.1</v>
      </c>
      <c r="DP60" s="938">
        <f t="shared" si="60"/>
        <v>3.468</v>
      </c>
      <c r="DQ60" s="938">
        <f t="shared" si="61"/>
        <v>10.050000000000001</v>
      </c>
      <c r="DR60" s="938">
        <f t="shared" si="62"/>
        <v>40.22</v>
      </c>
      <c r="DS60" s="938">
        <f t="shared" si="63"/>
        <v>13.52</v>
      </c>
      <c r="DU60" s="937" t="str">
        <f t="shared" si="31"/>
        <v>PZ-46</v>
      </c>
      <c r="DV60" s="938">
        <f t="shared" ref="DV60:DV74" si="161">+BP60+0.2</f>
        <v>1.63</v>
      </c>
      <c r="DW60" s="938">
        <v>1.2</v>
      </c>
      <c r="DX60" s="938">
        <v>1.6</v>
      </c>
      <c r="DY60" s="938">
        <f t="shared" ref="DY60:DY74" si="162">+((PI()*DX60^2)/4)*DV60*-1</f>
        <v>-3.2773094562248724</v>
      </c>
      <c r="DZ60" s="938">
        <v>1.6</v>
      </c>
      <c r="EA60" s="938">
        <v>1.6</v>
      </c>
      <c r="EB60" s="938">
        <f t="shared" ref="EB60:EB74" si="163">+(DZ60*EA60*DV60)</f>
        <v>4.1728000000000005</v>
      </c>
      <c r="EC60" s="938">
        <f t="shared" ref="EC60:EC74" si="164">+EB60+DY60</f>
        <v>0.89549054377512816</v>
      </c>
      <c r="ED60" s="938">
        <f t="shared" ref="ED60:ED74" si="165">+EC60*0.55</f>
        <v>0.49251979907632054</v>
      </c>
      <c r="EE60" s="938">
        <f t="shared" ref="EE60:EE74" si="166">+EC60*0.45</f>
        <v>0.40297074469880767</v>
      </c>
      <c r="EF60" s="938">
        <f t="shared" ref="EF60:EF74" si="167">+ED60</f>
        <v>0.49251979907632054</v>
      </c>
    </row>
    <row r="61" spans="1:136">
      <c r="A61" s="920" t="s">
        <v>2219</v>
      </c>
      <c r="B61" s="920" t="s">
        <v>2220</v>
      </c>
      <c r="C61" s="1294">
        <v>59.393999999999998</v>
      </c>
      <c r="D61" s="921">
        <v>63.988999999999997</v>
      </c>
      <c r="E61" s="921">
        <v>123.383</v>
      </c>
      <c r="F61" s="922">
        <v>1.4999999999999999E-2</v>
      </c>
      <c r="G61" s="923">
        <v>1.5</v>
      </c>
      <c r="H61" s="924">
        <v>1.5E-3</v>
      </c>
      <c r="I61" s="925">
        <v>1.1785702259495914E-3</v>
      </c>
      <c r="J61" s="926">
        <v>1.7000000000000001E-2</v>
      </c>
      <c r="K61" s="927">
        <v>6.0066209690782142E-2</v>
      </c>
      <c r="L61" s="923">
        <v>2.3648114051394438</v>
      </c>
      <c r="M61" s="928">
        <v>8</v>
      </c>
      <c r="N61" s="927">
        <v>0.2</v>
      </c>
      <c r="O61" s="927">
        <v>0.182</v>
      </c>
      <c r="P61" s="923">
        <v>2.8849934419930605E-2</v>
      </c>
      <c r="Q61" s="923">
        <v>1.1089479371219251</v>
      </c>
      <c r="R61" s="923">
        <v>0.05</v>
      </c>
      <c r="S61" s="927">
        <v>0.45300000000000001</v>
      </c>
      <c r="T61" s="929">
        <v>0.182</v>
      </c>
      <c r="U61" s="927">
        <v>0.44900000000000001</v>
      </c>
      <c r="V61" s="930">
        <v>0.50235341551623203</v>
      </c>
      <c r="W61" s="927">
        <v>1.2862332012274418E-2</v>
      </c>
      <c r="X61" s="927">
        <v>2.04295E-2</v>
      </c>
      <c r="Y61" s="927">
        <v>3.3124000000000001E-2</v>
      </c>
      <c r="Z61" s="927">
        <v>4.5986332012274422E-2</v>
      </c>
      <c r="AA61" s="931">
        <v>0.11600000000000001</v>
      </c>
      <c r="AB61" s="923">
        <v>2.1111999999999999E-2</v>
      </c>
      <c r="AC61" s="923">
        <v>3.4070277149999999</v>
      </c>
      <c r="AD61" s="923">
        <v>1.1038502671573596</v>
      </c>
      <c r="AE61" s="932" t="s">
        <v>2197</v>
      </c>
      <c r="AF61" s="927">
        <v>0</v>
      </c>
      <c r="AG61" s="924">
        <v>0</v>
      </c>
      <c r="AH61" s="923">
        <v>3.2967032967032965</v>
      </c>
      <c r="AI61" s="927">
        <v>6.4311660061372098E-4</v>
      </c>
      <c r="AJ61" s="927">
        <v>6.4311660061372098E-4</v>
      </c>
      <c r="AK61" s="933">
        <v>986.58</v>
      </c>
      <c r="AL61" s="933">
        <v>986.51</v>
      </c>
      <c r="AM61" s="930">
        <v>984.09794899999997</v>
      </c>
      <c r="AN61" s="930">
        <v>983.08825100000001</v>
      </c>
      <c r="AO61" s="934">
        <v>983.89794899999993</v>
      </c>
      <c r="AP61" s="934">
        <v>982.88825099999997</v>
      </c>
      <c r="AQ61" s="923">
        <v>983.93107299999997</v>
      </c>
      <c r="AR61" s="923">
        <v>982.92137500000001</v>
      </c>
      <c r="AS61" s="923">
        <v>984.00014038218842</v>
      </c>
      <c r="AT61" s="923">
        <v>982.99044238218846</v>
      </c>
      <c r="AU61" s="923">
        <v>2.4820510000000695</v>
      </c>
      <c r="AV61" s="923">
        <v>3.4217489999999771</v>
      </c>
      <c r="AW61" s="923">
        <v>2.682051000000115</v>
      </c>
      <c r="AX61" s="923">
        <v>3.6217490000000225</v>
      </c>
      <c r="AY61" s="923">
        <v>1.999999999998181E-2</v>
      </c>
      <c r="AZ61" s="923" t="s">
        <v>2187</v>
      </c>
      <c r="BA61" s="935" t="s">
        <v>2188</v>
      </c>
      <c r="BB61" s="935" t="s">
        <v>2189</v>
      </c>
      <c r="BC61" s="935" t="s">
        <v>2190</v>
      </c>
      <c r="BD61" s="935" t="s">
        <v>2191</v>
      </c>
      <c r="BE61" s="935" t="s">
        <v>2194</v>
      </c>
      <c r="BF61" s="946"/>
      <c r="BH61" s="937"/>
      <c r="BI61" s="894" t="str">
        <f t="shared" si="71"/>
        <v>PZ-47</v>
      </c>
      <c r="BJ61" s="894" t="str">
        <f t="shared" si="71"/>
        <v>PZ-48</v>
      </c>
      <c r="BK61" s="938">
        <f t="shared" si="0"/>
        <v>59.39</v>
      </c>
      <c r="BL61" s="938">
        <f t="shared" si="32"/>
        <v>57.79</v>
      </c>
      <c r="BM61" s="895">
        <f t="shared" si="2"/>
        <v>8</v>
      </c>
      <c r="BN61" s="938">
        <f t="shared" si="33"/>
        <v>58.19</v>
      </c>
      <c r="BO61" s="700">
        <f t="shared" si="34"/>
        <v>0.6</v>
      </c>
      <c r="BP61" s="938">
        <f t="shared" si="4"/>
        <v>2.68</v>
      </c>
      <c r="BQ61" s="938">
        <f t="shared" si="5"/>
        <v>3.62</v>
      </c>
      <c r="BR61" s="938">
        <f t="shared" si="6"/>
        <v>3.25</v>
      </c>
      <c r="BS61" s="938">
        <f t="shared" si="7"/>
        <v>112.69</v>
      </c>
      <c r="BT61" s="938">
        <f t="shared" si="23"/>
        <v>0</v>
      </c>
      <c r="BU61" s="938">
        <f t="shared" si="35"/>
        <v>146.49764999999999</v>
      </c>
      <c r="BV61" s="938">
        <f t="shared" si="24"/>
        <v>0</v>
      </c>
      <c r="BW61" s="938">
        <f t="shared" si="159"/>
        <v>0</v>
      </c>
      <c r="BX61" s="938">
        <f t="shared" si="160"/>
        <v>90.15</v>
      </c>
      <c r="BY61" s="938">
        <f t="shared" si="25"/>
        <v>19.16</v>
      </c>
      <c r="BZ61" s="938">
        <f t="shared" si="36"/>
        <v>3.38</v>
      </c>
      <c r="CA61" s="938">
        <f t="shared" si="37"/>
        <v>1.87</v>
      </c>
      <c r="CB61" s="938">
        <f t="shared" si="10"/>
        <v>34.67</v>
      </c>
      <c r="CC61" s="938" t="s">
        <v>2192</v>
      </c>
      <c r="CD61" s="938">
        <f t="shared" si="11"/>
        <v>0</v>
      </c>
      <c r="CE61" s="938">
        <f t="shared" si="12"/>
        <v>0</v>
      </c>
      <c r="CF61" s="938">
        <f t="shared" si="38"/>
        <v>0</v>
      </c>
      <c r="CG61" s="938">
        <f t="shared" si="39"/>
        <v>0</v>
      </c>
      <c r="CH61" s="938">
        <v>0.3</v>
      </c>
      <c r="CI61" s="938">
        <f t="shared" si="40"/>
        <v>0</v>
      </c>
      <c r="CJ61" s="938">
        <f t="shared" si="41"/>
        <v>0</v>
      </c>
      <c r="CK61" s="938">
        <f t="shared" si="17"/>
        <v>107.35</v>
      </c>
      <c r="CL61" s="938">
        <f t="shared" si="18"/>
        <v>0.1</v>
      </c>
      <c r="CM61" s="938">
        <f t="shared" si="19"/>
        <v>3.47</v>
      </c>
      <c r="CN61" s="938">
        <f t="shared" si="26"/>
        <v>31.19</v>
      </c>
      <c r="CO61" s="938">
        <f t="shared" si="27"/>
        <v>76.16</v>
      </c>
      <c r="CP61" s="938">
        <f t="shared" si="42"/>
        <v>36.53</v>
      </c>
      <c r="CQ61" s="936"/>
      <c r="CS61" s="895">
        <f t="shared" si="28"/>
        <v>8</v>
      </c>
      <c r="CT61" s="701">
        <f t="shared" si="29"/>
        <v>200</v>
      </c>
      <c r="CU61" s="895">
        <v>4</v>
      </c>
      <c r="CV61" s="938">
        <v>33.25</v>
      </c>
      <c r="CW61" s="938">
        <f t="shared" si="43"/>
        <v>133</v>
      </c>
      <c r="CX61" s="938">
        <f t="shared" si="30"/>
        <v>0.8</v>
      </c>
      <c r="CY61" s="938">
        <f t="shared" si="44"/>
        <v>2.13</v>
      </c>
      <c r="CZ61" s="938">
        <f t="shared" si="45"/>
        <v>226.63</v>
      </c>
      <c r="DA61" s="938">
        <f t="shared" si="46"/>
        <v>0</v>
      </c>
      <c r="DB61" s="938">
        <f t="shared" si="47"/>
        <v>283.29000000000002</v>
      </c>
      <c r="DC61" s="938">
        <f t="shared" si="48"/>
        <v>0</v>
      </c>
      <c r="DD61" s="938">
        <f t="shared" si="49"/>
        <v>2.4300000000000002</v>
      </c>
      <c r="DE61" s="938">
        <f t="shared" si="50"/>
        <v>106.4</v>
      </c>
      <c r="DF61" s="938" t="str">
        <f t="shared" si="51"/>
        <v>D</v>
      </c>
      <c r="DG61" s="938">
        <f t="shared" si="52"/>
        <v>0</v>
      </c>
      <c r="DH61" s="938">
        <f t="shared" si="53"/>
        <v>0</v>
      </c>
      <c r="DI61" s="938">
        <f t="shared" si="54"/>
        <v>0</v>
      </c>
      <c r="DJ61" s="938">
        <f t="shared" si="55"/>
        <v>0</v>
      </c>
      <c r="DK61" s="938">
        <v>0.3</v>
      </c>
      <c r="DL61" s="938">
        <f t="shared" si="56"/>
        <v>0</v>
      </c>
      <c r="DM61" s="938">
        <f t="shared" si="57"/>
        <v>0</v>
      </c>
      <c r="DN61" s="938">
        <f t="shared" si="58"/>
        <v>213.56</v>
      </c>
      <c r="DO61" s="938">
        <f t="shared" si="59"/>
        <v>0.1</v>
      </c>
      <c r="DP61" s="938">
        <f t="shared" si="60"/>
        <v>10.64</v>
      </c>
      <c r="DQ61" s="938">
        <f t="shared" si="61"/>
        <v>42.71</v>
      </c>
      <c r="DR61" s="938">
        <f t="shared" si="62"/>
        <v>170.85</v>
      </c>
      <c r="DS61" s="938">
        <f t="shared" si="63"/>
        <v>53.35</v>
      </c>
      <c r="DU61" s="937" t="str">
        <f t="shared" si="31"/>
        <v>PZ-47</v>
      </c>
      <c r="DV61" s="938">
        <f t="shared" si="161"/>
        <v>2.8800000000000003</v>
      </c>
      <c r="DW61" s="938">
        <v>1.2</v>
      </c>
      <c r="DX61" s="938">
        <v>1.6</v>
      </c>
      <c r="DY61" s="938">
        <f t="shared" si="162"/>
        <v>-5.7905835790967082</v>
      </c>
      <c r="DZ61" s="938">
        <v>1.6</v>
      </c>
      <c r="EA61" s="938">
        <v>1.6</v>
      </c>
      <c r="EB61" s="938">
        <f t="shared" si="163"/>
        <v>7.3728000000000025</v>
      </c>
      <c r="EC61" s="938">
        <f t="shared" si="164"/>
        <v>1.5822164209032943</v>
      </c>
      <c r="ED61" s="938">
        <f t="shared" si="165"/>
        <v>0.8702190314968119</v>
      </c>
      <c r="EE61" s="938">
        <f t="shared" si="166"/>
        <v>0.71199738940648249</v>
      </c>
      <c r="EF61" s="938">
        <f t="shared" si="167"/>
        <v>0.8702190314968119</v>
      </c>
    </row>
    <row r="62" spans="1:136">
      <c r="A62" s="920" t="s">
        <v>2220</v>
      </c>
      <c r="B62" s="920" t="s">
        <v>2221</v>
      </c>
      <c r="C62" s="1294">
        <v>62.662999999999997</v>
      </c>
      <c r="D62" s="921">
        <v>123.383</v>
      </c>
      <c r="E62" s="921">
        <v>186.04599999999999</v>
      </c>
      <c r="F62" s="922">
        <v>1.4999999999999999E-2</v>
      </c>
      <c r="G62" s="923">
        <v>1.8</v>
      </c>
      <c r="H62" s="924">
        <v>1.8E-3</v>
      </c>
      <c r="I62" s="925">
        <v>7.6759810414438273E-2</v>
      </c>
      <c r="J62" s="926">
        <v>4.1000000000000002E-2</v>
      </c>
      <c r="K62" s="927">
        <v>5.4529987077962853E-2</v>
      </c>
      <c r="L62" s="923">
        <v>2.1468498849505799</v>
      </c>
      <c r="M62" s="928">
        <v>8</v>
      </c>
      <c r="N62" s="927">
        <v>0.2</v>
      </c>
      <c r="O62" s="927">
        <v>0.182</v>
      </c>
      <c r="P62" s="923">
        <v>4.4803536728441791E-2</v>
      </c>
      <c r="Q62" s="923">
        <v>1.7221803317669875</v>
      </c>
      <c r="R62" s="923">
        <v>0.04</v>
      </c>
      <c r="S62" s="927">
        <v>0.42699999999999999</v>
      </c>
      <c r="T62" s="929">
        <v>0.16500000000000001</v>
      </c>
      <c r="U62" s="927">
        <v>0.41</v>
      </c>
      <c r="V62" s="930">
        <v>0.73537100166450364</v>
      </c>
      <c r="W62" s="927">
        <v>2.756220744592535E-2</v>
      </c>
      <c r="X62" s="927">
        <v>1.8654999999999998E-2</v>
      </c>
      <c r="Y62" s="927">
        <v>3.0030000000000001E-2</v>
      </c>
      <c r="Z62" s="927">
        <v>5.7592207445925352E-2</v>
      </c>
      <c r="AA62" s="931">
        <v>0.10199999999999999</v>
      </c>
      <c r="AB62" s="923">
        <v>1.8563999999999997E-2</v>
      </c>
      <c r="AC62" s="923">
        <v>7.5032275499999992</v>
      </c>
      <c r="AD62" s="923">
        <v>1.7232021051356294</v>
      </c>
      <c r="AE62" s="932" t="s">
        <v>2197</v>
      </c>
      <c r="AF62" s="927">
        <v>1.4699875433650932E-2</v>
      </c>
      <c r="AG62" s="924">
        <v>1.4699875433650932E-3</v>
      </c>
      <c r="AH62" s="923">
        <v>3.2967032967032965</v>
      </c>
      <c r="AI62" s="927">
        <v>1.0106134864549942E-3</v>
      </c>
      <c r="AJ62" s="927">
        <v>2.4806010298200872E-3</v>
      </c>
      <c r="AK62" s="933">
        <v>986.51</v>
      </c>
      <c r="AL62" s="933">
        <v>981.7</v>
      </c>
      <c r="AM62" s="930">
        <v>983.06825100000003</v>
      </c>
      <c r="AN62" s="930">
        <v>980.49906800000008</v>
      </c>
      <c r="AO62" s="934">
        <v>982.86825099999999</v>
      </c>
      <c r="AP62" s="934">
        <v>980.29906800000003</v>
      </c>
      <c r="AQ62" s="923">
        <v>982.898281</v>
      </c>
      <c r="AR62" s="923">
        <v>980.32909800000004</v>
      </c>
      <c r="AS62" s="923">
        <v>982.98979926558786</v>
      </c>
      <c r="AT62" s="923">
        <v>980.42061626558791</v>
      </c>
      <c r="AU62" s="923">
        <v>3.4417489999999589</v>
      </c>
      <c r="AV62" s="923">
        <v>1.2009319999999661</v>
      </c>
      <c r="AW62" s="923">
        <v>3.6417490000000043</v>
      </c>
      <c r="AX62" s="923">
        <v>1.4009320000000116</v>
      </c>
      <c r="AY62" s="923">
        <v>1.999999999998181E-2</v>
      </c>
      <c r="AZ62" s="923" t="s">
        <v>2187</v>
      </c>
      <c r="BA62" s="935" t="s">
        <v>2188</v>
      </c>
      <c r="BB62" s="935" t="s">
        <v>2189</v>
      </c>
      <c r="BC62" s="935" t="s">
        <v>2198</v>
      </c>
      <c r="BD62" s="935" t="s">
        <v>2194</v>
      </c>
      <c r="BE62" s="935" t="s">
        <v>2191</v>
      </c>
      <c r="BF62" s="946"/>
      <c r="BH62" s="937"/>
      <c r="BI62" s="894" t="str">
        <f t="shared" si="71"/>
        <v>PZ-48</v>
      </c>
      <c r="BJ62" s="894" t="str">
        <f t="shared" si="71"/>
        <v>PZ-49</v>
      </c>
      <c r="BK62" s="938">
        <f t="shared" si="0"/>
        <v>62.66</v>
      </c>
      <c r="BL62" s="938">
        <f t="shared" si="32"/>
        <v>61.06</v>
      </c>
      <c r="BM62" s="895">
        <f t="shared" si="2"/>
        <v>8</v>
      </c>
      <c r="BN62" s="938">
        <f t="shared" si="33"/>
        <v>61.46</v>
      </c>
      <c r="BO62" s="700">
        <f t="shared" si="34"/>
        <v>0.6</v>
      </c>
      <c r="BP62" s="938">
        <f t="shared" si="4"/>
        <v>3.64</v>
      </c>
      <c r="BQ62" s="938">
        <f t="shared" si="5"/>
        <v>1.4</v>
      </c>
      <c r="BR62" s="938">
        <f t="shared" si="6"/>
        <v>2.62</v>
      </c>
      <c r="BS62" s="938">
        <f t="shared" si="7"/>
        <v>95.99</v>
      </c>
      <c r="BT62" s="938">
        <f t="shared" si="23"/>
        <v>0</v>
      </c>
      <c r="BU62" s="938">
        <f t="shared" si="35"/>
        <v>124.78221600000001</v>
      </c>
      <c r="BV62" s="938">
        <f t="shared" si="24"/>
        <v>0</v>
      </c>
      <c r="BW62" s="938">
        <f t="shared" si="159"/>
        <v>0</v>
      </c>
      <c r="BX62" s="938">
        <f t="shared" si="160"/>
        <v>76.790000000000006</v>
      </c>
      <c r="BY62" s="938">
        <f t="shared" si="25"/>
        <v>16.32</v>
      </c>
      <c r="BZ62" s="938">
        <f t="shared" si="36"/>
        <v>2.88</v>
      </c>
      <c r="CA62" s="938">
        <f t="shared" si="37"/>
        <v>1.98</v>
      </c>
      <c r="CB62" s="938">
        <f t="shared" si="10"/>
        <v>36.64</v>
      </c>
      <c r="CC62" s="938" t="s">
        <v>2192</v>
      </c>
      <c r="CD62" s="938">
        <f t="shared" si="11"/>
        <v>0</v>
      </c>
      <c r="CE62" s="938">
        <f t="shared" si="12"/>
        <v>0</v>
      </c>
      <c r="CF62" s="938">
        <f t="shared" si="38"/>
        <v>0</v>
      </c>
      <c r="CG62" s="938">
        <f t="shared" si="39"/>
        <v>0</v>
      </c>
      <c r="CH62" s="938">
        <v>0.3</v>
      </c>
      <c r="CI62" s="938">
        <f t="shared" si="40"/>
        <v>0</v>
      </c>
      <c r="CJ62" s="938">
        <f t="shared" si="41"/>
        <v>0</v>
      </c>
      <c r="CK62" s="938">
        <f t="shared" si="17"/>
        <v>90.35</v>
      </c>
      <c r="CL62" s="938">
        <f t="shared" si="18"/>
        <v>0.1</v>
      </c>
      <c r="CM62" s="938">
        <f t="shared" si="19"/>
        <v>3.66</v>
      </c>
      <c r="CN62" s="938">
        <f t="shared" si="26"/>
        <v>26.25</v>
      </c>
      <c r="CO62" s="938">
        <f t="shared" si="27"/>
        <v>64.099999999999994</v>
      </c>
      <c r="CP62" s="938">
        <f t="shared" si="42"/>
        <v>31.89</v>
      </c>
      <c r="CQ62" s="936"/>
      <c r="CS62" s="895">
        <f t="shared" si="28"/>
        <v>8</v>
      </c>
      <c r="CT62" s="701">
        <f t="shared" si="29"/>
        <v>200</v>
      </c>
      <c r="CU62" s="895">
        <v>7</v>
      </c>
      <c r="CV62" s="938">
        <v>22.7</v>
      </c>
      <c r="CW62" s="938">
        <f t="shared" si="43"/>
        <v>158.9</v>
      </c>
      <c r="CX62" s="938">
        <f t="shared" si="30"/>
        <v>0.6</v>
      </c>
      <c r="CY62" s="938">
        <f t="shared" si="44"/>
        <v>1.81</v>
      </c>
      <c r="CZ62" s="938">
        <f t="shared" si="45"/>
        <v>172.57</v>
      </c>
      <c r="DA62" s="938">
        <f t="shared" si="46"/>
        <v>287.61</v>
      </c>
      <c r="DB62" s="938">
        <f t="shared" si="47"/>
        <v>0</v>
      </c>
      <c r="DC62" s="938">
        <f t="shared" si="48"/>
        <v>0</v>
      </c>
      <c r="DD62" s="938">
        <f t="shared" si="49"/>
        <v>2.9</v>
      </c>
      <c r="DE62" s="938">
        <f t="shared" si="50"/>
        <v>95.34</v>
      </c>
      <c r="DF62" s="938" t="str">
        <f t="shared" si="51"/>
        <v>D</v>
      </c>
      <c r="DG62" s="938">
        <f t="shared" si="52"/>
        <v>0</v>
      </c>
      <c r="DH62" s="938">
        <f t="shared" si="53"/>
        <v>0</v>
      </c>
      <c r="DI62" s="938">
        <f t="shared" si="54"/>
        <v>0</v>
      </c>
      <c r="DJ62" s="938">
        <f t="shared" si="55"/>
        <v>0</v>
      </c>
      <c r="DK62" s="938">
        <v>0.3</v>
      </c>
      <c r="DL62" s="938">
        <f t="shared" si="56"/>
        <v>0</v>
      </c>
      <c r="DM62" s="938">
        <f t="shared" si="57"/>
        <v>0</v>
      </c>
      <c r="DN62" s="938">
        <f t="shared" si="58"/>
        <v>160.13999999999999</v>
      </c>
      <c r="DO62" s="938">
        <f t="shared" si="59"/>
        <v>0.1</v>
      </c>
      <c r="DP62" s="938">
        <f t="shared" si="60"/>
        <v>9.5340000000000007</v>
      </c>
      <c r="DQ62" s="938">
        <f t="shared" si="61"/>
        <v>32.03</v>
      </c>
      <c r="DR62" s="938">
        <f t="shared" si="62"/>
        <v>128.11000000000001</v>
      </c>
      <c r="DS62" s="938">
        <f t="shared" si="63"/>
        <v>41.56</v>
      </c>
      <c r="DU62" s="937" t="str">
        <f t="shared" si="31"/>
        <v>PZ-48</v>
      </c>
      <c r="DV62" s="938">
        <f t="shared" si="161"/>
        <v>3.8400000000000003</v>
      </c>
      <c r="DW62" s="938">
        <v>1.2</v>
      </c>
      <c r="DX62" s="938">
        <v>1.6</v>
      </c>
      <c r="DY62" s="938">
        <f t="shared" si="162"/>
        <v>-7.7207781054622773</v>
      </c>
      <c r="DZ62" s="938">
        <v>1.6</v>
      </c>
      <c r="EA62" s="938">
        <v>1.6</v>
      </c>
      <c r="EB62" s="938">
        <f t="shared" si="163"/>
        <v>9.8304000000000027</v>
      </c>
      <c r="EC62" s="938">
        <f t="shared" si="164"/>
        <v>2.1096218945377254</v>
      </c>
      <c r="ED62" s="938">
        <f t="shared" si="165"/>
        <v>1.160292041995749</v>
      </c>
      <c r="EE62" s="938">
        <f t="shared" si="166"/>
        <v>0.94932985254197644</v>
      </c>
      <c r="EF62" s="938">
        <f t="shared" si="167"/>
        <v>1.160292041995749</v>
      </c>
    </row>
    <row r="63" spans="1:136">
      <c r="A63" s="920" t="s">
        <v>2221</v>
      </c>
      <c r="B63" s="920" t="s">
        <v>2222</v>
      </c>
      <c r="C63" s="1294">
        <v>21.062000000000001</v>
      </c>
      <c r="D63" s="921">
        <v>186.04599999999999</v>
      </c>
      <c r="E63" s="921">
        <v>207.108</v>
      </c>
      <c r="F63" s="922">
        <v>1.4999999999999999E-2</v>
      </c>
      <c r="G63" s="923">
        <v>1.94</v>
      </c>
      <c r="H63" s="924">
        <v>1.9399999999999999E-3</v>
      </c>
      <c r="I63" s="925">
        <v>0.11727281359795021</v>
      </c>
      <c r="J63" s="926">
        <v>0.11650000000000001</v>
      </c>
      <c r="K63" s="927">
        <v>4.6109956893236805E-2</v>
      </c>
      <c r="L63" s="923">
        <v>1.8153526335847385</v>
      </c>
      <c r="M63" s="928">
        <v>8</v>
      </c>
      <c r="N63" s="927">
        <v>0.2</v>
      </c>
      <c r="O63" s="927">
        <v>0.182</v>
      </c>
      <c r="P63" s="923">
        <v>7.5523712839468904E-2</v>
      </c>
      <c r="Q63" s="923">
        <v>2.9030175368183433</v>
      </c>
      <c r="R63" s="923">
        <v>0.03</v>
      </c>
      <c r="S63" s="927">
        <v>0.4</v>
      </c>
      <c r="T63" s="929">
        <v>0.14799999999999999</v>
      </c>
      <c r="U63" s="927">
        <v>0.37</v>
      </c>
      <c r="V63" s="930">
        <v>1.1612070147273374</v>
      </c>
      <c r="W63" s="927">
        <v>6.8725878239142446E-2</v>
      </c>
      <c r="X63" s="927">
        <v>1.6834999999999999E-2</v>
      </c>
      <c r="Y63" s="927">
        <v>2.6935999999999998E-2</v>
      </c>
      <c r="Z63" s="927">
        <v>9.5661878239142448E-2</v>
      </c>
      <c r="AA63" s="931">
        <v>8.5999999999999993E-2</v>
      </c>
      <c r="AB63" s="923">
        <v>1.5651999999999999E-2</v>
      </c>
      <c r="AC63" s="923">
        <v>19.240132275000001</v>
      </c>
      <c r="AD63" s="923">
        <v>2.9633996645889109</v>
      </c>
      <c r="AE63" s="932" t="s">
        <v>2197</v>
      </c>
      <c r="AF63" s="927">
        <v>4.1163670793217096E-2</v>
      </c>
      <c r="AG63" s="924">
        <v>4.1163670793217099E-3</v>
      </c>
      <c r="AH63" s="923">
        <v>3.2967032967032965</v>
      </c>
      <c r="AI63" s="927">
        <v>2.4072021421266952E-3</v>
      </c>
      <c r="AJ63" s="927">
        <v>6.5235692214484046E-3</v>
      </c>
      <c r="AK63" s="933">
        <v>981.7</v>
      </c>
      <c r="AL63" s="933">
        <v>979.23</v>
      </c>
      <c r="AM63" s="930">
        <v>980.4790680000001</v>
      </c>
      <c r="AN63" s="930">
        <v>978.02534500000013</v>
      </c>
      <c r="AO63" s="934">
        <v>980.27906800000005</v>
      </c>
      <c r="AP63" s="934">
        <v>977.82534500000008</v>
      </c>
      <c r="AQ63" s="923">
        <v>980.30600400000003</v>
      </c>
      <c r="AR63" s="923">
        <v>977.85228100000006</v>
      </c>
      <c r="AS63" s="923">
        <v>980.41813566455812</v>
      </c>
      <c r="AT63" s="923">
        <v>977.96441266455815</v>
      </c>
      <c r="AU63" s="923">
        <v>1.2209319999999479</v>
      </c>
      <c r="AV63" s="923">
        <v>1.2046549999998888</v>
      </c>
      <c r="AW63" s="923">
        <v>1.4209319999999934</v>
      </c>
      <c r="AX63" s="923">
        <v>1.4046549999999343</v>
      </c>
      <c r="AY63" s="923">
        <v>1.999999999998181E-2</v>
      </c>
      <c r="AZ63" s="923" t="s">
        <v>2187</v>
      </c>
      <c r="BA63" s="935" t="s">
        <v>2188</v>
      </c>
      <c r="BB63" s="935" t="s">
        <v>2189</v>
      </c>
      <c r="BC63" s="935" t="s">
        <v>2198</v>
      </c>
      <c r="BD63" s="935" t="s">
        <v>2191</v>
      </c>
      <c r="BE63" s="935" t="s">
        <v>2191</v>
      </c>
      <c r="BF63" s="946"/>
      <c r="BH63" s="937"/>
      <c r="BI63" s="894" t="str">
        <f t="shared" si="71"/>
        <v>PZ-49</v>
      </c>
      <c r="BJ63" s="894" t="str">
        <f t="shared" si="71"/>
        <v>PZ-50</v>
      </c>
      <c r="BK63" s="938">
        <f t="shared" si="0"/>
        <v>21.06</v>
      </c>
      <c r="BL63" s="938">
        <f t="shared" si="32"/>
        <v>19.46</v>
      </c>
      <c r="BM63" s="895">
        <f t="shared" si="2"/>
        <v>8</v>
      </c>
      <c r="BN63" s="938">
        <f t="shared" si="33"/>
        <v>19.86</v>
      </c>
      <c r="BO63" s="700">
        <f t="shared" si="34"/>
        <v>0.6</v>
      </c>
      <c r="BP63" s="938">
        <f t="shared" si="4"/>
        <v>1.42</v>
      </c>
      <c r="BQ63" s="938">
        <f t="shared" si="5"/>
        <v>1.4</v>
      </c>
      <c r="BR63" s="938">
        <f t="shared" si="6"/>
        <v>1.51</v>
      </c>
      <c r="BS63" s="938">
        <f t="shared" si="7"/>
        <v>17.63</v>
      </c>
      <c r="BT63" s="938">
        <f t="shared" si="23"/>
        <v>29.384600000000002</v>
      </c>
      <c r="BU63" s="938">
        <f t="shared" si="35"/>
        <v>0</v>
      </c>
      <c r="BV63" s="938">
        <f t="shared" si="24"/>
        <v>0</v>
      </c>
      <c r="BW63" s="938">
        <f t="shared" si="159"/>
        <v>0</v>
      </c>
      <c r="BX63" s="938">
        <f t="shared" si="160"/>
        <v>14.1</v>
      </c>
      <c r="BY63" s="938">
        <f t="shared" si="25"/>
        <v>3</v>
      </c>
      <c r="BZ63" s="938">
        <f t="shared" si="36"/>
        <v>0.53</v>
      </c>
      <c r="CA63" s="938">
        <f t="shared" si="37"/>
        <v>0.63</v>
      </c>
      <c r="CB63" s="938">
        <f t="shared" si="10"/>
        <v>11.68</v>
      </c>
      <c r="CC63" s="938" t="s">
        <v>2192</v>
      </c>
      <c r="CD63" s="938">
        <f t="shared" si="11"/>
        <v>0</v>
      </c>
      <c r="CE63" s="938">
        <f t="shared" si="12"/>
        <v>0</v>
      </c>
      <c r="CF63" s="938">
        <f t="shared" si="38"/>
        <v>0</v>
      </c>
      <c r="CG63" s="938">
        <f t="shared" si="39"/>
        <v>0</v>
      </c>
      <c r="CH63" s="938">
        <v>0.3</v>
      </c>
      <c r="CI63" s="938">
        <f t="shared" si="40"/>
        <v>0</v>
      </c>
      <c r="CJ63" s="938">
        <f t="shared" si="41"/>
        <v>0</v>
      </c>
      <c r="CK63" s="938">
        <f t="shared" si="17"/>
        <v>15.83</v>
      </c>
      <c r="CL63" s="938">
        <f t="shared" si="18"/>
        <v>0.1</v>
      </c>
      <c r="CM63" s="938">
        <f t="shared" si="19"/>
        <v>1.17</v>
      </c>
      <c r="CN63" s="938">
        <f t="shared" si="26"/>
        <v>4.5999999999999996</v>
      </c>
      <c r="CO63" s="938">
        <f t="shared" si="27"/>
        <v>11.23</v>
      </c>
      <c r="CP63" s="938">
        <f t="shared" si="42"/>
        <v>6.4</v>
      </c>
      <c r="CQ63" s="936"/>
      <c r="CS63" s="895">
        <f t="shared" si="28"/>
        <v>8</v>
      </c>
      <c r="CT63" s="701">
        <f t="shared" si="29"/>
        <v>200</v>
      </c>
      <c r="CU63" s="895">
        <v>0</v>
      </c>
      <c r="CV63" s="938">
        <v>0</v>
      </c>
      <c r="CW63" s="938">
        <f t="shared" si="43"/>
        <v>0</v>
      </c>
      <c r="CX63" s="938">
        <f t="shared" si="30"/>
        <v>0.6</v>
      </c>
      <c r="CY63" s="938">
        <f t="shared" si="44"/>
        <v>1.26</v>
      </c>
      <c r="CZ63" s="938">
        <f t="shared" si="45"/>
        <v>0</v>
      </c>
      <c r="DA63" s="938">
        <f t="shared" si="46"/>
        <v>0</v>
      </c>
      <c r="DB63" s="938">
        <f t="shared" si="47"/>
        <v>0</v>
      </c>
      <c r="DC63" s="938">
        <f t="shared" si="48"/>
        <v>0</v>
      </c>
      <c r="DD63" s="938">
        <f t="shared" si="49"/>
        <v>0</v>
      </c>
      <c r="DE63" s="938">
        <f t="shared" si="50"/>
        <v>0</v>
      </c>
      <c r="DF63" s="938" t="str">
        <f t="shared" si="51"/>
        <v>D</v>
      </c>
      <c r="DG63" s="938">
        <f t="shared" si="52"/>
        <v>0</v>
      </c>
      <c r="DH63" s="938">
        <f t="shared" si="53"/>
        <v>0</v>
      </c>
      <c r="DI63" s="938">
        <f t="shared" si="54"/>
        <v>0</v>
      </c>
      <c r="DJ63" s="938">
        <f t="shared" si="55"/>
        <v>0</v>
      </c>
      <c r="DK63" s="938">
        <v>0.3</v>
      </c>
      <c r="DL63" s="938">
        <f t="shared" si="56"/>
        <v>0</v>
      </c>
      <c r="DM63" s="938">
        <f t="shared" si="57"/>
        <v>0</v>
      </c>
      <c r="DN63" s="938">
        <f t="shared" si="58"/>
        <v>0</v>
      </c>
      <c r="DO63" s="938">
        <f t="shared" si="59"/>
        <v>0.1</v>
      </c>
      <c r="DP63" s="938">
        <f t="shared" si="60"/>
        <v>0</v>
      </c>
      <c r="DQ63" s="938">
        <f t="shared" si="61"/>
        <v>0</v>
      </c>
      <c r="DR63" s="938">
        <f t="shared" si="62"/>
        <v>0</v>
      </c>
      <c r="DS63" s="938">
        <f t="shared" si="63"/>
        <v>0</v>
      </c>
      <c r="DU63" s="937" t="str">
        <f t="shared" si="31"/>
        <v>PZ-49</v>
      </c>
      <c r="DV63" s="938">
        <f t="shared" si="161"/>
        <v>1.6199999999999999</v>
      </c>
      <c r="DW63" s="938">
        <v>1.2</v>
      </c>
      <c r="DX63" s="938">
        <v>1.6</v>
      </c>
      <c r="DY63" s="938">
        <f t="shared" si="162"/>
        <v>-3.2572032632418977</v>
      </c>
      <c r="DZ63" s="938">
        <v>1.6</v>
      </c>
      <c r="EA63" s="938">
        <v>1.6</v>
      </c>
      <c r="EB63" s="938">
        <f t="shared" si="163"/>
        <v>4.1472000000000007</v>
      </c>
      <c r="EC63" s="938">
        <f t="shared" si="164"/>
        <v>0.88999673675810298</v>
      </c>
      <c r="ED63" s="938">
        <f t="shared" si="165"/>
        <v>0.48949820521695669</v>
      </c>
      <c r="EE63" s="938">
        <f t="shared" si="166"/>
        <v>0.40049853154114634</v>
      </c>
      <c r="EF63" s="938">
        <f t="shared" si="167"/>
        <v>0.48949820521695669</v>
      </c>
    </row>
    <row r="64" spans="1:136">
      <c r="A64" s="920" t="s">
        <v>2222</v>
      </c>
      <c r="B64" s="920" t="s">
        <v>2223</v>
      </c>
      <c r="C64" s="1294">
        <v>15.991</v>
      </c>
      <c r="D64" s="921">
        <v>207.108</v>
      </c>
      <c r="E64" s="921">
        <v>223.09899999999999</v>
      </c>
      <c r="F64" s="922">
        <v>1.4999999999999999E-2</v>
      </c>
      <c r="G64" s="923">
        <v>2.0099999999999998</v>
      </c>
      <c r="H64" s="924">
        <v>2.0099999999999996E-3</v>
      </c>
      <c r="I64" s="925">
        <v>3.6270402101184478E-2</v>
      </c>
      <c r="J64" s="926">
        <v>3.5000000000000003E-2</v>
      </c>
      <c r="K64" s="927">
        <v>5.8545152514736937E-2</v>
      </c>
      <c r="L64" s="923">
        <v>2.3049272643505021</v>
      </c>
      <c r="M64" s="928">
        <v>8</v>
      </c>
      <c r="N64" s="927">
        <v>0.2</v>
      </c>
      <c r="O64" s="927">
        <v>0.182</v>
      </c>
      <c r="P64" s="923">
        <v>4.139562001638819E-2</v>
      </c>
      <c r="Q64" s="923">
        <v>1.5911851567795408</v>
      </c>
      <c r="R64" s="923">
        <v>0.05</v>
      </c>
      <c r="S64" s="927">
        <v>0.45300000000000001</v>
      </c>
      <c r="T64" s="929">
        <v>0.182</v>
      </c>
      <c r="U64" s="927">
        <v>0.44900000000000001</v>
      </c>
      <c r="V64" s="930">
        <v>0.72080687602113203</v>
      </c>
      <c r="W64" s="927">
        <v>2.6481271789976734E-2</v>
      </c>
      <c r="X64" s="927">
        <v>2.04295E-2</v>
      </c>
      <c r="Y64" s="927">
        <v>3.3124000000000001E-2</v>
      </c>
      <c r="Z64" s="927">
        <v>5.9605271789976738E-2</v>
      </c>
      <c r="AA64" s="931">
        <v>0.11600000000000001</v>
      </c>
      <c r="AB64" s="923">
        <v>2.1111999999999999E-2</v>
      </c>
      <c r="AC64" s="923">
        <v>7.0144688249999998</v>
      </c>
      <c r="AD64" s="923">
        <v>1.5838707135038459</v>
      </c>
      <c r="AE64" s="932" t="s">
        <v>2197</v>
      </c>
      <c r="AF64" s="927">
        <v>-4.2244606449165709E-2</v>
      </c>
      <c r="AG64" s="924">
        <v>8.4489212898331417E-3</v>
      </c>
      <c r="AH64" s="923">
        <v>3.2967032967032965</v>
      </c>
      <c r="AI64" s="927">
        <v>2.3801787507279799E-3</v>
      </c>
      <c r="AJ64" s="927">
        <v>1.0829100040561122E-2</v>
      </c>
      <c r="AK64" s="933">
        <v>979.23</v>
      </c>
      <c r="AL64" s="933">
        <v>978.65</v>
      </c>
      <c r="AM64" s="930">
        <v>978.00534500000015</v>
      </c>
      <c r="AN64" s="930">
        <v>977.4456600000002</v>
      </c>
      <c r="AO64" s="934">
        <v>977.8053450000001</v>
      </c>
      <c r="AP64" s="934">
        <v>977.24566000000016</v>
      </c>
      <c r="AQ64" s="923">
        <v>977.83846900000015</v>
      </c>
      <c r="AR64" s="923">
        <v>977.2787840000002</v>
      </c>
      <c r="AS64" s="923">
        <v>977.95788909533667</v>
      </c>
      <c r="AT64" s="923">
        <v>977.39820409533672</v>
      </c>
      <c r="AU64" s="923">
        <v>1.2246549999998706</v>
      </c>
      <c r="AV64" s="923">
        <v>1.2043399999997746</v>
      </c>
      <c r="AW64" s="923">
        <v>1.4246549999999161</v>
      </c>
      <c r="AX64" s="923">
        <v>1.4043399999998201</v>
      </c>
      <c r="AY64" s="923">
        <v>1.999999999998181E-2</v>
      </c>
      <c r="AZ64" s="923" t="s">
        <v>2187</v>
      </c>
      <c r="BA64" s="935" t="s">
        <v>2188</v>
      </c>
      <c r="BB64" s="935" t="s">
        <v>2189</v>
      </c>
      <c r="BC64" s="935" t="s">
        <v>2198</v>
      </c>
      <c r="BD64" s="935" t="s">
        <v>2191</v>
      </c>
      <c r="BE64" s="935" t="s">
        <v>2191</v>
      </c>
      <c r="BF64" s="946"/>
      <c r="BH64" s="937"/>
      <c r="BI64" s="894" t="str">
        <f t="shared" si="71"/>
        <v>PZ-50</v>
      </c>
      <c r="BJ64" s="894" t="str">
        <f t="shared" si="71"/>
        <v>PZ-51</v>
      </c>
      <c r="BK64" s="938">
        <f t="shared" si="0"/>
        <v>15.99</v>
      </c>
      <c r="BL64" s="938">
        <f t="shared" si="32"/>
        <v>14.39</v>
      </c>
      <c r="BM64" s="895">
        <f t="shared" si="2"/>
        <v>8</v>
      </c>
      <c r="BN64" s="938">
        <f t="shared" si="33"/>
        <v>14.79</v>
      </c>
      <c r="BO64" s="700">
        <f t="shared" si="34"/>
        <v>0.6</v>
      </c>
      <c r="BP64" s="938">
        <f t="shared" si="4"/>
        <v>1.42</v>
      </c>
      <c r="BQ64" s="938">
        <f t="shared" si="5"/>
        <v>1.4</v>
      </c>
      <c r="BR64" s="938">
        <f t="shared" si="6"/>
        <v>1.51</v>
      </c>
      <c r="BS64" s="938">
        <f t="shared" si="7"/>
        <v>13.04</v>
      </c>
      <c r="BT64" s="938">
        <f t="shared" si="23"/>
        <v>21.728899999999999</v>
      </c>
      <c r="BU64" s="938">
        <f t="shared" si="35"/>
        <v>0</v>
      </c>
      <c r="BV64" s="938">
        <f t="shared" si="24"/>
        <v>0</v>
      </c>
      <c r="BW64" s="938">
        <f t="shared" si="159"/>
        <v>0</v>
      </c>
      <c r="BX64" s="938">
        <f t="shared" si="160"/>
        <v>10.43</v>
      </c>
      <c r="BY64" s="938">
        <f t="shared" si="25"/>
        <v>2.2200000000000002</v>
      </c>
      <c r="BZ64" s="938">
        <f t="shared" si="36"/>
        <v>0.39</v>
      </c>
      <c r="CA64" s="938">
        <f t="shared" si="37"/>
        <v>0.47</v>
      </c>
      <c r="CB64" s="938">
        <f t="shared" si="10"/>
        <v>8.6300000000000008</v>
      </c>
      <c r="CC64" s="938" t="s">
        <v>2192</v>
      </c>
      <c r="CD64" s="938">
        <f t="shared" si="11"/>
        <v>0</v>
      </c>
      <c r="CE64" s="938">
        <f t="shared" si="12"/>
        <v>0</v>
      </c>
      <c r="CF64" s="938">
        <f t="shared" si="38"/>
        <v>0</v>
      </c>
      <c r="CG64" s="938">
        <f t="shared" si="39"/>
        <v>0</v>
      </c>
      <c r="CH64" s="938">
        <v>0.3</v>
      </c>
      <c r="CI64" s="938">
        <f t="shared" si="40"/>
        <v>0</v>
      </c>
      <c r="CJ64" s="938">
        <f t="shared" si="41"/>
        <v>0</v>
      </c>
      <c r="CK64" s="938">
        <f t="shared" si="17"/>
        <v>11.71</v>
      </c>
      <c r="CL64" s="938">
        <f t="shared" si="18"/>
        <v>0.1</v>
      </c>
      <c r="CM64" s="938">
        <f t="shared" si="19"/>
        <v>0.86</v>
      </c>
      <c r="CN64" s="938">
        <f t="shared" si="26"/>
        <v>3.4</v>
      </c>
      <c r="CO64" s="938">
        <f t="shared" si="27"/>
        <v>8.31</v>
      </c>
      <c r="CP64" s="938">
        <f t="shared" si="42"/>
        <v>4.7300000000000004</v>
      </c>
      <c r="CQ64" s="936"/>
      <c r="CS64" s="895">
        <f t="shared" si="28"/>
        <v>8</v>
      </c>
      <c r="CT64" s="701">
        <f t="shared" si="29"/>
        <v>200</v>
      </c>
      <c r="CU64" s="895">
        <v>0</v>
      </c>
      <c r="CV64" s="938">
        <v>0</v>
      </c>
      <c r="CW64" s="938">
        <f t="shared" si="43"/>
        <v>0</v>
      </c>
      <c r="CX64" s="938">
        <f t="shared" si="30"/>
        <v>0.6</v>
      </c>
      <c r="CY64" s="938">
        <f t="shared" si="44"/>
        <v>1.26</v>
      </c>
      <c r="CZ64" s="938">
        <f t="shared" si="45"/>
        <v>0</v>
      </c>
      <c r="DA64" s="938">
        <f t="shared" si="46"/>
        <v>0</v>
      </c>
      <c r="DB64" s="938">
        <f t="shared" si="47"/>
        <v>0</v>
      </c>
      <c r="DC64" s="938">
        <f t="shared" si="48"/>
        <v>0</v>
      </c>
      <c r="DD64" s="938">
        <f t="shared" si="49"/>
        <v>0</v>
      </c>
      <c r="DE64" s="938">
        <f t="shared" si="50"/>
        <v>0</v>
      </c>
      <c r="DF64" s="938" t="str">
        <f t="shared" si="51"/>
        <v>D</v>
      </c>
      <c r="DG64" s="938">
        <f t="shared" si="52"/>
        <v>0</v>
      </c>
      <c r="DH64" s="938">
        <f t="shared" si="53"/>
        <v>0</v>
      </c>
      <c r="DI64" s="938">
        <f t="shared" si="54"/>
        <v>0</v>
      </c>
      <c r="DJ64" s="938">
        <f t="shared" si="55"/>
        <v>0</v>
      </c>
      <c r="DK64" s="938">
        <v>0.3</v>
      </c>
      <c r="DL64" s="938">
        <f t="shared" si="56"/>
        <v>0</v>
      </c>
      <c r="DM64" s="938">
        <f t="shared" si="57"/>
        <v>0</v>
      </c>
      <c r="DN64" s="938">
        <f t="shared" si="58"/>
        <v>0</v>
      </c>
      <c r="DO64" s="938">
        <f t="shared" si="59"/>
        <v>0.1</v>
      </c>
      <c r="DP64" s="938">
        <f t="shared" si="60"/>
        <v>0</v>
      </c>
      <c r="DQ64" s="938">
        <f t="shared" si="61"/>
        <v>0</v>
      </c>
      <c r="DR64" s="938">
        <f t="shared" si="62"/>
        <v>0</v>
      </c>
      <c r="DS64" s="938">
        <f t="shared" si="63"/>
        <v>0</v>
      </c>
      <c r="DU64" s="937" t="str">
        <f t="shared" si="31"/>
        <v>PZ-50</v>
      </c>
      <c r="DV64" s="938">
        <f t="shared" si="161"/>
        <v>1.6199999999999999</v>
      </c>
      <c r="DW64" s="938">
        <v>1.2</v>
      </c>
      <c r="DX64" s="938">
        <v>1.6</v>
      </c>
      <c r="DY64" s="938">
        <f t="shared" si="162"/>
        <v>-3.2572032632418977</v>
      </c>
      <c r="DZ64" s="938">
        <v>1.6</v>
      </c>
      <c r="EA64" s="938">
        <v>1.6</v>
      </c>
      <c r="EB64" s="938">
        <f t="shared" si="163"/>
        <v>4.1472000000000007</v>
      </c>
      <c r="EC64" s="938">
        <f t="shared" si="164"/>
        <v>0.88999673675810298</v>
      </c>
      <c r="ED64" s="938">
        <f t="shared" si="165"/>
        <v>0.48949820521695669</v>
      </c>
      <c r="EE64" s="938">
        <f t="shared" si="166"/>
        <v>0.40049853154114634</v>
      </c>
      <c r="EF64" s="938">
        <f t="shared" si="167"/>
        <v>0.48949820521695669</v>
      </c>
    </row>
    <row r="65" spans="1:136">
      <c r="A65" s="920" t="s">
        <v>2223</v>
      </c>
      <c r="B65" s="920" t="s">
        <v>2224</v>
      </c>
      <c r="C65" s="1294">
        <v>73.596000000000004</v>
      </c>
      <c r="D65" s="921">
        <v>223.09899999999999</v>
      </c>
      <c r="E65" s="921">
        <v>296.69499999999999</v>
      </c>
      <c r="F65" s="922">
        <v>1.4999999999999999E-2</v>
      </c>
      <c r="G65" s="923">
        <v>2.2999999999999998</v>
      </c>
      <c r="H65" s="924">
        <v>2.3E-3</v>
      </c>
      <c r="I65" s="925">
        <v>1.0870155986737792E-2</v>
      </c>
      <c r="J65" s="926">
        <v>1.0999999999999999E-2</v>
      </c>
      <c r="K65" s="927">
        <v>7.6505382098501037E-2</v>
      </c>
      <c r="L65" s="923">
        <v>3.0120229172517718</v>
      </c>
      <c r="M65" s="928">
        <v>8</v>
      </c>
      <c r="N65" s="927">
        <v>0.2</v>
      </c>
      <c r="O65" s="927">
        <v>0.182</v>
      </c>
      <c r="P65" s="923">
        <v>2.3206877627088535E-2</v>
      </c>
      <c r="Q65" s="923">
        <v>0.89203735083092384</v>
      </c>
      <c r="R65" s="923">
        <v>0.1</v>
      </c>
      <c r="S65" s="927">
        <v>0.54</v>
      </c>
      <c r="T65" s="929">
        <v>0.248</v>
      </c>
      <c r="U65" s="927">
        <v>0.58599999999999997</v>
      </c>
      <c r="V65" s="930">
        <v>0.48170016944869892</v>
      </c>
      <c r="W65" s="927">
        <v>1.1826455313297924E-2</v>
      </c>
      <c r="X65" s="927">
        <v>2.6662999999999999E-2</v>
      </c>
      <c r="Y65" s="927">
        <v>4.5135999999999996E-2</v>
      </c>
      <c r="Z65" s="927">
        <v>5.6962455313297918E-2</v>
      </c>
      <c r="AA65" s="931">
        <v>0.17</v>
      </c>
      <c r="AB65" s="923">
        <v>3.0940000000000002E-2</v>
      </c>
      <c r="AC65" s="923">
        <v>2.8772043300000001</v>
      </c>
      <c r="AD65" s="923">
        <v>0.87434361060464438</v>
      </c>
      <c r="AE65" s="932" t="s">
        <v>2186</v>
      </c>
      <c r="AF65" s="927">
        <v>-1.465481647667881E-2</v>
      </c>
      <c r="AG65" s="924">
        <v>2.9309632953357623E-3</v>
      </c>
      <c r="AH65" s="923">
        <v>3.2967032967032965</v>
      </c>
      <c r="AI65" s="927">
        <v>9.5769317758186655E-4</v>
      </c>
      <c r="AJ65" s="927">
        <v>3.888656472917629E-3</v>
      </c>
      <c r="AK65" s="933">
        <v>978.65</v>
      </c>
      <c r="AL65" s="933">
        <v>977.85</v>
      </c>
      <c r="AM65" s="930">
        <v>977.42566000000022</v>
      </c>
      <c r="AN65" s="930">
        <v>976.61610400000018</v>
      </c>
      <c r="AO65" s="934">
        <v>977.22566000000018</v>
      </c>
      <c r="AP65" s="934">
        <v>976.41610400000013</v>
      </c>
      <c r="AQ65" s="923">
        <v>977.27079600000013</v>
      </c>
      <c r="AR65" s="923">
        <v>976.46124000000009</v>
      </c>
      <c r="AS65" s="923">
        <v>977.38737499529611</v>
      </c>
      <c r="AT65" s="923">
        <v>976.57781899529607</v>
      </c>
      <c r="AU65" s="923">
        <v>1.2243399999997564</v>
      </c>
      <c r="AV65" s="923">
        <v>1.2338959999998451</v>
      </c>
      <c r="AW65" s="923">
        <v>1.4243399999998019</v>
      </c>
      <c r="AX65" s="923">
        <v>1.4338959999998906</v>
      </c>
      <c r="AY65" s="923">
        <v>1.999999999998181E-2</v>
      </c>
      <c r="AZ65" s="923" t="s">
        <v>2187</v>
      </c>
      <c r="BA65" s="935" t="s">
        <v>2188</v>
      </c>
      <c r="BB65" s="935" t="s">
        <v>2189</v>
      </c>
      <c r="BC65" s="935" t="s">
        <v>2190</v>
      </c>
      <c r="BD65" s="935" t="s">
        <v>2191</v>
      </c>
      <c r="BE65" s="935" t="s">
        <v>2191</v>
      </c>
      <c r="BF65" s="946"/>
      <c r="BH65" s="937"/>
      <c r="BI65" s="894" t="str">
        <f t="shared" si="71"/>
        <v>PZ-51</v>
      </c>
      <c r="BJ65" s="894" t="str">
        <f t="shared" si="71"/>
        <v>PZ-52</v>
      </c>
      <c r="BK65" s="938">
        <f t="shared" si="0"/>
        <v>73.599999999999994</v>
      </c>
      <c r="BL65" s="938">
        <f t="shared" si="32"/>
        <v>72</v>
      </c>
      <c r="BM65" s="895">
        <f t="shared" si="2"/>
        <v>8</v>
      </c>
      <c r="BN65" s="938">
        <f t="shared" si="33"/>
        <v>72.400000000000006</v>
      </c>
      <c r="BO65" s="700">
        <f t="shared" si="34"/>
        <v>0.6</v>
      </c>
      <c r="BP65" s="938">
        <f t="shared" si="4"/>
        <v>1.42</v>
      </c>
      <c r="BQ65" s="938">
        <f t="shared" si="5"/>
        <v>1.43</v>
      </c>
      <c r="BR65" s="938">
        <f t="shared" si="6"/>
        <v>1.53</v>
      </c>
      <c r="BS65" s="938">
        <f t="shared" si="7"/>
        <v>66.099999999999994</v>
      </c>
      <c r="BT65" s="938">
        <f t="shared" si="23"/>
        <v>110.16</v>
      </c>
      <c r="BU65" s="938">
        <f t="shared" si="35"/>
        <v>0</v>
      </c>
      <c r="BV65" s="938">
        <f t="shared" si="24"/>
        <v>0</v>
      </c>
      <c r="BW65" s="938">
        <f t="shared" si="159"/>
        <v>0</v>
      </c>
      <c r="BX65" s="938">
        <f t="shared" si="160"/>
        <v>52.88</v>
      </c>
      <c r="BY65" s="938">
        <f t="shared" si="25"/>
        <v>11.24</v>
      </c>
      <c r="BZ65" s="938">
        <f t="shared" si="36"/>
        <v>1.98</v>
      </c>
      <c r="CA65" s="938">
        <f t="shared" si="37"/>
        <v>2.33</v>
      </c>
      <c r="CB65" s="938">
        <f t="shared" si="10"/>
        <v>43.2</v>
      </c>
      <c r="CC65" s="938" t="s">
        <v>2192</v>
      </c>
      <c r="CD65" s="938">
        <f t="shared" si="11"/>
        <v>0</v>
      </c>
      <c r="CE65" s="938">
        <f t="shared" si="12"/>
        <v>0</v>
      </c>
      <c r="CF65" s="938">
        <f t="shared" si="38"/>
        <v>0</v>
      </c>
      <c r="CG65" s="938">
        <f t="shared" si="39"/>
        <v>0</v>
      </c>
      <c r="CH65" s="938">
        <v>0.3</v>
      </c>
      <c r="CI65" s="938">
        <f t="shared" si="40"/>
        <v>0</v>
      </c>
      <c r="CJ65" s="938">
        <f t="shared" si="41"/>
        <v>0</v>
      </c>
      <c r="CK65" s="938">
        <f t="shared" si="17"/>
        <v>59.45</v>
      </c>
      <c r="CL65" s="938">
        <f t="shared" si="18"/>
        <v>0.1</v>
      </c>
      <c r="CM65" s="938">
        <f t="shared" si="19"/>
        <v>4.32</v>
      </c>
      <c r="CN65" s="938">
        <f t="shared" si="26"/>
        <v>17.27</v>
      </c>
      <c r="CO65" s="938">
        <f t="shared" si="27"/>
        <v>42.18</v>
      </c>
      <c r="CP65" s="938">
        <f t="shared" si="42"/>
        <v>23.92</v>
      </c>
      <c r="CQ65" s="936"/>
      <c r="CS65" s="895">
        <f t="shared" si="28"/>
        <v>8</v>
      </c>
      <c r="CT65" s="701">
        <f t="shared" si="29"/>
        <v>200</v>
      </c>
      <c r="CU65" s="895">
        <v>6</v>
      </c>
      <c r="CV65" s="938">
        <v>28</v>
      </c>
      <c r="CW65" s="938">
        <f t="shared" si="43"/>
        <v>168</v>
      </c>
      <c r="CX65" s="938">
        <f t="shared" si="30"/>
        <v>0.6</v>
      </c>
      <c r="CY65" s="938">
        <f t="shared" si="44"/>
        <v>1.27</v>
      </c>
      <c r="CZ65" s="938">
        <f t="shared" si="45"/>
        <v>128.02000000000001</v>
      </c>
      <c r="DA65" s="938">
        <f t="shared" si="46"/>
        <v>0</v>
      </c>
      <c r="DB65" s="938">
        <f t="shared" si="47"/>
        <v>0</v>
      </c>
      <c r="DC65" s="938">
        <f t="shared" si="48"/>
        <v>0</v>
      </c>
      <c r="DD65" s="938">
        <f t="shared" si="49"/>
        <v>3.06</v>
      </c>
      <c r="DE65" s="938">
        <f t="shared" si="50"/>
        <v>100.8</v>
      </c>
      <c r="DF65" s="938" t="str">
        <f t="shared" si="51"/>
        <v>D</v>
      </c>
      <c r="DG65" s="938">
        <f t="shared" si="52"/>
        <v>0</v>
      </c>
      <c r="DH65" s="938">
        <f t="shared" si="53"/>
        <v>0</v>
      </c>
      <c r="DI65" s="938">
        <f t="shared" si="54"/>
        <v>0</v>
      </c>
      <c r="DJ65" s="938">
        <f t="shared" si="55"/>
        <v>0</v>
      </c>
      <c r="DK65" s="938">
        <v>0.3</v>
      </c>
      <c r="DL65" s="938">
        <f t="shared" si="56"/>
        <v>0</v>
      </c>
      <c r="DM65" s="938">
        <f t="shared" si="57"/>
        <v>0</v>
      </c>
      <c r="DN65" s="938">
        <f t="shared" si="58"/>
        <v>114.88</v>
      </c>
      <c r="DO65" s="938">
        <f t="shared" si="59"/>
        <v>0.1</v>
      </c>
      <c r="DP65" s="938">
        <f t="shared" si="60"/>
        <v>10.08</v>
      </c>
      <c r="DQ65" s="938">
        <f t="shared" si="61"/>
        <v>22.98</v>
      </c>
      <c r="DR65" s="938">
        <f t="shared" si="62"/>
        <v>91.9</v>
      </c>
      <c r="DS65" s="938">
        <f t="shared" si="63"/>
        <v>33.06</v>
      </c>
      <c r="DU65" s="937" t="str">
        <f t="shared" si="31"/>
        <v>PZ-51</v>
      </c>
      <c r="DV65" s="938">
        <f t="shared" si="161"/>
        <v>1.6199999999999999</v>
      </c>
      <c r="DW65" s="938">
        <v>1.2</v>
      </c>
      <c r="DX65" s="938">
        <v>1.6</v>
      </c>
      <c r="DY65" s="938">
        <f t="shared" si="162"/>
        <v>-3.2572032632418977</v>
      </c>
      <c r="DZ65" s="938">
        <v>1.6</v>
      </c>
      <c r="EA65" s="938">
        <v>1.6</v>
      </c>
      <c r="EB65" s="938">
        <f t="shared" si="163"/>
        <v>4.1472000000000007</v>
      </c>
      <c r="EC65" s="938">
        <f t="shared" si="164"/>
        <v>0.88999673675810298</v>
      </c>
      <c r="ED65" s="938">
        <f t="shared" si="165"/>
        <v>0.48949820521695669</v>
      </c>
      <c r="EE65" s="938">
        <f t="shared" si="166"/>
        <v>0.40049853154114634</v>
      </c>
      <c r="EF65" s="938">
        <f t="shared" si="167"/>
        <v>0.48949820521695669</v>
      </c>
    </row>
    <row r="66" spans="1:136">
      <c r="A66" s="920" t="s">
        <v>2224</v>
      </c>
      <c r="B66" s="920" t="s">
        <v>2226</v>
      </c>
      <c r="C66" s="1294">
        <v>29.972000000000001</v>
      </c>
      <c r="D66" s="921">
        <v>296.69499999999999</v>
      </c>
      <c r="E66" s="921">
        <v>326.66699999999997</v>
      </c>
      <c r="F66" s="922">
        <v>1.4999999999999999E-2</v>
      </c>
      <c r="G66" s="923">
        <v>2.33</v>
      </c>
      <c r="H66" s="924">
        <v>2.33E-3</v>
      </c>
      <c r="I66" s="925">
        <v>0.22020552515681377</v>
      </c>
      <c r="J66" s="967">
        <v>0.219</v>
      </c>
      <c r="K66" s="927">
        <v>4.3876338398792833E-2</v>
      </c>
      <c r="L66" s="923">
        <v>1.7274148975833592</v>
      </c>
      <c r="M66" s="928">
        <v>8</v>
      </c>
      <c r="N66" s="927">
        <v>0.2</v>
      </c>
      <c r="O66" s="927">
        <v>0.182</v>
      </c>
      <c r="P66" s="923">
        <v>0.10354816975447051</v>
      </c>
      <c r="Q66" s="923">
        <v>3.9802353645089217</v>
      </c>
      <c r="R66" s="923">
        <v>0.02</v>
      </c>
      <c r="S66" s="927">
        <v>0.36199999999999999</v>
      </c>
      <c r="T66" s="929">
        <v>0.124</v>
      </c>
      <c r="U66" s="927">
        <v>0.315</v>
      </c>
      <c r="V66" s="930">
        <v>1.4408452019522295</v>
      </c>
      <c r="W66" s="927">
        <v>0.10581217614621617</v>
      </c>
      <c r="X66" s="927">
        <v>1.43325E-2</v>
      </c>
      <c r="Y66" s="927">
        <v>2.2567999999999998E-2</v>
      </c>
      <c r="Z66" s="927">
        <v>0.12838017614621616</v>
      </c>
      <c r="AA66" s="931">
        <v>6.7000000000000004E-2</v>
      </c>
      <c r="AB66" s="923">
        <v>1.2194E-2</v>
      </c>
      <c r="AC66" s="923">
        <v>30.791799675000004</v>
      </c>
      <c r="AD66" s="923">
        <v>4.16590848783121</v>
      </c>
      <c r="AE66" s="932" t="s">
        <v>2197</v>
      </c>
      <c r="AF66" s="927">
        <v>9.3985720832918243E-2</v>
      </c>
      <c r="AG66" s="924">
        <v>9.3985720832918257E-3</v>
      </c>
      <c r="AH66" s="923">
        <v>3.2967032967032965</v>
      </c>
      <c r="AI66" s="927">
        <v>2.9409657864878525E-3</v>
      </c>
      <c r="AJ66" s="927">
        <v>1.2339537869779678E-2</v>
      </c>
      <c r="AK66" s="933">
        <v>977.85</v>
      </c>
      <c r="AL66" s="933">
        <v>971.25</v>
      </c>
      <c r="AM66" s="930">
        <v>976.5961040000002</v>
      </c>
      <c r="AN66" s="930">
        <v>970.03223600000024</v>
      </c>
      <c r="AO66" s="934">
        <v>976.39610400000015</v>
      </c>
      <c r="AP66" s="934">
        <v>969.83223600000019</v>
      </c>
      <c r="AQ66" s="923">
        <v>976.41867200000013</v>
      </c>
      <c r="AR66" s="923">
        <v>969.85480400000017</v>
      </c>
      <c r="AS66" s="923">
        <v>976.57393033882317</v>
      </c>
      <c r="AT66" s="923">
        <v>970.01006233882322</v>
      </c>
      <c r="AU66" s="923">
        <v>1.2538959999998269</v>
      </c>
      <c r="AV66" s="923">
        <v>1.2177639999997609</v>
      </c>
      <c r="AW66" s="923">
        <v>1.4538959999998724</v>
      </c>
      <c r="AX66" s="923">
        <v>1.4177639999998064</v>
      </c>
      <c r="AY66" s="923">
        <v>1.999999999998181E-2</v>
      </c>
      <c r="AZ66" s="923" t="s">
        <v>2187</v>
      </c>
      <c r="BA66" s="935" t="s">
        <v>2188</v>
      </c>
      <c r="BB66" s="935" t="s">
        <v>2189</v>
      </c>
      <c r="BC66" s="935" t="s">
        <v>2198</v>
      </c>
      <c r="BD66" s="935" t="s">
        <v>2191</v>
      </c>
      <c r="BE66" s="935" t="s">
        <v>2191</v>
      </c>
      <c r="BF66" s="946"/>
      <c r="BH66" s="937"/>
      <c r="BI66" s="894" t="str">
        <f t="shared" si="71"/>
        <v>PZ-52</v>
      </c>
      <c r="BJ66" s="894" t="str">
        <f t="shared" si="71"/>
        <v>PZ-53</v>
      </c>
      <c r="BK66" s="938">
        <f t="shared" si="0"/>
        <v>29.97</v>
      </c>
      <c r="BL66" s="938">
        <f t="shared" si="32"/>
        <v>28.37</v>
      </c>
      <c r="BM66" s="895">
        <f t="shared" si="2"/>
        <v>8</v>
      </c>
      <c r="BN66" s="938">
        <f t="shared" si="33"/>
        <v>28.77</v>
      </c>
      <c r="BO66" s="700">
        <f t="shared" si="34"/>
        <v>0.6</v>
      </c>
      <c r="BP66" s="938">
        <f t="shared" si="4"/>
        <v>1.45</v>
      </c>
      <c r="BQ66" s="938">
        <f t="shared" si="5"/>
        <v>1.42</v>
      </c>
      <c r="BR66" s="938">
        <f t="shared" si="6"/>
        <v>1.54</v>
      </c>
      <c r="BS66" s="938">
        <f t="shared" si="7"/>
        <v>26.21</v>
      </c>
      <c r="BT66" s="938">
        <f t="shared" si="23"/>
        <v>43.689800000000005</v>
      </c>
      <c r="BU66" s="938">
        <f t="shared" si="35"/>
        <v>0</v>
      </c>
      <c r="BV66" s="938">
        <f t="shared" si="24"/>
        <v>0</v>
      </c>
      <c r="BW66" s="938">
        <f t="shared" si="159"/>
        <v>0</v>
      </c>
      <c r="BX66" s="938">
        <f t="shared" si="160"/>
        <v>20.97</v>
      </c>
      <c r="BY66" s="938">
        <f t="shared" si="25"/>
        <v>4.46</v>
      </c>
      <c r="BZ66" s="938">
        <f t="shared" si="36"/>
        <v>0.79</v>
      </c>
      <c r="CA66" s="938">
        <f t="shared" si="37"/>
        <v>0.92</v>
      </c>
      <c r="CB66" s="938">
        <f t="shared" si="10"/>
        <v>17.02</v>
      </c>
      <c r="CC66" s="938" t="s">
        <v>2192</v>
      </c>
      <c r="CD66" s="938">
        <f t="shared" si="11"/>
        <v>0</v>
      </c>
      <c r="CE66" s="938">
        <f t="shared" si="12"/>
        <v>0</v>
      </c>
      <c r="CF66" s="938">
        <f t="shared" si="38"/>
        <v>0</v>
      </c>
      <c r="CG66" s="938">
        <f t="shared" si="39"/>
        <v>0</v>
      </c>
      <c r="CH66" s="938">
        <v>0.3</v>
      </c>
      <c r="CI66" s="938">
        <f t="shared" si="40"/>
        <v>0</v>
      </c>
      <c r="CJ66" s="938">
        <f t="shared" si="41"/>
        <v>0</v>
      </c>
      <c r="CK66" s="938">
        <f t="shared" si="17"/>
        <v>23.59</v>
      </c>
      <c r="CL66" s="938">
        <f t="shared" si="18"/>
        <v>0.1</v>
      </c>
      <c r="CM66" s="938">
        <f t="shared" si="19"/>
        <v>1.7</v>
      </c>
      <c r="CN66" s="938">
        <f t="shared" si="26"/>
        <v>6.85</v>
      </c>
      <c r="CO66" s="938">
        <f t="shared" si="27"/>
        <v>16.739999999999998</v>
      </c>
      <c r="CP66" s="938">
        <f t="shared" si="42"/>
        <v>9.4700000000000006</v>
      </c>
      <c r="CQ66" s="936"/>
      <c r="CS66" s="895">
        <f t="shared" si="28"/>
        <v>8</v>
      </c>
      <c r="CT66" s="701">
        <f t="shared" si="29"/>
        <v>200</v>
      </c>
      <c r="CU66" s="895">
        <v>0</v>
      </c>
      <c r="CV66" s="938">
        <v>0</v>
      </c>
      <c r="CW66" s="938">
        <f t="shared" si="43"/>
        <v>0</v>
      </c>
      <c r="CX66" s="938">
        <f t="shared" si="30"/>
        <v>0.6</v>
      </c>
      <c r="CY66" s="938">
        <f t="shared" si="44"/>
        <v>1.27</v>
      </c>
      <c r="CZ66" s="938">
        <f t="shared" si="45"/>
        <v>0</v>
      </c>
      <c r="DA66" s="938">
        <f t="shared" si="46"/>
        <v>0</v>
      </c>
      <c r="DB66" s="938">
        <f t="shared" si="47"/>
        <v>0</v>
      </c>
      <c r="DC66" s="938">
        <f t="shared" si="48"/>
        <v>0</v>
      </c>
      <c r="DD66" s="938">
        <f t="shared" si="49"/>
        <v>0</v>
      </c>
      <c r="DE66" s="938">
        <f t="shared" si="50"/>
        <v>0</v>
      </c>
      <c r="DF66" s="938" t="str">
        <f t="shared" si="51"/>
        <v>D</v>
      </c>
      <c r="DG66" s="938">
        <f t="shared" si="52"/>
        <v>0</v>
      </c>
      <c r="DH66" s="938">
        <f t="shared" si="53"/>
        <v>0</v>
      </c>
      <c r="DI66" s="938">
        <f t="shared" si="54"/>
        <v>0</v>
      </c>
      <c r="DJ66" s="938">
        <f t="shared" si="55"/>
        <v>0</v>
      </c>
      <c r="DK66" s="938">
        <v>1.3</v>
      </c>
      <c r="DL66" s="938">
        <f t="shared" si="56"/>
        <v>0</v>
      </c>
      <c r="DM66" s="938">
        <f t="shared" si="57"/>
        <v>0</v>
      </c>
      <c r="DN66" s="938">
        <f t="shared" si="58"/>
        <v>0</v>
      </c>
      <c r="DO66" s="938">
        <f t="shared" si="59"/>
        <v>0.1</v>
      </c>
      <c r="DP66" s="938">
        <f t="shared" si="60"/>
        <v>0</v>
      </c>
      <c r="DQ66" s="938">
        <f t="shared" si="61"/>
        <v>0</v>
      </c>
      <c r="DR66" s="938">
        <f t="shared" si="62"/>
        <v>0</v>
      </c>
      <c r="DS66" s="938">
        <f t="shared" si="63"/>
        <v>0</v>
      </c>
      <c r="DU66" s="937" t="str">
        <f t="shared" si="31"/>
        <v>PZ-52</v>
      </c>
      <c r="DV66" s="938">
        <f t="shared" si="161"/>
        <v>1.65</v>
      </c>
      <c r="DW66" s="938">
        <v>1.2</v>
      </c>
      <c r="DX66" s="938">
        <v>1.6</v>
      </c>
      <c r="DY66" s="938">
        <f t="shared" si="162"/>
        <v>-3.3175218421908217</v>
      </c>
      <c r="DZ66" s="938">
        <v>1.6</v>
      </c>
      <c r="EA66" s="938">
        <v>1.6</v>
      </c>
      <c r="EB66" s="938">
        <f t="shared" si="163"/>
        <v>4.2240000000000002</v>
      </c>
      <c r="EC66" s="938">
        <f t="shared" si="164"/>
        <v>0.90647815780917851</v>
      </c>
      <c r="ED66" s="938">
        <f t="shared" si="165"/>
        <v>0.49856298679504824</v>
      </c>
      <c r="EE66" s="938">
        <f t="shared" si="166"/>
        <v>0.40791517101413033</v>
      </c>
      <c r="EF66" s="938">
        <f t="shared" si="167"/>
        <v>0.49856298679504824</v>
      </c>
    </row>
    <row r="67" spans="1:136">
      <c r="A67" s="920" t="s">
        <v>2226</v>
      </c>
      <c r="B67" s="920" t="s">
        <v>2227</v>
      </c>
      <c r="C67" s="1294">
        <v>41.061</v>
      </c>
      <c r="D67" s="921">
        <v>326.66699999999997</v>
      </c>
      <c r="E67" s="921">
        <v>367.72799999999995</v>
      </c>
      <c r="F67" s="922">
        <v>1.4999999999999999E-2</v>
      </c>
      <c r="G67" s="923">
        <v>2.57</v>
      </c>
      <c r="H67" s="924">
        <v>2.5699999999999998E-3</v>
      </c>
      <c r="I67" s="925">
        <v>5.9423784126057685E-2</v>
      </c>
      <c r="J67" s="926">
        <v>5.8999999999999997E-2</v>
      </c>
      <c r="K67" s="927">
        <v>5.8209698194142276E-2</v>
      </c>
      <c r="L67" s="923">
        <v>2.291720401335017</v>
      </c>
      <c r="M67" s="928">
        <v>8</v>
      </c>
      <c r="N67" s="927">
        <v>0.2</v>
      </c>
      <c r="O67" s="927">
        <v>0.182</v>
      </c>
      <c r="P67" s="923">
        <v>5.3746028168449193E-2</v>
      </c>
      <c r="Q67" s="923">
        <v>2.0659162061985015</v>
      </c>
      <c r="R67" s="923">
        <v>0.05</v>
      </c>
      <c r="S67" s="927">
        <v>0.45300000000000001</v>
      </c>
      <c r="T67" s="929">
        <v>0.182</v>
      </c>
      <c r="U67" s="927">
        <v>0.44900000000000001</v>
      </c>
      <c r="V67" s="930">
        <v>0.93586004140792123</v>
      </c>
      <c r="W67" s="927">
        <v>4.4639858160246487E-2</v>
      </c>
      <c r="X67" s="927">
        <v>2.04295E-2</v>
      </c>
      <c r="Y67" s="927">
        <v>3.3124000000000001E-2</v>
      </c>
      <c r="Z67" s="927">
        <v>7.7763858160246488E-2</v>
      </c>
      <c r="AA67" s="931">
        <v>0.11600000000000001</v>
      </c>
      <c r="AB67" s="923">
        <v>2.1111999999999999E-2</v>
      </c>
      <c r="AC67" s="923">
        <v>11.824390305</v>
      </c>
      <c r="AD67" s="923">
        <v>2.0564194943682068</v>
      </c>
      <c r="AE67" s="932" t="s">
        <v>2197</v>
      </c>
      <c r="AF67" s="927">
        <v>-6.1172317985969685E-2</v>
      </c>
      <c r="AG67" s="924">
        <v>1.2234463597193938E-2</v>
      </c>
      <c r="AH67" s="923">
        <v>3.2967032967032965</v>
      </c>
      <c r="AI67" s="927">
        <v>3.7613008576615663E-3</v>
      </c>
      <c r="AJ67" s="927">
        <v>1.5995764454855503E-2</v>
      </c>
      <c r="AK67" s="933">
        <v>971.25</v>
      </c>
      <c r="AL67" s="933">
        <v>968.81</v>
      </c>
      <c r="AM67" s="930">
        <v>970.01223600000026</v>
      </c>
      <c r="AN67" s="930">
        <v>967.58963700000027</v>
      </c>
      <c r="AO67" s="934">
        <v>969.81223600000021</v>
      </c>
      <c r="AP67" s="934">
        <v>967.38963700000022</v>
      </c>
      <c r="AQ67" s="923">
        <v>969.84536000000026</v>
      </c>
      <c r="AR67" s="923">
        <v>967.42276100000026</v>
      </c>
      <c r="AS67" s="923">
        <v>969.9977228009534</v>
      </c>
      <c r="AT67" s="923">
        <v>967.57512380095341</v>
      </c>
      <c r="AU67" s="923">
        <v>1.2377639999997427</v>
      </c>
      <c r="AV67" s="923">
        <v>1.2203629999996792</v>
      </c>
      <c r="AW67" s="923">
        <v>1.4377639999997882</v>
      </c>
      <c r="AX67" s="923">
        <v>1.4203629999997247</v>
      </c>
      <c r="AY67" s="923">
        <v>1.999999999998181E-2</v>
      </c>
      <c r="AZ67" s="923" t="s">
        <v>2187</v>
      </c>
      <c r="BA67" s="935" t="s">
        <v>2188</v>
      </c>
      <c r="BB67" s="935" t="s">
        <v>2189</v>
      </c>
      <c r="BC67" s="935" t="s">
        <v>2198</v>
      </c>
      <c r="BD67" s="935" t="s">
        <v>2191</v>
      </c>
      <c r="BE67" s="935" t="s">
        <v>2191</v>
      </c>
      <c r="BF67" s="946"/>
      <c r="BH67" s="937"/>
      <c r="BI67" s="894" t="str">
        <f t="shared" si="71"/>
        <v>PZ-53</v>
      </c>
      <c r="BJ67" s="894" t="str">
        <f t="shared" si="71"/>
        <v>PZ-54</v>
      </c>
      <c r="BK67" s="938">
        <f t="shared" si="0"/>
        <v>41.06</v>
      </c>
      <c r="BL67" s="938">
        <f t="shared" si="32"/>
        <v>39.46</v>
      </c>
      <c r="BM67" s="895">
        <f t="shared" si="2"/>
        <v>8</v>
      </c>
      <c r="BN67" s="938">
        <f t="shared" si="33"/>
        <v>39.86</v>
      </c>
      <c r="BO67" s="700">
        <f t="shared" si="34"/>
        <v>0.6</v>
      </c>
      <c r="BP67" s="938">
        <f t="shared" si="4"/>
        <v>1.44</v>
      </c>
      <c r="BQ67" s="938">
        <f t="shared" si="5"/>
        <v>1.42</v>
      </c>
      <c r="BR67" s="938">
        <f t="shared" si="6"/>
        <v>1.53</v>
      </c>
      <c r="BS67" s="938">
        <f t="shared" si="7"/>
        <v>36.22</v>
      </c>
      <c r="BT67" s="938">
        <f t="shared" si="23"/>
        <v>60.373800000000003</v>
      </c>
      <c r="BU67" s="938">
        <f t="shared" si="35"/>
        <v>0</v>
      </c>
      <c r="BV67" s="938">
        <f t="shared" si="24"/>
        <v>0</v>
      </c>
      <c r="BW67" s="938">
        <f t="shared" si="159"/>
        <v>0</v>
      </c>
      <c r="BX67" s="938">
        <f t="shared" si="160"/>
        <v>28.98</v>
      </c>
      <c r="BY67" s="938">
        <f t="shared" si="25"/>
        <v>6.16</v>
      </c>
      <c r="BZ67" s="938">
        <f t="shared" si="36"/>
        <v>1.0900000000000001</v>
      </c>
      <c r="CA67" s="938">
        <f t="shared" si="37"/>
        <v>1.28</v>
      </c>
      <c r="CB67" s="938">
        <f t="shared" si="10"/>
        <v>23.68</v>
      </c>
      <c r="CC67" s="938" t="s">
        <v>2192</v>
      </c>
      <c r="CD67" s="938">
        <f t="shared" si="11"/>
        <v>0</v>
      </c>
      <c r="CE67" s="938">
        <f t="shared" si="12"/>
        <v>0</v>
      </c>
      <c r="CF67" s="938">
        <f t="shared" si="38"/>
        <v>0</v>
      </c>
      <c r="CG67" s="938">
        <f t="shared" si="39"/>
        <v>0</v>
      </c>
      <c r="CH67" s="938">
        <v>0.3</v>
      </c>
      <c r="CI67" s="938">
        <f t="shared" si="40"/>
        <v>0</v>
      </c>
      <c r="CJ67" s="938">
        <f t="shared" si="41"/>
        <v>0</v>
      </c>
      <c r="CK67" s="938">
        <f t="shared" si="17"/>
        <v>32.57</v>
      </c>
      <c r="CL67" s="938">
        <f t="shared" si="18"/>
        <v>0.1</v>
      </c>
      <c r="CM67" s="938">
        <f t="shared" si="19"/>
        <v>2.37</v>
      </c>
      <c r="CN67" s="938">
        <f t="shared" si="26"/>
        <v>9.4600000000000009</v>
      </c>
      <c r="CO67" s="938">
        <f t="shared" si="27"/>
        <v>23.11</v>
      </c>
      <c r="CP67" s="938">
        <f t="shared" si="42"/>
        <v>13.11</v>
      </c>
      <c r="CQ67" s="936"/>
      <c r="CS67" s="895">
        <f t="shared" si="28"/>
        <v>8</v>
      </c>
      <c r="CT67" s="701">
        <f t="shared" si="29"/>
        <v>200</v>
      </c>
      <c r="CU67" s="895">
        <v>3</v>
      </c>
      <c r="CV67" s="938">
        <v>25.5</v>
      </c>
      <c r="CW67" s="938">
        <f t="shared" si="43"/>
        <v>76.5</v>
      </c>
      <c r="CX67" s="938">
        <f t="shared" si="30"/>
        <v>0.6</v>
      </c>
      <c r="CY67" s="938">
        <f t="shared" si="44"/>
        <v>1.27</v>
      </c>
      <c r="CZ67" s="938">
        <f t="shared" si="45"/>
        <v>58.29</v>
      </c>
      <c r="DA67" s="938">
        <f t="shared" si="46"/>
        <v>0</v>
      </c>
      <c r="DB67" s="938">
        <f t="shared" si="47"/>
        <v>0</v>
      </c>
      <c r="DC67" s="938">
        <f t="shared" si="48"/>
        <v>0</v>
      </c>
      <c r="DD67" s="938">
        <f t="shared" si="49"/>
        <v>1.4</v>
      </c>
      <c r="DE67" s="938">
        <f t="shared" si="50"/>
        <v>45.9</v>
      </c>
      <c r="DF67" s="938" t="str">
        <f t="shared" si="51"/>
        <v>D</v>
      </c>
      <c r="DG67" s="938">
        <f t="shared" si="52"/>
        <v>0</v>
      </c>
      <c r="DH67" s="938">
        <f t="shared" si="53"/>
        <v>0</v>
      </c>
      <c r="DI67" s="938">
        <f t="shared" si="54"/>
        <v>0</v>
      </c>
      <c r="DJ67" s="938">
        <f t="shared" si="55"/>
        <v>0</v>
      </c>
      <c r="DK67" s="938">
        <v>2.2999999999999998</v>
      </c>
      <c r="DL67" s="938">
        <f t="shared" si="56"/>
        <v>0</v>
      </c>
      <c r="DM67" s="938">
        <f t="shared" si="57"/>
        <v>0</v>
      </c>
      <c r="DN67" s="938">
        <f t="shared" si="58"/>
        <v>52.3</v>
      </c>
      <c r="DO67" s="938">
        <f t="shared" si="59"/>
        <v>0.1</v>
      </c>
      <c r="DP67" s="938">
        <f t="shared" si="60"/>
        <v>4.59</v>
      </c>
      <c r="DQ67" s="938">
        <f t="shared" si="61"/>
        <v>10.46</v>
      </c>
      <c r="DR67" s="938">
        <f t="shared" si="62"/>
        <v>41.84</v>
      </c>
      <c r="DS67" s="938">
        <f t="shared" si="63"/>
        <v>15.05</v>
      </c>
      <c r="DU67" s="937" t="str">
        <f t="shared" si="31"/>
        <v>PZ-53</v>
      </c>
      <c r="DV67" s="938">
        <f t="shared" si="161"/>
        <v>1.64</v>
      </c>
      <c r="DW67" s="938">
        <v>1.2</v>
      </c>
      <c r="DX67" s="938">
        <v>1.6</v>
      </c>
      <c r="DY67" s="938">
        <f t="shared" si="162"/>
        <v>-3.297415649207847</v>
      </c>
      <c r="DZ67" s="938">
        <v>1.6</v>
      </c>
      <c r="EA67" s="938">
        <v>1.6</v>
      </c>
      <c r="EB67" s="938">
        <f t="shared" si="163"/>
        <v>4.1984000000000004</v>
      </c>
      <c r="EC67" s="938">
        <f t="shared" si="164"/>
        <v>0.90098435079215333</v>
      </c>
      <c r="ED67" s="938">
        <f t="shared" si="165"/>
        <v>0.49554139293568439</v>
      </c>
      <c r="EE67" s="938">
        <f t="shared" si="166"/>
        <v>0.405442957856469</v>
      </c>
      <c r="EF67" s="938">
        <f t="shared" si="167"/>
        <v>0.49554139293568439</v>
      </c>
    </row>
    <row r="68" spans="1:136">
      <c r="A68" s="920" t="s">
        <v>2227</v>
      </c>
      <c r="B68" s="920" t="s">
        <v>2228</v>
      </c>
      <c r="C68" s="1294">
        <v>19.687000000000001</v>
      </c>
      <c r="D68" s="921">
        <v>367.72799999999995</v>
      </c>
      <c r="E68" s="921">
        <v>387.41499999999996</v>
      </c>
      <c r="F68" s="922">
        <v>1.4999999999999999E-2</v>
      </c>
      <c r="G68" s="923">
        <v>2.71</v>
      </c>
      <c r="H68" s="924">
        <v>2.7100000000000002E-3</v>
      </c>
      <c r="I68" s="925">
        <v>0.17727434347538454</v>
      </c>
      <c r="J68" s="926">
        <v>0.17599999999999999</v>
      </c>
      <c r="K68" s="927">
        <v>4.8376566059563399E-2</v>
      </c>
      <c r="L68" s="923">
        <v>1.9045892149358223</v>
      </c>
      <c r="M68" s="928">
        <v>8</v>
      </c>
      <c r="N68" s="927">
        <v>0.2</v>
      </c>
      <c r="O68" s="927">
        <v>0.182</v>
      </c>
      <c r="P68" s="923">
        <v>9.2827510508354139E-2</v>
      </c>
      <c r="Q68" s="923">
        <v>3.5681494033236953</v>
      </c>
      <c r="R68" s="923">
        <v>0.03</v>
      </c>
      <c r="S68" s="927">
        <v>0.4</v>
      </c>
      <c r="T68" s="929">
        <v>0.14799999999999999</v>
      </c>
      <c r="U68" s="927">
        <v>0.37</v>
      </c>
      <c r="V68" s="930">
        <v>1.4272597613294782</v>
      </c>
      <c r="W68" s="927">
        <v>0.10382621948574307</v>
      </c>
      <c r="X68" s="927">
        <v>1.6834999999999999E-2</v>
      </c>
      <c r="Y68" s="927">
        <v>2.6935999999999998E-2</v>
      </c>
      <c r="Z68" s="927">
        <v>0.13076221948574307</v>
      </c>
      <c r="AA68" s="931">
        <v>8.5999999999999993E-2</v>
      </c>
      <c r="AB68" s="923">
        <v>1.5651999999999999E-2</v>
      </c>
      <c r="AC68" s="923">
        <v>29.0666376</v>
      </c>
      <c r="AD68" s="923">
        <v>3.6423661279708699</v>
      </c>
      <c r="AE68" s="932" t="s">
        <v>2197</v>
      </c>
      <c r="AF68" s="927">
        <v>5.9186361325496581E-2</v>
      </c>
      <c r="AG68" s="924">
        <v>5.9186361325496584E-3</v>
      </c>
      <c r="AH68" s="923">
        <v>3.2967032967032965</v>
      </c>
      <c r="AI68" s="927">
        <v>3.7116519411497396E-3</v>
      </c>
      <c r="AJ68" s="927">
        <v>9.630288073699398E-3</v>
      </c>
      <c r="AK68" s="933">
        <v>968.81</v>
      </c>
      <c r="AL68" s="933">
        <v>965.32</v>
      </c>
      <c r="AM68" s="930">
        <v>967.56963700000028</v>
      </c>
      <c r="AN68" s="930">
        <v>964.10472500000026</v>
      </c>
      <c r="AO68" s="934">
        <v>967.36963700000024</v>
      </c>
      <c r="AP68" s="934">
        <v>963.90472500000021</v>
      </c>
      <c r="AQ68" s="923">
        <v>967.39657300000022</v>
      </c>
      <c r="AR68" s="923">
        <v>963.93166100000019</v>
      </c>
      <c r="AS68" s="923">
        <v>967.55912803649858</v>
      </c>
      <c r="AT68" s="923">
        <v>964.09421603649855</v>
      </c>
      <c r="AU68" s="923">
        <v>1.240362999999661</v>
      </c>
      <c r="AV68" s="923">
        <v>1.2152749999997923</v>
      </c>
      <c r="AW68" s="923">
        <v>1.4403629999997065</v>
      </c>
      <c r="AX68" s="923">
        <v>1.4152749999998377</v>
      </c>
      <c r="AY68" s="923">
        <v>1.999999999998181E-2</v>
      </c>
      <c r="AZ68" s="923" t="s">
        <v>2187</v>
      </c>
      <c r="BA68" s="935" t="s">
        <v>2188</v>
      </c>
      <c r="BB68" s="935" t="s">
        <v>2189</v>
      </c>
      <c r="BC68" s="935" t="s">
        <v>2198</v>
      </c>
      <c r="BD68" s="935" t="s">
        <v>2191</v>
      </c>
      <c r="BE68" s="935" t="s">
        <v>2191</v>
      </c>
      <c r="BF68" s="946"/>
      <c r="BH68" s="937"/>
      <c r="BI68" s="894" t="str">
        <f t="shared" si="71"/>
        <v>PZ-54</v>
      </c>
      <c r="BJ68" s="894" t="str">
        <f t="shared" si="71"/>
        <v>PZ-55</v>
      </c>
      <c r="BK68" s="938">
        <f t="shared" si="0"/>
        <v>19.690000000000001</v>
      </c>
      <c r="BL68" s="938">
        <f t="shared" si="32"/>
        <v>18.09</v>
      </c>
      <c r="BM68" s="895">
        <f t="shared" si="2"/>
        <v>8</v>
      </c>
      <c r="BN68" s="938">
        <f t="shared" si="33"/>
        <v>18.489999999999998</v>
      </c>
      <c r="BO68" s="700">
        <f t="shared" si="34"/>
        <v>0.6</v>
      </c>
      <c r="BP68" s="938">
        <f t="shared" si="4"/>
        <v>1.44</v>
      </c>
      <c r="BQ68" s="938">
        <f t="shared" si="5"/>
        <v>1.42</v>
      </c>
      <c r="BR68" s="938">
        <f t="shared" si="6"/>
        <v>1.53</v>
      </c>
      <c r="BS68" s="938">
        <f t="shared" si="7"/>
        <v>16.61</v>
      </c>
      <c r="BT68" s="938">
        <f t="shared" si="23"/>
        <v>27.677700000000002</v>
      </c>
      <c r="BU68" s="938">
        <f t="shared" si="35"/>
        <v>0</v>
      </c>
      <c r="BV68" s="938">
        <f t="shared" si="24"/>
        <v>0</v>
      </c>
      <c r="BW68" s="938">
        <f t="shared" si="159"/>
        <v>0</v>
      </c>
      <c r="BX68" s="938">
        <f t="shared" si="160"/>
        <v>13.29</v>
      </c>
      <c r="BY68" s="938">
        <f t="shared" si="25"/>
        <v>2.82</v>
      </c>
      <c r="BZ68" s="938">
        <f t="shared" si="36"/>
        <v>0.5</v>
      </c>
      <c r="CA68" s="938">
        <f t="shared" si="37"/>
        <v>0.59</v>
      </c>
      <c r="CB68" s="938">
        <f t="shared" si="10"/>
        <v>10.85</v>
      </c>
      <c r="CC68" s="938" t="s">
        <v>2192</v>
      </c>
      <c r="CD68" s="938">
        <f t="shared" si="11"/>
        <v>0</v>
      </c>
      <c r="CE68" s="938">
        <f t="shared" si="12"/>
        <v>0</v>
      </c>
      <c r="CF68" s="938">
        <f t="shared" si="38"/>
        <v>0</v>
      </c>
      <c r="CG68" s="938">
        <f t="shared" si="39"/>
        <v>0</v>
      </c>
      <c r="CH68" s="938">
        <v>0.3</v>
      </c>
      <c r="CI68" s="938">
        <f t="shared" si="40"/>
        <v>0</v>
      </c>
      <c r="CJ68" s="938">
        <f t="shared" si="41"/>
        <v>0</v>
      </c>
      <c r="CK68" s="938">
        <f t="shared" si="17"/>
        <v>14.93</v>
      </c>
      <c r="CL68" s="938">
        <f t="shared" si="18"/>
        <v>0.1</v>
      </c>
      <c r="CM68" s="938">
        <f t="shared" si="19"/>
        <v>1.0900000000000001</v>
      </c>
      <c r="CN68" s="938">
        <f t="shared" si="26"/>
        <v>4.34</v>
      </c>
      <c r="CO68" s="938">
        <f t="shared" si="27"/>
        <v>10.59</v>
      </c>
      <c r="CP68" s="938">
        <f t="shared" si="42"/>
        <v>6.02</v>
      </c>
      <c r="CQ68" s="936"/>
      <c r="CS68" s="895">
        <f t="shared" si="28"/>
        <v>8</v>
      </c>
      <c r="CT68" s="701">
        <f t="shared" si="29"/>
        <v>200</v>
      </c>
      <c r="CU68" s="895">
        <v>3</v>
      </c>
      <c r="CV68" s="938">
        <v>33.299999999999997</v>
      </c>
      <c r="CW68" s="938">
        <f t="shared" si="43"/>
        <v>99.899999999999991</v>
      </c>
      <c r="CX68" s="938">
        <f t="shared" si="30"/>
        <v>0.6</v>
      </c>
      <c r="CY68" s="938">
        <f t="shared" si="44"/>
        <v>1.27</v>
      </c>
      <c r="CZ68" s="938">
        <f t="shared" si="45"/>
        <v>76.12</v>
      </c>
      <c r="DA68" s="938">
        <f t="shared" si="46"/>
        <v>0</v>
      </c>
      <c r="DB68" s="938">
        <f t="shared" si="47"/>
        <v>0</v>
      </c>
      <c r="DC68" s="938">
        <f t="shared" si="48"/>
        <v>0</v>
      </c>
      <c r="DD68" s="938">
        <f t="shared" si="49"/>
        <v>1.82</v>
      </c>
      <c r="DE68" s="938">
        <f t="shared" si="50"/>
        <v>59.94</v>
      </c>
      <c r="DF68" s="938" t="str">
        <f t="shared" si="51"/>
        <v>D</v>
      </c>
      <c r="DG68" s="938">
        <f t="shared" si="52"/>
        <v>0</v>
      </c>
      <c r="DH68" s="938">
        <f t="shared" si="53"/>
        <v>0</v>
      </c>
      <c r="DI68" s="938">
        <f t="shared" si="54"/>
        <v>0</v>
      </c>
      <c r="DJ68" s="938">
        <f t="shared" si="55"/>
        <v>0</v>
      </c>
      <c r="DK68" s="938">
        <v>3.3</v>
      </c>
      <c r="DL68" s="938">
        <f t="shared" si="56"/>
        <v>0</v>
      </c>
      <c r="DM68" s="938">
        <f t="shared" si="57"/>
        <v>0</v>
      </c>
      <c r="DN68" s="938">
        <f t="shared" si="58"/>
        <v>68.31</v>
      </c>
      <c r="DO68" s="938">
        <f t="shared" si="59"/>
        <v>0.1</v>
      </c>
      <c r="DP68" s="938">
        <f t="shared" si="60"/>
        <v>5.9939999999999998</v>
      </c>
      <c r="DQ68" s="938">
        <f t="shared" si="61"/>
        <v>13.66</v>
      </c>
      <c r="DR68" s="938">
        <f t="shared" si="62"/>
        <v>54.65</v>
      </c>
      <c r="DS68" s="938">
        <f t="shared" si="63"/>
        <v>19.649999999999999</v>
      </c>
      <c r="DU68" s="937" t="str">
        <f t="shared" si="31"/>
        <v>PZ-54</v>
      </c>
      <c r="DV68" s="938">
        <f t="shared" si="161"/>
        <v>1.64</v>
      </c>
      <c r="DW68" s="938">
        <v>1.2</v>
      </c>
      <c r="DX68" s="938">
        <v>1.6</v>
      </c>
      <c r="DY68" s="938">
        <f t="shared" si="162"/>
        <v>-3.297415649207847</v>
      </c>
      <c r="DZ68" s="938">
        <v>1.6</v>
      </c>
      <c r="EA68" s="938">
        <v>1.6</v>
      </c>
      <c r="EB68" s="938">
        <f t="shared" si="163"/>
        <v>4.1984000000000004</v>
      </c>
      <c r="EC68" s="938">
        <f t="shared" si="164"/>
        <v>0.90098435079215333</v>
      </c>
      <c r="ED68" s="938">
        <f t="shared" si="165"/>
        <v>0.49554139293568439</v>
      </c>
      <c r="EE68" s="938">
        <f t="shared" si="166"/>
        <v>0.405442957856469</v>
      </c>
      <c r="EF68" s="938">
        <f t="shared" si="167"/>
        <v>0.49554139293568439</v>
      </c>
    </row>
    <row r="69" spans="1:136">
      <c r="A69" s="920" t="s">
        <v>2228</v>
      </c>
      <c r="B69" s="920" t="s">
        <v>2229</v>
      </c>
      <c r="C69" s="1294">
        <v>34.366</v>
      </c>
      <c r="D69" s="921">
        <v>387.41499999999996</v>
      </c>
      <c r="E69" s="921">
        <v>421.78099999999995</v>
      </c>
      <c r="F69" s="922">
        <v>1.4999999999999999E-2</v>
      </c>
      <c r="G69" s="923">
        <v>2.81</v>
      </c>
      <c r="H69" s="924">
        <v>2.81E-3</v>
      </c>
      <c r="I69" s="925">
        <v>0.18011988593377334</v>
      </c>
      <c r="J69" s="926">
        <v>0.18</v>
      </c>
      <c r="K69" s="927">
        <v>4.883221833745572E-2</v>
      </c>
      <c r="L69" s="923">
        <v>1.9225282809945035</v>
      </c>
      <c r="M69" s="928">
        <v>8</v>
      </c>
      <c r="N69" s="927">
        <v>0.2</v>
      </c>
      <c r="O69" s="927">
        <v>0.182</v>
      </c>
      <c r="P69" s="923">
        <v>9.387644222630627E-2</v>
      </c>
      <c r="Q69" s="923">
        <v>3.608468755453702</v>
      </c>
      <c r="R69" s="923">
        <v>0.03</v>
      </c>
      <c r="S69" s="927">
        <v>0.4</v>
      </c>
      <c r="T69" s="929">
        <v>0.14799999999999999</v>
      </c>
      <c r="U69" s="927">
        <v>0.37</v>
      </c>
      <c r="V69" s="930">
        <v>1.4433875021814808</v>
      </c>
      <c r="W69" s="927">
        <v>0.10618590629223722</v>
      </c>
      <c r="X69" s="927">
        <v>1.6834999999999999E-2</v>
      </c>
      <c r="Y69" s="927">
        <v>2.6935999999999998E-2</v>
      </c>
      <c r="Z69" s="927">
        <v>0.13312190629223722</v>
      </c>
      <c r="AA69" s="931">
        <v>8.5999999999999993E-2</v>
      </c>
      <c r="AB69" s="923">
        <v>1.5651999999999999E-2</v>
      </c>
      <c r="AC69" s="923">
        <v>29.727243000000001</v>
      </c>
      <c r="AD69" s="923">
        <v>3.6835241137780979</v>
      </c>
      <c r="AE69" s="932" t="s">
        <v>2197</v>
      </c>
      <c r="AF69" s="927">
        <v>2.359686806494149E-3</v>
      </c>
      <c r="AG69" s="924">
        <v>2.359686806494149E-4</v>
      </c>
      <c r="AH69" s="923">
        <v>3.2967032967032965</v>
      </c>
      <c r="AI69" s="927">
        <v>5.2503031444495075E-3</v>
      </c>
      <c r="AJ69" s="927">
        <v>5.4862718250989224E-3</v>
      </c>
      <c r="AK69" s="933">
        <v>965.32</v>
      </c>
      <c r="AL69" s="933">
        <v>959.13</v>
      </c>
      <c r="AM69" s="930">
        <v>964.08472500000028</v>
      </c>
      <c r="AN69" s="930">
        <v>957.89884500000028</v>
      </c>
      <c r="AO69" s="934">
        <v>963.88472500000023</v>
      </c>
      <c r="AP69" s="934">
        <v>957.69884500000023</v>
      </c>
      <c r="AQ69" s="923">
        <v>963.91166100000021</v>
      </c>
      <c r="AR69" s="923">
        <v>957.72578100000021</v>
      </c>
      <c r="AS69" s="923">
        <v>964.08458574842484</v>
      </c>
      <c r="AT69" s="923">
        <v>957.89870574842485</v>
      </c>
      <c r="AU69" s="923">
        <v>1.2352749999997741</v>
      </c>
      <c r="AV69" s="923">
        <v>1.2311549999997169</v>
      </c>
      <c r="AW69" s="923">
        <v>1.4352749999998196</v>
      </c>
      <c r="AX69" s="923">
        <v>1.4311549999997624</v>
      </c>
      <c r="AY69" s="923">
        <v>1.999999999998181E-2</v>
      </c>
      <c r="AZ69" s="923" t="s">
        <v>2187</v>
      </c>
      <c r="BA69" s="935" t="s">
        <v>2188</v>
      </c>
      <c r="BB69" s="935" t="s">
        <v>2189</v>
      </c>
      <c r="BC69" s="935" t="s">
        <v>2198</v>
      </c>
      <c r="BD69" s="935" t="s">
        <v>2191</v>
      </c>
      <c r="BE69" s="935" t="s">
        <v>2191</v>
      </c>
      <c r="BF69" s="946"/>
      <c r="BH69" s="937"/>
      <c r="BI69" s="894" t="str">
        <f t="shared" si="71"/>
        <v>PZ-55</v>
      </c>
      <c r="BJ69" s="894" t="str">
        <f t="shared" si="71"/>
        <v>PZ-56</v>
      </c>
      <c r="BK69" s="938">
        <f t="shared" si="0"/>
        <v>34.369999999999997</v>
      </c>
      <c r="BL69" s="938">
        <f t="shared" si="32"/>
        <v>32.770000000000003</v>
      </c>
      <c r="BM69" s="895">
        <f t="shared" si="2"/>
        <v>8</v>
      </c>
      <c r="BN69" s="938">
        <f t="shared" si="33"/>
        <v>33.17</v>
      </c>
      <c r="BO69" s="700">
        <f t="shared" si="34"/>
        <v>0.6</v>
      </c>
      <c r="BP69" s="938">
        <f t="shared" si="4"/>
        <v>1.44</v>
      </c>
      <c r="BQ69" s="938">
        <f t="shared" si="5"/>
        <v>1.43</v>
      </c>
      <c r="BR69" s="938">
        <f t="shared" si="6"/>
        <v>1.54</v>
      </c>
      <c r="BS69" s="938">
        <f t="shared" si="7"/>
        <v>30.28</v>
      </c>
      <c r="BT69" s="938">
        <f t="shared" si="23"/>
        <v>50.465800000000009</v>
      </c>
      <c r="BU69" s="938">
        <f t="shared" si="35"/>
        <v>0</v>
      </c>
      <c r="BV69" s="938">
        <f t="shared" si="24"/>
        <v>0</v>
      </c>
      <c r="BW69" s="938">
        <f t="shared" si="159"/>
        <v>0</v>
      </c>
      <c r="BX69" s="938">
        <f t="shared" si="160"/>
        <v>24.22</v>
      </c>
      <c r="BY69" s="938">
        <f t="shared" si="25"/>
        <v>5.15</v>
      </c>
      <c r="BZ69" s="938">
        <f t="shared" si="36"/>
        <v>0.91</v>
      </c>
      <c r="CA69" s="938">
        <f t="shared" si="37"/>
        <v>1.06</v>
      </c>
      <c r="CB69" s="938">
        <f t="shared" si="10"/>
        <v>19.66</v>
      </c>
      <c r="CC69" s="938" t="s">
        <v>2192</v>
      </c>
      <c r="CD69" s="938">
        <f t="shared" si="11"/>
        <v>0</v>
      </c>
      <c r="CE69" s="938">
        <f t="shared" si="12"/>
        <v>0</v>
      </c>
      <c r="CF69" s="938">
        <f t="shared" si="38"/>
        <v>0</v>
      </c>
      <c r="CG69" s="938">
        <f t="shared" si="39"/>
        <v>0</v>
      </c>
      <c r="CH69" s="938">
        <v>0.3</v>
      </c>
      <c r="CI69" s="938">
        <f t="shared" si="40"/>
        <v>0</v>
      </c>
      <c r="CJ69" s="938">
        <f t="shared" si="41"/>
        <v>0</v>
      </c>
      <c r="CK69" s="938">
        <f t="shared" si="17"/>
        <v>27.25</v>
      </c>
      <c r="CL69" s="938">
        <f t="shared" si="18"/>
        <v>0.1</v>
      </c>
      <c r="CM69" s="938">
        <f t="shared" si="19"/>
        <v>1.97</v>
      </c>
      <c r="CN69" s="938">
        <f t="shared" si="26"/>
        <v>7.92</v>
      </c>
      <c r="CO69" s="938">
        <f t="shared" si="27"/>
        <v>19.329999999999998</v>
      </c>
      <c r="CP69" s="938">
        <f t="shared" si="42"/>
        <v>10.95</v>
      </c>
      <c r="CQ69" s="936"/>
      <c r="CS69" s="895">
        <f t="shared" si="28"/>
        <v>8</v>
      </c>
      <c r="CT69" s="701">
        <f t="shared" si="29"/>
        <v>200</v>
      </c>
      <c r="CU69" s="895">
        <v>1</v>
      </c>
      <c r="CV69" s="938">
        <v>19.5</v>
      </c>
      <c r="CW69" s="938">
        <f t="shared" si="43"/>
        <v>19.5</v>
      </c>
      <c r="CX69" s="938">
        <f t="shared" si="30"/>
        <v>0.6</v>
      </c>
      <c r="CY69" s="938">
        <f t="shared" si="44"/>
        <v>1.27</v>
      </c>
      <c r="CZ69" s="938">
        <f t="shared" si="45"/>
        <v>14.86</v>
      </c>
      <c r="DA69" s="938">
        <f t="shared" si="46"/>
        <v>0</v>
      </c>
      <c r="DB69" s="938">
        <f t="shared" si="47"/>
        <v>0</v>
      </c>
      <c r="DC69" s="938">
        <f t="shared" si="48"/>
        <v>0</v>
      </c>
      <c r="DD69" s="938">
        <f t="shared" si="49"/>
        <v>0.36</v>
      </c>
      <c r="DE69" s="938">
        <f t="shared" si="50"/>
        <v>11.7</v>
      </c>
      <c r="DF69" s="938" t="str">
        <f t="shared" si="51"/>
        <v>D</v>
      </c>
      <c r="DG69" s="938">
        <f t="shared" si="52"/>
        <v>0</v>
      </c>
      <c r="DH69" s="938">
        <f t="shared" si="53"/>
        <v>0</v>
      </c>
      <c r="DI69" s="938">
        <f t="shared" si="54"/>
        <v>0</v>
      </c>
      <c r="DJ69" s="938">
        <f t="shared" si="55"/>
        <v>0</v>
      </c>
      <c r="DK69" s="938">
        <v>4.3</v>
      </c>
      <c r="DL69" s="938">
        <f t="shared" si="56"/>
        <v>0</v>
      </c>
      <c r="DM69" s="938">
        <f t="shared" si="57"/>
        <v>0</v>
      </c>
      <c r="DN69" s="938">
        <f t="shared" si="58"/>
        <v>13.33</v>
      </c>
      <c r="DO69" s="938">
        <f t="shared" si="59"/>
        <v>0.1</v>
      </c>
      <c r="DP69" s="938">
        <f t="shared" si="60"/>
        <v>1.17</v>
      </c>
      <c r="DQ69" s="938">
        <f t="shared" si="61"/>
        <v>2.67</v>
      </c>
      <c r="DR69" s="938">
        <f t="shared" si="62"/>
        <v>10.66</v>
      </c>
      <c r="DS69" s="938">
        <f t="shared" si="63"/>
        <v>3.84</v>
      </c>
      <c r="DU69" s="937" t="str">
        <f t="shared" si="31"/>
        <v>PZ-55</v>
      </c>
      <c r="DV69" s="938">
        <f t="shared" si="161"/>
        <v>1.64</v>
      </c>
      <c r="DW69" s="938">
        <v>1.2</v>
      </c>
      <c r="DX69" s="938">
        <v>1.6</v>
      </c>
      <c r="DY69" s="938">
        <f t="shared" si="162"/>
        <v>-3.297415649207847</v>
      </c>
      <c r="DZ69" s="938">
        <v>1.6</v>
      </c>
      <c r="EA69" s="938">
        <v>1.6</v>
      </c>
      <c r="EB69" s="938">
        <f t="shared" si="163"/>
        <v>4.1984000000000004</v>
      </c>
      <c r="EC69" s="938">
        <f t="shared" si="164"/>
        <v>0.90098435079215333</v>
      </c>
      <c r="ED69" s="938">
        <f t="shared" si="165"/>
        <v>0.49554139293568439</v>
      </c>
      <c r="EE69" s="938">
        <f t="shared" si="166"/>
        <v>0.405442957856469</v>
      </c>
      <c r="EF69" s="938">
        <f t="shared" si="167"/>
        <v>0.49554139293568439</v>
      </c>
    </row>
    <row r="70" spans="1:136">
      <c r="A70" s="920" t="s">
        <v>2229</v>
      </c>
      <c r="B70" s="920" t="s">
        <v>2230</v>
      </c>
      <c r="C70" s="1294">
        <v>72.402000000000001</v>
      </c>
      <c r="D70" s="921">
        <v>421.78099999999995</v>
      </c>
      <c r="E70" s="921">
        <v>494.18299999999994</v>
      </c>
      <c r="F70" s="922">
        <v>1.4999999999999999E-2</v>
      </c>
      <c r="G70" s="923">
        <v>3.08</v>
      </c>
      <c r="H70" s="924">
        <v>3.0800000000000003E-3</v>
      </c>
      <c r="I70" s="925">
        <v>0.12223419242562392</v>
      </c>
      <c r="J70" s="926">
        <v>0.122</v>
      </c>
      <c r="K70" s="927">
        <v>5.4364979540709617E-2</v>
      </c>
      <c r="L70" s="923">
        <v>2.1403535252162267</v>
      </c>
      <c r="M70" s="928">
        <v>8</v>
      </c>
      <c r="N70" s="927">
        <v>0.2</v>
      </c>
      <c r="O70" s="927">
        <v>0.182</v>
      </c>
      <c r="P70" s="923">
        <v>7.7285902890875849E-2</v>
      </c>
      <c r="Q70" s="923">
        <v>2.9707534627958556</v>
      </c>
      <c r="R70" s="923">
        <v>0.04</v>
      </c>
      <c r="S70" s="927">
        <v>0.42699999999999999</v>
      </c>
      <c r="T70" s="929">
        <v>0.16500000000000001</v>
      </c>
      <c r="U70" s="927">
        <v>0.41</v>
      </c>
      <c r="V70" s="930">
        <v>1.2685117286138303</v>
      </c>
      <c r="W70" s="927">
        <v>8.2014373375680322E-2</v>
      </c>
      <c r="X70" s="927">
        <v>1.8654999999999998E-2</v>
      </c>
      <c r="Y70" s="927">
        <v>3.0030000000000001E-2</v>
      </c>
      <c r="Z70" s="927">
        <v>0.11204437337568032</v>
      </c>
      <c r="AA70" s="931">
        <v>0.10199999999999999</v>
      </c>
      <c r="AB70" s="923">
        <v>1.8563999999999997E-2</v>
      </c>
      <c r="AC70" s="923">
        <v>22.326677099999998</v>
      </c>
      <c r="AD70" s="923">
        <v>2.9725160173420289</v>
      </c>
      <c r="AE70" s="932" t="s">
        <v>2197</v>
      </c>
      <c r="AF70" s="927">
        <v>-2.4171532916556895E-2</v>
      </c>
      <c r="AG70" s="924">
        <v>4.8343065833113793E-3</v>
      </c>
      <c r="AH70" s="923">
        <v>3.2967032967032965</v>
      </c>
      <c r="AI70" s="927">
        <v>4.7050069916979385E-3</v>
      </c>
      <c r="AJ70" s="927">
        <v>9.5393135750093186E-3</v>
      </c>
      <c r="AK70" s="933">
        <v>959.13</v>
      </c>
      <c r="AL70" s="933">
        <v>950.28</v>
      </c>
      <c r="AM70" s="930">
        <v>957.8788450000003</v>
      </c>
      <c r="AN70" s="930">
        <v>949.04580100000032</v>
      </c>
      <c r="AO70" s="934">
        <v>957.67884500000025</v>
      </c>
      <c r="AP70" s="934">
        <v>948.84580100000028</v>
      </c>
      <c r="AQ70" s="923">
        <v>957.70887500000026</v>
      </c>
      <c r="AR70" s="923">
        <v>948.87583100000029</v>
      </c>
      <c r="AS70" s="923">
        <v>957.89321947659971</v>
      </c>
      <c r="AT70" s="923">
        <v>949.06017547659974</v>
      </c>
      <c r="AU70" s="923">
        <v>1.2511549999996987</v>
      </c>
      <c r="AV70" s="923">
        <v>1.2341989999996485</v>
      </c>
      <c r="AW70" s="923">
        <v>1.4511549999997442</v>
      </c>
      <c r="AX70" s="923">
        <v>1.434198999999694</v>
      </c>
      <c r="AY70" s="923">
        <v>1.999999999998181E-2</v>
      </c>
      <c r="AZ70" s="923" t="s">
        <v>2187</v>
      </c>
      <c r="BA70" s="935" t="s">
        <v>2188</v>
      </c>
      <c r="BB70" s="935" t="s">
        <v>2189</v>
      </c>
      <c r="BC70" s="935" t="s">
        <v>2198</v>
      </c>
      <c r="BD70" s="935" t="s">
        <v>2191</v>
      </c>
      <c r="BE70" s="935" t="s">
        <v>2191</v>
      </c>
      <c r="BF70" s="946"/>
      <c r="BH70" s="937"/>
      <c r="BI70" s="894" t="str">
        <f t="shared" si="71"/>
        <v>PZ-56</v>
      </c>
      <c r="BJ70" s="894" t="str">
        <f t="shared" si="71"/>
        <v>PZ-57</v>
      </c>
      <c r="BK70" s="938">
        <f t="shared" si="0"/>
        <v>72.400000000000006</v>
      </c>
      <c r="BL70" s="938">
        <f t="shared" si="32"/>
        <v>70.8</v>
      </c>
      <c r="BM70" s="895">
        <f t="shared" si="2"/>
        <v>8</v>
      </c>
      <c r="BN70" s="938">
        <f t="shared" si="33"/>
        <v>71.2</v>
      </c>
      <c r="BO70" s="700">
        <f t="shared" si="34"/>
        <v>0.6</v>
      </c>
      <c r="BP70" s="938">
        <f t="shared" si="4"/>
        <v>1.45</v>
      </c>
      <c r="BQ70" s="938">
        <f t="shared" si="5"/>
        <v>1.43</v>
      </c>
      <c r="BR70" s="938">
        <f t="shared" si="6"/>
        <v>1.54</v>
      </c>
      <c r="BS70" s="938">
        <f t="shared" si="7"/>
        <v>65.42</v>
      </c>
      <c r="BT70" s="938">
        <f t="shared" si="23"/>
        <v>109.032</v>
      </c>
      <c r="BU70" s="938">
        <f t="shared" si="35"/>
        <v>0</v>
      </c>
      <c r="BV70" s="938">
        <f t="shared" si="24"/>
        <v>0</v>
      </c>
      <c r="BW70" s="938">
        <f t="shared" si="159"/>
        <v>0</v>
      </c>
      <c r="BX70" s="938">
        <f t="shared" si="160"/>
        <v>52.34</v>
      </c>
      <c r="BY70" s="938">
        <f t="shared" si="25"/>
        <v>11.12</v>
      </c>
      <c r="BZ70" s="938">
        <f t="shared" si="36"/>
        <v>1.96</v>
      </c>
      <c r="CA70" s="938">
        <f t="shared" si="37"/>
        <v>2.2999999999999998</v>
      </c>
      <c r="CB70" s="938">
        <f t="shared" si="10"/>
        <v>42.48</v>
      </c>
      <c r="CC70" s="938" t="s">
        <v>2192</v>
      </c>
      <c r="CD70" s="938">
        <f t="shared" si="11"/>
        <v>0</v>
      </c>
      <c r="CE70" s="938">
        <f t="shared" si="12"/>
        <v>0</v>
      </c>
      <c r="CF70" s="938">
        <f t="shared" si="38"/>
        <v>0</v>
      </c>
      <c r="CG70" s="938">
        <f t="shared" si="39"/>
        <v>0</v>
      </c>
      <c r="CH70" s="938">
        <v>0.3</v>
      </c>
      <c r="CI70" s="938">
        <f t="shared" si="40"/>
        <v>0</v>
      </c>
      <c r="CJ70" s="938">
        <f t="shared" si="41"/>
        <v>0</v>
      </c>
      <c r="CK70" s="938">
        <f t="shared" si="17"/>
        <v>58.87</v>
      </c>
      <c r="CL70" s="938">
        <f t="shared" si="18"/>
        <v>0.1</v>
      </c>
      <c r="CM70" s="938">
        <f t="shared" si="19"/>
        <v>4.25</v>
      </c>
      <c r="CN70" s="938">
        <f t="shared" si="26"/>
        <v>17.100000000000001</v>
      </c>
      <c r="CO70" s="938">
        <f t="shared" si="27"/>
        <v>41.77</v>
      </c>
      <c r="CP70" s="938">
        <f t="shared" si="42"/>
        <v>23.65</v>
      </c>
      <c r="CQ70" s="936"/>
      <c r="CS70" s="895">
        <f t="shared" si="28"/>
        <v>8</v>
      </c>
      <c r="CT70" s="701">
        <f t="shared" si="29"/>
        <v>200</v>
      </c>
      <c r="CU70" s="895">
        <v>2</v>
      </c>
      <c r="CV70" s="938">
        <v>11.6</v>
      </c>
      <c r="CW70" s="938">
        <f t="shared" si="43"/>
        <v>23.2</v>
      </c>
      <c r="CX70" s="938">
        <f t="shared" si="30"/>
        <v>0.6</v>
      </c>
      <c r="CY70" s="938">
        <f t="shared" si="44"/>
        <v>1.27</v>
      </c>
      <c r="CZ70" s="938">
        <f t="shared" si="45"/>
        <v>17.68</v>
      </c>
      <c r="DA70" s="938">
        <f t="shared" si="46"/>
        <v>0</v>
      </c>
      <c r="DB70" s="938">
        <f t="shared" si="47"/>
        <v>0</v>
      </c>
      <c r="DC70" s="938">
        <f t="shared" si="48"/>
        <v>0</v>
      </c>
      <c r="DD70" s="938">
        <f t="shared" si="49"/>
        <v>0.42</v>
      </c>
      <c r="DE70" s="938">
        <f t="shared" si="50"/>
        <v>13.92</v>
      </c>
      <c r="DF70" s="938" t="str">
        <f t="shared" si="51"/>
        <v>D</v>
      </c>
      <c r="DG70" s="938">
        <f t="shared" si="52"/>
        <v>0</v>
      </c>
      <c r="DH70" s="938">
        <f t="shared" si="53"/>
        <v>0</v>
      </c>
      <c r="DI70" s="938">
        <f t="shared" si="54"/>
        <v>0</v>
      </c>
      <c r="DJ70" s="938">
        <f t="shared" si="55"/>
        <v>0</v>
      </c>
      <c r="DK70" s="938">
        <v>5.3</v>
      </c>
      <c r="DL70" s="938">
        <f t="shared" si="56"/>
        <v>0</v>
      </c>
      <c r="DM70" s="938">
        <f t="shared" si="57"/>
        <v>0</v>
      </c>
      <c r="DN70" s="938">
        <f t="shared" si="58"/>
        <v>15.87</v>
      </c>
      <c r="DO70" s="938">
        <f t="shared" si="59"/>
        <v>0.1</v>
      </c>
      <c r="DP70" s="938">
        <f t="shared" si="60"/>
        <v>1.3920000000000001</v>
      </c>
      <c r="DQ70" s="938">
        <f t="shared" si="61"/>
        <v>3.17</v>
      </c>
      <c r="DR70" s="938">
        <f t="shared" si="62"/>
        <v>12.7</v>
      </c>
      <c r="DS70" s="938">
        <f t="shared" si="63"/>
        <v>4.5599999999999996</v>
      </c>
      <c r="DU70" s="937" t="str">
        <f t="shared" si="31"/>
        <v>PZ-56</v>
      </c>
      <c r="DV70" s="938">
        <f t="shared" si="161"/>
        <v>1.65</v>
      </c>
      <c r="DW70" s="938">
        <v>1.2</v>
      </c>
      <c r="DX70" s="938">
        <v>1.6</v>
      </c>
      <c r="DY70" s="938">
        <f t="shared" si="162"/>
        <v>-3.3175218421908217</v>
      </c>
      <c r="DZ70" s="938">
        <v>1.6</v>
      </c>
      <c r="EA70" s="938">
        <v>1.6</v>
      </c>
      <c r="EB70" s="938">
        <f t="shared" si="163"/>
        <v>4.2240000000000002</v>
      </c>
      <c r="EC70" s="938">
        <f t="shared" si="164"/>
        <v>0.90647815780917851</v>
      </c>
      <c r="ED70" s="938">
        <f t="shared" si="165"/>
        <v>0.49856298679504824</v>
      </c>
      <c r="EE70" s="938">
        <f t="shared" si="166"/>
        <v>0.40791517101413033</v>
      </c>
      <c r="EF70" s="938">
        <f t="shared" si="167"/>
        <v>0.49856298679504824</v>
      </c>
    </row>
    <row r="71" spans="1:136">
      <c r="A71" s="920" t="s">
        <v>2230</v>
      </c>
      <c r="B71" s="920" t="s">
        <v>2232</v>
      </c>
      <c r="C71" s="1294">
        <v>30.625</v>
      </c>
      <c r="D71" s="921">
        <v>494.18299999999994</v>
      </c>
      <c r="E71" s="921">
        <v>524.80799999999999</v>
      </c>
      <c r="F71" s="922">
        <v>1.4999999999999999E-2</v>
      </c>
      <c r="G71" s="923">
        <v>3.26</v>
      </c>
      <c r="H71" s="924">
        <v>3.2599999999999999E-3</v>
      </c>
      <c r="I71" s="925">
        <v>0.17436734693877284</v>
      </c>
      <c r="J71" s="926">
        <v>0.17349999999999999</v>
      </c>
      <c r="K71" s="927">
        <v>5.1986804851111637E-2</v>
      </c>
      <c r="L71" s="923">
        <v>2.046724600429279</v>
      </c>
      <c r="M71" s="928">
        <v>8</v>
      </c>
      <c r="N71" s="927">
        <v>0.2</v>
      </c>
      <c r="O71" s="927">
        <v>0.182</v>
      </c>
      <c r="P71" s="923">
        <v>9.2165866219534237E-2</v>
      </c>
      <c r="Q71" s="923">
        <v>3.5427167954530709</v>
      </c>
      <c r="R71" s="923">
        <v>0.04</v>
      </c>
      <c r="S71" s="927">
        <v>0.42699999999999999</v>
      </c>
      <c r="T71" s="929">
        <v>0.16500000000000001</v>
      </c>
      <c r="U71" s="927">
        <v>0.41</v>
      </c>
      <c r="V71" s="930">
        <v>1.5127400716584614</v>
      </c>
      <c r="W71" s="927">
        <v>0.11663519492361094</v>
      </c>
      <c r="X71" s="927">
        <v>1.8654999999999998E-2</v>
      </c>
      <c r="Y71" s="927">
        <v>3.0030000000000001E-2</v>
      </c>
      <c r="Z71" s="927">
        <v>0.14666519492361094</v>
      </c>
      <c r="AA71" s="931">
        <v>0.10199999999999999</v>
      </c>
      <c r="AB71" s="923">
        <v>1.8563999999999997E-2</v>
      </c>
      <c r="AC71" s="923">
        <v>31.751462924999998</v>
      </c>
      <c r="AD71" s="923">
        <v>3.5448186970991786</v>
      </c>
      <c r="AE71" s="932" t="s">
        <v>2197</v>
      </c>
      <c r="AF71" s="927">
        <v>3.4620821547930614E-2</v>
      </c>
      <c r="AG71" s="924">
        <v>3.4620821547930616E-3</v>
      </c>
      <c r="AH71" s="923">
        <v>3.2967032967032965</v>
      </c>
      <c r="AI71" s="927">
        <v>4.9662392074822821E-3</v>
      </c>
      <c r="AJ71" s="927">
        <v>8.4283213622753442E-3</v>
      </c>
      <c r="AK71" s="933">
        <v>950.28</v>
      </c>
      <c r="AL71" s="933">
        <v>944.94</v>
      </c>
      <c r="AM71" s="930">
        <v>949.02580100000034</v>
      </c>
      <c r="AN71" s="930">
        <v>943.71236350000038</v>
      </c>
      <c r="AO71" s="934">
        <v>948.8258010000003</v>
      </c>
      <c r="AP71" s="934">
        <v>943.51236350000033</v>
      </c>
      <c r="AQ71" s="923">
        <v>948.85583100000031</v>
      </c>
      <c r="AR71" s="923">
        <v>943.54239350000034</v>
      </c>
      <c r="AS71" s="923">
        <v>949.05063616302471</v>
      </c>
      <c r="AT71" s="923">
        <v>943.73719866302474</v>
      </c>
      <c r="AU71" s="923">
        <v>1.2541989999996304</v>
      </c>
      <c r="AV71" s="923">
        <v>1.2276364999996758</v>
      </c>
      <c r="AW71" s="923">
        <v>1.4541989999996758</v>
      </c>
      <c r="AX71" s="923">
        <v>1.4276364999997213</v>
      </c>
      <c r="AY71" s="923">
        <v>1.999999999998181E-2</v>
      </c>
      <c r="AZ71" s="923" t="s">
        <v>2187</v>
      </c>
      <c r="BA71" s="935" t="s">
        <v>2188</v>
      </c>
      <c r="BB71" s="935" t="s">
        <v>2189</v>
      </c>
      <c r="BC71" s="935" t="s">
        <v>2198</v>
      </c>
      <c r="BD71" s="935" t="s">
        <v>2191</v>
      </c>
      <c r="BE71" s="935" t="s">
        <v>2191</v>
      </c>
      <c r="BF71" s="946"/>
      <c r="BH71" s="937"/>
      <c r="BI71" s="894" t="str">
        <f t="shared" si="71"/>
        <v>PZ-57</v>
      </c>
      <c r="BJ71" s="894" t="str">
        <f t="shared" si="71"/>
        <v>PZ-58</v>
      </c>
      <c r="BK71" s="938">
        <f t="shared" si="0"/>
        <v>30.63</v>
      </c>
      <c r="BL71" s="938">
        <f t="shared" si="32"/>
        <v>29.03</v>
      </c>
      <c r="BM71" s="895">
        <f t="shared" si="2"/>
        <v>8</v>
      </c>
      <c r="BN71" s="938">
        <f t="shared" si="33"/>
        <v>29.43</v>
      </c>
      <c r="BO71" s="700">
        <f t="shared" si="34"/>
        <v>0.6</v>
      </c>
      <c r="BP71" s="938">
        <f t="shared" si="4"/>
        <v>1.45</v>
      </c>
      <c r="BQ71" s="938">
        <f t="shared" si="5"/>
        <v>1.43</v>
      </c>
      <c r="BR71" s="938">
        <f t="shared" si="6"/>
        <v>1.54</v>
      </c>
      <c r="BS71" s="938">
        <f t="shared" si="7"/>
        <v>26.82</v>
      </c>
      <c r="BT71" s="938">
        <f t="shared" si="23"/>
        <v>44.706200000000003</v>
      </c>
      <c r="BU71" s="938">
        <f t="shared" si="35"/>
        <v>0</v>
      </c>
      <c r="BV71" s="938">
        <f t="shared" si="24"/>
        <v>0</v>
      </c>
      <c r="BW71" s="938">
        <f t="shared" si="159"/>
        <v>0</v>
      </c>
      <c r="BX71" s="938">
        <f t="shared" si="160"/>
        <v>21.46</v>
      </c>
      <c r="BY71" s="938">
        <f t="shared" si="25"/>
        <v>4.5599999999999996</v>
      </c>
      <c r="BZ71" s="938">
        <f t="shared" si="36"/>
        <v>0.8</v>
      </c>
      <c r="CA71" s="938">
        <f t="shared" si="37"/>
        <v>0.94</v>
      </c>
      <c r="CB71" s="938">
        <f t="shared" si="10"/>
        <v>17.420000000000002</v>
      </c>
      <c r="CC71" s="938" t="s">
        <v>2192</v>
      </c>
      <c r="CD71" s="938">
        <f t="shared" si="11"/>
        <v>0</v>
      </c>
      <c r="CE71" s="938">
        <f t="shared" si="12"/>
        <v>0</v>
      </c>
      <c r="CF71" s="938">
        <f t="shared" si="38"/>
        <v>0</v>
      </c>
      <c r="CG71" s="938">
        <f t="shared" si="39"/>
        <v>0</v>
      </c>
      <c r="CH71" s="938">
        <v>0.3</v>
      </c>
      <c r="CI71" s="938">
        <f t="shared" si="40"/>
        <v>0</v>
      </c>
      <c r="CJ71" s="938">
        <f t="shared" si="41"/>
        <v>0</v>
      </c>
      <c r="CK71" s="938">
        <f t="shared" si="17"/>
        <v>24.14</v>
      </c>
      <c r="CL71" s="938">
        <f t="shared" si="18"/>
        <v>0.1</v>
      </c>
      <c r="CM71" s="938">
        <f t="shared" si="19"/>
        <v>1.74</v>
      </c>
      <c r="CN71" s="938">
        <f t="shared" si="26"/>
        <v>7.01</v>
      </c>
      <c r="CO71" s="938">
        <f t="shared" si="27"/>
        <v>17.13</v>
      </c>
      <c r="CP71" s="938">
        <f t="shared" si="42"/>
        <v>9.69</v>
      </c>
      <c r="CQ71" s="936"/>
      <c r="CS71" s="895">
        <f t="shared" si="28"/>
        <v>8</v>
      </c>
      <c r="CT71" s="701">
        <f t="shared" si="29"/>
        <v>200</v>
      </c>
      <c r="CU71" s="895">
        <v>0</v>
      </c>
      <c r="CV71" s="938">
        <v>0</v>
      </c>
      <c r="CW71" s="938">
        <f t="shared" si="43"/>
        <v>0</v>
      </c>
      <c r="CX71" s="938">
        <f t="shared" si="30"/>
        <v>0.6</v>
      </c>
      <c r="CY71" s="938">
        <f t="shared" si="44"/>
        <v>1.27</v>
      </c>
      <c r="CZ71" s="938">
        <f t="shared" si="45"/>
        <v>0</v>
      </c>
      <c r="DA71" s="938">
        <f t="shared" si="46"/>
        <v>0</v>
      </c>
      <c r="DB71" s="938">
        <f t="shared" si="47"/>
        <v>0</v>
      </c>
      <c r="DC71" s="938">
        <f t="shared" si="48"/>
        <v>0</v>
      </c>
      <c r="DD71" s="938">
        <f t="shared" si="49"/>
        <v>0</v>
      </c>
      <c r="DE71" s="938">
        <f t="shared" si="50"/>
        <v>0</v>
      </c>
      <c r="DF71" s="938" t="str">
        <f t="shared" si="51"/>
        <v>D</v>
      </c>
      <c r="DG71" s="938">
        <f t="shared" si="52"/>
        <v>0</v>
      </c>
      <c r="DH71" s="938">
        <f t="shared" si="53"/>
        <v>0</v>
      </c>
      <c r="DI71" s="938">
        <f t="shared" si="54"/>
        <v>0</v>
      </c>
      <c r="DJ71" s="938">
        <f t="shared" si="55"/>
        <v>0</v>
      </c>
      <c r="DK71" s="938">
        <v>6.3</v>
      </c>
      <c r="DL71" s="938">
        <f t="shared" si="56"/>
        <v>0</v>
      </c>
      <c r="DM71" s="938">
        <f t="shared" si="57"/>
        <v>0</v>
      </c>
      <c r="DN71" s="938">
        <f t="shared" si="58"/>
        <v>0</v>
      </c>
      <c r="DO71" s="938">
        <f t="shared" si="59"/>
        <v>0.1</v>
      </c>
      <c r="DP71" s="938">
        <f t="shared" si="60"/>
        <v>0</v>
      </c>
      <c r="DQ71" s="938">
        <f t="shared" si="61"/>
        <v>0</v>
      </c>
      <c r="DR71" s="938">
        <f t="shared" si="62"/>
        <v>0</v>
      </c>
      <c r="DS71" s="938">
        <f t="shared" si="63"/>
        <v>0</v>
      </c>
      <c r="DU71" s="937" t="str">
        <f t="shared" si="31"/>
        <v>PZ-57</v>
      </c>
      <c r="DV71" s="938">
        <f t="shared" si="161"/>
        <v>1.65</v>
      </c>
      <c r="DW71" s="938">
        <v>1.2</v>
      </c>
      <c r="DX71" s="938">
        <v>1.6</v>
      </c>
      <c r="DY71" s="938">
        <f t="shared" si="162"/>
        <v>-3.3175218421908217</v>
      </c>
      <c r="DZ71" s="938">
        <v>1.6</v>
      </c>
      <c r="EA71" s="938">
        <v>1.6</v>
      </c>
      <c r="EB71" s="938">
        <f t="shared" si="163"/>
        <v>4.2240000000000002</v>
      </c>
      <c r="EC71" s="938">
        <f t="shared" si="164"/>
        <v>0.90647815780917851</v>
      </c>
      <c r="ED71" s="938">
        <f t="shared" si="165"/>
        <v>0.49856298679504824</v>
      </c>
      <c r="EE71" s="938">
        <f t="shared" si="166"/>
        <v>0.40791517101413033</v>
      </c>
      <c r="EF71" s="938">
        <f t="shared" si="167"/>
        <v>0.49856298679504824</v>
      </c>
    </row>
    <row r="72" spans="1:136" s="968" customFormat="1">
      <c r="A72" s="920" t="s">
        <v>2232</v>
      </c>
      <c r="B72" s="920" t="s">
        <v>2233</v>
      </c>
      <c r="C72" s="1294">
        <v>41.344999999999999</v>
      </c>
      <c r="D72" s="921">
        <v>524.80799999999999</v>
      </c>
      <c r="E72" s="921">
        <v>566.15300000000002</v>
      </c>
      <c r="F72" s="922">
        <v>1.4999999999999999E-2</v>
      </c>
      <c r="G72" s="923">
        <v>3.47</v>
      </c>
      <c r="H72" s="924">
        <v>3.47E-3</v>
      </c>
      <c r="I72" s="925">
        <v>0.11367759100254071</v>
      </c>
      <c r="J72" s="967">
        <v>0.113</v>
      </c>
      <c r="K72" s="927">
        <v>5.7673528602732747E-2</v>
      </c>
      <c r="L72" s="923">
        <v>2.2706113623032302</v>
      </c>
      <c r="M72" s="928">
        <v>8</v>
      </c>
      <c r="N72" s="927">
        <v>0.2</v>
      </c>
      <c r="O72" s="927">
        <v>0.182</v>
      </c>
      <c r="P72" s="923">
        <v>7.4380585271994482E-2</v>
      </c>
      <c r="Q72" s="923">
        <v>2.8590774383984932</v>
      </c>
      <c r="R72" s="923">
        <v>0.05</v>
      </c>
      <c r="S72" s="927">
        <v>0.45300000000000001</v>
      </c>
      <c r="T72" s="929">
        <v>0.182</v>
      </c>
      <c r="U72" s="927">
        <v>0.44900000000000001</v>
      </c>
      <c r="V72" s="930">
        <v>1.2951620795945173</v>
      </c>
      <c r="W72" s="927">
        <v>8.5496677493353448E-2</v>
      </c>
      <c r="X72" s="927">
        <v>2.04295E-2</v>
      </c>
      <c r="Y72" s="927">
        <v>3.3124000000000001E-2</v>
      </c>
      <c r="Z72" s="927">
        <v>0.11862067749335345</v>
      </c>
      <c r="AA72" s="931">
        <v>0.11600000000000001</v>
      </c>
      <c r="AB72" s="923">
        <v>2.1111999999999999E-2</v>
      </c>
      <c r="AC72" s="923">
        <v>22.646713634999998</v>
      </c>
      <c r="AD72" s="923">
        <v>2.8459346814698709</v>
      </c>
      <c r="AE72" s="932" t="s">
        <v>2197</v>
      </c>
      <c r="AF72" s="927">
        <v>-3.1138517430257487E-2</v>
      </c>
      <c r="AG72" s="924">
        <v>6.2277034860514979E-3</v>
      </c>
      <c r="AH72" s="923">
        <v>3.2967032967032965</v>
      </c>
      <c r="AI72" s="927">
        <v>5.0532968104241103E-3</v>
      </c>
      <c r="AJ72" s="927">
        <v>1.1281000296475607E-2</v>
      </c>
      <c r="AK72" s="933">
        <v>944.94</v>
      </c>
      <c r="AL72" s="933">
        <v>940.24</v>
      </c>
      <c r="AM72" s="930">
        <v>943.6923635000004</v>
      </c>
      <c r="AN72" s="930">
        <v>939.02037850000045</v>
      </c>
      <c r="AO72" s="934">
        <v>943.49236350000035</v>
      </c>
      <c r="AP72" s="934">
        <v>938.8203785000004</v>
      </c>
      <c r="AQ72" s="923">
        <v>943.52548750000039</v>
      </c>
      <c r="AR72" s="923">
        <v>938.85350250000045</v>
      </c>
      <c r="AS72" s="923">
        <v>943.72877034166243</v>
      </c>
      <c r="AT72" s="923">
        <v>939.05678534166248</v>
      </c>
      <c r="AU72" s="923">
        <v>1.2476364999996576</v>
      </c>
      <c r="AV72" s="923">
        <v>1.2196214999995618</v>
      </c>
      <c r="AW72" s="923">
        <v>1.4476364999997031</v>
      </c>
      <c r="AX72" s="923">
        <v>1.4196214999996073</v>
      </c>
      <c r="AY72" s="923">
        <v>1.999999999998181E-2</v>
      </c>
      <c r="AZ72" s="923" t="s">
        <v>2187</v>
      </c>
      <c r="BA72" s="935" t="s">
        <v>2188</v>
      </c>
      <c r="BB72" s="935" t="s">
        <v>2189</v>
      </c>
      <c r="BC72" s="935" t="s">
        <v>2198</v>
      </c>
      <c r="BD72" s="935" t="s">
        <v>2191</v>
      </c>
      <c r="BE72" s="935" t="s">
        <v>2191</v>
      </c>
      <c r="BF72" s="946"/>
      <c r="BH72" s="937"/>
      <c r="BI72" s="894" t="str">
        <f t="shared" si="71"/>
        <v>PZ-58</v>
      </c>
      <c r="BJ72" s="894" t="str">
        <f t="shared" si="71"/>
        <v>PZ-59</v>
      </c>
      <c r="BK72" s="938">
        <f t="shared" si="0"/>
        <v>41.35</v>
      </c>
      <c r="BL72" s="938">
        <f t="shared" si="32"/>
        <v>39.75</v>
      </c>
      <c r="BM72" s="895">
        <f t="shared" si="2"/>
        <v>8</v>
      </c>
      <c r="BN72" s="938">
        <f t="shared" si="33"/>
        <v>40.15</v>
      </c>
      <c r="BO72" s="700">
        <f t="shared" si="34"/>
        <v>0.6</v>
      </c>
      <c r="BP72" s="938">
        <f t="shared" si="4"/>
        <v>1.45</v>
      </c>
      <c r="BQ72" s="938">
        <f t="shared" si="5"/>
        <v>1.42</v>
      </c>
      <c r="BR72" s="938">
        <f t="shared" si="6"/>
        <v>1.54</v>
      </c>
      <c r="BS72" s="938">
        <f t="shared" si="7"/>
        <v>36.729999999999997</v>
      </c>
      <c r="BT72" s="938">
        <f t="shared" si="23"/>
        <v>61.215000000000003</v>
      </c>
      <c r="BU72" s="938">
        <f t="shared" si="35"/>
        <v>0</v>
      </c>
      <c r="BV72" s="938">
        <f t="shared" si="24"/>
        <v>0</v>
      </c>
      <c r="BW72" s="938">
        <f t="shared" si="159"/>
        <v>0</v>
      </c>
      <c r="BX72" s="938">
        <f t="shared" si="160"/>
        <v>29.38</v>
      </c>
      <c r="BY72" s="938">
        <f t="shared" si="25"/>
        <v>6.24</v>
      </c>
      <c r="BZ72" s="938">
        <f t="shared" si="36"/>
        <v>1.1000000000000001</v>
      </c>
      <c r="CA72" s="938">
        <f t="shared" si="37"/>
        <v>1.29</v>
      </c>
      <c r="CB72" s="938">
        <f t="shared" si="10"/>
        <v>23.85</v>
      </c>
      <c r="CC72" s="938" t="s">
        <v>2192</v>
      </c>
      <c r="CD72" s="938">
        <f t="shared" si="11"/>
        <v>0</v>
      </c>
      <c r="CE72" s="938">
        <f t="shared" si="12"/>
        <v>0</v>
      </c>
      <c r="CF72" s="938">
        <f t="shared" si="38"/>
        <v>0</v>
      </c>
      <c r="CG72" s="938">
        <f t="shared" si="39"/>
        <v>0</v>
      </c>
      <c r="CH72" s="938">
        <v>0.3</v>
      </c>
      <c r="CI72" s="938">
        <f t="shared" si="40"/>
        <v>0</v>
      </c>
      <c r="CJ72" s="938">
        <f t="shared" si="41"/>
        <v>0</v>
      </c>
      <c r="CK72" s="938">
        <f t="shared" si="17"/>
        <v>33.049999999999997</v>
      </c>
      <c r="CL72" s="938">
        <f t="shared" si="18"/>
        <v>0.1</v>
      </c>
      <c r="CM72" s="938">
        <f t="shared" si="19"/>
        <v>2.39</v>
      </c>
      <c r="CN72" s="938">
        <f t="shared" si="26"/>
        <v>9.6</v>
      </c>
      <c r="CO72" s="938">
        <f t="shared" si="27"/>
        <v>23.45</v>
      </c>
      <c r="CP72" s="938">
        <f t="shared" si="42"/>
        <v>13.28</v>
      </c>
      <c r="CQ72" s="969"/>
      <c r="CS72" s="895">
        <f t="shared" si="28"/>
        <v>8</v>
      </c>
      <c r="CT72" s="701">
        <f t="shared" si="29"/>
        <v>200</v>
      </c>
      <c r="CU72" s="895">
        <v>1</v>
      </c>
      <c r="CV72" s="938">
        <v>8</v>
      </c>
      <c r="CW72" s="938">
        <f t="shared" si="43"/>
        <v>8</v>
      </c>
      <c r="CX72" s="938">
        <f t="shared" si="30"/>
        <v>0.6</v>
      </c>
      <c r="CY72" s="938">
        <f t="shared" si="44"/>
        <v>1.27</v>
      </c>
      <c r="CZ72" s="938">
        <f t="shared" si="45"/>
        <v>6.1</v>
      </c>
      <c r="DA72" s="938">
        <f t="shared" si="46"/>
        <v>0</v>
      </c>
      <c r="DB72" s="938">
        <f t="shared" si="47"/>
        <v>0</v>
      </c>
      <c r="DC72" s="938">
        <f t="shared" si="48"/>
        <v>0</v>
      </c>
      <c r="DD72" s="938">
        <f t="shared" si="49"/>
        <v>0.15</v>
      </c>
      <c r="DE72" s="938">
        <f t="shared" si="50"/>
        <v>4.8</v>
      </c>
      <c r="DF72" s="938" t="str">
        <f t="shared" si="51"/>
        <v>D</v>
      </c>
      <c r="DG72" s="938">
        <f t="shared" si="52"/>
        <v>0</v>
      </c>
      <c r="DH72" s="938">
        <f t="shared" si="53"/>
        <v>0</v>
      </c>
      <c r="DI72" s="938">
        <f t="shared" si="54"/>
        <v>0</v>
      </c>
      <c r="DJ72" s="938">
        <f t="shared" si="55"/>
        <v>0</v>
      </c>
      <c r="DK72" s="938">
        <v>7.3</v>
      </c>
      <c r="DL72" s="938">
        <f t="shared" si="56"/>
        <v>0</v>
      </c>
      <c r="DM72" s="938">
        <f t="shared" si="57"/>
        <v>0</v>
      </c>
      <c r="DN72" s="938">
        <f t="shared" si="58"/>
        <v>5.47</v>
      </c>
      <c r="DO72" s="938">
        <f t="shared" si="59"/>
        <v>0.1</v>
      </c>
      <c r="DP72" s="938">
        <f t="shared" si="60"/>
        <v>0.48</v>
      </c>
      <c r="DQ72" s="938">
        <f t="shared" si="61"/>
        <v>1.0900000000000001</v>
      </c>
      <c r="DR72" s="938">
        <f t="shared" si="62"/>
        <v>4.38</v>
      </c>
      <c r="DS72" s="938">
        <f t="shared" si="63"/>
        <v>1.57</v>
      </c>
      <c r="DU72" s="937" t="str">
        <f t="shared" si="31"/>
        <v>PZ-58</v>
      </c>
      <c r="DV72" s="938">
        <f t="shared" si="161"/>
        <v>1.65</v>
      </c>
      <c r="DW72" s="938">
        <v>1.2</v>
      </c>
      <c r="DX72" s="938">
        <v>1.6</v>
      </c>
      <c r="DY72" s="938">
        <f t="shared" si="162"/>
        <v>-3.3175218421908217</v>
      </c>
      <c r="DZ72" s="938">
        <v>1.6</v>
      </c>
      <c r="EA72" s="938">
        <v>1.6</v>
      </c>
      <c r="EB72" s="938">
        <f t="shared" si="163"/>
        <v>4.2240000000000002</v>
      </c>
      <c r="EC72" s="938">
        <f t="shared" si="164"/>
        <v>0.90647815780917851</v>
      </c>
      <c r="ED72" s="938">
        <f t="shared" si="165"/>
        <v>0.49856298679504824</v>
      </c>
      <c r="EE72" s="938">
        <f t="shared" si="166"/>
        <v>0.40791517101413033</v>
      </c>
      <c r="EF72" s="938">
        <f t="shared" si="167"/>
        <v>0.49856298679504824</v>
      </c>
    </row>
    <row r="73" spans="1:136">
      <c r="A73" s="970" t="s">
        <v>2233</v>
      </c>
      <c r="B73" s="970" t="s">
        <v>2326</v>
      </c>
      <c r="C73" s="1294">
        <v>27.239000000000001</v>
      </c>
      <c r="D73" s="921">
        <v>566.15300000000002</v>
      </c>
      <c r="E73" s="921">
        <v>593.39200000000005</v>
      </c>
      <c r="F73" s="922">
        <v>1.4999999999999999E-2</v>
      </c>
      <c r="G73" s="971">
        <v>3.58</v>
      </c>
      <c r="H73" s="924">
        <v>3.5800000000000003E-3</v>
      </c>
      <c r="I73" s="925">
        <v>4.3320239362680847E-2</v>
      </c>
      <c r="J73" s="926">
        <v>4.2999999999999997E-2</v>
      </c>
      <c r="K73" s="927">
        <v>6.9941666827319407E-2</v>
      </c>
      <c r="L73" s="923">
        <v>2.753608930198411</v>
      </c>
      <c r="M73" s="928">
        <v>8</v>
      </c>
      <c r="N73" s="927">
        <v>0.2</v>
      </c>
      <c r="O73" s="927">
        <v>0.182</v>
      </c>
      <c r="P73" s="923">
        <v>4.5883294915710263E-2</v>
      </c>
      <c r="Q73" s="923">
        <v>1.7636846068524337</v>
      </c>
      <c r="R73" s="923">
        <v>0.08</v>
      </c>
      <c r="S73" s="927">
        <v>0.505</v>
      </c>
      <c r="T73" s="929">
        <v>0.22</v>
      </c>
      <c r="U73" s="927">
        <v>0.53</v>
      </c>
      <c r="V73" s="930">
        <v>0.890660726460479</v>
      </c>
      <c r="W73" s="927">
        <v>4.0432035150821007E-2</v>
      </c>
      <c r="X73" s="927">
        <v>2.4115000000000001E-2</v>
      </c>
      <c r="Y73" s="927">
        <v>4.0039999999999999E-2</v>
      </c>
      <c r="Z73" s="927">
        <v>8.0472035150821006E-2</v>
      </c>
      <c r="AA73" s="931">
        <v>0.151</v>
      </c>
      <c r="AB73" s="923">
        <v>2.7481999999999999E-2</v>
      </c>
      <c r="AC73" s="923">
        <v>10.172430450000002</v>
      </c>
      <c r="AD73" s="923">
        <v>1.7153534931590779</v>
      </c>
      <c r="AE73" s="932" t="s">
        <v>2197</v>
      </c>
      <c r="AF73" s="927">
        <v>-4.5064642342532442E-2</v>
      </c>
      <c r="AG73" s="924">
        <v>9.0129284685064887E-3</v>
      </c>
      <c r="AH73" s="923">
        <v>3.2967032967032965</v>
      </c>
      <c r="AI73" s="927">
        <v>3.1482178161043616E-3</v>
      </c>
      <c r="AJ73" s="927">
        <v>1.216114628461085E-2</v>
      </c>
      <c r="AK73" s="933">
        <v>940.24</v>
      </c>
      <c r="AL73" s="933">
        <v>939.06</v>
      </c>
      <c r="AM73" s="930">
        <v>939.00037850000047</v>
      </c>
      <c r="AN73" s="930">
        <v>937.82910150000043</v>
      </c>
      <c r="AO73" s="934">
        <v>938.80037850000042</v>
      </c>
      <c r="AP73" s="934">
        <v>937.62910150000039</v>
      </c>
      <c r="AQ73" s="923">
        <v>938.8404185000004</v>
      </c>
      <c r="AR73" s="923">
        <v>937.66914150000036</v>
      </c>
      <c r="AS73" s="923">
        <v>939.04550434136604</v>
      </c>
      <c r="AT73" s="923">
        <v>937.87422734136601</v>
      </c>
      <c r="AU73" s="923">
        <v>1.2396214999995436</v>
      </c>
      <c r="AV73" s="923">
        <v>1.2308984999995118</v>
      </c>
      <c r="AW73" s="923">
        <v>1.4396214999995891</v>
      </c>
      <c r="AX73" s="923">
        <v>1.4308984999995573</v>
      </c>
      <c r="AY73" s="923">
        <v>1.999999999998181E-2</v>
      </c>
      <c r="AZ73" s="923" t="s">
        <v>2187</v>
      </c>
      <c r="BA73" s="935" t="s">
        <v>2188</v>
      </c>
      <c r="BB73" s="935" t="s">
        <v>2189</v>
      </c>
      <c r="BC73" s="935" t="s">
        <v>2198</v>
      </c>
      <c r="BD73" s="935" t="s">
        <v>2191</v>
      </c>
      <c r="BE73" s="935" t="s">
        <v>2191</v>
      </c>
      <c r="BF73" s="972"/>
      <c r="BH73" s="973"/>
      <c r="BI73" s="894" t="str">
        <f t="shared" si="71"/>
        <v>PZ-59</v>
      </c>
      <c r="BJ73" s="894" t="str">
        <f t="shared" si="71"/>
        <v>PZ-60</v>
      </c>
      <c r="BK73" s="938">
        <f t="shared" si="0"/>
        <v>27.24</v>
      </c>
      <c r="BL73" s="938">
        <f t="shared" si="32"/>
        <v>25.64</v>
      </c>
      <c r="BM73" s="895">
        <f t="shared" si="2"/>
        <v>8</v>
      </c>
      <c r="BN73" s="938">
        <f t="shared" si="33"/>
        <v>26.04</v>
      </c>
      <c r="BO73" s="700">
        <f t="shared" si="34"/>
        <v>0.6</v>
      </c>
      <c r="BP73" s="938">
        <f t="shared" si="4"/>
        <v>1.44</v>
      </c>
      <c r="BQ73" s="938">
        <f t="shared" si="5"/>
        <v>1.43</v>
      </c>
      <c r="BR73" s="938">
        <f t="shared" si="6"/>
        <v>1.54</v>
      </c>
      <c r="BS73" s="938">
        <f t="shared" si="7"/>
        <v>23.69</v>
      </c>
      <c r="BT73" s="938">
        <f t="shared" si="23"/>
        <v>39.485600000000005</v>
      </c>
      <c r="BU73" s="938">
        <f t="shared" si="35"/>
        <v>0</v>
      </c>
      <c r="BV73" s="938">
        <f t="shared" si="24"/>
        <v>0</v>
      </c>
      <c r="BW73" s="938">
        <f t="shared" si="159"/>
        <v>0</v>
      </c>
      <c r="BX73" s="938">
        <f t="shared" si="160"/>
        <v>18.95</v>
      </c>
      <c r="BY73" s="938">
        <f t="shared" si="25"/>
        <v>4.03</v>
      </c>
      <c r="BZ73" s="938">
        <f t="shared" si="36"/>
        <v>0.71</v>
      </c>
      <c r="CA73" s="938">
        <f t="shared" si="37"/>
        <v>0.83</v>
      </c>
      <c r="CB73" s="938">
        <f t="shared" si="10"/>
        <v>15.38</v>
      </c>
      <c r="CC73" s="938" t="s">
        <v>2192</v>
      </c>
      <c r="CD73" s="938">
        <f t="shared" si="11"/>
        <v>0</v>
      </c>
      <c r="CE73" s="938">
        <f t="shared" si="12"/>
        <v>0</v>
      </c>
      <c r="CF73" s="938">
        <f t="shared" si="38"/>
        <v>0</v>
      </c>
      <c r="CG73" s="938">
        <f t="shared" si="39"/>
        <v>0</v>
      </c>
      <c r="CH73" s="938">
        <v>0.3</v>
      </c>
      <c r="CI73" s="938">
        <f t="shared" si="40"/>
        <v>0</v>
      </c>
      <c r="CJ73" s="938">
        <f t="shared" si="41"/>
        <v>0</v>
      </c>
      <c r="CK73" s="938">
        <f t="shared" si="17"/>
        <v>21.32</v>
      </c>
      <c r="CL73" s="938">
        <f t="shared" si="18"/>
        <v>0.1</v>
      </c>
      <c r="CM73" s="938">
        <f t="shared" si="19"/>
        <v>1.54</v>
      </c>
      <c r="CN73" s="938">
        <f t="shared" si="26"/>
        <v>6.19</v>
      </c>
      <c r="CO73" s="938">
        <f t="shared" si="27"/>
        <v>15.13</v>
      </c>
      <c r="CP73" s="938">
        <f t="shared" si="42"/>
        <v>8.56</v>
      </c>
      <c r="CQ73" s="936"/>
      <c r="CS73" s="974">
        <f t="shared" si="28"/>
        <v>8</v>
      </c>
      <c r="CT73" s="848">
        <f t="shared" si="29"/>
        <v>200</v>
      </c>
      <c r="CU73" s="974">
        <v>1</v>
      </c>
      <c r="CV73" s="975">
        <v>24.5</v>
      </c>
      <c r="CW73" s="975">
        <f t="shared" si="43"/>
        <v>24.5</v>
      </c>
      <c r="CX73" s="975">
        <f t="shared" si="30"/>
        <v>0.6</v>
      </c>
      <c r="CY73" s="975">
        <f t="shared" si="44"/>
        <v>1.27</v>
      </c>
      <c r="CZ73" s="975">
        <f t="shared" si="45"/>
        <v>18.670000000000002</v>
      </c>
      <c r="DA73" s="975">
        <f t="shared" si="46"/>
        <v>0</v>
      </c>
      <c r="DB73" s="975">
        <f t="shared" si="47"/>
        <v>0</v>
      </c>
      <c r="DC73" s="975">
        <f t="shared" si="48"/>
        <v>0</v>
      </c>
      <c r="DD73" s="975">
        <f t="shared" si="49"/>
        <v>0.45</v>
      </c>
      <c r="DE73" s="975">
        <f t="shared" si="50"/>
        <v>14.7</v>
      </c>
      <c r="DF73" s="975" t="str">
        <f t="shared" si="51"/>
        <v>D</v>
      </c>
      <c r="DG73" s="975">
        <f t="shared" si="52"/>
        <v>0</v>
      </c>
      <c r="DH73" s="975">
        <f t="shared" si="53"/>
        <v>0</v>
      </c>
      <c r="DI73" s="975">
        <f t="shared" si="54"/>
        <v>0</v>
      </c>
      <c r="DJ73" s="975">
        <f t="shared" si="55"/>
        <v>0</v>
      </c>
      <c r="DK73" s="975">
        <v>8.3000000000000007</v>
      </c>
      <c r="DL73" s="975">
        <f t="shared" si="56"/>
        <v>0</v>
      </c>
      <c r="DM73" s="975">
        <f t="shared" si="57"/>
        <v>0</v>
      </c>
      <c r="DN73" s="975">
        <f t="shared" si="58"/>
        <v>16.75</v>
      </c>
      <c r="DO73" s="975">
        <f t="shared" si="59"/>
        <v>0.1</v>
      </c>
      <c r="DP73" s="975">
        <f t="shared" si="60"/>
        <v>1.47</v>
      </c>
      <c r="DQ73" s="975">
        <f t="shared" si="61"/>
        <v>3.35</v>
      </c>
      <c r="DR73" s="975">
        <f t="shared" si="62"/>
        <v>13.4</v>
      </c>
      <c r="DS73" s="975">
        <f t="shared" si="63"/>
        <v>4.82</v>
      </c>
      <c r="DU73" s="973" t="str">
        <f t="shared" si="31"/>
        <v>PZ-59</v>
      </c>
      <c r="DV73" s="938">
        <f t="shared" si="161"/>
        <v>1.64</v>
      </c>
      <c r="DW73" s="938">
        <v>1.2</v>
      </c>
      <c r="DX73" s="938">
        <v>1.6</v>
      </c>
      <c r="DY73" s="938">
        <f t="shared" si="162"/>
        <v>-3.297415649207847</v>
      </c>
      <c r="DZ73" s="938">
        <v>1.6</v>
      </c>
      <c r="EA73" s="938">
        <v>1.6</v>
      </c>
      <c r="EB73" s="938">
        <f t="shared" si="163"/>
        <v>4.1984000000000004</v>
      </c>
      <c r="EC73" s="938">
        <f t="shared" si="164"/>
        <v>0.90098435079215333</v>
      </c>
      <c r="ED73" s="938">
        <f t="shared" si="165"/>
        <v>0.49554139293568439</v>
      </c>
      <c r="EE73" s="938">
        <f t="shared" si="166"/>
        <v>0.405442957856469</v>
      </c>
      <c r="EF73" s="938">
        <f t="shared" si="167"/>
        <v>0.49554139293568439</v>
      </c>
    </row>
    <row r="74" spans="1:136">
      <c r="A74" s="920" t="s">
        <v>2326</v>
      </c>
      <c r="B74" s="920" t="s">
        <v>2196</v>
      </c>
      <c r="C74" s="1294">
        <v>37.418999999999997</v>
      </c>
      <c r="D74" s="921">
        <v>593.39200000000005</v>
      </c>
      <c r="E74" s="921">
        <v>630.81100000000004</v>
      </c>
      <c r="F74" s="922">
        <v>1.4999999999999999E-2</v>
      </c>
      <c r="G74" s="923">
        <v>3.7</v>
      </c>
      <c r="H74" s="924">
        <v>3.7000000000000002E-3</v>
      </c>
      <c r="I74" s="925">
        <v>3.3405489189983699E-2</v>
      </c>
      <c r="J74" s="926">
        <v>3.3500000000000002E-2</v>
      </c>
      <c r="K74" s="927">
        <v>7.4205299742484285E-2</v>
      </c>
      <c r="L74" s="923">
        <v>2.9214684937869078</v>
      </c>
      <c r="M74" s="928">
        <v>8</v>
      </c>
      <c r="N74" s="927">
        <v>0.2</v>
      </c>
      <c r="O74" s="927">
        <v>0.182</v>
      </c>
      <c r="P74" s="923">
        <v>4.0498857636139446E-2</v>
      </c>
      <c r="Q74" s="923">
        <v>1.5567149643281368</v>
      </c>
      <c r="R74" s="923">
        <v>0.09</v>
      </c>
      <c r="S74" s="927">
        <v>0.52</v>
      </c>
      <c r="T74" s="929">
        <v>0.23200000000000001</v>
      </c>
      <c r="U74" s="927">
        <v>0.55400000000000005</v>
      </c>
      <c r="V74" s="930">
        <v>0.80949178145063116</v>
      </c>
      <c r="W74" s="927">
        <v>3.3398417137416737E-2</v>
      </c>
      <c r="X74" s="927">
        <v>2.5207E-2</v>
      </c>
      <c r="Y74" s="927">
        <v>4.2223999999999998E-2</v>
      </c>
      <c r="Z74" s="927">
        <v>7.5622417137416742E-2</v>
      </c>
      <c r="AA74" s="931">
        <v>0.161</v>
      </c>
      <c r="AB74" s="923">
        <v>2.9302000000000002E-2</v>
      </c>
      <c r="AC74" s="923">
        <v>8.2839024450000007</v>
      </c>
      <c r="AD74" s="923">
        <v>1.5098343723458716</v>
      </c>
      <c r="AE74" s="932" t="s">
        <v>2197</v>
      </c>
      <c r="AF74" s="927">
        <v>-7.0336180134042692E-3</v>
      </c>
      <c r="AG74" s="924">
        <v>1.4067236026808539E-3</v>
      </c>
      <c r="AH74" s="923">
        <v>3.2967032967032965</v>
      </c>
      <c r="AI74" s="927">
        <v>1.8457613072059436E-3</v>
      </c>
      <c r="AJ74" s="927">
        <v>3.2524849098867978E-3</v>
      </c>
      <c r="AK74" s="933">
        <v>939.06</v>
      </c>
      <c r="AL74" s="933">
        <v>937.81</v>
      </c>
      <c r="AM74" s="930">
        <v>937.80910150000045</v>
      </c>
      <c r="AN74" s="930">
        <v>936.55556500000046</v>
      </c>
      <c r="AO74" s="934">
        <v>937.60910150000041</v>
      </c>
      <c r="AP74" s="941">
        <v>936.35556500000041</v>
      </c>
      <c r="AQ74" s="923">
        <v>937.65132550000044</v>
      </c>
      <c r="AR74" s="923">
        <v>936.39778900000044</v>
      </c>
      <c r="AS74" s="923">
        <v>937.86206619508141</v>
      </c>
      <c r="AT74" s="923">
        <v>936.60852969508142</v>
      </c>
      <c r="AU74" s="923">
        <v>1.2508984999994937</v>
      </c>
      <c r="AV74" s="923">
        <v>1.2544349999994893</v>
      </c>
      <c r="AW74" s="923">
        <v>1.4508984999995391</v>
      </c>
      <c r="AX74" s="923">
        <v>1.4544349999995347</v>
      </c>
      <c r="AY74" s="923">
        <v>936.35556500000041</v>
      </c>
      <c r="AZ74" s="923" t="s">
        <v>2187</v>
      </c>
      <c r="BA74" s="935" t="s">
        <v>2188</v>
      </c>
      <c r="BB74" s="935" t="s">
        <v>2189</v>
      </c>
      <c r="BC74" s="935" t="s">
        <v>2198</v>
      </c>
      <c r="BD74" s="935" t="s">
        <v>2191</v>
      </c>
      <c r="BE74" s="935" t="s">
        <v>2191</v>
      </c>
      <c r="BF74" s="946"/>
      <c r="BH74" s="937"/>
      <c r="BI74" s="894" t="str">
        <f t="shared" si="71"/>
        <v>PZ-60</v>
      </c>
      <c r="BJ74" s="894" t="str">
        <f t="shared" si="71"/>
        <v>PZ-5</v>
      </c>
      <c r="BK74" s="938">
        <f t="shared" si="0"/>
        <v>37.42</v>
      </c>
      <c r="BL74" s="938">
        <f t="shared" si="32"/>
        <v>35.82</v>
      </c>
      <c r="BM74" s="895">
        <f t="shared" si="2"/>
        <v>8</v>
      </c>
      <c r="BN74" s="938">
        <f t="shared" si="33"/>
        <v>36.22</v>
      </c>
      <c r="BO74" s="700">
        <f t="shared" si="34"/>
        <v>0.6</v>
      </c>
      <c r="BP74" s="938">
        <f t="shared" si="4"/>
        <v>1.45</v>
      </c>
      <c r="BQ74" s="938">
        <f t="shared" si="5"/>
        <v>1.45</v>
      </c>
      <c r="BR74" s="938">
        <f t="shared" si="6"/>
        <v>1.55</v>
      </c>
      <c r="BS74" s="938">
        <f t="shared" si="7"/>
        <v>33.31</v>
      </c>
      <c r="BT74" s="938">
        <f t="shared" si="23"/>
        <v>55.521000000000001</v>
      </c>
      <c r="BU74" s="938">
        <f t="shared" si="35"/>
        <v>0</v>
      </c>
      <c r="BV74" s="938">
        <f t="shared" si="24"/>
        <v>0</v>
      </c>
      <c r="BW74" s="938">
        <f t="shared" si="159"/>
        <v>0</v>
      </c>
      <c r="BX74" s="938">
        <f t="shared" si="160"/>
        <v>26.65</v>
      </c>
      <c r="BY74" s="938">
        <f t="shared" si="25"/>
        <v>5.66</v>
      </c>
      <c r="BZ74" s="938">
        <f t="shared" si="36"/>
        <v>1</v>
      </c>
      <c r="CA74" s="938">
        <f t="shared" si="37"/>
        <v>1.1599999999999999</v>
      </c>
      <c r="CB74" s="938">
        <f t="shared" si="10"/>
        <v>21.49</v>
      </c>
      <c r="CC74" s="938" t="s">
        <v>2192</v>
      </c>
      <c r="CD74" s="938">
        <f t="shared" si="11"/>
        <v>0</v>
      </c>
      <c r="CE74" s="938">
        <f t="shared" si="12"/>
        <v>0</v>
      </c>
      <c r="CF74" s="938">
        <f t="shared" si="38"/>
        <v>0</v>
      </c>
      <c r="CG74" s="938">
        <f t="shared" si="39"/>
        <v>0</v>
      </c>
      <c r="CH74" s="938">
        <v>0.3</v>
      </c>
      <c r="CI74" s="938">
        <f t="shared" si="40"/>
        <v>0</v>
      </c>
      <c r="CJ74" s="938">
        <f t="shared" si="41"/>
        <v>0</v>
      </c>
      <c r="CK74" s="938">
        <f t="shared" si="17"/>
        <v>30</v>
      </c>
      <c r="CL74" s="938">
        <f t="shared" si="18"/>
        <v>0.1</v>
      </c>
      <c r="CM74" s="938">
        <f t="shared" si="19"/>
        <v>2.15</v>
      </c>
      <c r="CN74" s="938">
        <f t="shared" si="26"/>
        <v>8.7200000000000006</v>
      </c>
      <c r="CO74" s="938">
        <f t="shared" si="27"/>
        <v>21.29</v>
      </c>
      <c r="CP74" s="938">
        <f t="shared" si="42"/>
        <v>12.02</v>
      </c>
      <c r="CQ74" s="936"/>
      <c r="CS74" s="895">
        <f t="shared" si="28"/>
        <v>8</v>
      </c>
      <c r="CT74" s="701">
        <f t="shared" si="29"/>
        <v>200</v>
      </c>
      <c r="CU74" s="895">
        <v>0</v>
      </c>
      <c r="CV74" s="938">
        <v>0</v>
      </c>
      <c r="CW74" s="938">
        <f t="shared" si="43"/>
        <v>0</v>
      </c>
      <c r="CX74" s="938">
        <f t="shared" si="30"/>
        <v>0.6</v>
      </c>
      <c r="CY74" s="938">
        <f t="shared" si="44"/>
        <v>1.28</v>
      </c>
      <c r="CZ74" s="938">
        <f t="shared" si="45"/>
        <v>0</v>
      </c>
      <c r="DA74" s="938">
        <f t="shared" si="46"/>
        <v>0</v>
      </c>
      <c r="DB74" s="938">
        <f t="shared" si="47"/>
        <v>0</v>
      </c>
      <c r="DC74" s="938">
        <f t="shared" si="48"/>
        <v>0</v>
      </c>
      <c r="DD74" s="938">
        <f t="shared" si="49"/>
        <v>0</v>
      </c>
      <c r="DE74" s="938">
        <f t="shared" si="50"/>
        <v>0</v>
      </c>
      <c r="DF74" s="938" t="str">
        <f t="shared" si="51"/>
        <v>D</v>
      </c>
      <c r="DG74" s="938">
        <f t="shared" si="52"/>
        <v>0</v>
      </c>
      <c r="DH74" s="938">
        <f t="shared" si="53"/>
        <v>0</v>
      </c>
      <c r="DI74" s="938">
        <f t="shared" si="54"/>
        <v>0</v>
      </c>
      <c r="DJ74" s="938">
        <f t="shared" si="55"/>
        <v>0</v>
      </c>
      <c r="DK74" s="938">
        <v>9.3000000000000007</v>
      </c>
      <c r="DL74" s="938">
        <f t="shared" si="56"/>
        <v>0</v>
      </c>
      <c r="DM74" s="938">
        <f t="shared" si="57"/>
        <v>0</v>
      </c>
      <c r="DN74" s="938">
        <f t="shared" si="58"/>
        <v>0</v>
      </c>
      <c r="DO74" s="938">
        <f t="shared" si="59"/>
        <v>0.1</v>
      </c>
      <c r="DP74" s="938">
        <f t="shared" si="60"/>
        <v>0</v>
      </c>
      <c r="DQ74" s="938">
        <f t="shared" si="61"/>
        <v>0</v>
      </c>
      <c r="DR74" s="938">
        <f t="shared" si="62"/>
        <v>0</v>
      </c>
      <c r="DS74" s="938">
        <f t="shared" si="63"/>
        <v>0</v>
      </c>
      <c r="DU74" s="937" t="str">
        <f t="shared" si="31"/>
        <v>PZ-60</v>
      </c>
      <c r="DV74" s="938">
        <f t="shared" si="161"/>
        <v>1.65</v>
      </c>
      <c r="DW74" s="938">
        <v>1.2</v>
      </c>
      <c r="DX74" s="938">
        <v>1.6</v>
      </c>
      <c r="DY74" s="938">
        <f t="shared" si="162"/>
        <v>-3.3175218421908217</v>
      </c>
      <c r="DZ74" s="938">
        <v>1.6</v>
      </c>
      <c r="EA74" s="938">
        <v>1.6</v>
      </c>
      <c r="EB74" s="938">
        <f t="shared" si="163"/>
        <v>4.2240000000000002</v>
      </c>
      <c r="EC74" s="938">
        <f t="shared" si="164"/>
        <v>0.90647815780917851</v>
      </c>
      <c r="ED74" s="938">
        <f t="shared" si="165"/>
        <v>0.49856298679504824</v>
      </c>
      <c r="EE74" s="938">
        <f t="shared" si="166"/>
        <v>0.40791517101413033</v>
      </c>
      <c r="EF74" s="938">
        <f t="shared" si="167"/>
        <v>0.49856298679504824</v>
      </c>
    </row>
    <row r="75" spans="1:136" s="919" customFormat="1">
      <c r="A75" s="948" t="s">
        <v>2327</v>
      </c>
      <c r="B75" s="949"/>
      <c r="C75" s="1295"/>
      <c r="D75" s="964"/>
      <c r="E75" s="964"/>
      <c r="F75" s="948"/>
      <c r="G75" s="951"/>
      <c r="H75" s="952"/>
      <c r="I75" s="953"/>
      <c r="J75" s="954"/>
      <c r="K75" s="955"/>
      <c r="L75" s="951"/>
      <c r="M75" s="956"/>
      <c r="N75" s="955"/>
      <c r="O75" s="955"/>
      <c r="P75" s="951"/>
      <c r="Q75" s="951"/>
      <c r="R75" s="951"/>
      <c r="S75" s="955"/>
      <c r="T75" s="957"/>
      <c r="U75" s="955"/>
      <c r="V75" s="958"/>
      <c r="W75" s="955"/>
      <c r="X75" s="955"/>
      <c r="Y75" s="955"/>
      <c r="Z75" s="955"/>
      <c r="AA75" s="959"/>
      <c r="AB75" s="951"/>
      <c r="AC75" s="951"/>
      <c r="AD75" s="951"/>
      <c r="AE75" s="960"/>
      <c r="AF75" s="955"/>
      <c r="AG75" s="952"/>
      <c r="AH75" s="951"/>
      <c r="AI75" s="955"/>
      <c r="AJ75" s="955"/>
      <c r="AK75" s="961"/>
      <c r="AL75" s="961"/>
      <c r="AM75" s="958"/>
      <c r="AN75" s="958"/>
      <c r="AO75" s="962"/>
      <c r="AP75" s="962"/>
      <c r="AQ75" s="951"/>
      <c r="AR75" s="951"/>
      <c r="AS75" s="951"/>
      <c r="AT75" s="951"/>
      <c r="AU75" s="951"/>
      <c r="AV75" s="951"/>
      <c r="AW75" s="951"/>
      <c r="AX75" s="951"/>
      <c r="AY75" s="951"/>
      <c r="AZ75" s="951"/>
      <c r="BA75" s="963"/>
      <c r="BB75" s="963"/>
      <c r="BC75" s="963"/>
      <c r="BD75" s="963"/>
      <c r="BE75" s="963"/>
      <c r="BF75" s="966"/>
      <c r="BH75" s="917"/>
      <c r="BI75" s="903"/>
      <c r="BJ75" s="903"/>
      <c r="BK75" s="901"/>
      <c r="BL75" s="901"/>
      <c r="BM75" s="908"/>
      <c r="BN75" s="901"/>
      <c r="BO75" s="698" t="str">
        <f t="shared" si="34"/>
        <v/>
      </c>
      <c r="BP75" s="901"/>
      <c r="BQ75" s="901"/>
      <c r="BR75" s="901"/>
      <c r="BS75" s="901"/>
      <c r="BT75" s="901"/>
      <c r="BU75" s="901">
        <f t="shared" si="35"/>
        <v>0</v>
      </c>
      <c r="BV75" s="901"/>
      <c r="BW75" s="901" t="str">
        <f t="shared" ref="BW75:BW106" si="168">IF(BK75="","",ROUND( BS75*$BN$1,2))</f>
        <v/>
      </c>
      <c r="BX75" s="901" t="str">
        <f t="shared" ref="BX75:BX106" si="169">IF(BK75="","",ROUND(BS75*$BN$2,2))</f>
        <v/>
      </c>
      <c r="BY75" s="901" t="str">
        <f t="shared" si="25"/>
        <v/>
      </c>
      <c r="BZ75" s="901" t="str">
        <f t="shared" si="36"/>
        <v/>
      </c>
      <c r="CA75" s="901"/>
      <c r="CB75" s="901"/>
      <c r="CC75" s="901"/>
      <c r="CD75" s="901"/>
      <c r="CE75" s="901"/>
      <c r="CF75" s="901"/>
      <c r="CG75" s="901"/>
      <c r="CH75" s="901"/>
      <c r="CI75" s="901"/>
      <c r="CJ75" s="901"/>
      <c r="CK75" s="901"/>
      <c r="CL75" s="901"/>
      <c r="CM75" s="901"/>
      <c r="CN75" s="901" t="str">
        <f t="shared" si="26"/>
        <v/>
      </c>
      <c r="CO75" s="901" t="str">
        <f t="shared" si="27"/>
        <v/>
      </c>
      <c r="CP75" s="901"/>
      <c r="CQ75" s="916"/>
      <c r="CS75" s="908"/>
      <c r="CT75" s="699"/>
      <c r="CU75" s="908"/>
      <c r="CV75" s="901"/>
      <c r="CW75" s="901"/>
      <c r="CX75" s="901"/>
      <c r="CY75" s="901"/>
      <c r="CZ75" s="901"/>
      <c r="DA75" s="901"/>
      <c r="DB75" s="901"/>
      <c r="DC75" s="901"/>
      <c r="DD75" s="901"/>
      <c r="DE75" s="901"/>
      <c r="DF75" s="901"/>
      <c r="DG75" s="901"/>
      <c r="DH75" s="901"/>
      <c r="DI75" s="901"/>
      <c r="DJ75" s="901"/>
      <c r="DK75" s="901"/>
      <c r="DL75" s="901"/>
      <c r="DM75" s="901"/>
      <c r="DN75" s="901"/>
      <c r="DO75" s="901" t="str">
        <f t="shared" si="59"/>
        <v/>
      </c>
      <c r="DP75" s="901"/>
      <c r="DQ75" s="901" t="str">
        <f t="shared" si="61"/>
        <v/>
      </c>
      <c r="DR75" s="901" t="str">
        <f t="shared" si="62"/>
        <v/>
      </c>
      <c r="DS75" s="901"/>
      <c r="DU75" s="917"/>
      <c r="DV75" s="901"/>
      <c r="DW75" s="901"/>
      <c r="DX75" s="901"/>
      <c r="DY75" s="901"/>
      <c r="DZ75" s="901"/>
      <c r="EA75" s="901"/>
      <c r="EB75" s="901"/>
      <c r="EC75" s="901"/>
      <c r="ED75" s="901"/>
      <c r="EE75" s="901"/>
      <c r="EF75" s="901"/>
    </row>
    <row r="76" spans="1:136">
      <c r="A76" s="920" t="s">
        <v>2328</v>
      </c>
      <c r="B76" s="920" t="s">
        <v>2236</v>
      </c>
      <c r="C76" s="1294">
        <v>41.01</v>
      </c>
      <c r="D76" s="921">
        <v>0</v>
      </c>
      <c r="E76" s="921">
        <v>41.01</v>
      </c>
      <c r="F76" s="922">
        <v>1.4999999999999999E-2</v>
      </c>
      <c r="G76" s="923">
        <v>1.5</v>
      </c>
      <c r="H76" s="924">
        <v>1.5E-3</v>
      </c>
      <c r="I76" s="925">
        <v>0.16703243111436292</v>
      </c>
      <c r="J76" s="967">
        <v>0.16750000000000001</v>
      </c>
      <c r="K76" s="927">
        <v>3.9114395567492848E-2</v>
      </c>
      <c r="L76" s="923">
        <v>1.5399368333597003</v>
      </c>
      <c r="M76" s="928">
        <v>8</v>
      </c>
      <c r="N76" s="927">
        <v>0.2</v>
      </c>
      <c r="O76" s="927">
        <v>0.182</v>
      </c>
      <c r="P76" s="923">
        <v>9.0558198685494251E-2</v>
      </c>
      <c r="Q76" s="923">
        <v>3.4809204818288744</v>
      </c>
      <c r="R76" s="923">
        <v>0.02</v>
      </c>
      <c r="S76" s="927">
        <v>0.36199999999999999</v>
      </c>
      <c r="T76" s="929">
        <v>0.124</v>
      </c>
      <c r="U76" s="927">
        <v>0.315</v>
      </c>
      <c r="V76" s="930">
        <v>1.2600932144220525</v>
      </c>
      <c r="W76" s="927">
        <v>8.0929404130096874E-2</v>
      </c>
      <c r="X76" s="927">
        <v>1.43325E-2</v>
      </c>
      <c r="Y76" s="927">
        <v>2.2567999999999998E-2</v>
      </c>
      <c r="Z76" s="927">
        <v>0.10349740413009687</v>
      </c>
      <c r="AA76" s="931">
        <v>6.7000000000000004E-2</v>
      </c>
      <c r="AB76" s="923">
        <v>1.2194E-2</v>
      </c>
      <c r="AC76" s="923">
        <v>23.550805687500002</v>
      </c>
      <c r="AD76" s="923">
        <v>3.6433011751066533</v>
      </c>
      <c r="AE76" s="932" t="s">
        <v>2197</v>
      </c>
      <c r="AF76" s="927">
        <v>8.0929404130096874E-2</v>
      </c>
      <c r="AG76" s="924">
        <v>8.0929404130096871E-3</v>
      </c>
      <c r="AH76" s="923">
        <v>3.2967032967032965</v>
      </c>
      <c r="AI76" s="927">
        <v>2.0232351032524218E-3</v>
      </c>
      <c r="AJ76" s="927">
        <v>1.0116175516262109E-2</v>
      </c>
      <c r="AK76" s="933">
        <v>948.45</v>
      </c>
      <c r="AL76" s="933">
        <v>941.6</v>
      </c>
      <c r="AM76" s="930">
        <v>947.25</v>
      </c>
      <c r="AN76" s="930">
        <v>940.38082499999996</v>
      </c>
      <c r="AO76" s="934">
        <v>947.05</v>
      </c>
      <c r="AP76" s="934">
        <v>940.18082499999991</v>
      </c>
      <c r="AQ76" s="923">
        <v>947.07256799999993</v>
      </c>
      <c r="AR76" s="923">
        <v>940.20339299999989</v>
      </c>
      <c r="AS76" s="923">
        <v>947.15349740413001</v>
      </c>
      <c r="AT76" s="923">
        <v>940.28432240412997</v>
      </c>
      <c r="AU76" s="923">
        <v>1.2000000000000455</v>
      </c>
      <c r="AV76" s="923">
        <v>1.2191750000000638</v>
      </c>
      <c r="AW76" s="923">
        <v>1.4000000000000909</v>
      </c>
      <c r="AX76" s="923">
        <v>1.4191750000001093</v>
      </c>
      <c r="AY76" s="923">
        <v>1.999999999998181E-2</v>
      </c>
      <c r="AZ76" s="923" t="s">
        <v>2187</v>
      </c>
      <c r="BA76" s="935" t="s">
        <v>2188</v>
      </c>
      <c r="BB76" s="935" t="s">
        <v>2189</v>
      </c>
      <c r="BC76" s="935" t="s">
        <v>2198</v>
      </c>
      <c r="BD76" s="935" t="s">
        <v>2191</v>
      </c>
      <c r="BE76" s="935" t="s">
        <v>2191</v>
      </c>
      <c r="BF76" s="946"/>
      <c r="BH76" s="937"/>
      <c r="BI76" s="894" t="str">
        <f t="shared" ref="BI76:BJ81" si="170">A76</f>
        <v>PZ-61</v>
      </c>
      <c r="BJ76" s="894" t="str">
        <f t="shared" si="170"/>
        <v>PZ-62</v>
      </c>
      <c r="BK76" s="938">
        <f t="shared" ref="BK76:BK81" si="171">IF(C76="","",ROUND( C76,2))</f>
        <v>41.01</v>
      </c>
      <c r="BL76" s="938">
        <f t="shared" ref="BL76:BL81" si="172">IF(BK76="","",ROUND((BK76-1.6),2))</f>
        <v>39.409999999999997</v>
      </c>
      <c r="BM76" s="895">
        <f t="shared" ref="BM76:BM81" si="173">IF(M76="","",M76)</f>
        <v>8</v>
      </c>
      <c r="BN76" s="938">
        <f t="shared" ref="BN76:BN81" si="174">IF(BK76="","",ROUND((BK76-1.2),2))</f>
        <v>39.81</v>
      </c>
      <c r="BO76" s="700">
        <f t="shared" si="34"/>
        <v>0.6</v>
      </c>
      <c r="BP76" s="938">
        <f t="shared" ref="BP76:BP81" si="175">IF(BK76="","",ROUND((AK76-AO76),2))</f>
        <v>1.4</v>
      </c>
      <c r="BQ76" s="938">
        <f t="shared" ref="BQ76:BQ81" si="176">IF(BK76="","",ROUND((AL76-AP76),2))</f>
        <v>1.42</v>
      </c>
      <c r="BR76" s="938">
        <f t="shared" ref="BR76:BR81" si="177">IF(BK76="","",ROUND((BP76+BQ76)/2+0.1,2))</f>
        <v>1.51</v>
      </c>
      <c r="BS76" s="938">
        <f t="shared" ref="BS76:BS81" si="178">IF(BK76="","",ROUND( BR76*BO76*BL76,2))</f>
        <v>35.71</v>
      </c>
      <c r="BT76" s="938">
        <f t="shared" ref="BT76:BT81" si="179">IF(AND(BR76&gt;=1.5, BR76&lt;2),(BR76*BL76),0)</f>
        <v>59.509099999999997</v>
      </c>
      <c r="BU76" s="938">
        <f t="shared" si="35"/>
        <v>0</v>
      </c>
      <c r="BV76" s="938">
        <f t="shared" ref="BV76:BV81" si="180">IF(BR76&gt;=4,(BR76*BL76),0)</f>
        <v>0</v>
      </c>
      <c r="BW76" s="938">
        <f t="shared" si="168"/>
        <v>0</v>
      </c>
      <c r="BX76" s="938">
        <f t="shared" si="169"/>
        <v>28.57</v>
      </c>
      <c r="BY76" s="938">
        <f t="shared" ref="BY76:BY137" si="181">IF(BK76="","",ROUND(BS76*$BN$3,2))</f>
        <v>6.07</v>
      </c>
      <c r="BZ76" s="938">
        <f t="shared" si="36"/>
        <v>1.07</v>
      </c>
      <c r="CA76" s="938">
        <f t="shared" ref="CA76:CA81" si="182">IF(BK76="","",ROUND( (PI()*((BM76*0.0254)^2)/4)*BL76,2))</f>
        <v>1.28</v>
      </c>
      <c r="CB76" s="938">
        <f t="shared" ref="CB76:CB81" si="183">IF(BK76="","",ROUND(BL76*BO76,2))</f>
        <v>23.65</v>
      </c>
      <c r="CC76" s="938" t="s">
        <v>2192</v>
      </c>
      <c r="CD76" s="938">
        <f t="shared" ref="CD76:CD81" si="184">IF(BK76="","",ROUND(IF(CC76="F",CB76,0),2))</f>
        <v>0</v>
      </c>
      <c r="CE76" s="938">
        <f t="shared" ref="CE76:CE81" si="185">IF(BK76="","",ROUND(IF(CC76="R",CB76,0),2))</f>
        <v>0</v>
      </c>
      <c r="CF76" s="938">
        <f t="shared" ref="CF76:CF81" si="186">IF(CC76="","",IF(CC76="R",0.2,IF(CC76="F",0.07,IF(CC76="D",0))))</f>
        <v>0</v>
      </c>
      <c r="CG76" s="938">
        <f t="shared" ref="CG76:CG81" si="187">IF(BK76="","",ROUND(IF(CB76="","",CB76*CF76),2))</f>
        <v>0</v>
      </c>
      <c r="CH76" s="938">
        <v>0.3</v>
      </c>
      <c r="CI76" s="938">
        <f t="shared" ref="CI76:CI81" si="188">ROUND(IF(BK76="","",IF(OR(CC76="R",CC76="F"),(CH76*CB76),0)),2)</f>
        <v>0</v>
      </c>
      <c r="CJ76" s="938">
        <f t="shared" ref="CJ76:CJ81" si="189">IF(BK76="","",ROUND(IF(CC76="F",CB76*CH76,0),2))</f>
        <v>0</v>
      </c>
      <c r="CK76" s="938">
        <f t="shared" ref="CK76:CK81" si="190">IF(BK76="","",ROUND(BS76-(CA76+CG76+CI76+CJ76+CM76),2))</f>
        <v>32.07</v>
      </c>
      <c r="CL76" s="938">
        <f t="shared" ref="CL76:CL81" si="191">IF(BK76="","",0.1)</f>
        <v>0.1</v>
      </c>
      <c r="CM76" s="938">
        <f t="shared" ref="CM76:CM81" si="192">IF(BK76="","",ROUND((BL76*BO76)*0.1,2))</f>
        <v>2.36</v>
      </c>
      <c r="CN76" s="938">
        <f t="shared" ref="CN76:CN137" si="193">IF(BK76="","",ROUND(CK76*$BR$2,2))</f>
        <v>9.32</v>
      </c>
      <c r="CO76" s="938">
        <f t="shared" ref="CO76:CO137" si="194">IF(BK76="","",ROUND(CK76*$BR$1,2))</f>
        <v>22.75</v>
      </c>
      <c r="CP76" s="938">
        <f t="shared" ref="CP76:CP81" si="195">IF(BK76="","",ROUND(BS76-(CO76),2))</f>
        <v>12.96</v>
      </c>
      <c r="CQ76" s="936"/>
      <c r="CS76" s="895">
        <f t="shared" ref="CS76:CS114" si="196">+M76</f>
        <v>8</v>
      </c>
      <c r="CT76" s="701">
        <f t="shared" ref="CT76:CT114" si="197">IF(M76=6,160,IF(M76=8,200,IF(M76=10,250,IF(M76=12,315,IF(M76=14,350,IF(M76=16,400,IF(M76=18,450,"")))))))</f>
        <v>200</v>
      </c>
      <c r="CU76" s="895">
        <v>1</v>
      </c>
      <c r="CV76" s="938">
        <v>34.6</v>
      </c>
      <c r="CW76" s="938">
        <f t="shared" si="43"/>
        <v>34.6</v>
      </c>
      <c r="CX76" s="938">
        <f t="shared" ref="CX76:CX114" si="198">+IF(CY76&gt;=2,0.8,0.6)</f>
        <v>0.6</v>
      </c>
      <c r="CY76" s="938">
        <f t="shared" si="44"/>
        <v>1.26</v>
      </c>
      <c r="CZ76" s="938">
        <f t="shared" si="45"/>
        <v>26.16</v>
      </c>
      <c r="DA76" s="938">
        <f t="shared" si="46"/>
        <v>0</v>
      </c>
      <c r="DB76" s="938">
        <f t="shared" si="47"/>
        <v>0</v>
      </c>
      <c r="DC76" s="938">
        <f t="shared" si="48"/>
        <v>0</v>
      </c>
      <c r="DD76" s="938">
        <f t="shared" si="49"/>
        <v>0.63</v>
      </c>
      <c r="DE76" s="938">
        <f t="shared" si="50"/>
        <v>20.76</v>
      </c>
      <c r="DF76" s="938" t="str">
        <f t="shared" si="51"/>
        <v>D</v>
      </c>
      <c r="DG76" s="938">
        <f t="shared" si="52"/>
        <v>0</v>
      </c>
      <c r="DH76" s="938">
        <f t="shared" si="53"/>
        <v>0</v>
      </c>
      <c r="DI76" s="938">
        <f t="shared" si="54"/>
        <v>0</v>
      </c>
      <c r="DJ76" s="938">
        <f t="shared" si="55"/>
        <v>0</v>
      </c>
      <c r="DK76" s="938">
        <v>11.3</v>
      </c>
      <c r="DL76" s="938">
        <f t="shared" si="56"/>
        <v>0</v>
      </c>
      <c r="DM76" s="938">
        <f t="shared" si="57"/>
        <v>0</v>
      </c>
      <c r="DN76" s="938">
        <f t="shared" si="58"/>
        <v>23.45</v>
      </c>
      <c r="DO76" s="938">
        <f t="shared" si="59"/>
        <v>0.1</v>
      </c>
      <c r="DP76" s="938">
        <f t="shared" si="60"/>
        <v>2.0760000000000001</v>
      </c>
      <c r="DQ76" s="938">
        <f t="shared" si="61"/>
        <v>4.6900000000000004</v>
      </c>
      <c r="DR76" s="938">
        <f t="shared" si="62"/>
        <v>18.760000000000002</v>
      </c>
      <c r="DS76" s="938">
        <f t="shared" si="63"/>
        <v>6.77</v>
      </c>
      <c r="DU76" s="937" t="str">
        <f t="shared" ref="DU76:DU114" si="199">+A76</f>
        <v>PZ-61</v>
      </c>
      <c r="DV76" s="938">
        <f t="shared" ref="DV76" si="200">+BP76+0.2</f>
        <v>1.5999999999999999</v>
      </c>
      <c r="DW76" s="938">
        <v>1.2</v>
      </c>
      <c r="DX76" s="938">
        <v>1.6</v>
      </c>
      <c r="DY76" s="938">
        <f t="shared" ref="DY76" si="201">+((PI()*DX76^2)/4)*DV76*-1</f>
        <v>-3.2169908772759483</v>
      </c>
      <c r="DZ76" s="938">
        <v>1.6</v>
      </c>
      <c r="EA76" s="938">
        <v>1.6</v>
      </c>
      <c r="EB76" s="938">
        <f t="shared" ref="EB76" si="202">+(DZ76*EA76*DV76)</f>
        <v>4.0960000000000001</v>
      </c>
      <c r="EC76" s="938">
        <f t="shared" ref="EC76" si="203">+EB76+DY76</f>
        <v>0.87900912272405174</v>
      </c>
      <c r="ED76" s="938">
        <f t="shared" ref="ED76" si="204">+EC76*0.55</f>
        <v>0.4834550174982285</v>
      </c>
      <c r="EE76" s="938">
        <f t="shared" ref="EE76" si="205">+EC76*0.45</f>
        <v>0.39555410522582329</v>
      </c>
      <c r="EF76" s="938">
        <f t="shared" ref="EF76" si="206">+ED76</f>
        <v>0.4834550174982285</v>
      </c>
    </row>
    <row r="77" spans="1:136">
      <c r="A77" s="920" t="s">
        <v>2236</v>
      </c>
      <c r="B77" s="920" t="s">
        <v>2237</v>
      </c>
      <c r="C77" s="1294">
        <v>40.020000000000003</v>
      </c>
      <c r="D77" s="921">
        <v>41.01</v>
      </c>
      <c r="E77" s="921">
        <v>81.03</v>
      </c>
      <c r="F77" s="922">
        <v>1.4999999999999999E-2</v>
      </c>
      <c r="G77" s="923">
        <v>1.5</v>
      </c>
      <c r="H77" s="924">
        <v>1.5E-3</v>
      </c>
      <c r="I77" s="925">
        <v>0.11219390304847598</v>
      </c>
      <c r="J77" s="926">
        <v>0.1125</v>
      </c>
      <c r="K77" s="927">
        <v>4.2145217813016965E-2</v>
      </c>
      <c r="L77" s="923">
        <v>1.6592605438129284</v>
      </c>
      <c r="M77" s="928">
        <v>8</v>
      </c>
      <c r="N77" s="927">
        <v>0.2</v>
      </c>
      <c r="O77" s="927">
        <v>0.182</v>
      </c>
      <c r="P77" s="923">
        <v>7.4215844017083976E-2</v>
      </c>
      <c r="Q77" s="923">
        <v>2.8527450331967099</v>
      </c>
      <c r="R77" s="923">
        <v>0.02</v>
      </c>
      <c r="S77" s="927">
        <v>0.36199999999999999</v>
      </c>
      <c r="T77" s="929">
        <v>0.124</v>
      </c>
      <c r="U77" s="927">
        <v>0.315</v>
      </c>
      <c r="V77" s="930">
        <v>1.0326937020172089</v>
      </c>
      <c r="W77" s="927">
        <v>5.4355569938124758E-2</v>
      </c>
      <c r="X77" s="927">
        <v>1.43325E-2</v>
      </c>
      <c r="Y77" s="927">
        <v>2.2567999999999998E-2</v>
      </c>
      <c r="Z77" s="927">
        <v>7.6923569938124756E-2</v>
      </c>
      <c r="AA77" s="931">
        <v>6.7000000000000004E-2</v>
      </c>
      <c r="AB77" s="923">
        <v>1.2194E-2</v>
      </c>
      <c r="AC77" s="923">
        <v>15.817705312500001</v>
      </c>
      <c r="AD77" s="923">
        <v>2.9858221082558449</v>
      </c>
      <c r="AE77" s="932" t="s">
        <v>2197</v>
      </c>
      <c r="AF77" s="927">
        <v>-2.6573834191972116E-2</v>
      </c>
      <c r="AG77" s="924">
        <v>5.3147668383944236E-3</v>
      </c>
      <c r="AH77" s="923">
        <v>3.2967032967032965</v>
      </c>
      <c r="AI77" s="927">
        <v>3.3821243517055408E-3</v>
      </c>
      <c r="AJ77" s="927">
        <v>8.6968911900999653E-3</v>
      </c>
      <c r="AK77" s="933">
        <v>941.6</v>
      </c>
      <c r="AL77" s="933">
        <v>937.11</v>
      </c>
      <c r="AM77" s="930">
        <v>940.4</v>
      </c>
      <c r="AN77" s="930">
        <v>935.89774999999997</v>
      </c>
      <c r="AO77" s="934">
        <v>940.16082499999993</v>
      </c>
      <c r="AP77" s="934">
        <v>935.65857499999993</v>
      </c>
      <c r="AQ77" s="923">
        <v>940.18339299999991</v>
      </c>
      <c r="AR77" s="923">
        <v>935.68114299999991</v>
      </c>
      <c r="AS77" s="923">
        <v>940.23774856993805</v>
      </c>
      <c r="AT77" s="923">
        <v>935.73549856993804</v>
      </c>
      <c r="AU77" s="923">
        <v>1.2000000000000455</v>
      </c>
      <c r="AV77" s="923">
        <v>1.21225000000004</v>
      </c>
      <c r="AW77" s="923">
        <v>1.4391750000000911</v>
      </c>
      <c r="AX77" s="923">
        <v>1.4514250000000857</v>
      </c>
      <c r="AY77" s="923">
        <v>1.999999999998181E-2</v>
      </c>
      <c r="AZ77" s="923" t="s">
        <v>2187</v>
      </c>
      <c r="BA77" s="935" t="s">
        <v>2188</v>
      </c>
      <c r="BB77" s="935" t="s">
        <v>2189</v>
      </c>
      <c r="BC77" s="935" t="s">
        <v>2198</v>
      </c>
      <c r="BD77" s="935" t="s">
        <v>2191</v>
      </c>
      <c r="BE77" s="935" t="s">
        <v>2191</v>
      </c>
      <c r="BF77" s="946"/>
      <c r="BH77" s="937"/>
      <c r="BI77" s="894" t="str">
        <f t="shared" si="170"/>
        <v>PZ-62</v>
      </c>
      <c r="BJ77" s="894" t="str">
        <f t="shared" si="170"/>
        <v>PZ-63</v>
      </c>
      <c r="BK77" s="938">
        <f t="shared" si="171"/>
        <v>40.020000000000003</v>
      </c>
      <c r="BL77" s="938">
        <f t="shared" si="172"/>
        <v>38.42</v>
      </c>
      <c r="BM77" s="895">
        <f t="shared" si="173"/>
        <v>8</v>
      </c>
      <c r="BN77" s="938">
        <f t="shared" si="174"/>
        <v>38.82</v>
      </c>
      <c r="BO77" s="700">
        <f t="shared" ref="BO77:BO137" si="207">IF(M77=6,0.5,IF(M77=8,0.6,IF(M77=10,0.65,IF(M77=12,0.7,IF(M77=14,0.75,IF(M77=16,0.8,IF(M77=18,0.85,"")))))))</f>
        <v>0.6</v>
      </c>
      <c r="BP77" s="938">
        <f t="shared" si="175"/>
        <v>1.44</v>
      </c>
      <c r="BQ77" s="938">
        <f t="shared" si="176"/>
        <v>1.45</v>
      </c>
      <c r="BR77" s="938">
        <f t="shared" si="177"/>
        <v>1.55</v>
      </c>
      <c r="BS77" s="938">
        <f t="shared" si="178"/>
        <v>35.729999999999997</v>
      </c>
      <c r="BT77" s="938">
        <f t="shared" si="179"/>
        <v>59.551000000000002</v>
      </c>
      <c r="BU77" s="938">
        <f t="shared" ref="BU77:BU137" si="208">IF(AND(BR77&gt;=2, BR77&lt;4),(BR77*BL77),0)*0.78</f>
        <v>0</v>
      </c>
      <c r="BV77" s="938">
        <f t="shared" si="180"/>
        <v>0</v>
      </c>
      <c r="BW77" s="938">
        <f t="shared" si="168"/>
        <v>0</v>
      </c>
      <c r="BX77" s="938">
        <f t="shared" si="169"/>
        <v>28.58</v>
      </c>
      <c r="BY77" s="938">
        <f t="shared" si="181"/>
        <v>6.07</v>
      </c>
      <c r="BZ77" s="938">
        <f t="shared" ref="BZ77:BZ137" si="209">IF(BL77="","",ROUND(BS77*$BN$4,2))</f>
        <v>1.07</v>
      </c>
      <c r="CA77" s="938">
        <f t="shared" si="182"/>
        <v>1.25</v>
      </c>
      <c r="CB77" s="938">
        <f t="shared" si="183"/>
        <v>23.05</v>
      </c>
      <c r="CC77" s="938" t="s">
        <v>2192</v>
      </c>
      <c r="CD77" s="938">
        <f t="shared" si="184"/>
        <v>0</v>
      </c>
      <c r="CE77" s="938">
        <f t="shared" si="185"/>
        <v>0</v>
      </c>
      <c r="CF77" s="938">
        <f t="shared" si="186"/>
        <v>0</v>
      </c>
      <c r="CG77" s="938">
        <f t="shared" si="187"/>
        <v>0</v>
      </c>
      <c r="CH77" s="938">
        <v>0.3</v>
      </c>
      <c r="CI77" s="938">
        <f t="shared" si="188"/>
        <v>0</v>
      </c>
      <c r="CJ77" s="938">
        <f t="shared" si="189"/>
        <v>0</v>
      </c>
      <c r="CK77" s="938">
        <f t="shared" si="190"/>
        <v>32.17</v>
      </c>
      <c r="CL77" s="938">
        <f t="shared" si="191"/>
        <v>0.1</v>
      </c>
      <c r="CM77" s="938">
        <f t="shared" si="192"/>
        <v>2.31</v>
      </c>
      <c r="CN77" s="938">
        <f t="shared" si="193"/>
        <v>9.35</v>
      </c>
      <c r="CO77" s="938">
        <f t="shared" si="194"/>
        <v>22.82</v>
      </c>
      <c r="CP77" s="938">
        <f t="shared" si="195"/>
        <v>12.91</v>
      </c>
      <c r="CQ77" s="936"/>
      <c r="CS77" s="895">
        <f t="shared" si="196"/>
        <v>8</v>
      </c>
      <c r="CT77" s="701">
        <f t="shared" si="197"/>
        <v>200</v>
      </c>
      <c r="CU77" s="895">
        <v>1</v>
      </c>
      <c r="CV77" s="938">
        <v>7.85</v>
      </c>
      <c r="CW77" s="938">
        <f t="shared" ref="CW77:CW114" si="210">+CV77*CU77</f>
        <v>7.85</v>
      </c>
      <c r="CX77" s="938">
        <f t="shared" si="198"/>
        <v>0.6</v>
      </c>
      <c r="CY77" s="938">
        <f t="shared" ref="CY77:CY114" si="211">IF(BK77="","",ROUND((1+BR77)/2,2))</f>
        <v>1.28</v>
      </c>
      <c r="CZ77" s="938">
        <f t="shared" ref="CZ77:CZ114" si="212">IF(BK77="","",ROUND(CV77*CX77*CY77*CU77,2))</f>
        <v>6.03</v>
      </c>
      <c r="DA77" s="938">
        <f t="shared" ref="DA77:DA114" si="213">IF(BK77="","",ROUND( IF(AND(CY77&gt;=1.5, CY77&lt;2),(CY77*CW77),0),2))</f>
        <v>0</v>
      </c>
      <c r="DB77" s="938">
        <f t="shared" ref="DB77:DB114" si="214">IF(BK77="","",ROUND(IF(AND(CY77&gt;=2, CY77&lt;4),(CY77*CW77),0),2))</f>
        <v>0</v>
      </c>
      <c r="DC77" s="938">
        <f t="shared" ref="DC77:DC114" si="215">IF(BK77="","",ROUND(IF(CY77&gt;=4,(CY77*CW77),0),2))</f>
        <v>0</v>
      </c>
      <c r="DD77" s="938">
        <f t="shared" ref="DD77:DD114" si="216">IF(BK77="","",ROUND((PI()*((6*0.0254)^2)/4)*CW77,2))</f>
        <v>0.14000000000000001</v>
      </c>
      <c r="DE77" s="938">
        <f t="shared" ref="DE77:DE114" si="217">IF(BK77="","",ROUND(CW77*CX77,2))</f>
        <v>4.71</v>
      </c>
      <c r="DF77" s="938" t="str">
        <f t="shared" ref="DF77:DF114" si="218">+CC77</f>
        <v>D</v>
      </c>
      <c r="DG77" s="938">
        <f t="shared" ref="DG77:DG114" si="219">IF(BK77="","",ROUND(IF(DF77="F",DE77,0),2))</f>
        <v>0</v>
      </c>
      <c r="DH77" s="938">
        <f t="shared" ref="DH77:DH114" si="220">IF(BK77="","",ROUND( IF(DF77="R",DE77,0),2))</f>
        <v>0</v>
      </c>
      <c r="DI77" s="938">
        <f t="shared" ref="DI77:DI114" si="221">IF(DF77="","",IF(DF77="R",0.2,IF(DF77="F",0.07,IF(DF77="D",0))))</f>
        <v>0</v>
      </c>
      <c r="DJ77" s="938">
        <f t="shared" ref="DJ77:DJ114" si="222">IF(BK77="","",ROUND(IF(DE77="","",DE77*DI77),2))</f>
        <v>0</v>
      </c>
      <c r="DK77" s="938">
        <v>12.3</v>
      </c>
      <c r="DL77" s="938">
        <f t="shared" ref="DL77:DL114" si="223">ROUND(IF(CO77="","",IF(OR(DF77="R",DF77="F"),(DK77*DE77),0)),2)</f>
        <v>0</v>
      </c>
      <c r="DM77" s="938">
        <f t="shared" ref="DM77:DM114" si="224">IF(CO77="","",ROUND(IF(DF77="F",DE77*DK77,0),2))</f>
        <v>0</v>
      </c>
      <c r="DN77" s="938">
        <f t="shared" ref="DN77:DN114" si="225">IF(BK77="","",ROUND(CZ77-(DD77+DJ77+DL77+DM77+DP77),2))</f>
        <v>5.42</v>
      </c>
      <c r="DO77" s="938">
        <f t="shared" ref="DO77:DO137" si="226">IF(BK77="","",0.1)</f>
        <v>0.1</v>
      </c>
      <c r="DP77" s="938">
        <f t="shared" ref="DP77:DP114" si="227">+DE77*DO77</f>
        <v>0.47100000000000003</v>
      </c>
      <c r="DQ77" s="938">
        <f t="shared" ref="DQ77:DQ137" si="228">IF(BK77="","",ROUND(DN77*0.2,2))</f>
        <v>1.08</v>
      </c>
      <c r="DR77" s="938">
        <f t="shared" ref="DR77:DR137" si="229">IF(BK77="","",ROUND(DN77*0.8,2))</f>
        <v>4.34</v>
      </c>
      <c r="DS77" s="938">
        <f t="shared" ref="DS77:DS114" si="230">IF(BK77="","",ROUND(CZ77-(DD77+DR77),2))</f>
        <v>1.55</v>
      </c>
      <c r="DU77" s="937" t="str">
        <f t="shared" si="199"/>
        <v>PZ-62</v>
      </c>
      <c r="DV77" s="938">
        <f t="shared" ref="DV77:DV81" si="231">+BP77+0.2</f>
        <v>1.64</v>
      </c>
      <c r="DW77" s="938">
        <v>1.2</v>
      </c>
      <c r="DX77" s="938">
        <v>1.6</v>
      </c>
      <c r="DY77" s="938">
        <f t="shared" ref="DY77:DY81" si="232">+((PI()*DX77^2)/4)*DV77*-1</f>
        <v>-3.297415649207847</v>
      </c>
      <c r="DZ77" s="938">
        <v>1.6</v>
      </c>
      <c r="EA77" s="938">
        <v>1.6</v>
      </c>
      <c r="EB77" s="938">
        <f t="shared" ref="EB77:EB81" si="233">+(DZ77*EA77*DV77)</f>
        <v>4.1984000000000004</v>
      </c>
      <c r="EC77" s="938">
        <f t="shared" ref="EC77:EC81" si="234">+EB77+DY77</f>
        <v>0.90098435079215333</v>
      </c>
      <c r="ED77" s="938">
        <f t="shared" ref="ED77:ED81" si="235">+EC77*0.55</f>
        <v>0.49554139293568439</v>
      </c>
      <c r="EE77" s="938">
        <f t="shared" ref="EE77:EE81" si="236">+EC77*0.45</f>
        <v>0.405442957856469</v>
      </c>
      <c r="EF77" s="938">
        <f t="shared" ref="EF77:EF81" si="237">+ED77</f>
        <v>0.49554139293568439</v>
      </c>
    </row>
    <row r="78" spans="1:136">
      <c r="A78" s="920" t="s">
        <v>2237</v>
      </c>
      <c r="B78" s="920" t="s">
        <v>2250</v>
      </c>
      <c r="C78" s="1294">
        <v>45.957000000000001</v>
      </c>
      <c r="D78" s="921">
        <v>81.03</v>
      </c>
      <c r="E78" s="921">
        <v>126.98699999999999</v>
      </c>
      <c r="F78" s="922">
        <v>1.4999999999999999E-2</v>
      </c>
      <c r="G78" s="923">
        <v>1.5</v>
      </c>
      <c r="H78" s="924">
        <v>1.5E-3</v>
      </c>
      <c r="I78" s="925">
        <v>0.1684183040668453</v>
      </c>
      <c r="J78" s="967">
        <v>0.16900000000000001</v>
      </c>
      <c r="K78" s="927">
        <v>3.9049065362803517E-2</v>
      </c>
      <c r="L78" s="923">
        <v>1.537364778056981</v>
      </c>
      <c r="M78" s="928">
        <v>8</v>
      </c>
      <c r="N78" s="927">
        <v>0.2</v>
      </c>
      <c r="O78" s="927">
        <v>0.182</v>
      </c>
      <c r="P78" s="923">
        <v>9.0962779398336108E-2</v>
      </c>
      <c r="Q78" s="923">
        <v>3.4964719538140359</v>
      </c>
      <c r="R78" s="923">
        <v>0.02</v>
      </c>
      <c r="S78" s="927">
        <v>0.36199999999999999</v>
      </c>
      <c r="T78" s="929">
        <v>0.124</v>
      </c>
      <c r="U78" s="927">
        <v>0.315</v>
      </c>
      <c r="V78" s="930">
        <v>1.265722847280681</v>
      </c>
      <c r="W78" s="927">
        <v>8.1654145062605196E-2</v>
      </c>
      <c r="X78" s="927">
        <v>1.43325E-2</v>
      </c>
      <c r="Y78" s="927">
        <v>2.2567999999999998E-2</v>
      </c>
      <c r="Z78" s="927">
        <v>0.10422214506260519</v>
      </c>
      <c r="AA78" s="931">
        <v>6.7000000000000004E-2</v>
      </c>
      <c r="AB78" s="923">
        <v>1.2194E-2</v>
      </c>
      <c r="AC78" s="923">
        <v>23.761708425000002</v>
      </c>
      <c r="AD78" s="923">
        <v>3.6595781042849977</v>
      </c>
      <c r="AE78" s="932" t="s">
        <v>2197</v>
      </c>
      <c r="AF78" s="927">
        <v>2.7298575124480438E-2</v>
      </c>
      <c r="AG78" s="924">
        <v>2.7298575124480441E-3</v>
      </c>
      <c r="AH78" s="923">
        <v>3.2967032967032965</v>
      </c>
      <c r="AI78" s="927">
        <v>3.4002428750182488E-3</v>
      </c>
      <c r="AJ78" s="927">
        <v>6.1301003874662929E-3</v>
      </c>
      <c r="AK78" s="933">
        <v>937.11</v>
      </c>
      <c r="AL78" s="933">
        <v>929.37</v>
      </c>
      <c r="AM78" s="930">
        <v>935.91</v>
      </c>
      <c r="AN78" s="930">
        <v>928.14326699999992</v>
      </c>
      <c r="AO78" s="934">
        <v>935.63857499999995</v>
      </c>
      <c r="AP78" s="934">
        <v>927.8718419999999</v>
      </c>
      <c r="AQ78" s="923">
        <v>935.66114299999992</v>
      </c>
      <c r="AR78" s="923">
        <v>927.89440999999988</v>
      </c>
      <c r="AS78" s="923">
        <v>935.74279714506258</v>
      </c>
      <c r="AT78" s="923">
        <v>927.97606414506254</v>
      </c>
      <c r="AU78" s="923">
        <v>1.2000000000000455</v>
      </c>
      <c r="AV78" s="923">
        <v>1.2267330000000811</v>
      </c>
      <c r="AW78" s="923">
        <v>1.4714250000000675</v>
      </c>
      <c r="AX78" s="923">
        <v>1.4981580000001031</v>
      </c>
      <c r="AY78" s="923">
        <v>1.999999999998181E-2</v>
      </c>
      <c r="AZ78" s="923" t="s">
        <v>2187</v>
      </c>
      <c r="BA78" s="935" t="s">
        <v>2188</v>
      </c>
      <c r="BB78" s="935" t="s">
        <v>2189</v>
      </c>
      <c r="BC78" s="935" t="s">
        <v>2198</v>
      </c>
      <c r="BD78" s="935" t="s">
        <v>2191</v>
      </c>
      <c r="BE78" s="935" t="s">
        <v>2191</v>
      </c>
      <c r="BF78" s="946"/>
      <c r="BH78" s="937"/>
      <c r="BI78" s="894" t="str">
        <f t="shared" si="170"/>
        <v>PZ-63</v>
      </c>
      <c r="BJ78" s="894" t="str">
        <f t="shared" si="170"/>
        <v>PZ-64</v>
      </c>
      <c r="BK78" s="938">
        <f t="shared" si="171"/>
        <v>45.96</v>
      </c>
      <c r="BL78" s="938">
        <f t="shared" si="172"/>
        <v>44.36</v>
      </c>
      <c r="BM78" s="895">
        <f t="shared" si="173"/>
        <v>8</v>
      </c>
      <c r="BN78" s="938">
        <f t="shared" si="174"/>
        <v>44.76</v>
      </c>
      <c r="BO78" s="700">
        <f t="shared" si="207"/>
        <v>0.6</v>
      </c>
      <c r="BP78" s="938">
        <f t="shared" si="175"/>
        <v>1.47</v>
      </c>
      <c r="BQ78" s="938">
        <f t="shared" si="176"/>
        <v>1.5</v>
      </c>
      <c r="BR78" s="938">
        <f t="shared" si="177"/>
        <v>1.59</v>
      </c>
      <c r="BS78" s="938">
        <f t="shared" si="178"/>
        <v>42.32</v>
      </c>
      <c r="BT78" s="938">
        <f t="shared" si="179"/>
        <v>70.532399999999996</v>
      </c>
      <c r="BU78" s="938">
        <f t="shared" si="208"/>
        <v>0</v>
      </c>
      <c r="BV78" s="938">
        <f t="shared" si="180"/>
        <v>0</v>
      </c>
      <c r="BW78" s="938">
        <f t="shared" si="168"/>
        <v>0</v>
      </c>
      <c r="BX78" s="938">
        <f t="shared" si="169"/>
        <v>33.86</v>
      </c>
      <c r="BY78" s="938">
        <f t="shared" si="181"/>
        <v>7.19</v>
      </c>
      <c r="BZ78" s="938">
        <f t="shared" si="209"/>
        <v>1.27</v>
      </c>
      <c r="CA78" s="938">
        <f t="shared" si="182"/>
        <v>1.44</v>
      </c>
      <c r="CB78" s="938">
        <f t="shared" si="183"/>
        <v>26.62</v>
      </c>
      <c r="CC78" s="938" t="s">
        <v>2192</v>
      </c>
      <c r="CD78" s="938">
        <f t="shared" si="184"/>
        <v>0</v>
      </c>
      <c r="CE78" s="938">
        <f t="shared" si="185"/>
        <v>0</v>
      </c>
      <c r="CF78" s="938">
        <f t="shared" si="186"/>
        <v>0</v>
      </c>
      <c r="CG78" s="938">
        <f t="shared" si="187"/>
        <v>0</v>
      </c>
      <c r="CH78" s="938">
        <v>0.3</v>
      </c>
      <c r="CI78" s="938">
        <f t="shared" si="188"/>
        <v>0</v>
      </c>
      <c r="CJ78" s="938">
        <f t="shared" si="189"/>
        <v>0</v>
      </c>
      <c r="CK78" s="938">
        <f t="shared" si="190"/>
        <v>38.22</v>
      </c>
      <c r="CL78" s="938">
        <f t="shared" si="191"/>
        <v>0.1</v>
      </c>
      <c r="CM78" s="938">
        <f t="shared" si="192"/>
        <v>2.66</v>
      </c>
      <c r="CN78" s="938">
        <f t="shared" si="193"/>
        <v>11.1</v>
      </c>
      <c r="CO78" s="938">
        <f t="shared" si="194"/>
        <v>27.12</v>
      </c>
      <c r="CP78" s="938">
        <f t="shared" si="195"/>
        <v>15.2</v>
      </c>
      <c r="CQ78" s="936"/>
      <c r="CS78" s="895">
        <f t="shared" si="196"/>
        <v>8</v>
      </c>
      <c r="CT78" s="701">
        <f t="shared" si="197"/>
        <v>200</v>
      </c>
      <c r="CU78" s="895">
        <v>3</v>
      </c>
      <c r="CV78" s="938">
        <v>28.5</v>
      </c>
      <c r="CW78" s="938">
        <f t="shared" si="210"/>
        <v>85.5</v>
      </c>
      <c r="CX78" s="938">
        <f t="shared" si="198"/>
        <v>0.6</v>
      </c>
      <c r="CY78" s="938">
        <f t="shared" si="211"/>
        <v>1.3</v>
      </c>
      <c r="CZ78" s="938">
        <f t="shared" si="212"/>
        <v>66.69</v>
      </c>
      <c r="DA78" s="938">
        <f t="shared" si="213"/>
        <v>0</v>
      </c>
      <c r="DB78" s="938">
        <f t="shared" si="214"/>
        <v>0</v>
      </c>
      <c r="DC78" s="938">
        <f t="shared" si="215"/>
        <v>0</v>
      </c>
      <c r="DD78" s="938">
        <f t="shared" si="216"/>
        <v>1.56</v>
      </c>
      <c r="DE78" s="938">
        <f t="shared" si="217"/>
        <v>51.3</v>
      </c>
      <c r="DF78" s="938" t="str">
        <f t="shared" si="218"/>
        <v>D</v>
      </c>
      <c r="DG78" s="938">
        <f t="shared" si="219"/>
        <v>0</v>
      </c>
      <c r="DH78" s="938">
        <f t="shared" si="220"/>
        <v>0</v>
      </c>
      <c r="DI78" s="938">
        <f t="shared" si="221"/>
        <v>0</v>
      </c>
      <c r="DJ78" s="938">
        <f t="shared" si="222"/>
        <v>0</v>
      </c>
      <c r="DK78" s="938">
        <v>13.3</v>
      </c>
      <c r="DL78" s="938">
        <f t="shared" si="223"/>
        <v>0</v>
      </c>
      <c r="DM78" s="938">
        <f t="shared" si="224"/>
        <v>0</v>
      </c>
      <c r="DN78" s="938">
        <f t="shared" si="225"/>
        <v>60</v>
      </c>
      <c r="DO78" s="938">
        <f t="shared" si="226"/>
        <v>0.1</v>
      </c>
      <c r="DP78" s="938">
        <f t="shared" si="227"/>
        <v>5.13</v>
      </c>
      <c r="DQ78" s="938">
        <f t="shared" si="228"/>
        <v>12</v>
      </c>
      <c r="DR78" s="938">
        <f t="shared" si="229"/>
        <v>48</v>
      </c>
      <c r="DS78" s="938">
        <f t="shared" si="230"/>
        <v>17.13</v>
      </c>
      <c r="DU78" s="937" t="str">
        <f t="shared" si="199"/>
        <v>PZ-63</v>
      </c>
      <c r="DV78" s="938">
        <f t="shared" si="231"/>
        <v>1.67</v>
      </c>
      <c r="DW78" s="938">
        <v>1.2</v>
      </c>
      <c r="DX78" s="938">
        <v>1.6</v>
      </c>
      <c r="DY78" s="938">
        <f t="shared" si="232"/>
        <v>-3.357734228156771</v>
      </c>
      <c r="DZ78" s="938">
        <v>1.6</v>
      </c>
      <c r="EA78" s="938">
        <v>1.6</v>
      </c>
      <c r="EB78" s="938">
        <f t="shared" si="233"/>
        <v>4.2752000000000008</v>
      </c>
      <c r="EC78" s="938">
        <f t="shared" si="234"/>
        <v>0.91746577184322975</v>
      </c>
      <c r="ED78" s="938">
        <f t="shared" si="235"/>
        <v>0.50460617451377643</v>
      </c>
      <c r="EE78" s="938">
        <f t="shared" si="236"/>
        <v>0.41285959732945338</v>
      </c>
      <c r="EF78" s="938">
        <f t="shared" si="237"/>
        <v>0.50460617451377643</v>
      </c>
    </row>
    <row r="79" spans="1:136">
      <c r="A79" s="920" t="s">
        <v>2250</v>
      </c>
      <c r="B79" s="920" t="s">
        <v>2249</v>
      </c>
      <c r="C79" s="1294">
        <v>23.81</v>
      </c>
      <c r="D79" s="921">
        <v>126.98699999999999</v>
      </c>
      <c r="E79" s="921">
        <v>150.797</v>
      </c>
      <c r="F79" s="922">
        <v>1.4999999999999999E-2</v>
      </c>
      <c r="G79" s="923">
        <v>1.5</v>
      </c>
      <c r="H79" s="924">
        <v>1.5E-3</v>
      </c>
      <c r="I79" s="925">
        <v>0.11171776564468577</v>
      </c>
      <c r="J79" s="926">
        <v>0.112</v>
      </c>
      <c r="K79" s="927">
        <v>4.2180431809738031E-2</v>
      </c>
      <c r="L79" s="923">
        <v>1.6606469216365869</v>
      </c>
      <c r="M79" s="928">
        <v>8</v>
      </c>
      <c r="N79" s="927">
        <v>0.2</v>
      </c>
      <c r="O79" s="927">
        <v>0.182</v>
      </c>
      <c r="P79" s="923">
        <v>7.4050736261915967E-2</v>
      </c>
      <c r="Q79" s="923">
        <v>2.8463985402781709</v>
      </c>
      <c r="R79" s="923">
        <v>0.02</v>
      </c>
      <c r="S79" s="927">
        <v>0.36199999999999999</v>
      </c>
      <c r="T79" s="929">
        <v>0.124</v>
      </c>
      <c r="U79" s="927">
        <v>0.315</v>
      </c>
      <c r="V79" s="930">
        <v>1.0303962715806978</v>
      </c>
      <c r="W79" s="927">
        <v>5.4113989627288639E-2</v>
      </c>
      <c r="X79" s="927">
        <v>1.43325E-2</v>
      </c>
      <c r="Y79" s="927">
        <v>2.2567999999999998E-2</v>
      </c>
      <c r="Z79" s="927">
        <v>7.6681989627288644E-2</v>
      </c>
      <c r="AA79" s="931">
        <v>6.7000000000000004E-2</v>
      </c>
      <c r="AB79" s="923">
        <v>1.2194E-2</v>
      </c>
      <c r="AC79" s="923">
        <v>15.747404400000001</v>
      </c>
      <c r="AD79" s="923">
        <v>2.9791795591862464</v>
      </c>
      <c r="AE79" s="932" t="s">
        <v>2197</v>
      </c>
      <c r="AF79" s="927">
        <v>-2.7540155435316557E-2</v>
      </c>
      <c r="AG79" s="924">
        <v>5.5080310870633115E-3</v>
      </c>
      <c r="AH79" s="923">
        <v>3.2967032967032965</v>
      </c>
      <c r="AI79" s="927">
        <v>3.3942033672473464E-3</v>
      </c>
      <c r="AJ79" s="927">
        <v>8.902234454310657E-3</v>
      </c>
      <c r="AK79" s="933">
        <v>929.37</v>
      </c>
      <c r="AL79" s="933">
        <v>926.71</v>
      </c>
      <c r="AM79" s="930">
        <v>928.17</v>
      </c>
      <c r="AN79" s="930">
        <v>925.5032799999999</v>
      </c>
      <c r="AO79" s="934">
        <v>927.85184199999992</v>
      </c>
      <c r="AP79" s="934">
        <v>925.18512199999986</v>
      </c>
      <c r="AQ79" s="923">
        <v>927.8744099999999</v>
      </c>
      <c r="AR79" s="923">
        <v>925.20768999999984</v>
      </c>
      <c r="AS79" s="923">
        <v>927.92852398962725</v>
      </c>
      <c r="AT79" s="923">
        <v>925.2618039896272</v>
      </c>
      <c r="AU79" s="923">
        <v>1.2000000000000455</v>
      </c>
      <c r="AV79" s="923">
        <v>1.2067200000001321</v>
      </c>
      <c r="AW79" s="923">
        <v>1.5181580000000849</v>
      </c>
      <c r="AX79" s="923">
        <v>1.5248780000001716</v>
      </c>
      <c r="AY79" s="923">
        <v>1.999999999998181E-2</v>
      </c>
      <c r="AZ79" s="923" t="s">
        <v>2187</v>
      </c>
      <c r="BA79" s="935" t="s">
        <v>2188</v>
      </c>
      <c r="BB79" s="935" t="s">
        <v>2189</v>
      </c>
      <c r="BC79" s="935" t="s">
        <v>2198</v>
      </c>
      <c r="BD79" s="935" t="s">
        <v>2191</v>
      </c>
      <c r="BE79" s="935" t="s">
        <v>2191</v>
      </c>
      <c r="BF79" s="946"/>
      <c r="BH79" s="937"/>
      <c r="BI79" s="894" t="str">
        <f t="shared" si="170"/>
        <v>PZ-64</v>
      </c>
      <c r="BJ79" s="894" t="str">
        <f t="shared" si="170"/>
        <v>PZ-65</v>
      </c>
      <c r="BK79" s="938">
        <f t="shared" si="171"/>
        <v>23.81</v>
      </c>
      <c r="BL79" s="938">
        <f t="shared" si="172"/>
        <v>22.21</v>
      </c>
      <c r="BM79" s="895">
        <f t="shared" si="173"/>
        <v>8</v>
      </c>
      <c r="BN79" s="938">
        <f t="shared" si="174"/>
        <v>22.61</v>
      </c>
      <c r="BO79" s="700">
        <f t="shared" si="207"/>
        <v>0.6</v>
      </c>
      <c r="BP79" s="938">
        <f t="shared" si="175"/>
        <v>1.52</v>
      </c>
      <c r="BQ79" s="938">
        <f t="shared" si="176"/>
        <v>1.52</v>
      </c>
      <c r="BR79" s="938">
        <f t="shared" si="177"/>
        <v>1.62</v>
      </c>
      <c r="BS79" s="938">
        <f t="shared" si="178"/>
        <v>21.59</v>
      </c>
      <c r="BT79" s="938">
        <f t="shared" si="179"/>
        <v>35.980200000000004</v>
      </c>
      <c r="BU79" s="938">
        <f t="shared" si="208"/>
        <v>0</v>
      </c>
      <c r="BV79" s="938">
        <f t="shared" si="180"/>
        <v>0</v>
      </c>
      <c r="BW79" s="938">
        <f t="shared" si="168"/>
        <v>0</v>
      </c>
      <c r="BX79" s="938">
        <f t="shared" si="169"/>
        <v>17.27</v>
      </c>
      <c r="BY79" s="938">
        <f t="shared" si="181"/>
        <v>3.67</v>
      </c>
      <c r="BZ79" s="938">
        <f t="shared" si="209"/>
        <v>0.65</v>
      </c>
      <c r="CA79" s="938">
        <f t="shared" si="182"/>
        <v>0.72</v>
      </c>
      <c r="CB79" s="938">
        <f t="shared" si="183"/>
        <v>13.33</v>
      </c>
      <c r="CC79" s="938" t="s">
        <v>2192</v>
      </c>
      <c r="CD79" s="938">
        <f t="shared" si="184"/>
        <v>0</v>
      </c>
      <c r="CE79" s="938">
        <f t="shared" si="185"/>
        <v>0</v>
      </c>
      <c r="CF79" s="938">
        <f t="shared" si="186"/>
        <v>0</v>
      </c>
      <c r="CG79" s="938">
        <f t="shared" si="187"/>
        <v>0</v>
      </c>
      <c r="CH79" s="938">
        <v>0.3</v>
      </c>
      <c r="CI79" s="938">
        <f t="shared" si="188"/>
        <v>0</v>
      </c>
      <c r="CJ79" s="938">
        <f t="shared" si="189"/>
        <v>0</v>
      </c>
      <c r="CK79" s="938">
        <f t="shared" si="190"/>
        <v>19.54</v>
      </c>
      <c r="CL79" s="938">
        <f t="shared" si="191"/>
        <v>0.1</v>
      </c>
      <c r="CM79" s="938">
        <f t="shared" si="192"/>
        <v>1.33</v>
      </c>
      <c r="CN79" s="938">
        <f t="shared" si="193"/>
        <v>5.68</v>
      </c>
      <c r="CO79" s="938">
        <f t="shared" si="194"/>
        <v>13.86</v>
      </c>
      <c r="CP79" s="938">
        <f t="shared" si="195"/>
        <v>7.73</v>
      </c>
      <c r="CQ79" s="936"/>
      <c r="CS79" s="895">
        <f t="shared" si="196"/>
        <v>8</v>
      </c>
      <c r="CT79" s="701">
        <f t="shared" si="197"/>
        <v>200</v>
      </c>
      <c r="CU79" s="895">
        <v>2</v>
      </c>
      <c r="CV79" s="938">
        <v>26.6</v>
      </c>
      <c r="CW79" s="938">
        <f t="shared" si="210"/>
        <v>53.2</v>
      </c>
      <c r="CX79" s="938">
        <f t="shared" si="198"/>
        <v>0.6</v>
      </c>
      <c r="CY79" s="938">
        <f t="shared" si="211"/>
        <v>1.31</v>
      </c>
      <c r="CZ79" s="938">
        <f t="shared" si="212"/>
        <v>41.82</v>
      </c>
      <c r="DA79" s="938">
        <f t="shared" si="213"/>
        <v>0</v>
      </c>
      <c r="DB79" s="938">
        <f t="shared" si="214"/>
        <v>0</v>
      </c>
      <c r="DC79" s="938">
        <f t="shared" si="215"/>
        <v>0</v>
      </c>
      <c r="DD79" s="938">
        <f t="shared" si="216"/>
        <v>0.97</v>
      </c>
      <c r="DE79" s="938">
        <f t="shared" si="217"/>
        <v>31.92</v>
      </c>
      <c r="DF79" s="938" t="str">
        <f t="shared" si="218"/>
        <v>D</v>
      </c>
      <c r="DG79" s="938">
        <f t="shared" si="219"/>
        <v>0</v>
      </c>
      <c r="DH79" s="938">
        <f t="shared" si="220"/>
        <v>0</v>
      </c>
      <c r="DI79" s="938">
        <f t="shared" si="221"/>
        <v>0</v>
      </c>
      <c r="DJ79" s="938">
        <f t="shared" si="222"/>
        <v>0</v>
      </c>
      <c r="DK79" s="938">
        <v>14.3</v>
      </c>
      <c r="DL79" s="938">
        <f t="shared" si="223"/>
        <v>0</v>
      </c>
      <c r="DM79" s="938">
        <f t="shared" si="224"/>
        <v>0</v>
      </c>
      <c r="DN79" s="938">
        <f t="shared" si="225"/>
        <v>37.659999999999997</v>
      </c>
      <c r="DO79" s="938">
        <f t="shared" si="226"/>
        <v>0.1</v>
      </c>
      <c r="DP79" s="938">
        <f t="shared" si="227"/>
        <v>3.1920000000000002</v>
      </c>
      <c r="DQ79" s="938">
        <f t="shared" si="228"/>
        <v>7.53</v>
      </c>
      <c r="DR79" s="938">
        <f t="shared" si="229"/>
        <v>30.13</v>
      </c>
      <c r="DS79" s="938">
        <f t="shared" si="230"/>
        <v>10.72</v>
      </c>
      <c r="DU79" s="937" t="str">
        <f t="shared" si="199"/>
        <v>PZ-64</v>
      </c>
      <c r="DV79" s="938">
        <f t="shared" si="231"/>
        <v>1.72</v>
      </c>
      <c r="DW79" s="938">
        <v>1.2</v>
      </c>
      <c r="DX79" s="938">
        <v>1.6</v>
      </c>
      <c r="DY79" s="938">
        <f t="shared" si="232"/>
        <v>-3.4582651930716444</v>
      </c>
      <c r="DZ79" s="938">
        <v>1.6</v>
      </c>
      <c r="EA79" s="938">
        <v>1.6</v>
      </c>
      <c r="EB79" s="938">
        <f t="shared" si="233"/>
        <v>4.4032000000000009</v>
      </c>
      <c r="EC79" s="938">
        <f t="shared" si="234"/>
        <v>0.94493480692835652</v>
      </c>
      <c r="ED79" s="938">
        <f t="shared" si="235"/>
        <v>0.51971414381059611</v>
      </c>
      <c r="EE79" s="938">
        <f t="shared" si="236"/>
        <v>0.42522066311776047</v>
      </c>
      <c r="EF79" s="938">
        <f t="shared" si="237"/>
        <v>0.51971414381059611</v>
      </c>
    </row>
    <row r="80" spans="1:136">
      <c r="A80" s="920" t="s">
        <v>2249</v>
      </c>
      <c r="B80" s="920" t="s">
        <v>2329</v>
      </c>
      <c r="C80" s="1294">
        <v>55.582000000000001</v>
      </c>
      <c r="D80" s="921">
        <v>150.797</v>
      </c>
      <c r="E80" s="921">
        <v>206.37899999999999</v>
      </c>
      <c r="F80" s="922">
        <v>1.4999999999999999E-2</v>
      </c>
      <c r="G80" s="923">
        <v>1.53</v>
      </c>
      <c r="H80" s="924">
        <v>1.5300000000000001E-3</v>
      </c>
      <c r="I80" s="925">
        <v>8.8517865496025194E-2</v>
      </c>
      <c r="J80" s="967">
        <v>8.8999999999999996E-2</v>
      </c>
      <c r="K80" s="927">
        <v>4.4366364080574074E-2</v>
      </c>
      <c r="L80" s="923">
        <v>1.7467072472597089</v>
      </c>
      <c r="M80" s="928">
        <v>8</v>
      </c>
      <c r="N80" s="927">
        <v>0.2</v>
      </c>
      <c r="O80" s="927">
        <v>0.182</v>
      </c>
      <c r="P80" s="923">
        <v>6.6010857274102303E-2</v>
      </c>
      <c r="Q80" s="923">
        <v>2.5373577262343616</v>
      </c>
      <c r="R80" s="923">
        <v>0.02</v>
      </c>
      <c r="S80" s="927">
        <v>0.36199999999999999</v>
      </c>
      <c r="T80" s="929">
        <v>0.124</v>
      </c>
      <c r="U80" s="927">
        <v>0.315</v>
      </c>
      <c r="V80" s="930">
        <v>0.91852349689683888</v>
      </c>
      <c r="W80" s="927">
        <v>4.3001295328827578E-2</v>
      </c>
      <c r="X80" s="927">
        <v>1.43325E-2</v>
      </c>
      <c r="Y80" s="927">
        <v>2.2567999999999998E-2</v>
      </c>
      <c r="Z80" s="927">
        <v>6.5569295328827576E-2</v>
      </c>
      <c r="AA80" s="931">
        <v>6.7000000000000004E-2</v>
      </c>
      <c r="AB80" s="923">
        <v>1.2194E-2</v>
      </c>
      <c r="AC80" s="923">
        <v>12.513562425000002</v>
      </c>
      <c r="AD80" s="923">
        <v>2.6557223682393953</v>
      </c>
      <c r="AE80" s="932" t="s">
        <v>2197</v>
      </c>
      <c r="AF80" s="927">
        <v>-1.1112694298461061E-2</v>
      </c>
      <c r="AG80" s="924">
        <v>2.2225388596922124E-3</v>
      </c>
      <c r="AH80" s="923">
        <v>3.2967032967032965</v>
      </c>
      <c r="AI80" s="927">
        <v>2.4278821239029054E-3</v>
      </c>
      <c r="AJ80" s="927">
        <v>4.6504209835951174E-3</v>
      </c>
      <c r="AK80" s="933">
        <v>926.71</v>
      </c>
      <c r="AL80" s="933">
        <v>921.79</v>
      </c>
      <c r="AM80" s="930">
        <v>925.51</v>
      </c>
      <c r="AN80" s="930">
        <v>920.56320200000005</v>
      </c>
      <c r="AO80" s="934">
        <v>925.16512199999988</v>
      </c>
      <c r="AP80" s="934">
        <v>920.21832399999994</v>
      </c>
      <c r="AQ80" s="923">
        <v>925.18768999999986</v>
      </c>
      <c r="AR80" s="923">
        <v>920.24089199999992</v>
      </c>
      <c r="AS80" s="923">
        <v>925.23069129532871</v>
      </c>
      <c r="AT80" s="923">
        <v>920.28389329532877</v>
      </c>
      <c r="AU80" s="923">
        <v>1.2000000000000455</v>
      </c>
      <c r="AV80" s="923">
        <v>1.226797999999917</v>
      </c>
      <c r="AW80" s="923">
        <v>1.5448780000001534</v>
      </c>
      <c r="AX80" s="923">
        <v>1.5716760000000249</v>
      </c>
      <c r="AY80" s="923">
        <v>1.999999999998181E-2</v>
      </c>
      <c r="AZ80" s="923" t="s">
        <v>2187</v>
      </c>
      <c r="BA80" s="935" t="s">
        <v>2188</v>
      </c>
      <c r="BB80" s="935" t="s">
        <v>2189</v>
      </c>
      <c r="BC80" s="935" t="s">
        <v>2198</v>
      </c>
      <c r="BD80" s="935" t="s">
        <v>2191</v>
      </c>
      <c r="BE80" s="935" t="s">
        <v>2191</v>
      </c>
      <c r="BF80" s="946"/>
      <c r="BH80" s="937"/>
      <c r="BI80" s="894" t="str">
        <f t="shared" si="170"/>
        <v>PZ-65</v>
      </c>
      <c r="BJ80" s="894" t="str">
        <f t="shared" si="170"/>
        <v>PZ-66</v>
      </c>
      <c r="BK80" s="938">
        <f t="shared" si="171"/>
        <v>55.58</v>
      </c>
      <c r="BL80" s="938">
        <f t="shared" si="172"/>
        <v>53.98</v>
      </c>
      <c r="BM80" s="895">
        <f t="shared" si="173"/>
        <v>8</v>
      </c>
      <c r="BN80" s="938">
        <f t="shared" si="174"/>
        <v>54.38</v>
      </c>
      <c r="BO80" s="700">
        <f t="shared" si="207"/>
        <v>0.6</v>
      </c>
      <c r="BP80" s="938">
        <f t="shared" si="175"/>
        <v>1.54</v>
      </c>
      <c r="BQ80" s="938">
        <f t="shared" si="176"/>
        <v>1.57</v>
      </c>
      <c r="BR80" s="938">
        <f t="shared" si="177"/>
        <v>1.66</v>
      </c>
      <c r="BS80" s="938">
        <f t="shared" si="178"/>
        <v>53.76</v>
      </c>
      <c r="BT80" s="938">
        <f t="shared" si="179"/>
        <v>89.606799999999993</v>
      </c>
      <c r="BU80" s="938">
        <f t="shared" si="208"/>
        <v>0</v>
      </c>
      <c r="BV80" s="938">
        <f t="shared" si="180"/>
        <v>0</v>
      </c>
      <c r="BW80" s="938">
        <f t="shared" si="168"/>
        <v>0</v>
      </c>
      <c r="BX80" s="938">
        <f t="shared" si="169"/>
        <v>43.01</v>
      </c>
      <c r="BY80" s="938">
        <f t="shared" si="181"/>
        <v>9.14</v>
      </c>
      <c r="BZ80" s="938">
        <f t="shared" si="209"/>
        <v>1.61</v>
      </c>
      <c r="CA80" s="938">
        <f t="shared" si="182"/>
        <v>1.75</v>
      </c>
      <c r="CB80" s="938">
        <f t="shared" si="183"/>
        <v>32.39</v>
      </c>
      <c r="CC80" s="938" t="s">
        <v>2192</v>
      </c>
      <c r="CD80" s="938">
        <f t="shared" si="184"/>
        <v>0</v>
      </c>
      <c r="CE80" s="938">
        <f t="shared" si="185"/>
        <v>0</v>
      </c>
      <c r="CF80" s="938">
        <f t="shared" si="186"/>
        <v>0</v>
      </c>
      <c r="CG80" s="938">
        <f t="shared" si="187"/>
        <v>0</v>
      </c>
      <c r="CH80" s="938">
        <v>0.3</v>
      </c>
      <c r="CI80" s="938">
        <f t="shared" si="188"/>
        <v>0</v>
      </c>
      <c r="CJ80" s="938">
        <f t="shared" si="189"/>
        <v>0</v>
      </c>
      <c r="CK80" s="938">
        <f t="shared" si="190"/>
        <v>48.77</v>
      </c>
      <c r="CL80" s="938">
        <f t="shared" si="191"/>
        <v>0.1</v>
      </c>
      <c r="CM80" s="938">
        <f t="shared" si="192"/>
        <v>3.24</v>
      </c>
      <c r="CN80" s="938">
        <f t="shared" si="193"/>
        <v>14.17</v>
      </c>
      <c r="CO80" s="938">
        <f t="shared" si="194"/>
        <v>34.6</v>
      </c>
      <c r="CP80" s="938">
        <f t="shared" si="195"/>
        <v>19.16</v>
      </c>
      <c r="CQ80" s="936"/>
      <c r="CS80" s="895">
        <f t="shared" si="196"/>
        <v>8</v>
      </c>
      <c r="CT80" s="701">
        <f t="shared" si="197"/>
        <v>200</v>
      </c>
      <c r="CU80" s="895">
        <v>7</v>
      </c>
      <c r="CV80" s="938">
        <v>23.5</v>
      </c>
      <c r="CW80" s="938">
        <f t="shared" si="210"/>
        <v>164.5</v>
      </c>
      <c r="CX80" s="938">
        <f t="shared" si="198"/>
        <v>0.6</v>
      </c>
      <c r="CY80" s="938">
        <f t="shared" si="211"/>
        <v>1.33</v>
      </c>
      <c r="CZ80" s="938">
        <f t="shared" si="212"/>
        <v>131.27000000000001</v>
      </c>
      <c r="DA80" s="938">
        <f t="shared" si="213"/>
        <v>0</v>
      </c>
      <c r="DB80" s="938">
        <f t="shared" si="214"/>
        <v>0</v>
      </c>
      <c r="DC80" s="938">
        <f t="shared" si="215"/>
        <v>0</v>
      </c>
      <c r="DD80" s="938">
        <f t="shared" si="216"/>
        <v>3</v>
      </c>
      <c r="DE80" s="938">
        <f t="shared" si="217"/>
        <v>98.7</v>
      </c>
      <c r="DF80" s="938" t="str">
        <f t="shared" si="218"/>
        <v>D</v>
      </c>
      <c r="DG80" s="938">
        <f t="shared" si="219"/>
        <v>0</v>
      </c>
      <c r="DH80" s="938">
        <f t="shared" si="220"/>
        <v>0</v>
      </c>
      <c r="DI80" s="938">
        <f t="shared" si="221"/>
        <v>0</v>
      </c>
      <c r="DJ80" s="938">
        <f t="shared" si="222"/>
        <v>0</v>
      </c>
      <c r="DK80" s="938">
        <v>15.3</v>
      </c>
      <c r="DL80" s="938">
        <f t="shared" si="223"/>
        <v>0</v>
      </c>
      <c r="DM80" s="938">
        <f t="shared" si="224"/>
        <v>0</v>
      </c>
      <c r="DN80" s="938">
        <f t="shared" si="225"/>
        <v>118.4</v>
      </c>
      <c r="DO80" s="938">
        <f t="shared" si="226"/>
        <v>0.1</v>
      </c>
      <c r="DP80" s="938">
        <f t="shared" si="227"/>
        <v>9.870000000000001</v>
      </c>
      <c r="DQ80" s="938">
        <f t="shared" si="228"/>
        <v>23.68</v>
      </c>
      <c r="DR80" s="938">
        <f t="shared" si="229"/>
        <v>94.72</v>
      </c>
      <c r="DS80" s="938">
        <f t="shared" si="230"/>
        <v>33.549999999999997</v>
      </c>
      <c r="DU80" s="937" t="str">
        <f t="shared" si="199"/>
        <v>PZ-65</v>
      </c>
      <c r="DV80" s="938">
        <f t="shared" si="231"/>
        <v>1.74</v>
      </c>
      <c r="DW80" s="938">
        <v>1.2</v>
      </c>
      <c r="DX80" s="938">
        <v>1.6</v>
      </c>
      <c r="DY80" s="938">
        <f t="shared" si="232"/>
        <v>-3.4984775790375937</v>
      </c>
      <c r="DZ80" s="938">
        <v>1.6</v>
      </c>
      <c r="EA80" s="938">
        <v>1.6</v>
      </c>
      <c r="EB80" s="938">
        <f t="shared" si="233"/>
        <v>4.4544000000000006</v>
      </c>
      <c r="EC80" s="938">
        <f t="shared" si="234"/>
        <v>0.95592242096240687</v>
      </c>
      <c r="ED80" s="938">
        <f t="shared" si="235"/>
        <v>0.5257573315293238</v>
      </c>
      <c r="EE80" s="938">
        <f t="shared" si="236"/>
        <v>0.43016508943308313</v>
      </c>
      <c r="EF80" s="938">
        <f t="shared" si="237"/>
        <v>0.5257573315293238</v>
      </c>
    </row>
    <row r="81" spans="1:136">
      <c r="A81" s="920" t="s">
        <v>2329</v>
      </c>
      <c r="B81" s="920" t="s">
        <v>2203</v>
      </c>
      <c r="C81" s="1294">
        <v>31.725999999999999</v>
      </c>
      <c r="D81" s="921">
        <v>206.37899999999999</v>
      </c>
      <c r="E81" s="921">
        <v>238.10499999999999</v>
      </c>
      <c r="F81" s="922">
        <v>1.4999999999999999E-2</v>
      </c>
      <c r="G81" s="923">
        <v>1.58</v>
      </c>
      <c r="H81" s="924">
        <v>1.58E-3</v>
      </c>
      <c r="I81" s="925">
        <v>-9.4559667150243974E-4</v>
      </c>
      <c r="J81" s="926">
        <v>1.7000000000000001E-2</v>
      </c>
      <c r="K81" s="927">
        <v>6.1248070737444475E-2</v>
      </c>
      <c r="L81" s="923">
        <v>2.4113413676062785</v>
      </c>
      <c r="M81" s="928">
        <v>8</v>
      </c>
      <c r="N81" s="927">
        <v>0.2</v>
      </c>
      <c r="O81" s="927">
        <v>0.182</v>
      </c>
      <c r="P81" s="923">
        <v>2.8849934419930605E-2</v>
      </c>
      <c r="Q81" s="923">
        <v>1.1089479371219251</v>
      </c>
      <c r="R81" s="923">
        <v>0.05</v>
      </c>
      <c r="S81" s="927">
        <v>0.45300000000000001</v>
      </c>
      <c r="T81" s="929">
        <v>0.182</v>
      </c>
      <c r="U81" s="927">
        <v>0.44900000000000001</v>
      </c>
      <c r="V81" s="930">
        <v>0.50235341551623203</v>
      </c>
      <c r="W81" s="927">
        <v>1.2862332012274418E-2</v>
      </c>
      <c r="X81" s="927">
        <v>2.04295E-2</v>
      </c>
      <c r="Y81" s="927">
        <v>3.3124000000000001E-2</v>
      </c>
      <c r="Z81" s="927">
        <v>4.5986332012274422E-2</v>
      </c>
      <c r="AA81" s="931">
        <v>0.11600000000000001</v>
      </c>
      <c r="AB81" s="923">
        <v>2.1111999999999999E-2</v>
      </c>
      <c r="AC81" s="923">
        <v>3.4070277149999999</v>
      </c>
      <c r="AD81" s="923">
        <v>1.1038502671573596</v>
      </c>
      <c r="AE81" s="932" t="s">
        <v>2197</v>
      </c>
      <c r="AF81" s="927">
        <v>-3.013896331655316E-2</v>
      </c>
      <c r="AG81" s="924">
        <v>6.0277926633106327E-3</v>
      </c>
      <c r="AH81" s="923">
        <v>3.2967032967032965</v>
      </c>
      <c r="AI81" s="927">
        <v>1.39659068352755E-3</v>
      </c>
      <c r="AJ81" s="927">
        <v>7.4243833468381829E-3</v>
      </c>
      <c r="AK81" s="933">
        <v>921.79</v>
      </c>
      <c r="AL81" s="933">
        <v>921.82</v>
      </c>
      <c r="AM81" s="930">
        <v>920.58999999999992</v>
      </c>
      <c r="AN81" s="930">
        <v>920.05065799999988</v>
      </c>
      <c r="AO81" s="934">
        <v>920.19832399999996</v>
      </c>
      <c r="AP81" s="942">
        <v>919.65898199999992</v>
      </c>
      <c r="AQ81" s="923">
        <v>920.231448</v>
      </c>
      <c r="AR81" s="923">
        <v>919.69210599999997</v>
      </c>
      <c r="AS81" s="923">
        <v>920.24431033201222</v>
      </c>
      <c r="AT81" s="923">
        <v>919.70496833201219</v>
      </c>
      <c r="AU81" s="923">
        <v>1.2000000000000455</v>
      </c>
      <c r="AV81" s="923">
        <v>1.7693420000001652</v>
      </c>
      <c r="AW81" s="923">
        <v>1.5916760000000068</v>
      </c>
      <c r="AX81" s="923">
        <v>2.1610180000001264</v>
      </c>
      <c r="AY81" s="923">
        <v>919.65898199999992</v>
      </c>
      <c r="AZ81" s="923" t="s">
        <v>2187</v>
      </c>
      <c r="BA81" s="935" t="s">
        <v>2188</v>
      </c>
      <c r="BB81" s="935" t="s">
        <v>2189</v>
      </c>
      <c r="BC81" s="935" t="s">
        <v>2190</v>
      </c>
      <c r="BD81" s="935" t="s">
        <v>2191</v>
      </c>
      <c r="BE81" s="935" t="s">
        <v>2191</v>
      </c>
      <c r="BF81" s="946"/>
      <c r="BH81" s="937"/>
      <c r="BI81" s="894" t="str">
        <f t="shared" si="170"/>
        <v>PZ-66</v>
      </c>
      <c r="BJ81" s="894" t="str">
        <f t="shared" si="170"/>
        <v>PZ-10</v>
      </c>
      <c r="BK81" s="938">
        <f t="shared" si="171"/>
        <v>31.73</v>
      </c>
      <c r="BL81" s="938">
        <f t="shared" si="172"/>
        <v>30.13</v>
      </c>
      <c r="BM81" s="895">
        <f t="shared" si="173"/>
        <v>8</v>
      </c>
      <c r="BN81" s="938">
        <f t="shared" si="174"/>
        <v>30.53</v>
      </c>
      <c r="BO81" s="700">
        <f t="shared" si="207"/>
        <v>0.6</v>
      </c>
      <c r="BP81" s="938">
        <f t="shared" si="175"/>
        <v>1.59</v>
      </c>
      <c r="BQ81" s="938">
        <f t="shared" si="176"/>
        <v>2.16</v>
      </c>
      <c r="BR81" s="938">
        <f t="shared" si="177"/>
        <v>1.98</v>
      </c>
      <c r="BS81" s="938">
        <f t="shared" si="178"/>
        <v>35.79</v>
      </c>
      <c r="BT81" s="938">
        <f t="shared" si="179"/>
        <v>59.657399999999996</v>
      </c>
      <c r="BU81" s="938">
        <f t="shared" si="208"/>
        <v>0</v>
      </c>
      <c r="BV81" s="938">
        <f t="shared" si="180"/>
        <v>0</v>
      </c>
      <c r="BW81" s="938">
        <f t="shared" si="168"/>
        <v>0</v>
      </c>
      <c r="BX81" s="938">
        <f t="shared" si="169"/>
        <v>28.63</v>
      </c>
      <c r="BY81" s="938">
        <f t="shared" si="181"/>
        <v>6.08</v>
      </c>
      <c r="BZ81" s="938">
        <f t="shared" si="209"/>
        <v>1.07</v>
      </c>
      <c r="CA81" s="938">
        <f t="shared" si="182"/>
        <v>0.98</v>
      </c>
      <c r="CB81" s="938">
        <f t="shared" si="183"/>
        <v>18.079999999999998</v>
      </c>
      <c r="CC81" s="938" t="s">
        <v>2192</v>
      </c>
      <c r="CD81" s="938">
        <f t="shared" si="184"/>
        <v>0</v>
      </c>
      <c r="CE81" s="938">
        <f t="shared" si="185"/>
        <v>0</v>
      </c>
      <c r="CF81" s="938">
        <f t="shared" si="186"/>
        <v>0</v>
      </c>
      <c r="CG81" s="938">
        <f t="shared" si="187"/>
        <v>0</v>
      </c>
      <c r="CH81" s="938">
        <v>0.3</v>
      </c>
      <c r="CI81" s="938">
        <f t="shared" si="188"/>
        <v>0</v>
      </c>
      <c r="CJ81" s="938">
        <f t="shared" si="189"/>
        <v>0</v>
      </c>
      <c r="CK81" s="938">
        <f t="shared" si="190"/>
        <v>33</v>
      </c>
      <c r="CL81" s="938">
        <f t="shared" si="191"/>
        <v>0.1</v>
      </c>
      <c r="CM81" s="938">
        <f t="shared" si="192"/>
        <v>1.81</v>
      </c>
      <c r="CN81" s="938">
        <f t="shared" si="193"/>
        <v>9.59</v>
      </c>
      <c r="CO81" s="938">
        <f t="shared" si="194"/>
        <v>23.41</v>
      </c>
      <c r="CP81" s="938">
        <f t="shared" si="195"/>
        <v>12.38</v>
      </c>
      <c r="CQ81" s="936"/>
      <c r="CS81" s="895">
        <f t="shared" si="196"/>
        <v>8</v>
      </c>
      <c r="CT81" s="701">
        <f t="shared" si="197"/>
        <v>200</v>
      </c>
      <c r="CU81" s="895">
        <v>0</v>
      </c>
      <c r="CV81" s="938">
        <v>0</v>
      </c>
      <c r="CW81" s="938">
        <f t="shared" si="210"/>
        <v>0</v>
      </c>
      <c r="CX81" s="938">
        <f t="shared" si="198"/>
        <v>0.6</v>
      </c>
      <c r="CY81" s="938">
        <f t="shared" si="211"/>
        <v>1.49</v>
      </c>
      <c r="CZ81" s="938">
        <f t="shared" si="212"/>
        <v>0</v>
      </c>
      <c r="DA81" s="938">
        <f t="shared" si="213"/>
        <v>0</v>
      </c>
      <c r="DB81" s="938">
        <f t="shared" si="214"/>
        <v>0</v>
      </c>
      <c r="DC81" s="938">
        <f t="shared" si="215"/>
        <v>0</v>
      </c>
      <c r="DD81" s="938">
        <f t="shared" si="216"/>
        <v>0</v>
      </c>
      <c r="DE81" s="938">
        <f t="shared" si="217"/>
        <v>0</v>
      </c>
      <c r="DF81" s="938" t="str">
        <f t="shared" si="218"/>
        <v>D</v>
      </c>
      <c r="DG81" s="938">
        <f t="shared" si="219"/>
        <v>0</v>
      </c>
      <c r="DH81" s="938">
        <f t="shared" si="220"/>
        <v>0</v>
      </c>
      <c r="DI81" s="938">
        <f t="shared" si="221"/>
        <v>0</v>
      </c>
      <c r="DJ81" s="938">
        <f t="shared" si="222"/>
        <v>0</v>
      </c>
      <c r="DK81" s="938">
        <v>16.3</v>
      </c>
      <c r="DL81" s="938">
        <f t="shared" si="223"/>
        <v>0</v>
      </c>
      <c r="DM81" s="938">
        <f t="shared" si="224"/>
        <v>0</v>
      </c>
      <c r="DN81" s="938">
        <f t="shared" si="225"/>
        <v>0</v>
      </c>
      <c r="DO81" s="938">
        <f t="shared" si="226"/>
        <v>0.1</v>
      </c>
      <c r="DP81" s="938">
        <f t="shared" si="227"/>
        <v>0</v>
      </c>
      <c r="DQ81" s="938">
        <f t="shared" si="228"/>
        <v>0</v>
      </c>
      <c r="DR81" s="938">
        <f t="shared" si="229"/>
        <v>0</v>
      </c>
      <c r="DS81" s="938">
        <f t="shared" si="230"/>
        <v>0</v>
      </c>
      <c r="DU81" s="937" t="str">
        <f t="shared" si="199"/>
        <v>PZ-66</v>
      </c>
      <c r="DV81" s="938">
        <f t="shared" si="231"/>
        <v>1.79</v>
      </c>
      <c r="DW81" s="938">
        <v>1.2</v>
      </c>
      <c r="DX81" s="938">
        <v>1.6</v>
      </c>
      <c r="DY81" s="938">
        <f t="shared" si="232"/>
        <v>-3.5990085439524675</v>
      </c>
      <c r="DZ81" s="938">
        <v>1.6</v>
      </c>
      <c r="EA81" s="938">
        <v>1.6</v>
      </c>
      <c r="EB81" s="938">
        <f t="shared" si="233"/>
        <v>4.5824000000000007</v>
      </c>
      <c r="EC81" s="938">
        <f t="shared" si="234"/>
        <v>0.9833914560475332</v>
      </c>
      <c r="ED81" s="938">
        <f t="shared" si="235"/>
        <v>0.54086530082614326</v>
      </c>
      <c r="EE81" s="938">
        <f t="shared" si="236"/>
        <v>0.44252615522138994</v>
      </c>
      <c r="EF81" s="938">
        <f t="shared" si="237"/>
        <v>0.54086530082614326</v>
      </c>
    </row>
    <row r="82" spans="1:136" s="919" customFormat="1">
      <c r="A82" s="948" t="s">
        <v>2330</v>
      </c>
      <c r="B82" s="949"/>
      <c r="C82" s="1295"/>
      <c r="D82" s="964"/>
      <c r="E82" s="964"/>
      <c r="F82" s="948"/>
      <c r="G82" s="951"/>
      <c r="H82" s="952"/>
      <c r="I82" s="953"/>
      <c r="J82" s="954"/>
      <c r="K82" s="955"/>
      <c r="L82" s="951"/>
      <c r="M82" s="956"/>
      <c r="N82" s="955"/>
      <c r="O82" s="955"/>
      <c r="P82" s="951"/>
      <c r="Q82" s="951"/>
      <c r="R82" s="951"/>
      <c r="S82" s="955"/>
      <c r="T82" s="957"/>
      <c r="U82" s="955"/>
      <c r="V82" s="958"/>
      <c r="W82" s="955"/>
      <c r="X82" s="955"/>
      <c r="Y82" s="955"/>
      <c r="Z82" s="955"/>
      <c r="AA82" s="959"/>
      <c r="AB82" s="951"/>
      <c r="AC82" s="951"/>
      <c r="AD82" s="951"/>
      <c r="AE82" s="960"/>
      <c r="AF82" s="955"/>
      <c r="AG82" s="952"/>
      <c r="AH82" s="951"/>
      <c r="AI82" s="955"/>
      <c r="AJ82" s="955"/>
      <c r="AK82" s="961"/>
      <c r="AL82" s="961"/>
      <c r="AM82" s="958"/>
      <c r="AN82" s="958"/>
      <c r="AO82" s="962"/>
      <c r="AP82" s="962"/>
      <c r="AQ82" s="951"/>
      <c r="AR82" s="951"/>
      <c r="AS82" s="951"/>
      <c r="AT82" s="951"/>
      <c r="AU82" s="951"/>
      <c r="AV82" s="951"/>
      <c r="AW82" s="951"/>
      <c r="AX82" s="951"/>
      <c r="AY82" s="951"/>
      <c r="AZ82" s="951"/>
      <c r="BA82" s="963"/>
      <c r="BB82" s="963"/>
      <c r="BC82" s="963"/>
      <c r="BD82" s="963"/>
      <c r="BE82" s="963"/>
      <c r="BF82" s="966"/>
      <c r="BH82" s="917"/>
      <c r="BI82" s="903"/>
      <c r="BJ82" s="903"/>
      <c r="BK82" s="901"/>
      <c r="BL82" s="901"/>
      <c r="BM82" s="908"/>
      <c r="BN82" s="901"/>
      <c r="BO82" s="698" t="str">
        <f t="shared" si="207"/>
        <v/>
      </c>
      <c r="BP82" s="901"/>
      <c r="BQ82" s="901"/>
      <c r="BR82" s="901"/>
      <c r="BS82" s="901"/>
      <c r="BT82" s="901"/>
      <c r="BU82" s="901">
        <f t="shared" si="208"/>
        <v>0</v>
      </c>
      <c r="BV82" s="901"/>
      <c r="BW82" s="901" t="str">
        <f t="shared" si="168"/>
        <v/>
      </c>
      <c r="BX82" s="901" t="str">
        <f t="shared" si="169"/>
        <v/>
      </c>
      <c r="BY82" s="901" t="str">
        <f t="shared" si="181"/>
        <v/>
      </c>
      <c r="BZ82" s="901" t="str">
        <f t="shared" si="209"/>
        <v/>
      </c>
      <c r="CA82" s="901"/>
      <c r="CB82" s="901"/>
      <c r="CC82" s="901"/>
      <c r="CD82" s="901"/>
      <c r="CE82" s="901"/>
      <c r="CF82" s="901"/>
      <c r="CG82" s="901"/>
      <c r="CH82" s="901"/>
      <c r="CI82" s="901"/>
      <c r="CJ82" s="901"/>
      <c r="CK82" s="901"/>
      <c r="CL82" s="901"/>
      <c r="CM82" s="901"/>
      <c r="CN82" s="901" t="str">
        <f t="shared" si="193"/>
        <v/>
      </c>
      <c r="CO82" s="901" t="str">
        <f t="shared" si="194"/>
        <v/>
      </c>
      <c r="CP82" s="901"/>
      <c r="CQ82" s="916"/>
      <c r="CS82" s="908"/>
      <c r="CT82" s="699"/>
      <c r="CU82" s="908"/>
      <c r="CV82" s="901"/>
      <c r="CW82" s="901"/>
      <c r="CX82" s="901"/>
      <c r="CY82" s="901"/>
      <c r="CZ82" s="901"/>
      <c r="DA82" s="901"/>
      <c r="DB82" s="901"/>
      <c r="DC82" s="901"/>
      <c r="DD82" s="901"/>
      <c r="DE82" s="901"/>
      <c r="DF82" s="901"/>
      <c r="DG82" s="901"/>
      <c r="DH82" s="901"/>
      <c r="DI82" s="901"/>
      <c r="DJ82" s="901"/>
      <c r="DK82" s="901"/>
      <c r="DL82" s="901"/>
      <c r="DM82" s="901"/>
      <c r="DN82" s="901"/>
      <c r="DO82" s="901" t="str">
        <f t="shared" si="226"/>
        <v/>
      </c>
      <c r="DP82" s="901"/>
      <c r="DQ82" s="901" t="str">
        <f t="shared" si="228"/>
        <v/>
      </c>
      <c r="DR82" s="901" t="str">
        <f t="shared" si="229"/>
        <v/>
      </c>
      <c r="DS82" s="901"/>
      <c r="DU82" s="917"/>
      <c r="DV82" s="901"/>
      <c r="DW82" s="901"/>
      <c r="DX82" s="901"/>
      <c r="DY82" s="901"/>
      <c r="DZ82" s="901"/>
      <c r="EA82" s="901"/>
      <c r="EB82" s="901"/>
      <c r="EC82" s="901"/>
      <c r="ED82" s="901"/>
      <c r="EE82" s="901"/>
      <c r="EF82" s="901"/>
    </row>
    <row r="83" spans="1:136">
      <c r="A83" s="920" t="s">
        <v>2331</v>
      </c>
      <c r="B83" s="920" t="s">
        <v>2332</v>
      </c>
      <c r="C83" s="1294">
        <v>72.724000000000004</v>
      </c>
      <c r="D83" s="921">
        <v>0</v>
      </c>
      <c r="E83" s="921">
        <v>72.724000000000004</v>
      </c>
      <c r="F83" s="922">
        <v>1.4999999999999999E-2</v>
      </c>
      <c r="G83" s="923">
        <v>1.5</v>
      </c>
      <c r="H83" s="924">
        <v>1.5E-3</v>
      </c>
      <c r="I83" s="925">
        <v>8.6628898300422891E-2</v>
      </c>
      <c r="J83" s="926">
        <v>8.6999999999999994E-2</v>
      </c>
      <c r="K83" s="927">
        <v>4.4226191366013932E-2</v>
      </c>
      <c r="L83" s="923">
        <v>1.7411886364502764</v>
      </c>
      <c r="M83" s="928">
        <v>8</v>
      </c>
      <c r="N83" s="927">
        <v>0.2</v>
      </c>
      <c r="O83" s="927">
        <v>0.182</v>
      </c>
      <c r="P83" s="923">
        <v>6.5264947936213763E-2</v>
      </c>
      <c r="Q83" s="923">
        <v>2.5086860970551967</v>
      </c>
      <c r="R83" s="923">
        <v>0.02</v>
      </c>
      <c r="S83" s="927">
        <v>0.36199999999999999</v>
      </c>
      <c r="T83" s="929">
        <v>0.124</v>
      </c>
      <c r="U83" s="927">
        <v>0.315</v>
      </c>
      <c r="V83" s="930">
        <v>0.90814436713398117</v>
      </c>
      <c r="W83" s="927">
        <v>4.2034974085483137E-2</v>
      </c>
      <c r="X83" s="927">
        <v>1.43325E-2</v>
      </c>
      <c r="Y83" s="927">
        <v>2.2567999999999998E-2</v>
      </c>
      <c r="Z83" s="927">
        <v>6.4602974085483128E-2</v>
      </c>
      <c r="AA83" s="931">
        <v>6.7000000000000004E-2</v>
      </c>
      <c r="AB83" s="923">
        <v>1.2194E-2</v>
      </c>
      <c r="AC83" s="923">
        <v>12.232358775000002</v>
      </c>
      <c r="AD83" s="923">
        <v>2.6257132425423353</v>
      </c>
      <c r="AE83" s="932" t="s">
        <v>2197</v>
      </c>
      <c r="AF83" s="927">
        <v>4.2034974085483137E-2</v>
      </c>
      <c r="AG83" s="924">
        <v>4.2034974085483137E-3</v>
      </c>
      <c r="AH83" s="923">
        <v>3.2967032967032965</v>
      </c>
      <c r="AI83" s="927">
        <v>1.0508743521370784E-3</v>
      </c>
      <c r="AJ83" s="927">
        <v>5.2543717606853921E-3</v>
      </c>
      <c r="AK83" s="933">
        <v>966.06</v>
      </c>
      <c r="AL83" s="933">
        <v>959.76</v>
      </c>
      <c r="AM83" s="930">
        <v>964.8599999999999</v>
      </c>
      <c r="AN83" s="930">
        <v>958.53301199999987</v>
      </c>
      <c r="AO83" s="934">
        <v>964.65999999999985</v>
      </c>
      <c r="AP83" s="934">
        <v>958.33301199999983</v>
      </c>
      <c r="AQ83" s="923">
        <v>964.68256799999983</v>
      </c>
      <c r="AR83" s="923">
        <v>958.3555799999998</v>
      </c>
      <c r="AS83" s="923">
        <v>964.72460297408531</v>
      </c>
      <c r="AT83" s="923">
        <v>958.39761497408529</v>
      </c>
      <c r="AU83" s="923">
        <v>1.2000000000000455</v>
      </c>
      <c r="AV83" s="923">
        <v>1.2269880000001194</v>
      </c>
      <c r="AW83" s="923">
        <v>1.4000000000000909</v>
      </c>
      <c r="AX83" s="923">
        <v>1.4269880000001649</v>
      </c>
      <c r="AY83" s="923">
        <v>1.999999999998181E-2</v>
      </c>
      <c r="AZ83" s="923" t="s">
        <v>2187</v>
      </c>
      <c r="BA83" s="935" t="s">
        <v>2188</v>
      </c>
      <c r="BB83" s="935" t="s">
        <v>2189</v>
      </c>
      <c r="BC83" s="935" t="s">
        <v>2198</v>
      </c>
      <c r="BD83" s="935" t="s">
        <v>2191</v>
      </c>
      <c r="BE83" s="935" t="s">
        <v>2191</v>
      </c>
      <c r="BF83" s="946"/>
      <c r="BH83" s="937"/>
      <c r="BI83" s="894" t="str">
        <f t="shared" ref="BI83:BJ102" si="238">A83</f>
        <v>PZ-67</v>
      </c>
      <c r="BJ83" s="894" t="str">
        <f t="shared" si="238"/>
        <v>PZ-68</v>
      </c>
      <c r="BK83" s="938">
        <f t="shared" ref="BK83:BK114" si="239">IF(C83="","",ROUND( C83,2))</f>
        <v>72.72</v>
      </c>
      <c r="BL83" s="938">
        <f t="shared" ref="BL83:BL114" si="240">IF(BK83="","",ROUND((BK83-1.6),2))</f>
        <v>71.12</v>
      </c>
      <c r="BM83" s="895">
        <f t="shared" ref="BM83:BM114" si="241">IF(M83="","",M83)</f>
        <v>8</v>
      </c>
      <c r="BN83" s="938">
        <f t="shared" ref="BN83:BN114" si="242">IF(BK83="","",ROUND((BK83-1.2),2))</f>
        <v>71.52</v>
      </c>
      <c r="BO83" s="700">
        <f t="shared" si="207"/>
        <v>0.6</v>
      </c>
      <c r="BP83" s="938">
        <f t="shared" ref="BP83:BP114" si="243">IF(BK83="","",ROUND((AK83-AO83),2))</f>
        <v>1.4</v>
      </c>
      <c r="BQ83" s="938">
        <f t="shared" ref="BQ83:BQ114" si="244">IF(BK83="","",ROUND((AL83-AP83),2))</f>
        <v>1.43</v>
      </c>
      <c r="BR83" s="938">
        <f t="shared" ref="BR83:BR114" si="245">IF(BK83="","",ROUND((BP83+BQ83)/2+0.1,2))</f>
        <v>1.52</v>
      </c>
      <c r="BS83" s="938">
        <f t="shared" ref="BS83:BS114" si="246">IF(BK83="","",ROUND( BR83*BO83*BL83,2))</f>
        <v>64.86</v>
      </c>
      <c r="BT83" s="938">
        <f t="shared" ref="BT83:BT114" si="247">IF(AND(BR83&gt;=1.5, BR83&lt;2),(BR83*BL83),0)</f>
        <v>108.1024</v>
      </c>
      <c r="BU83" s="938">
        <f t="shared" si="208"/>
        <v>0</v>
      </c>
      <c r="BV83" s="938">
        <f t="shared" ref="BV83:BV114" si="248">IF(BR83&gt;=4,(BR83*BL83),0)</f>
        <v>0</v>
      </c>
      <c r="BW83" s="938">
        <f t="shared" si="168"/>
        <v>0</v>
      </c>
      <c r="BX83" s="938">
        <f t="shared" si="169"/>
        <v>51.89</v>
      </c>
      <c r="BY83" s="938">
        <f t="shared" si="181"/>
        <v>11.03</v>
      </c>
      <c r="BZ83" s="938">
        <f t="shared" si="209"/>
        <v>1.95</v>
      </c>
      <c r="CA83" s="938">
        <f t="shared" ref="CA83:CA114" si="249">IF(BK83="","",ROUND( (PI()*((BM83*0.0254)^2)/4)*BL83,2))</f>
        <v>2.31</v>
      </c>
      <c r="CB83" s="938">
        <f t="shared" ref="CB83:CB114" si="250">IF(BK83="","",ROUND(BL83*BO83,2))</f>
        <v>42.67</v>
      </c>
      <c r="CC83" s="938" t="s">
        <v>2192</v>
      </c>
      <c r="CD83" s="938">
        <f t="shared" ref="CD83:CD114" si="251">IF(BK83="","",ROUND(IF(CC83="F",CB83,0),2))</f>
        <v>0</v>
      </c>
      <c r="CE83" s="938">
        <f t="shared" ref="CE83:CE114" si="252">IF(BK83="","",ROUND(IF(CC83="R",CB83,0),2))</f>
        <v>0</v>
      </c>
      <c r="CF83" s="938">
        <f t="shared" ref="CF83:CF114" si="253">IF(CC83="","",IF(CC83="R",0.2,IF(CC83="F",0.07,IF(CC83="D",0))))</f>
        <v>0</v>
      </c>
      <c r="CG83" s="938">
        <f t="shared" ref="CG83:CG114" si="254">IF(BK83="","",ROUND(IF(CB83="","",CB83*CF83),2))</f>
        <v>0</v>
      </c>
      <c r="CH83" s="938">
        <v>0.3</v>
      </c>
      <c r="CI83" s="938">
        <f t="shared" ref="CI83:CI114" si="255">ROUND(IF(BK83="","",IF(OR(CC83="R",CC83="F"),(CH83*CB83),0)),2)</f>
        <v>0</v>
      </c>
      <c r="CJ83" s="938">
        <f t="shared" ref="CJ83:CJ114" si="256">IF(BK83="","",ROUND(IF(CC83="F",CB83*CH83,0),2))</f>
        <v>0</v>
      </c>
      <c r="CK83" s="938">
        <f t="shared" ref="CK83:CK114" si="257">IF(BK83="","",ROUND(BS83-(CA83+CG83+CI83+CJ83+CM83),2))</f>
        <v>58.28</v>
      </c>
      <c r="CL83" s="938">
        <f t="shared" ref="CL83:CL114" si="258">IF(BK83="","",0.1)</f>
        <v>0.1</v>
      </c>
      <c r="CM83" s="938">
        <f t="shared" ref="CM83:CM114" si="259">IF(BK83="","",ROUND((BL83*BO83)*0.1,2))</f>
        <v>4.2699999999999996</v>
      </c>
      <c r="CN83" s="938">
        <f t="shared" si="193"/>
        <v>16.93</v>
      </c>
      <c r="CO83" s="938">
        <f t="shared" si="194"/>
        <v>41.35</v>
      </c>
      <c r="CP83" s="938">
        <f t="shared" ref="CP83:CP114" si="260">IF(BK83="","",ROUND(BS83-(CO83),2))</f>
        <v>23.51</v>
      </c>
      <c r="CQ83" s="936"/>
      <c r="CS83" s="895">
        <f t="shared" si="196"/>
        <v>8</v>
      </c>
      <c r="CT83" s="701">
        <f t="shared" si="197"/>
        <v>200</v>
      </c>
      <c r="CU83" s="895">
        <v>1</v>
      </c>
      <c r="CV83" s="938">
        <v>31</v>
      </c>
      <c r="CW83" s="938">
        <f t="shared" si="210"/>
        <v>31</v>
      </c>
      <c r="CX83" s="938">
        <f t="shared" si="198"/>
        <v>0.6</v>
      </c>
      <c r="CY83" s="938">
        <f t="shared" si="211"/>
        <v>1.26</v>
      </c>
      <c r="CZ83" s="938">
        <f t="shared" si="212"/>
        <v>23.44</v>
      </c>
      <c r="DA83" s="938">
        <f t="shared" si="213"/>
        <v>0</v>
      </c>
      <c r="DB83" s="938">
        <f t="shared" si="214"/>
        <v>0</v>
      </c>
      <c r="DC83" s="938">
        <f t="shared" si="215"/>
        <v>0</v>
      </c>
      <c r="DD83" s="938">
        <f t="shared" si="216"/>
        <v>0.56999999999999995</v>
      </c>
      <c r="DE83" s="938">
        <f t="shared" si="217"/>
        <v>18.600000000000001</v>
      </c>
      <c r="DF83" s="938" t="str">
        <f t="shared" si="218"/>
        <v>D</v>
      </c>
      <c r="DG83" s="938">
        <f t="shared" si="219"/>
        <v>0</v>
      </c>
      <c r="DH83" s="938">
        <f t="shared" si="220"/>
        <v>0</v>
      </c>
      <c r="DI83" s="938">
        <f t="shared" si="221"/>
        <v>0</v>
      </c>
      <c r="DJ83" s="938">
        <f t="shared" si="222"/>
        <v>0</v>
      </c>
      <c r="DK83" s="938">
        <v>18.3</v>
      </c>
      <c r="DL83" s="938">
        <f t="shared" si="223"/>
        <v>0</v>
      </c>
      <c r="DM83" s="938">
        <f t="shared" si="224"/>
        <v>0</v>
      </c>
      <c r="DN83" s="938">
        <f t="shared" si="225"/>
        <v>21.01</v>
      </c>
      <c r="DO83" s="938">
        <f t="shared" si="226"/>
        <v>0.1</v>
      </c>
      <c r="DP83" s="938">
        <f t="shared" si="227"/>
        <v>1.8600000000000003</v>
      </c>
      <c r="DQ83" s="938">
        <f t="shared" si="228"/>
        <v>4.2</v>
      </c>
      <c r="DR83" s="938">
        <f t="shared" si="229"/>
        <v>16.809999999999999</v>
      </c>
      <c r="DS83" s="938">
        <f t="shared" si="230"/>
        <v>6.06</v>
      </c>
      <c r="DU83" s="937" t="str">
        <f t="shared" si="199"/>
        <v>PZ-67</v>
      </c>
      <c r="DV83" s="938">
        <f t="shared" ref="DV83:DV102" si="261">+BP83+0.2</f>
        <v>1.5999999999999999</v>
      </c>
      <c r="DW83" s="938">
        <v>1.2</v>
      </c>
      <c r="DX83" s="938">
        <v>1.6</v>
      </c>
      <c r="DY83" s="938">
        <f t="shared" ref="DY83:DY102" si="262">+((PI()*DX83^2)/4)*DV83*-1</f>
        <v>-3.2169908772759483</v>
      </c>
      <c r="DZ83" s="938">
        <v>1.6</v>
      </c>
      <c r="EA83" s="938">
        <v>1.6</v>
      </c>
      <c r="EB83" s="938">
        <f t="shared" ref="EB83:EB102" si="263">+(DZ83*EA83*DV83)</f>
        <v>4.0960000000000001</v>
      </c>
      <c r="EC83" s="938">
        <f t="shared" ref="EC83:EC102" si="264">+EB83+DY83</f>
        <v>0.87900912272405174</v>
      </c>
      <c r="ED83" s="938">
        <f t="shared" ref="ED83:ED102" si="265">+EC83*0.55</f>
        <v>0.4834550174982285</v>
      </c>
      <c r="EE83" s="938">
        <f t="shared" ref="EE83:EE102" si="266">+EC83*0.45</f>
        <v>0.39555410522582329</v>
      </c>
      <c r="EF83" s="938">
        <f t="shared" ref="EF83:EF102" si="267">+ED83</f>
        <v>0.4834550174982285</v>
      </c>
    </row>
    <row r="84" spans="1:136">
      <c r="A84" s="920" t="s">
        <v>2332</v>
      </c>
      <c r="B84" s="920" t="s">
        <v>2225</v>
      </c>
      <c r="C84" s="1294">
        <v>65.352000000000004</v>
      </c>
      <c r="D84" s="921">
        <v>72.724000000000004</v>
      </c>
      <c r="E84" s="921">
        <v>138.07600000000002</v>
      </c>
      <c r="F84" s="922">
        <v>1.4999999999999999E-2</v>
      </c>
      <c r="G84" s="923">
        <v>1.9</v>
      </c>
      <c r="H84" s="924">
        <v>1.9E-3</v>
      </c>
      <c r="I84" s="925">
        <v>7.803892765332214E-3</v>
      </c>
      <c r="J84" s="926">
        <v>1.0999999999999999E-2</v>
      </c>
      <c r="K84" s="927">
        <v>7.1215848062749221E-2</v>
      </c>
      <c r="L84" s="923">
        <v>2.8037735457663131</v>
      </c>
      <c r="M84" s="928">
        <v>8</v>
      </c>
      <c r="N84" s="927">
        <v>0.2</v>
      </c>
      <c r="O84" s="927">
        <v>0.182</v>
      </c>
      <c r="P84" s="923">
        <v>2.3206877627088535E-2</v>
      </c>
      <c r="Q84" s="923">
        <v>0.89203735083092384</v>
      </c>
      <c r="R84" s="923">
        <v>0.08</v>
      </c>
      <c r="S84" s="927">
        <v>0.505</v>
      </c>
      <c r="T84" s="929">
        <v>0.22</v>
      </c>
      <c r="U84" s="927">
        <v>0.53</v>
      </c>
      <c r="V84" s="930">
        <v>0.45047886216961652</v>
      </c>
      <c r="W84" s="927">
        <v>1.0343078759512353E-2</v>
      </c>
      <c r="X84" s="927">
        <v>2.4115000000000001E-2</v>
      </c>
      <c r="Y84" s="927">
        <v>4.0039999999999999E-2</v>
      </c>
      <c r="Z84" s="927">
        <v>5.0383078759512354E-2</v>
      </c>
      <c r="AA84" s="931">
        <v>0.151</v>
      </c>
      <c r="AB84" s="923">
        <v>2.7481999999999999E-2</v>
      </c>
      <c r="AC84" s="923">
        <v>2.6022496500000005</v>
      </c>
      <c r="AD84" s="923">
        <v>0.86759241410344889</v>
      </c>
      <c r="AE84" s="932" t="s">
        <v>2186</v>
      </c>
      <c r="AF84" s="927">
        <v>-3.1691895325970783E-2</v>
      </c>
      <c r="AG84" s="924">
        <v>6.3383790651941573E-3</v>
      </c>
      <c r="AH84" s="923">
        <v>3.2967032967032965</v>
      </c>
      <c r="AI84" s="927">
        <v>1.3094513211248874E-3</v>
      </c>
      <c r="AJ84" s="927">
        <v>7.6478303863190449E-3</v>
      </c>
      <c r="AK84" s="933">
        <v>959.76</v>
      </c>
      <c r="AL84" s="933">
        <v>959.25</v>
      </c>
      <c r="AM84" s="930">
        <v>958.51301199999989</v>
      </c>
      <c r="AN84" s="930">
        <v>957.79413999999986</v>
      </c>
      <c r="AO84" s="934">
        <v>958.31301199999984</v>
      </c>
      <c r="AP84" s="934">
        <v>957.59413999999981</v>
      </c>
      <c r="AQ84" s="923">
        <v>958.35305199999982</v>
      </c>
      <c r="AR84" s="923">
        <v>957.63417999999979</v>
      </c>
      <c r="AS84" s="923">
        <v>958.36339507875937</v>
      </c>
      <c r="AT84" s="923">
        <v>957.64452307875933</v>
      </c>
      <c r="AU84" s="923">
        <v>1.2469880000001012</v>
      </c>
      <c r="AV84" s="923">
        <v>1.4558600000001434</v>
      </c>
      <c r="AW84" s="923">
        <v>1.4469880000001467</v>
      </c>
      <c r="AX84" s="923">
        <v>1.6558600000001888</v>
      </c>
      <c r="AY84" s="923">
        <v>1.999999999998181E-2</v>
      </c>
      <c r="AZ84" s="923" t="s">
        <v>2187</v>
      </c>
      <c r="BA84" s="935" t="s">
        <v>2188</v>
      </c>
      <c r="BB84" s="935" t="s">
        <v>2189</v>
      </c>
      <c r="BC84" s="935" t="s">
        <v>2190</v>
      </c>
      <c r="BD84" s="935" t="s">
        <v>2191</v>
      </c>
      <c r="BE84" s="935" t="s">
        <v>2191</v>
      </c>
      <c r="BF84" s="946"/>
      <c r="BH84" s="937"/>
      <c r="BI84" s="894" t="str">
        <f t="shared" si="238"/>
        <v>PZ-68</v>
      </c>
      <c r="BJ84" s="894" t="str">
        <f t="shared" si="238"/>
        <v>PZ-69</v>
      </c>
      <c r="BK84" s="938">
        <f t="shared" si="239"/>
        <v>65.349999999999994</v>
      </c>
      <c r="BL84" s="938">
        <f t="shared" si="240"/>
        <v>63.75</v>
      </c>
      <c r="BM84" s="895">
        <f t="shared" si="241"/>
        <v>8</v>
      </c>
      <c r="BN84" s="938">
        <f t="shared" si="242"/>
        <v>64.150000000000006</v>
      </c>
      <c r="BO84" s="700">
        <f t="shared" si="207"/>
        <v>0.6</v>
      </c>
      <c r="BP84" s="938">
        <f t="shared" si="243"/>
        <v>1.45</v>
      </c>
      <c r="BQ84" s="938">
        <f t="shared" si="244"/>
        <v>1.66</v>
      </c>
      <c r="BR84" s="938">
        <f t="shared" si="245"/>
        <v>1.66</v>
      </c>
      <c r="BS84" s="938">
        <f t="shared" si="246"/>
        <v>63.5</v>
      </c>
      <c r="BT84" s="938">
        <f t="shared" si="247"/>
        <v>105.82499999999999</v>
      </c>
      <c r="BU84" s="938">
        <f t="shared" si="208"/>
        <v>0</v>
      </c>
      <c r="BV84" s="938">
        <f t="shared" si="248"/>
        <v>0</v>
      </c>
      <c r="BW84" s="938">
        <f t="shared" si="168"/>
        <v>0</v>
      </c>
      <c r="BX84" s="938">
        <f t="shared" si="169"/>
        <v>50.8</v>
      </c>
      <c r="BY84" s="938">
        <f t="shared" si="181"/>
        <v>10.8</v>
      </c>
      <c r="BZ84" s="938">
        <f t="shared" si="209"/>
        <v>1.91</v>
      </c>
      <c r="CA84" s="938">
        <f t="shared" si="249"/>
        <v>2.0699999999999998</v>
      </c>
      <c r="CB84" s="938">
        <f t="shared" si="250"/>
        <v>38.25</v>
      </c>
      <c r="CC84" s="938" t="s">
        <v>2192</v>
      </c>
      <c r="CD84" s="938">
        <f t="shared" si="251"/>
        <v>0</v>
      </c>
      <c r="CE84" s="938">
        <f t="shared" si="252"/>
        <v>0</v>
      </c>
      <c r="CF84" s="938">
        <f t="shared" si="253"/>
        <v>0</v>
      </c>
      <c r="CG84" s="938">
        <f t="shared" si="254"/>
        <v>0</v>
      </c>
      <c r="CH84" s="938">
        <v>0.3</v>
      </c>
      <c r="CI84" s="938">
        <f t="shared" si="255"/>
        <v>0</v>
      </c>
      <c r="CJ84" s="938">
        <f t="shared" si="256"/>
        <v>0</v>
      </c>
      <c r="CK84" s="938">
        <f t="shared" si="257"/>
        <v>57.6</v>
      </c>
      <c r="CL84" s="938">
        <f t="shared" si="258"/>
        <v>0.1</v>
      </c>
      <c r="CM84" s="938">
        <f t="shared" si="259"/>
        <v>3.83</v>
      </c>
      <c r="CN84" s="938">
        <f t="shared" si="193"/>
        <v>16.73</v>
      </c>
      <c r="CO84" s="938">
        <f t="shared" si="194"/>
        <v>40.869999999999997</v>
      </c>
      <c r="CP84" s="938">
        <f t="shared" si="260"/>
        <v>22.63</v>
      </c>
      <c r="CQ84" s="936"/>
      <c r="CS84" s="895">
        <f t="shared" si="196"/>
        <v>8</v>
      </c>
      <c r="CT84" s="701">
        <f t="shared" si="197"/>
        <v>200</v>
      </c>
      <c r="CU84" s="895">
        <v>0</v>
      </c>
      <c r="CV84" s="938">
        <v>0</v>
      </c>
      <c r="CW84" s="938">
        <f t="shared" si="210"/>
        <v>0</v>
      </c>
      <c r="CX84" s="938">
        <f t="shared" si="198"/>
        <v>0.6</v>
      </c>
      <c r="CY84" s="938">
        <f t="shared" si="211"/>
        <v>1.33</v>
      </c>
      <c r="CZ84" s="938">
        <f t="shared" si="212"/>
        <v>0</v>
      </c>
      <c r="DA84" s="938">
        <f t="shared" si="213"/>
        <v>0</v>
      </c>
      <c r="DB84" s="938">
        <f t="shared" si="214"/>
        <v>0</v>
      </c>
      <c r="DC84" s="938">
        <f t="shared" si="215"/>
        <v>0</v>
      </c>
      <c r="DD84" s="938">
        <f t="shared" si="216"/>
        <v>0</v>
      </c>
      <c r="DE84" s="938">
        <f t="shared" si="217"/>
        <v>0</v>
      </c>
      <c r="DF84" s="938" t="str">
        <f t="shared" si="218"/>
        <v>D</v>
      </c>
      <c r="DG84" s="938">
        <f t="shared" si="219"/>
        <v>0</v>
      </c>
      <c r="DH84" s="938">
        <f t="shared" si="220"/>
        <v>0</v>
      </c>
      <c r="DI84" s="938">
        <f t="shared" si="221"/>
        <v>0</v>
      </c>
      <c r="DJ84" s="938">
        <f t="shared" si="222"/>
        <v>0</v>
      </c>
      <c r="DK84" s="938">
        <v>19.3</v>
      </c>
      <c r="DL84" s="938">
        <f t="shared" si="223"/>
        <v>0</v>
      </c>
      <c r="DM84" s="938">
        <f t="shared" si="224"/>
        <v>0</v>
      </c>
      <c r="DN84" s="938">
        <f t="shared" si="225"/>
        <v>0</v>
      </c>
      <c r="DO84" s="938">
        <f t="shared" si="226"/>
        <v>0.1</v>
      </c>
      <c r="DP84" s="938">
        <f t="shared" si="227"/>
        <v>0</v>
      </c>
      <c r="DQ84" s="938">
        <f t="shared" si="228"/>
        <v>0</v>
      </c>
      <c r="DR84" s="938">
        <f t="shared" si="229"/>
        <v>0</v>
      </c>
      <c r="DS84" s="938">
        <f t="shared" si="230"/>
        <v>0</v>
      </c>
      <c r="DU84" s="937" t="str">
        <f t="shared" si="199"/>
        <v>PZ-68</v>
      </c>
      <c r="DV84" s="938">
        <f t="shared" ref="DV84:DV100" si="268">+BP84+0.2</f>
        <v>1.65</v>
      </c>
      <c r="DW84" s="938">
        <v>1.2</v>
      </c>
      <c r="DX84" s="938">
        <v>1.6</v>
      </c>
      <c r="DY84" s="938">
        <f t="shared" ref="DY84:DY100" si="269">+((PI()*DX84^2)/4)*DV84*-1</f>
        <v>-3.3175218421908217</v>
      </c>
      <c r="DZ84" s="938">
        <v>1.6</v>
      </c>
      <c r="EA84" s="938">
        <v>1.6</v>
      </c>
      <c r="EB84" s="938">
        <f t="shared" ref="EB84:EB100" si="270">+(DZ84*EA84*DV84)</f>
        <v>4.2240000000000002</v>
      </c>
      <c r="EC84" s="938">
        <f t="shared" ref="EC84:EC100" si="271">+EB84+DY84</f>
        <v>0.90647815780917851</v>
      </c>
      <c r="ED84" s="938">
        <f t="shared" ref="ED84:ED100" si="272">+EC84*0.55</f>
        <v>0.49856298679504824</v>
      </c>
      <c r="EE84" s="938">
        <f t="shared" ref="EE84:EE100" si="273">+EC84*0.45</f>
        <v>0.40791517101413033</v>
      </c>
      <c r="EF84" s="938">
        <f t="shared" ref="EF84:EF100" si="274">+ED84</f>
        <v>0.49856298679504824</v>
      </c>
    </row>
    <row r="85" spans="1:136">
      <c r="A85" s="920" t="s">
        <v>2225</v>
      </c>
      <c r="B85" s="920" t="s">
        <v>2333</v>
      </c>
      <c r="C85" s="1294">
        <v>42.293999999999997</v>
      </c>
      <c r="D85" s="921">
        <v>138.07600000000002</v>
      </c>
      <c r="E85" s="921">
        <v>180.37</v>
      </c>
      <c r="F85" s="922">
        <v>1.4999999999999999E-2</v>
      </c>
      <c r="G85" s="923">
        <v>2.2799999999999998</v>
      </c>
      <c r="H85" s="924">
        <v>2.2799999999999999E-3</v>
      </c>
      <c r="I85" s="925">
        <v>9.9304865938421305E-3</v>
      </c>
      <c r="J85" s="926">
        <v>0.01</v>
      </c>
      <c r="K85" s="927">
        <v>7.7630207341774837E-2</v>
      </c>
      <c r="L85" s="923">
        <v>3.0563073756482013</v>
      </c>
      <c r="M85" s="928">
        <v>8</v>
      </c>
      <c r="N85" s="927">
        <v>0.2</v>
      </c>
      <c r="O85" s="927">
        <v>0.182</v>
      </c>
      <c r="P85" s="923">
        <v>2.2126889630629445E-2</v>
      </c>
      <c r="Q85" s="923">
        <v>0.8505242422270316</v>
      </c>
      <c r="R85" s="923">
        <v>0.1</v>
      </c>
      <c r="S85" s="927">
        <v>0.54</v>
      </c>
      <c r="T85" s="929">
        <v>0.248</v>
      </c>
      <c r="U85" s="927">
        <v>0.58599999999999997</v>
      </c>
      <c r="V85" s="930">
        <v>0.4592830908025971</v>
      </c>
      <c r="W85" s="927">
        <v>1.0751323012089024E-2</v>
      </c>
      <c r="X85" s="927">
        <v>2.6662999999999999E-2</v>
      </c>
      <c r="Y85" s="927">
        <v>4.5135999999999996E-2</v>
      </c>
      <c r="Z85" s="927">
        <v>5.588732301208902E-2</v>
      </c>
      <c r="AA85" s="931">
        <v>0.17</v>
      </c>
      <c r="AB85" s="923">
        <v>3.0940000000000002E-2</v>
      </c>
      <c r="AC85" s="923">
        <v>2.6156402999999999</v>
      </c>
      <c r="AD85" s="923">
        <v>0.83365392285744433</v>
      </c>
      <c r="AE85" s="932" t="s">
        <v>2186</v>
      </c>
      <c r="AF85" s="927">
        <v>4.082442525766717E-4</v>
      </c>
      <c r="AG85" s="924">
        <v>4.0824425257667175E-5</v>
      </c>
      <c r="AH85" s="923">
        <v>3.2967032967032965</v>
      </c>
      <c r="AI85" s="927">
        <v>5.2736004429003447E-4</v>
      </c>
      <c r="AJ85" s="927">
        <v>5.6818446954770162E-4</v>
      </c>
      <c r="AK85" s="933">
        <v>959.25</v>
      </c>
      <c r="AL85" s="933">
        <v>958.83</v>
      </c>
      <c r="AM85" s="930">
        <v>957.77413999999987</v>
      </c>
      <c r="AN85" s="930">
        <v>957.35119999999984</v>
      </c>
      <c r="AO85" s="934">
        <v>957.57413999999983</v>
      </c>
      <c r="AP85" s="934">
        <v>957.15119999999979</v>
      </c>
      <c r="AQ85" s="923">
        <v>957.61927599999979</v>
      </c>
      <c r="AR85" s="923">
        <v>957.19633599999975</v>
      </c>
      <c r="AS85" s="923">
        <v>957.63002732301197</v>
      </c>
      <c r="AT85" s="923">
        <v>957.20708732301193</v>
      </c>
      <c r="AU85" s="923">
        <v>1.4758600000001252</v>
      </c>
      <c r="AV85" s="923">
        <v>1.4788000000002057</v>
      </c>
      <c r="AW85" s="923">
        <v>1.6758600000001707</v>
      </c>
      <c r="AX85" s="923">
        <v>1.6788000000002512</v>
      </c>
      <c r="AY85" s="923">
        <v>1.999999999998181E-2</v>
      </c>
      <c r="AZ85" s="923" t="s">
        <v>2187</v>
      </c>
      <c r="BA85" s="935" t="s">
        <v>2188</v>
      </c>
      <c r="BB85" s="935" t="s">
        <v>2189</v>
      </c>
      <c r="BC85" s="935" t="s">
        <v>2190</v>
      </c>
      <c r="BD85" s="935" t="s">
        <v>2191</v>
      </c>
      <c r="BE85" s="935" t="s">
        <v>2191</v>
      </c>
      <c r="BF85" s="946"/>
      <c r="BH85" s="937"/>
      <c r="BI85" s="894" t="str">
        <f t="shared" si="238"/>
        <v>PZ-69</v>
      </c>
      <c r="BJ85" s="894" t="str">
        <f t="shared" si="238"/>
        <v>PZ-70</v>
      </c>
      <c r="BK85" s="938">
        <f t="shared" si="239"/>
        <v>42.29</v>
      </c>
      <c r="BL85" s="938">
        <f t="shared" si="240"/>
        <v>40.69</v>
      </c>
      <c r="BM85" s="895">
        <f t="shared" si="241"/>
        <v>8</v>
      </c>
      <c r="BN85" s="938">
        <f t="shared" si="242"/>
        <v>41.09</v>
      </c>
      <c r="BO85" s="700">
        <f t="shared" si="207"/>
        <v>0.6</v>
      </c>
      <c r="BP85" s="938">
        <f t="shared" si="243"/>
        <v>1.68</v>
      </c>
      <c r="BQ85" s="938">
        <f t="shared" si="244"/>
        <v>1.68</v>
      </c>
      <c r="BR85" s="938">
        <f t="shared" si="245"/>
        <v>1.78</v>
      </c>
      <c r="BS85" s="938">
        <f t="shared" si="246"/>
        <v>43.46</v>
      </c>
      <c r="BT85" s="938">
        <f t="shared" si="247"/>
        <v>72.428200000000004</v>
      </c>
      <c r="BU85" s="938">
        <f t="shared" si="208"/>
        <v>0</v>
      </c>
      <c r="BV85" s="938">
        <f t="shared" si="248"/>
        <v>0</v>
      </c>
      <c r="BW85" s="938">
        <f t="shared" si="168"/>
        <v>0</v>
      </c>
      <c r="BX85" s="938">
        <f t="shared" si="169"/>
        <v>34.770000000000003</v>
      </c>
      <c r="BY85" s="938">
        <f t="shared" si="181"/>
        <v>7.39</v>
      </c>
      <c r="BZ85" s="938">
        <f t="shared" si="209"/>
        <v>1.3</v>
      </c>
      <c r="CA85" s="938">
        <f t="shared" si="249"/>
        <v>1.32</v>
      </c>
      <c r="CB85" s="938">
        <f t="shared" si="250"/>
        <v>24.41</v>
      </c>
      <c r="CC85" s="938" t="s">
        <v>2192</v>
      </c>
      <c r="CD85" s="938">
        <f t="shared" si="251"/>
        <v>0</v>
      </c>
      <c r="CE85" s="938">
        <f t="shared" si="252"/>
        <v>0</v>
      </c>
      <c r="CF85" s="938">
        <f t="shared" si="253"/>
        <v>0</v>
      </c>
      <c r="CG85" s="938">
        <f t="shared" si="254"/>
        <v>0</v>
      </c>
      <c r="CH85" s="938">
        <v>0.3</v>
      </c>
      <c r="CI85" s="938">
        <f t="shared" si="255"/>
        <v>0</v>
      </c>
      <c r="CJ85" s="938">
        <f t="shared" si="256"/>
        <v>0</v>
      </c>
      <c r="CK85" s="938">
        <f t="shared" si="257"/>
        <v>39.700000000000003</v>
      </c>
      <c r="CL85" s="938">
        <f t="shared" si="258"/>
        <v>0.1</v>
      </c>
      <c r="CM85" s="938">
        <f t="shared" si="259"/>
        <v>2.44</v>
      </c>
      <c r="CN85" s="938">
        <f t="shared" si="193"/>
        <v>11.53</v>
      </c>
      <c r="CO85" s="938">
        <f t="shared" si="194"/>
        <v>28.17</v>
      </c>
      <c r="CP85" s="938">
        <f t="shared" si="260"/>
        <v>15.29</v>
      </c>
      <c r="CQ85" s="936"/>
      <c r="CS85" s="895">
        <f t="shared" si="196"/>
        <v>8</v>
      </c>
      <c r="CT85" s="701">
        <f t="shared" si="197"/>
        <v>200</v>
      </c>
      <c r="CU85" s="895">
        <v>2</v>
      </c>
      <c r="CV85" s="938">
        <v>32.75</v>
      </c>
      <c r="CW85" s="938">
        <f t="shared" si="210"/>
        <v>65.5</v>
      </c>
      <c r="CX85" s="938">
        <f t="shared" si="198"/>
        <v>0.6</v>
      </c>
      <c r="CY85" s="938">
        <f t="shared" si="211"/>
        <v>1.39</v>
      </c>
      <c r="CZ85" s="938">
        <f t="shared" si="212"/>
        <v>54.63</v>
      </c>
      <c r="DA85" s="938">
        <f t="shared" si="213"/>
        <v>0</v>
      </c>
      <c r="DB85" s="938">
        <f t="shared" si="214"/>
        <v>0</v>
      </c>
      <c r="DC85" s="938">
        <f t="shared" si="215"/>
        <v>0</v>
      </c>
      <c r="DD85" s="938">
        <f t="shared" si="216"/>
        <v>1.19</v>
      </c>
      <c r="DE85" s="938">
        <f t="shared" si="217"/>
        <v>39.299999999999997</v>
      </c>
      <c r="DF85" s="938" t="str">
        <f t="shared" si="218"/>
        <v>D</v>
      </c>
      <c r="DG85" s="938">
        <f t="shared" si="219"/>
        <v>0</v>
      </c>
      <c r="DH85" s="938">
        <f t="shared" si="220"/>
        <v>0</v>
      </c>
      <c r="DI85" s="938">
        <f t="shared" si="221"/>
        <v>0</v>
      </c>
      <c r="DJ85" s="938">
        <f t="shared" si="222"/>
        <v>0</v>
      </c>
      <c r="DK85" s="938">
        <v>20.3</v>
      </c>
      <c r="DL85" s="938">
        <f t="shared" si="223"/>
        <v>0</v>
      </c>
      <c r="DM85" s="938">
        <f t="shared" si="224"/>
        <v>0</v>
      </c>
      <c r="DN85" s="938">
        <f t="shared" si="225"/>
        <v>49.51</v>
      </c>
      <c r="DO85" s="938">
        <f t="shared" si="226"/>
        <v>0.1</v>
      </c>
      <c r="DP85" s="938">
        <f t="shared" si="227"/>
        <v>3.9299999999999997</v>
      </c>
      <c r="DQ85" s="938">
        <f t="shared" si="228"/>
        <v>9.9</v>
      </c>
      <c r="DR85" s="938">
        <f t="shared" si="229"/>
        <v>39.61</v>
      </c>
      <c r="DS85" s="938">
        <f t="shared" si="230"/>
        <v>13.83</v>
      </c>
      <c r="DU85" s="937" t="str">
        <f t="shared" si="199"/>
        <v>PZ-69</v>
      </c>
      <c r="DV85" s="938">
        <f t="shared" si="268"/>
        <v>1.88</v>
      </c>
      <c r="DW85" s="938">
        <v>1.2</v>
      </c>
      <c r="DX85" s="938">
        <v>1.6</v>
      </c>
      <c r="DY85" s="938">
        <f t="shared" si="269"/>
        <v>-3.7799642807992391</v>
      </c>
      <c r="DZ85" s="938">
        <v>1.6</v>
      </c>
      <c r="EA85" s="938">
        <v>1.6</v>
      </c>
      <c r="EB85" s="938">
        <f t="shared" si="270"/>
        <v>4.8128000000000011</v>
      </c>
      <c r="EC85" s="938">
        <f t="shared" si="271"/>
        <v>1.032835719200762</v>
      </c>
      <c r="ED85" s="938">
        <f t="shared" si="272"/>
        <v>0.5680596455604191</v>
      </c>
      <c r="EE85" s="938">
        <f t="shared" si="273"/>
        <v>0.4647760736403429</v>
      </c>
      <c r="EF85" s="938">
        <f t="shared" si="274"/>
        <v>0.5680596455604191</v>
      </c>
    </row>
    <row r="86" spans="1:136">
      <c r="A86" s="920" t="s">
        <v>2333</v>
      </c>
      <c r="B86" s="920" t="s">
        <v>2234</v>
      </c>
      <c r="C86" s="1294">
        <v>19.2</v>
      </c>
      <c r="D86" s="921">
        <v>180.37</v>
      </c>
      <c r="E86" s="921">
        <v>199.57</v>
      </c>
      <c r="F86" s="922">
        <v>1.4999999999999999E-2</v>
      </c>
      <c r="G86" s="923">
        <v>2.4500000000000002</v>
      </c>
      <c r="H86" s="924">
        <v>2.4500000000000004E-3</v>
      </c>
      <c r="I86" s="925">
        <v>-1.6145833333330493E-2</v>
      </c>
      <c r="J86" s="967">
        <v>8.9999999999999993E-3</v>
      </c>
      <c r="K86" s="927">
        <v>8.1343337905383131E-2</v>
      </c>
      <c r="L86" s="923">
        <v>3.2024936183093602</v>
      </c>
      <c r="M86" s="928">
        <v>8</v>
      </c>
      <c r="N86" s="927">
        <v>0.2</v>
      </c>
      <c r="O86" s="927">
        <v>0.182</v>
      </c>
      <c r="P86" s="923">
        <v>2.0991410630385249E-2</v>
      </c>
      <c r="Q86" s="923">
        <v>0.80687814318785411</v>
      </c>
      <c r="R86" s="923">
        <v>0.12</v>
      </c>
      <c r="S86" s="927">
        <v>0.56999999999999995</v>
      </c>
      <c r="T86" s="929">
        <v>0.27</v>
      </c>
      <c r="U86" s="927">
        <v>0.63</v>
      </c>
      <c r="V86" s="930">
        <v>0.45992054161707679</v>
      </c>
      <c r="W86" s="927">
        <v>1.0781187798233702E-2</v>
      </c>
      <c r="X86" s="927">
        <v>2.8665E-2</v>
      </c>
      <c r="Y86" s="927">
        <v>4.9140000000000003E-2</v>
      </c>
      <c r="Z86" s="927">
        <v>5.9921187798233702E-2</v>
      </c>
      <c r="AA86" s="931">
        <v>0.188</v>
      </c>
      <c r="AB86" s="923">
        <v>3.4215999999999996E-2</v>
      </c>
      <c r="AC86" s="923">
        <v>2.5308328500000004</v>
      </c>
      <c r="AD86" s="923">
        <v>0.79384129124668157</v>
      </c>
      <c r="AE86" s="932" t="s">
        <v>2186</v>
      </c>
      <c r="AF86" s="927">
        <v>2.9864786144678107E-5</v>
      </c>
      <c r="AG86" s="924">
        <v>2.986478614467811E-6</v>
      </c>
      <c r="AH86" s="923">
        <v>3.2967032967032965</v>
      </c>
      <c r="AI86" s="927">
        <v>5.3831277025806815E-4</v>
      </c>
      <c r="AJ86" s="927">
        <v>5.4129924887253594E-4</v>
      </c>
      <c r="AK86" s="933">
        <v>958.83</v>
      </c>
      <c r="AL86" s="933">
        <v>959.14</v>
      </c>
      <c r="AM86" s="930">
        <v>957.33119999999985</v>
      </c>
      <c r="AN86" s="930">
        <v>957.1583999999998</v>
      </c>
      <c r="AO86" s="934">
        <v>957.13119999999981</v>
      </c>
      <c r="AP86" s="934">
        <v>956.95839999999976</v>
      </c>
      <c r="AQ86" s="923">
        <v>957.18033999999977</v>
      </c>
      <c r="AR86" s="923">
        <v>957.00753999999972</v>
      </c>
      <c r="AS86" s="923">
        <v>957.19112118779799</v>
      </c>
      <c r="AT86" s="923">
        <v>957.01832118779794</v>
      </c>
      <c r="AU86" s="923">
        <v>1.4988000000001875</v>
      </c>
      <c r="AV86" s="923">
        <v>1.981600000000185</v>
      </c>
      <c r="AW86" s="923">
        <v>1.698800000000233</v>
      </c>
      <c r="AX86" s="923">
        <v>2.1816000000002305</v>
      </c>
      <c r="AY86" s="923">
        <v>1.999999999998181E-2</v>
      </c>
      <c r="AZ86" s="923" t="s">
        <v>2187</v>
      </c>
      <c r="BA86" s="935" t="s">
        <v>2188</v>
      </c>
      <c r="BB86" s="935" t="s">
        <v>2189</v>
      </c>
      <c r="BC86" s="935" t="s">
        <v>2190</v>
      </c>
      <c r="BD86" s="935" t="s">
        <v>2191</v>
      </c>
      <c r="BE86" s="935" t="s">
        <v>2191</v>
      </c>
      <c r="BF86" s="946"/>
      <c r="BH86" s="937"/>
      <c r="BI86" s="894" t="str">
        <f t="shared" si="238"/>
        <v>PZ-70</v>
      </c>
      <c r="BJ86" s="894" t="str">
        <f t="shared" si="238"/>
        <v>PZ-71</v>
      </c>
      <c r="BK86" s="938">
        <f t="shared" si="239"/>
        <v>19.2</v>
      </c>
      <c r="BL86" s="938">
        <f t="shared" si="240"/>
        <v>17.600000000000001</v>
      </c>
      <c r="BM86" s="895">
        <f t="shared" si="241"/>
        <v>8</v>
      </c>
      <c r="BN86" s="938">
        <f t="shared" si="242"/>
        <v>18</v>
      </c>
      <c r="BO86" s="700">
        <f t="shared" si="207"/>
        <v>0.6</v>
      </c>
      <c r="BP86" s="938">
        <f t="shared" si="243"/>
        <v>1.7</v>
      </c>
      <c r="BQ86" s="938">
        <f t="shared" si="244"/>
        <v>2.1800000000000002</v>
      </c>
      <c r="BR86" s="938">
        <f t="shared" si="245"/>
        <v>2.04</v>
      </c>
      <c r="BS86" s="938">
        <f t="shared" si="246"/>
        <v>21.54</v>
      </c>
      <c r="BT86" s="938">
        <f t="shared" si="247"/>
        <v>0</v>
      </c>
      <c r="BU86" s="938">
        <f t="shared" si="208"/>
        <v>28.005120000000005</v>
      </c>
      <c r="BV86" s="938">
        <f t="shared" si="248"/>
        <v>0</v>
      </c>
      <c r="BW86" s="938">
        <f t="shared" si="168"/>
        <v>0</v>
      </c>
      <c r="BX86" s="938">
        <f t="shared" si="169"/>
        <v>17.23</v>
      </c>
      <c r="BY86" s="938">
        <f t="shared" si="181"/>
        <v>3.66</v>
      </c>
      <c r="BZ86" s="938">
        <f t="shared" si="209"/>
        <v>0.65</v>
      </c>
      <c r="CA86" s="938">
        <f t="shared" si="249"/>
        <v>0.56999999999999995</v>
      </c>
      <c r="CB86" s="938">
        <f t="shared" si="250"/>
        <v>10.56</v>
      </c>
      <c r="CC86" s="938" t="s">
        <v>2192</v>
      </c>
      <c r="CD86" s="938">
        <f t="shared" si="251"/>
        <v>0</v>
      </c>
      <c r="CE86" s="938">
        <f t="shared" si="252"/>
        <v>0</v>
      </c>
      <c r="CF86" s="938">
        <f t="shared" si="253"/>
        <v>0</v>
      </c>
      <c r="CG86" s="938">
        <f t="shared" si="254"/>
        <v>0</v>
      </c>
      <c r="CH86" s="938">
        <v>0.3</v>
      </c>
      <c r="CI86" s="938">
        <f t="shared" si="255"/>
        <v>0</v>
      </c>
      <c r="CJ86" s="938">
        <f t="shared" si="256"/>
        <v>0</v>
      </c>
      <c r="CK86" s="938">
        <f t="shared" si="257"/>
        <v>19.91</v>
      </c>
      <c r="CL86" s="938">
        <f t="shared" si="258"/>
        <v>0.1</v>
      </c>
      <c r="CM86" s="938">
        <f t="shared" si="259"/>
        <v>1.06</v>
      </c>
      <c r="CN86" s="938">
        <f t="shared" si="193"/>
        <v>5.78</v>
      </c>
      <c r="CO86" s="938">
        <f t="shared" si="194"/>
        <v>14.13</v>
      </c>
      <c r="CP86" s="938">
        <f t="shared" si="260"/>
        <v>7.41</v>
      </c>
      <c r="CQ86" s="936"/>
      <c r="CS86" s="895">
        <f t="shared" si="196"/>
        <v>8</v>
      </c>
      <c r="CT86" s="701">
        <f t="shared" si="197"/>
        <v>200</v>
      </c>
      <c r="CU86" s="895">
        <v>1</v>
      </c>
      <c r="CV86" s="938">
        <v>38.299999999999997</v>
      </c>
      <c r="CW86" s="938">
        <f t="shared" si="210"/>
        <v>38.299999999999997</v>
      </c>
      <c r="CX86" s="938">
        <f t="shared" si="198"/>
        <v>0.6</v>
      </c>
      <c r="CY86" s="938">
        <f t="shared" si="211"/>
        <v>1.52</v>
      </c>
      <c r="CZ86" s="938">
        <f t="shared" si="212"/>
        <v>34.93</v>
      </c>
      <c r="DA86" s="938">
        <f t="shared" si="213"/>
        <v>58.22</v>
      </c>
      <c r="DB86" s="938">
        <f t="shared" si="214"/>
        <v>0</v>
      </c>
      <c r="DC86" s="938">
        <f t="shared" si="215"/>
        <v>0</v>
      </c>
      <c r="DD86" s="938">
        <f t="shared" si="216"/>
        <v>0.7</v>
      </c>
      <c r="DE86" s="938">
        <f t="shared" si="217"/>
        <v>22.98</v>
      </c>
      <c r="DF86" s="938" t="str">
        <f t="shared" si="218"/>
        <v>D</v>
      </c>
      <c r="DG86" s="938">
        <f t="shared" si="219"/>
        <v>0</v>
      </c>
      <c r="DH86" s="938">
        <f t="shared" si="220"/>
        <v>0</v>
      </c>
      <c r="DI86" s="938">
        <f t="shared" si="221"/>
        <v>0</v>
      </c>
      <c r="DJ86" s="938">
        <f t="shared" si="222"/>
        <v>0</v>
      </c>
      <c r="DK86" s="938">
        <v>21.3</v>
      </c>
      <c r="DL86" s="938">
        <f t="shared" si="223"/>
        <v>0</v>
      </c>
      <c r="DM86" s="938">
        <f t="shared" si="224"/>
        <v>0</v>
      </c>
      <c r="DN86" s="938">
        <f t="shared" si="225"/>
        <v>31.93</v>
      </c>
      <c r="DO86" s="938">
        <f t="shared" si="226"/>
        <v>0.1</v>
      </c>
      <c r="DP86" s="938">
        <f t="shared" si="227"/>
        <v>2.298</v>
      </c>
      <c r="DQ86" s="938">
        <f t="shared" si="228"/>
        <v>6.39</v>
      </c>
      <c r="DR86" s="938">
        <f t="shared" si="229"/>
        <v>25.54</v>
      </c>
      <c r="DS86" s="938">
        <f t="shared" si="230"/>
        <v>8.69</v>
      </c>
      <c r="DU86" s="937" t="str">
        <f t="shared" si="199"/>
        <v>PZ-70</v>
      </c>
      <c r="DV86" s="938">
        <f t="shared" si="268"/>
        <v>1.9</v>
      </c>
      <c r="DW86" s="938">
        <v>1.2</v>
      </c>
      <c r="DX86" s="938">
        <v>1.6</v>
      </c>
      <c r="DY86" s="938">
        <f t="shared" si="269"/>
        <v>-3.8201766667651884</v>
      </c>
      <c r="DZ86" s="938">
        <v>1.6</v>
      </c>
      <c r="EA86" s="938">
        <v>1.6</v>
      </c>
      <c r="EB86" s="938">
        <f t="shared" si="270"/>
        <v>4.8640000000000008</v>
      </c>
      <c r="EC86" s="938">
        <f t="shared" si="271"/>
        <v>1.0438233332348124</v>
      </c>
      <c r="ED86" s="938">
        <f t="shared" si="272"/>
        <v>0.5741028332791468</v>
      </c>
      <c r="EE86" s="938">
        <f t="shared" si="273"/>
        <v>0.46972049995566556</v>
      </c>
      <c r="EF86" s="938">
        <f t="shared" si="274"/>
        <v>0.5741028332791468</v>
      </c>
    </row>
    <row r="87" spans="1:136">
      <c r="A87" s="920" t="s">
        <v>2234</v>
      </c>
      <c r="B87" s="920" t="s">
        <v>2235</v>
      </c>
      <c r="C87" s="1294">
        <v>78.668999999999997</v>
      </c>
      <c r="D87" s="921">
        <v>199.57</v>
      </c>
      <c r="E87" s="921">
        <v>278.23899999999998</v>
      </c>
      <c r="F87" s="922">
        <v>1.4999999999999999E-2</v>
      </c>
      <c r="G87" s="923">
        <v>3.48</v>
      </c>
      <c r="H87" s="924">
        <v>3.48E-3</v>
      </c>
      <c r="I87" s="925">
        <v>3.533793489176134E-2</v>
      </c>
      <c r="J87" s="926">
        <v>2.5499999999999998E-2</v>
      </c>
      <c r="K87" s="927">
        <v>7.632575538491132E-2</v>
      </c>
      <c r="L87" s="923">
        <v>3.0049509993939374</v>
      </c>
      <c r="M87" s="928">
        <v>8</v>
      </c>
      <c r="N87" s="927">
        <v>0.2</v>
      </c>
      <c r="O87" s="927">
        <v>0.182</v>
      </c>
      <c r="P87" s="923">
        <v>3.5333809220793683E-2</v>
      </c>
      <c r="Q87" s="923">
        <v>1.3581782986303599</v>
      </c>
      <c r="R87" s="923">
        <v>0.1</v>
      </c>
      <c r="S87" s="927">
        <v>0.54</v>
      </c>
      <c r="T87" s="929">
        <v>0.248</v>
      </c>
      <c r="U87" s="927">
        <v>0.58599999999999997</v>
      </c>
      <c r="V87" s="930">
        <v>0.73341628126039438</v>
      </c>
      <c r="W87" s="927">
        <v>2.7415873680827006E-2</v>
      </c>
      <c r="X87" s="927">
        <v>2.6662999999999999E-2</v>
      </c>
      <c r="Y87" s="927">
        <v>4.5135999999999996E-2</v>
      </c>
      <c r="Z87" s="927">
        <v>7.2551873680826995E-2</v>
      </c>
      <c r="AA87" s="931">
        <v>0.17</v>
      </c>
      <c r="AB87" s="923">
        <v>3.0940000000000002E-2</v>
      </c>
      <c r="AC87" s="923">
        <v>6.6698827649999997</v>
      </c>
      <c r="AD87" s="923">
        <v>1.3312385589719802</v>
      </c>
      <c r="AE87" s="932" t="s">
        <v>2197</v>
      </c>
      <c r="AF87" s="927">
        <v>1.6634685882593304E-2</v>
      </c>
      <c r="AG87" s="924">
        <v>1.6634685882593305E-3</v>
      </c>
      <c r="AH87" s="923">
        <v>3.2967032967032965</v>
      </c>
      <c r="AI87" s="927">
        <v>9.5492653697651787E-4</v>
      </c>
      <c r="AJ87" s="927">
        <v>2.6183951252358485E-3</v>
      </c>
      <c r="AK87" s="933">
        <v>959.14</v>
      </c>
      <c r="AL87" s="933">
        <v>956.36</v>
      </c>
      <c r="AM87" s="930">
        <v>957.13839999999982</v>
      </c>
      <c r="AN87" s="930">
        <v>955.13234049999983</v>
      </c>
      <c r="AO87" s="976">
        <v>956.93839999999977</v>
      </c>
      <c r="AP87" s="934">
        <v>954.93234049999978</v>
      </c>
      <c r="AQ87" s="923">
        <v>956.98353599999973</v>
      </c>
      <c r="AR87" s="923">
        <v>954.97747649999974</v>
      </c>
      <c r="AS87" s="923">
        <v>957.0109518736806</v>
      </c>
      <c r="AT87" s="923">
        <v>955.0048923736806</v>
      </c>
      <c r="AU87" s="923">
        <v>2.0016000000001668</v>
      </c>
      <c r="AV87" s="923">
        <v>1.2276595000001862</v>
      </c>
      <c r="AW87" s="923">
        <v>2.2016000000002123</v>
      </c>
      <c r="AX87" s="923">
        <v>1.4276595000002317</v>
      </c>
      <c r="AY87" s="923">
        <v>1.999999999998181E-2</v>
      </c>
      <c r="AZ87" s="923" t="s">
        <v>2187</v>
      </c>
      <c r="BA87" s="935" t="s">
        <v>2188</v>
      </c>
      <c r="BB87" s="935" t="s">
        <v>2189</v>
      </c>
      <c r="BC87" s="935" t="s">
        <v>2198</v>
      </c>
      <c r="BD87" s="935" t="s">
        <v>2191</v>
      </c>
      <c r="BE87" s="935" t="s">
        <v>2191</v>
      </c>
      <c r="BF87" s="946"/>
      <c r="BH87" s="937"/>
      <c r="BI87" s="894" t="str">
        <f t="shared" si="238"/>
        <v>PZ-71</v>
      </c>
      <c r="BJ87" s="894" t="str">
        <f t="shared" si="238"/>
        <v>PZ-72</v>
      </c>
      <c r="BK87" s="938">
        <f t="shared" si="239"/>
        <v>78.67</v>
      </c>
      <c r="BL87" s="938">
        <f t="shared" si="240"/>
        <v>77.069999999999993</v>
      </c>
      <c r="BM87" s="895">
        <f t="shared" si="241"/>
        <v>8</v>
      </c>
      <c r="BN87" s="938">
        <f t="shared" si="242"/>
        <v>77.47</v>
      </c>
      <c r="BO87" s="700">
        <f t="shared" si="207"/>
        <v>0.6</v>
      </c>
      <c r="BP87" s="938">
        <f t="shared" si="243"/>
        <v>2.2000000000000002</v>
      </c>
      <c r="BQ87" s="938">
        <f t="shared" si="244"/>
        <v>1.43</v>
      </c>
      <c r="BR87" s="938">
        <f t="shared" si="245"/>
        <v>1.92</v>
      </c>
      <c r="BS87" s="938">
        <f t="shared" si="246"/>
        <v>88.78</v>
      </c>
      <c r="BT87" s="938">
        <f t="shared" si="247"/>
        <v>147.97439999999997</v>
      </c>
      <c r="BU87" s="938">
        <f t="shared" si="208"/>
        <v>0</v>
      </c>
      <c r="BV87" s="938">
        <f t="shared" si="248"/>
        <v>0</v>
      </c>
      <c r="BW87" s="938">
        <f t="shared" si="168"/>
        <v>0</v>
      </c>
      <c r="BX87" s="938">
        <f t="shared" si="169"/>
        <v>71.02</v>
      </c>
      <c r="BY87" s="938">
        <f t="shared" si="181"/>
        <v>15.09</v>
      </c>
      <c r="BZ87" s="938">
        <f t="shared" si="209"/>
        <v>2.66</v>
      </c>
      <c r="CA87" s="938">
        <f t="shared" si="249"/>
        <v>2.5</v>
      </c>
      <c r="CB87" s="938">
        <f t="shared" si="250"/>
        <v>46.24</v>
      </c>
      <c r="CC87" s="938" t="s">
        <v>2192</v>
      </c>
      <c r="CD87" s="938">
        <f t="shared" si="251"/>
        <v>0</v>
      </c>
      <c r="CE87" s="938">
        <f t="shared" si="252"/>
        <v>0</v>
      </c>
      <c r="CF87" s="938">
        <f t="shared" si="253"/>
        <v>0</v>
      </c>
      <c r="CG87" s="938">
        <f t="shared" si="254"/>
        <v>0</v>
      </c>
      <c r="CH87" s="938">
        <v>0.3</v>
      </c>
      <c r="CI87" s="938">
        <f t="shared" si="255"/>
        <v>0</v>
      </c>
      <c r="CJ87" s="938">
        <f t="shared" si="256"/>
        <v>0</v>
      </c>
      <c r="CK87" s="938">
        <f t="shared" si="257"/>
        <v>81.66</v>
      </c>
      <c r="CL87" s="938">
        <f t="shared" si="258"/>
        <v>0.1</v>
      </c>
      <c r="CM87" s="938">
        <f t="shared" si="259"/>
        <v>4.62</v>
      </c>
      <c r="CN87" s="938">
        <f t="shared" si="193"/>
        <v>23.72</v>
      </c>
      <c r="CO87" s="938">
        <f t="shared" si="194"/>
        <v>57.94</v>
      </c>
      <c r="CP87" s="938">
        <f t="shared" si="260"/>
        <v>30.84</v>
      </c>
      <c r="CQ87" s="936"/>
      <c r="CS87" s="895">
        <f t="shared" si="196"/>
        <v>8</v>
      </c>
      <c r="CT87" s="701">
        <f t="shared" si="197"/>
        <v>200</v>
      </c>
      <c r="CU87" s="895">
        <v>4</v>
      </c>
      <c r="CV87" s="938">
        <v>9.5500000000000007</v>
      </c>
      <c r="CW87" s="938">
        <f t="shared" si="210"/>
        <v>38.200000000000003</v>
      </c>
      <c r="CX87" s="938">
        <f t="shared" si="198"/>
        <v>0.6</v>
      </c>
      <c r="CY87" s="938">
        <f t="shared" si="211"/>
        <v>1.46</v>
      </c>
      <c r="CZ87" s="938">
        <f t="shared" si="212"/>
        <v>33.46</v>
      </c>
      <c r="DA87" s="938">
        <f t="shared" si="213"/>
        <v>0</v>
      </c>
      <c r="DB87" s="938">
        <f t="shared" si="214"/>
        <v>0</v>
      </c>
      <c r="DC87" s="938">
        <f t="shared" si="215"/>
        <v>0</v>
      </c>
      <c r="DD87" s="938">
        <f t="shared" si="216"/>
        <v>0.7</v>
      </c>
      <c r="DE87" s="938">
        <f t="shared" si="217"/>
        <v>22.92</v>
      </c>
      <c r="DF87" s="938" t="str">
        <f t="shared" si="218"/>
        <v>D</v>
      </c>
      <c r="DG87" s="938">
        <f t="shared" si="219"/>
        <v>0</v>
      </c>
      <c r="DH87" s="938">
        <f t="shared" si="220"/>
        <v>0</v>
      </c>
      <c r="DI87" s="938">
        <f t="shared" si="221"/>
        <v>0</v>
      </c>
      <c r="DJ87" s="938">
        <f t="shared" si="222"/>
        <v>0</v>
      </c>
      <c r="DK87" s="938">
        <v>22.3</v>
      </c>
      <c r="DL87" s="938">
        <f t="shared" si="223"/>
        <v>0</v>
      </c>
      <c r="DM87" s="938">
        <f t="shared" si="224"/>
        <v>0</v>
      </c>
      <c r="DN87" s="938">
        <f t="shared" si="225"/>
        <v>30.47</v>
      </c>
      <c r="DO87" s="938">
        <f t="shared" si="226"/>
        <v>0.1</v>
      </c>
      <c r="DP87" s="938">
        <f t="shared" si="227"/>
        <v>2.2920000000000003</v>
      </c>
      <c r="DQ87" s="938">
        <f t="shared" si="228"/>
        <v>6.09</v>
      </c>
      <c r="DR87" s="938">
        <f t="shared" si="229"/>
        <v>24.38</v>
      </c>
      <c r="DS87" s="938">
        <f t="shared" si="230"/>
        <v>8.3800000000000008</v>
      </c>
      <c r="DU87" s="937" t="str">
        <f t="shared" si="199"/>
        <v>PZ-71</v>
      </c>
      <c r="DV87" s="938">
        <f t="shared" si="268"/>
        <v>2.4000000000000004</v>
      </c>
      <c r="DW87" s="938">
        <v>1.2</v>
      </c>
      <c r="DX87" s="938">
        <v>1.6</v>
      </c>
      <c r="DY87" s="938">
        <f t="shared" si="269"/>
        <v>-4.8254863159139232</v>
      </c>
      <c r="DZ87" s="938">
        <v>1.6</v>
      </c>
      <c r="EA87" s="938">
        <v>1.6</v>
      </c>
      <c r="EB87" s="938">
        <f t="shared" si="270"/>
        <v>6.1440000000000019</v>
      </c>
      <c r="EC87" s="938">
        <f t="shared" si="271"/>
        <v>1.3185136840860787</v>
      </c>
      <c r="ED87" s="938">
        <f t="shared" si="272"/>
        <v>0.72518252624734336</v>
      </c>
      <c r="EE87" s="938">
        <f t="shared" si="273"/>
        <v>0.59333115783873547</v>
      </c>
      <c r="EF87" s="938">
        <f t="shared" si="274"/>
        <v>0.72518252624734336</v>
      </c>
    </row>
    <row r="88" spans="1:136">
      <c r="A88" s="920" t="s">
        <v>2235</v>
      </c>
      <c r="B88" s="920" t="s">
        <v>2238</v>
      </c>
      <c r="C88" s="1294">
        <v>61.857999999999997</v>
      </c>
      <c r="D88" s="921">
        <v>278.23899999999998</v>
      </c>
      <c r="E88" s="921">
        <v>340.09699999999998</v>
      </c>
      <c r="F88" s="922">
        <v>1.4999999999999999E-2</v>
      </c>
      <c r="G88" s="923">
        <v>4.0199999999999996</v>
      </c>
      <c r="H88" s="924">
        <v>4.0199999999999993E-3</v>
      </c>
      <c r="I88" s="925">
        <v>9.457143780917622E-2</v>
      </c>
      <c r="J88" s="926">
        <v>9.4E-2</v>
      </c>
      <c r="K88" s="927">
        <v>6.3085344039200797E-2</v>
      </c>
      <c r="L88" s="923">
        <v>2.4836749621633247</v>
      </c>
      <c r="M88" s="928">
        <v>8</v>
      </c>
      <c r="N88" s="927">
        <v>0.2</v>
      </c>
      <c r="O88" s="927">
        <v>0.182</v>
      </c>
      <c r="P88" s="923">
        <v>6.7839758994449051E-2</v>
      </c>
      <c r="Q88" s="923">
        <v>2.6076579480808326</v>
      </c>
      <c r="R88" s="923">
        <v>0.06</v>
      </c>
      <c r="S88" s="927">
        <v>0.47299999999999998</v>
      </c>
      <c r="T88" s="929">
        <v>0.19600000000000001</v>
      </c>
      <c r="U88" s="927">
        <v>0.48099999999999998</v>
      </c>
      <c r="V88" s="930">
        <v>1.2334222094422338</v>
      </c>
      <c r="W88" s="927">
        <v>7.7539773024738107E-2</v>
      </c>
      <c r="X88" s="927">
        <v>2.1885499999999999E-2</v>
      </c>
      <c r="Y88" s="927">
        <v>3.5672000000000002E-2</v>
      </c>
      <c r="Z88" s="927">
        <v>0.11321177302473812</v>
      </c>
      <c r="AA88" s="931">
        <v>0.128</v>
      </c>
      <c r="AB88" s="923">
        <v>2.3296000000000001E-2</v>
      </c>
      <c r="AC88" s="923">
        <v>20.181494969999999</v>
      </c>
      <c r="AD88" s="923">
        <v>2.5801002552200263</v>
      </c>
      <c r="AE88" s="932" t="s">
        <v>2197</v>
      </c>
      <c r="AF88" s="927">
        <v>5.0123899343911101E-2</v>
      </c>
      <c r="AG88" s="924">
        <v>5.0123899343911104E-3</v>
      </c>
      <c r="AH88" s="923">
        <v>3.2967032967032965</v>
      </c>
      <c r="AI88" s="927">
        <v>2.623891167639128E-3</v>
      </c>
      <c r="AJ88" s="927">
        <v>7.6362811020302384E-3</v>
      </c>
      <c r="AK88" s="933">
        <v>956.36</v>
      </c>
      <c r="AL88" s="933">
        <v>950.51</v>
      </c>
      <c r="AM88" s="930">
        <v>955.11234049999985</v>
      </c>
      <c r="AN88" s="930">
        <v>949.29768849999982</v>
      </c>
      <c r="AO88" s="934">
        <v>954.9123404999998</v>
      </c>
      <c r="AP88" s="934">
        <v>949.09768849999978</v>
      </c>
      <c r="AQ88" s="923">
        <v>954.94801249999978</v>
      </c>
      <c r="AR88" s="923">
        <v>949.13336049999975</v>
      </c>
      <c r="AS88" s="923">
        <v>955.02555227302457</v>
      </c>
      <c r="AT88" s="923">
        <v>949.21090027302455</v>
      </c>
      <c r="AU88" s="923">
        <v>1.247659500000168</v>
      </c>
      <c r="AV88" s="923">
        <v>1.212311500000169</v>
      </c>
      <c r="AW88" s="923">
        <v>1.4476595000002135</v>
      </c>
      <c r="AX88" s="923">
        <v>1.4123115000002144</v>
      </c>
      <c r="AY88" s="923">
        <v>1.999999999998181E-2</v>
      </c>
      <c r="AZ88" s="923" t="s">
        <v>2187</v>
      </c>
      <c r="BA88" s="935" t="s">
        <v>2188</v>
      </c>
      <c r="BB88" s="935" t="s">
        <v>2189</v>
      </c>
      <c r="BC88" s="935" t="s">
        <v>2198</v>
      </c>
      <c r="BD88" s="935" t="s">
        <v>2191</v>
      </c>
      <c r="BE88" s="935" t="s">
        <v>2191</v>
      </c>
      <c r="BF88" s="946"/>
      <c r="BH88" s="937"/>
      <c r="BI88" s="894" t="str">
        <f t="shared" si="238"/>
        <v>PZ-72</v>
      </c>
      <c r="BJ88" s="894" t="str">
        <f t="shared" si="238"/>
        <v>PZ-73</v>
      </c>
      <c r="BK88" s="938">
        <f t="shared" si="239"/>
        <v>61.86</v>
      </c>
      <c r="BL88" s="938">
        <f t="shared" si="240"/>
        <v>60.26</v>
      </c>
      <c r="BM88" s="895">
        <f t="shared" si="241"/>
        <v>8</v>
      </c>
      <c r="BN88" s="938">
        <f t="shared" si="242"/>
        <v>60.66</v>
      </c>
      <c r="BO88" s="700">
        <f t="shared" si="207"/>
        <v>0.6</v>
      </c>
      <c r="BP88" s="938">
        <f t="shared" si="243"/>
        <v>1.45</v>
      </c>
      <c r="BQ88" s="938">
        <f t="shared" si="244"/>
        <v>1.41</v>
      </c>
      <c r="BR88" s="938">
        <f t="shared" si="245"/>
        <v>1.53</v>
      </c>
      <c r="BS88" s="938">
        <f t="shared" si="246"/>
        <v>55.32</v>
      </c>
      <c r="BT88" s="938">
        <f t="shared" si="247"/>
        <v>92.197800000000001</v>
      </c>
      <c r="BU88" s="938">
        <f t="shared" si="208"/>
        <v>0</v>
      </c>
      <c r="BV88" s="938">
        <f t="shared" si="248"/>
        <v>0</v>
      </c>
      <c r="BW88" s="938">
        <f t="shared" si="168"/>
        <v>0</v>
      </c>
      <c r="BX88" s="938">
        <f t="shared" si="169"/>
        <v>44.26</v>
      </c>
      <c r="BY88" s="938">
        <f t="shared" si="181"/>
        <v>9.4</v>
      </c>
      <c r="BZ88" s="938">
        <f t="shared" si="209"/>
        <v>1.66</v>
      </c>
      <c r="CA88" s="938">
        <f t="shared" si="249"/>
        <v>1.95</v>
      </c>
      <c r="CB88" s="938">
        <f t="shared" si="250"/>
        <v>36.159999999999997</v>
      </c>
      <c r="CC88" s="938" t="s">
        <v>2192</v>
      </c>
      <c r="CD88" s="938">
        <f t="shared" si="251"/>
        <v>0</v>
      </c>
      <c r="CE88" s="938">
        <f t="shared" si="252"/>
        <v>0</v>
      </c>
      <c r="CF88" s="938">
        <f t="shared" si="253"/>
        <v>0</v>
      </c>
      <c r="CG88" s="938">
        <f t="shared" si="254"/>
        <v>0</v>
      </c>
      <c r="CH88" s="938">
        <v>0.3</v>
      </c>
      <c r="CI88" s="938">
        <f t="shared" si="255"/>
        <v>0</v>
      </c>
      <c r="CJ88" s="938">
        <f t="shared" si="256"/>
        <v>0</v>
      </c>
      <c r="CK88" s="938">
        <f t="shared" si="257"/>
        <v>49.75</v>
      </c>
      <c r="CL88" s="938">
        <f t="shared" si="258"/>
        <v>0.1</v>
      </c>
      <c r="CM88" s="938">
        <f t="shared" si="259"/>
        <v>3.62</v>
      </c>
      <c r="CN88" s="938">
        <f t="shared" si="193"/>
        <v>14.45</v>
      </c>
      <c r="CO88" s="938">
        <f t="shared" si="194"/>
        <v>35.299999999999997</v>
      </c>
      <c r="CP88" s="938">
        <f t="shared" si="260"/>
        <v>20.02</v>
      </c>
      <c r="CQ88" s="936"/>
      <c r="CS88" s="895">
        <f t="shared" si="196"/>
        <v>8</v>
      </c>
      <c r="CT88" s="701">
        <f t="shared" si="197"/>
        <v>200</v>
      </c>
      <c r="CU88" s="895">
        <v>1</v>
      </c>
      <c r="CV88" s="938">
        <v>41.55</v>
      </c>
      <c r="CW88" s="938">
        <f t="shared" si="210"/>
        <v>41.55</v>
      </c>
      <c r="CX88" s="938">
        <f t="shared" si="198"/>
        <v>0.6</v>
      </c>
      <c r="CY88" s="938">
        <f t="shared" si="211"/>
        <v>1.27</v>
      </c>
      <c r="CZ88" s="938">
        <f t="shared" si="212"/>
        <v>31.66</v>
      </c>
      <c r="DA88" s="938">
        <f t="shared" si="213"/>
        <v>0</v>
      </c>
      <c r="DB88" s="938">
        <f t="shared" si="214"/>
        <v>0</v>
      </c>
      <c r="DC88" s="938">
        <f t="shared" si="215"/>
        <v>0</v>
      </c>
      <c r="DD88" s="938">
        <f t="shared" si="216"/>
        <v>0.76</v>
      </c>
      <c r="DE88" s="938">
        <f t="shared" si="217"/>
        <v>24.93</v>
      </c>
      <c r="DF88" s="938" t="str">
        <f t="shared" si="218"/>
        <v>D</v>
      </c>
      <c r="DG88" s="938">
        <f t="shared" si="219"/>
        <v>0</v>
      </c>
      <c r="DH88" s="938">
        <f t="shared" si="220"/>
        <v>0</v>
      </c>
      <c r="DI88" s="938">
        <f t="shared" si="221"/>
        <v>0</v>
      </c>
      <c r="DJ88" s="938">
        <f t="shared" si="222"/>
        <v>0</v>
      </c>
      <c r="DK88" s="938">
        <v>23.3</v>
      </c>
      <c r="DL88" s="938">
        <f t="shared" si="223"/>
        <v>0</v>
      </c>
      <c r="DM88" s="938">
        <f t="shared" si="224"/>
        <v>0</v>
      </c>
      <c r="DN88" s="938">
        <f t="shared" si="225"/>
        <v>28.41</v>
      </c>
      <c r="DO88" s="938">
        <f t="shared" si="226"/>
        <v>0.1</v>
      </c>
      <c r="DP88" s="938">
        <f t="shared" si="227"/>
        <v>2.4930000000000003</v>
      </c>
      <c r="DQ88" s="938">
        <f t="shared" si="228"/>
        <v>5.68</v>
      </c>
      <c r="DR88" s="938">
        <f t="shared" si="229"/>
        <v>22.73</v>
      </c>
      <c r="DS88" s="938">
        <f t="shared" si="230"/>
        <v>8.17</v>
      </c>
      <c r="DU88" s="937" t="str">
        <f t="shared" si="199"/>
        <v>PZ-72</v>
      </c>
      <c r="DV88" s="938">
        <f t="shared" si="268"/>
        <v>1.65</v>
      </c>
      <c r="DW88" s="938">
        <v>1.2</v>
      </c>
      <c r="DX88" s="938">
        <v>1.6</v>
      </c>
      <c r="DY88" s="938">
        <f t="shared" si="269"/>
        <v>-3.3175218421908217</v>
      </c>
      <c r="DZ88" s="938">
        <v>1.6</v>
      </c>
      <c r="EA88" s="938">
        <v>1.6</v>
      </c>
      <c r="EB88" s="938">
        <f t="shared" si="270"/>
        <v>4.2240000000000002</v>
      </c>
      <c r="EC88" s="938">
        <f t="shared" si="271"/>
        <v>0.90647815780917851</v>
      </c>
      <c r="ED88" s="938">
        <f t="shared" si="272"/>
        <v>0.49856298679504824</v>
      </c>
      <c r="EE88" s="938">
        <f t="shared" si="273"/>
        <v>0.40791517101413033</v>
      </c>
      <c r="EF88" s="938">
        <f t="shared" si="274"/>
        <v>0.49856298679504824</v>
      </c>
    </row>
    <row r="89" spans="1:136">
      <c r="A89" s="920" t="s">
        <v>2238</v>
      </c>
      <c r="B89" s="920" t="s">
        <v>2239</v>
      </c>
      <c r="C89" s="1294">
        <v>43.023000000000003</v>
      </c>
      <c r="D89" s="921">
        <v>340.09699999999998</v>
      </c>
      <c r="E89" s="921">
        <v>383.12</v>
      </c>
      <c r="F89" s="922">
        <v>1.4999999999999999E-2</v>
      </c>
      <c r="G89" s="923">
        <v>4.37</v>
      </c>
      <c r="H89" s="924">
        <v>4.3699999999999998E-3</v>
      </c>
      <c r="I89" s="925">
        <v>0.16967668456406931</v>
      </c>
      <c r="J89" s="926">
        <v>0.16900000000000001</v>
      </c>
      <c r="K89" s="927">
        <v>5.8311868822806132E-2</v>
      </c>
      <c r="L89" s="923">
        <v>2.2957428670304285</v>
      </c>
      <c r="M89" s="928">
        <v>8</v>
      </c>
      <c r="N89" s="927">
        <v>0.2</v>
      </c>
      <c r="O89" s="927">
        <v>0.182</v>
      </c>
      <c r="P89" s="923">
        <v>9.0962779398336108E-2</v>
      </c>
      <c r="Q89" s="923">
        <v>3.4964719538140359</v>
      </c>
      <c r="R89" s="923">
        <v>0.05</v>
      </c>
      <c r="S89" s="927">
        <v>0.45300000000000001</v>
      </c>
      <c r="T89" s="929">
        <v>0.182</v>
      </c>
      <c r="U89" s="927">
        <v>0.44900000000000001</v>
      </c>
      <c r="V89" s="930">
        <v>1.5839017950777583</v>
      </c>
      <c r="W89" s="927">
        <v>0.12786671235731625</v>
      </c>
      <c r="X89" s="927">
        <v>2.04295E-2</v>
      </c>
      <c r="Y89" s="927">
        <v>3.3124000000000001E-2</v>
      </c>
      <c r="Z89" s="927">
        <v>0.16099071235731627</v>
      </c>
      <c r="AA89" s="931">
        <v>0.11600000000000001</v>
      </c>
      <c r="AB89" s="923">
        <v>2.1111999999999999E-2</v>
      </c>
      <c r="AC89" s="923">
        <v>33.869863754999997</v>
      </c>
      <c r="AD89" s="923">
        <v>3.4803991883899337</v>
      </c>
      <c r="AE89" s="932" t="s">
        <v>2197</v>
      </c>
      <c r="AF89" s="927">
        <v>5.0326939332578147E-2</v>
      </c>
      <c r="AG89" s="924">
        <v>5.0326939332578152E-3</v>
      </c>
      <c r="AH89" s="923">
        <v>3.2967032967032965</v>
      </c>
      <c r="AI89" s="927">
        <v>5.1351621345513592E-3</v>
      </c>
      <c r="AJ89" s="927">
        <v>1.0167856067809174E-2</v>
      </c>
      <c r="AK89" s="933">
        <v>950.51</v>
      </c>
      <c r="AL89" s="933">
        <v>943.21</v>
      </c>
      <c r="AM89" s="930">
        <v>949.27768849999984</v>
      </c>
      <c r="AN89" s="930">
        <v>942.00680149999982</v>
      </c>
      <c r="AO89" s="934">
        <v>949.07768849999979</v>
      </c>
      <c r="AP89" s="934">
        <v>941.80680149999978</v>
      </c>
      <c r="AQ89" s="923">
        <v>949.11081249999984</v>
      </c>
      <c r="AR89" s="923">
        <v>941.83992549999982</v>
      </c>
      <c r="AS89" s="923">
        <v>949.23867921235706</v>
      </c>
      <c r="AT89" s="923">
        <v>941.96779221235704</v>
      </c>
      <c r="AU89" s="923">
        <v>1.2323115000001508</v>
      </c>
      <c r="AV89" s="923">
        <v>1.2031985000002123</v>
      </c>
      <c r="AW89" s="923">
        <v>1.4323115000001962</v>
      </c>
      <c r="AX89" s="923">
        <v>1.4031985000002578</v>
      </c>
      <c r="AY89" s="923">
        <v>1.999999999998181E-2</v>
      </c>
      <c r="AZ89" s="923" t="s">
        <v>2187</v>
      </c>
      <c r="BA89" s="935" t="s">
        <v>2188</v>
      </c>
      <c r="BB89" s="935" t="s">
        <v>2189</v>
      </c>
      <c r="BC89" s="935" t="s">
        <v>2198</v>
      </c>
      <c r="BD89" s="935" t="s">
        <v>2191</v>
      </c>
      <c r="BE89" s="935" t="s">
        <v>2191</v>
      </c>
      <c r="BF89" s="946"/>
      <c r="BH89" s="937"/>
      <c r="BI89" s="894" t="str">
        <f t="shared" si="238"/>
        <v>PZ-73</v>
      </c>
      <c r="BJ89" s="894" t="str">
        <f t="shared" si="238"/>
        <v>PZ-74</v>
      </c>
      <c r="BK89" s="938">
        <f t="shared" si="239"/>
        <v>43.02</v>
      </c>
      <c r="BL89" s="938">
        <f t="shared" si="240"/>
        <v>41.42</v>
      </c>
      <c r="BM89" s="895">
        <f t="shared" si="241"/>
        <v>8</v>
      </c>
      <c r="BN89" s="938">
        <f t="shared" si="242"/>
        <v>41.82</v>
      </c>
      <c r="BO89" s="700">
        <f t="shared" si="207"/>
        <v>0.6</v>
      </c>
      <c r="BP89" s="938">
        <f t="shared" si="243"/>
        <v>1.43</v>
      </c>
      <c r="BQ89" s="938">
        <f t="shared" si="244"/>
        <v>1.4</v>
      </c>
      <c r="BR89" s="938">
        <f t="shared" si="245"/>
        <v>1.52</v>
      </c>
      <c r="BS89" s="938">
        <f t="shared" si="246"/>
        <v>37.78</v>
      </c>
      <c r="BT89" s="938">
        <f t="shared" si="247"/>
        <v>62.958400000000005</v>
      </c>
      <c r="BU89" s="938">
        <f t="shared" si="208"/>
        <v>0</v>
      </c>
      <c r="BV89" s="938">
        <f t="shared" si="248"/>
        <v>0</v>
      </c>
      <c r="BW89" s="938">
        <f t="shared" si="168"/>
        <v>0</v>
      </c>
      <c r="BX89" s="938">
        <f t="shared" si="169"/>
        <v>30.22</v>
      </c>
      <c r="BY89" s="938">
        <f t="shared" si="181"/>
        <v>6.42</v>
      </c>
      <c r="BZ89" s="938">
        <f t="shared" si="209"/>
        <v>1.1299999999999999</v>
      </c>
      <c r="CA89" s="938">
        <f t="shared" si="249"/>
        <v>1.34</v>
      </c>
      <c r="CB89" s="938">
        <f t="shared" si="250"/>
        <v>24.85</v>
      </c>
      <c r="CC89" s="938" t="s">
        <v>2192</v>
      </c>
      <c r="CD89" s="938">
        <f t="shared" si="251"/>
        <v>0</v>
      </c>
      <c r="CE89" s="938">
        <f t="shared" si="252"/>
        <v>0</v>
      </c>
      <c r="CF89" s="938">
        <f t="shared" si="253"/>
        <v>0</v>
      </c>
      <c r="CG89" s="938">
        <f t="shared" si="254"/>
        <v>0</v>
      </c>
      <c r="CH89" s="938">
        <v>0.3</v>
      </c>
      <c r="CI89" s="938">
        <f t="shared" si="255"/>
        <v>0</v>
      </c>
      <c r="CJ89" s="938">
        <f t="shared" si="256"/>
        <v>0</v>
      </c>
      <c r="CK89" s="938">
        <f t="shared" si="257"/>
        <v>33.950000000000003</v>
      </c>
      <c r="CL89" s="938">
        <f t="shared" si="258"/>
        <v>0.1</v>
      </c>
      <c r="CM89" s="938">
        <f t="shared" si="259"/>
        <v>2.4900000000000002</v>
      </c>
      <c r="CN89" s="938">
        <f t="shared" si="193"/>
        <v>9.86</v>
      </c>
      <c r="CO89" s="938">
        <f t="shared" si="194"/>
        <v>24.09</v>
      </c>
      <c r="CP89" s="938">
        <f t="shared" si="260"/>
        <v>13.69</v>
      </c>
      <c r="CQ89" s="936"/>
      <c r="CS89" s="895">
        <f t="shared" si="196"/>
        <v>8</v>
      </c>
      <c r="CT89" s="701">
        <f t="shared" si="197"/>
        <v>200</v>
      </c>
      <c r="CU89" s="895">
        <v>0</v>
      </c>
      <c r="CV89" s="938">
        <v>0</v>
      </c>
      <c r="CW89" s="938">
        <f t="shared" si="210"/>
        <v>0</v>
      </c>
      <c r="CX89" s="938">
        <f t="shared" si="198"/>
        <v>0.6</v>
      </c>
      <c r="CY89" s="938">
        <f t="shared" si="211"/>
        <v>1.26</v>
      </c>
      <c r="CZ89" s="938">
        <f t="shared" si="212"/>
        <v>0</v>
      </c>
      <c r="DA89" s="938">
        <f t="shared" si="213"/>
        <v>0</v>
      </c>
      <c r="DB89" s="938">
        <f t="shared" si="214"/>
        <v>0</v>
      </c>
      <c r="DC89" s="938">
        <f t="shared" si="215"/>
        <v>0</v>
      </c>
      <c r="DD89" s="938">
        <f t="shared" si="216"/>
        <v>0</v>
      </c>
      <c r="DE89" s="938">
        <f t="shared" si="217"/>
        <v>0</v>
      </c>
      <c r="DF89" s="938" t="str">
        <f t="shared" si="218"/>
        <v>D</v>
      </c>
      <c r="DG89" s="938">
        <f t="shared" si="219"/>
        <v>0</v>
      </c>
      <c r="DH89" s="938">
        <f t="shared" si="220"/>
        <v>0</v>
      </c>
      <c r="DI89" s="938">
        <f t="shared" si="221"/>
        <v>0</v>
      </c>
      <c r="DJ89" s="938">
        <f t="shared" si="222"/>
        <v>0</v>
      </c>
      <c r="DK89" s="938">
        <v>24.3</v>
      </c>
      <c r="DL89" s="938">
        <f t="shared" si="223"/>
        <v>0</v>
      </c>
      <c r="DM89" s="938">
        <f t="shared" si="224"/>
        <v>0</v>
      </c>
      <c r="DN89" s="938">
        <f t="shared" si="225"/>
        <v>0</v>
      </c>
      <c r="DO89" s="938">
        <f t="shared" si="226"/>
        <v>0.1</v>
      </c>
      <c r="DP89" s="938">
        <f t="shared" si="227"/>
        <v>0</v>
      </c>
      <c r="DQ89" s="938">
        <f t="shared" si="228"/>
        <v>0</v>
      </c>
      <c r="DR89" s="938">
        <f t="shared" si="229"/>
        <v>0</v>
      </c>
      <c r="DS89" s="938">
        <f t="shared" si="230"/>
        <v>0</v>
      </c>
      <c r="DU89" s="937" t="str">
        <f t="shared" si="199"/>
        <v>PZ-73</v>
      </c>
      <c r="DV89" s="938">
        <f t="shared" si="268"/>
        <v>1.63</v>
      </c>
      <c r="DW89" s="938">
        <v>1.2</v>
      </c>
      <c r="DX89" s="938">
        <v>1.6</v>
      </c>
      <c r="DY89" s="938">
        <f t="shared" si="269"/>
        <v>-3.2773094562248724</v>
      </c>
      <c r="DZ89" s="938">
        <v>1.6</v>
      </c>
      <c r="EA89" s="938">
        <v>1.6</v>
      </c>
      <c r="EB89" s="938">
        <f t="shared" si="270"/>
        <v>4.1728000000000005</v>
      </c>
      <c r="EC89" s="938">
        <f t="shared" si="271"/>
        <v>0.89549054377512816</v>
      </c>
      <c r="ED89" s="938">
        <f t="shared" si="272"/>
        <v>0.49251979907632054</v>
      </c>
      <c r="EE89" s="938">
        <f t="shared" si="273"/>
        <v>0.40297074469880767</v>
      </c>
      <c r="EF89" s="938">
        <f t="shared" si="274"/>
        <v>0.49251979907632054</v>
      </c>
    </row>
    <row r="90" spans="1:136">
      <c r="A90" s="920" t="s">
        <v>2239</v>
      </c>
      <c r="B90" s="920" t="s">
        <v>2240</v>
      </c>
      <c r="C90" s="1294">
        <v>26.9</v>
      </c>
      <c r="D90" s="921">
        <v>383.12</v>
      </c>
      <c r="E90" s="921">
        <v>410.02</v>
      </c>
      <c r="F90" s="922">
        <v>1.4999999999999999E-2</v>
      </c>
      <c r="G90" s="923">
        <v>4.55</v>
      </c>
      <c r="H90" s="924">
        <v>4.5500000000000002E-3</v>
      </c>
      <c r="I90" s="925">
        <v>0.18698884758364634</v>
      </c>
      <c r="J90" s="926">
        <v>0.187</v>
      </c>
      <c r="K90" s="927">
        <v>5.8088364779753675E-2</v>
      </c>
      <c r="L90" s="923">
        <v>2.2869434952567449</v>
      </c>
      <c r="M90" s="928">
        <v>8</v>
      </c>
      <c r="N90" s="927">
        <v>0.2</v>
      </c>
      <c r="O90" s="927">
        <v>0.182</v>
      </c>
      <c r="P90" s="923">
        <v>9.5684407697269352E-2</v>
      </c>
      <c r="Q90" s="923">
        <v>3.6779642194720568</v>
      </c>
      <c r="R90" s="923">
        <v>0.05</v>
      </c>
      <c r="S90" s="927">
        <v>0.45300000000000001</v>
      </c>
      <c r="T90" s="929">
        <v>0.182</v>
      </c>
      <c r="U90" s="927">
        <v>0.44900000000000001</v>
      </c>
      <c r="V90" s="930">
        <v>1.6661177914208418</v>
      </c>
      <c r="W90" s="927">
        <v>0.14148565213501851</v>
      </c>
      <c r="X90" s="927">
        <v>2.04295E-2</v>
      </c>
      <c r="Y90" s="927">
        <v>3.3124000000000001E-2</v>
      </c>
      <c r="Z90" s="927">
        <v>0.1746096521350185</v>
      </c>
      <c r="AA90" s="931">
        <v>0.11600000000000001</v>
      </c>
      <c r="AB90" s="923">
        <v>2.1111999999999999E-2</v>
      </c>
      <c r="AC90" s="923">
        <v>37.477304865000001</v>
      </c>
      <c r="AD90" s="923">
        <v>3.6610571608945293</v>
      </c>
      <c r="AE90" s="932" t="s">
        <v>2197</v>
      </c>
      <c r="AF90" s="927">
        <v>1.361893977770226E-2</v>
      </c>
      <c r="AG90" s="924">
        <v>1.3618939777702262E-3</v>
      </c>
      <c r="AH90" s="923">
        <v>3.2967032967032965</v>
      </c>
      <c r="AI90" s="927">
        <v>6.7338091123083704E-3</v>
      </c>
      <c r="AJ90" s="927">
        <v>8.0957030900785966E-3</v>
      </c>
      <c r="AK90" s="933">
        <v>943.21</v>
      </c>
      <c r="AL90" s="933">
        <v>938.18</v>
      </c>
      <c r="AM90" s="930">
        <v>941.98680149999984</v>
      </c>
      <c r="AN90" s="930">
        <v>936.95650149999983</v>
      </c>
      <c r="AO90" s="934">
        <v>941.7868014999998</v>
      </c>
      <c r="AP90" s="934">
        <v>936.75650149999979</v>
      </c>
      <c r="AQ90" s="923">
        <v>941.81992549999984</v>
      </c>
      <c r="AR90" s="923">
        <v>936.78962549999983</v>
      </c>
      <c r="AS90" s="923">
        <v>941.96141115213481</v>
      </c>
      <c r="AT90" s="923">
        <v>936.9311111521348</v>
      </c>
      <c r="AU90" s="923">
        <v>1.2231985000001941</v>
      </c>
      <c r="AV90" s="923">
        <v>1.2234985000001188</v>
      </c>
      <c r="AW90" s="923">
        <v>1.4231985000002396</v>
      </c>
      <c r="AX90" s="923">
        <v>1.4234985000001643</v>
      </c>
      <c r="AY90" s="923">
        <v>1.999999999998181E-2</v>
      </c>
      <c r="AZ90" s="923" t="s">
        <v>2187</v>
      </c>
      <c r="BA90" s="935" t="s">
        <v>2188</v>
      </c>
      <c r="BB90" s="935" t="s">
        <v>2189</v>
      </c>
      <c r="BC90" s="935" t="s">
        <v>2198</v>
      </c>
      <c r="BD90" s="935" t="s">
        <v>2191</v>
      </c>
      <c r="BE90" s="935" t="s">
        <v>2191</v>
      </c>
      <c r="BF90" s="946"/>
      <c r="BH90" s="937"/>
      <c r="BI90" s="894" t="str">
        <f t="shared" si="238"/>
        <v>PZ-74</v>
      </c>
      <c r="BJ90" s="894" t="str">
        <f t="shared" si="238"/>
        <v>PZ-75</v>
      </c>
      <c r="BK90" s="938">
        <f t="shared" si="239"/>
        <v>26.9</v>
      </c>
      <c r="BL90" s="938">
        <f t="shared" si="240"/>
        <v>25.3</v>
      </c>
      <c r="BM90" s="895">
        <f t="shared" si="241"/>
        <v>8</v>
      </c>
      <c r="BN90" s="938">
        <f t="shared" si="242"/>
        <v>25.7</v>
      </c>
      <c r="BO90" s="700">
        <f t="shared" si="207"/>
        <v>0.6</v>
      </c>
      <c r="BP90" s="938">
        <f t="shared" si="243"/>
        <v>1.42</v>
      </c>
      <c r="BQ90" s="938">
        <f t="shared" si="244"/>
        <v>1.42</v>
      </c>
      <c r="BR90" s="938">
        <f t="shared" si="245"/>
        <v>1.52</v>
      </c>
      <c r="BS90" s="938">
        <f t="shared" si="246"/>
        <v>23.07</v>
      </c>
      <c r="BT90" s="938">
        <f t="shared" si="247"/>
        <v>38.456000000000003</v>
      </c>
      <c r="BU90" s="938">
        <f t="shared" si="208"/>
        <v>0</v>
      </c>
      <c r="BV90" s="938">
        <f t="shared" si="248"/>
        <v>0</v>
      </c>
      <c r="BW90" s="938">
        <f t="shared" si="168"/>
        <v>0</v>
      </c>
      <c r="BX90" s="938">
        <f t="shared" si="169"/>
        <v>18.46</v>
      </c>
      <c r="BY90" s="938">
        <f t="shared" si="181"/>
        <v>3.92</v>
      </c>
      <c r="BZ90" s="938">
        <f t="shared" si="209"/>
        <v>0.69</v>
      </c>
      <c r="CA90" s="938">
        <f t="shared" si="249"/>
        <v>0.82</v>
      </c>
      <c r="CB90" s="938">
        <f t="shared" si="250"/>
        <v>15.18</v>
      </c>
      <c r="CC90" s="938" t="s">
        <v>2192</v>
      </c>
      <c r="CD90" s="938">
        <f t="shared" si="251"/>
        <v>0</v>
      </c>
      <c r="CE90" s="938">
        <f t="shared" si="252"/>
        <v>0</v>
      </c>
      <c r="CF90" s="938">
        <f t="shared" si="253"/>
        <v>0</v>
      </c>
      <c r="CG90" s="938">
        <f t="shared" si="254"/>
        <v>0</v>
      </c>
      <c r="CH90" s="938">
        <v>0.3</v>
      </c>
      <c r="CI90" s="938">
        <f t="shared" si="255"/>
        <v>0</v>
      </c>
      <c r="CJ90" s="938">
        <f t="shared" si="256"/>
        <v>0</v>
      </c>
      <c r="CK90" s="938">
        <f t="shared" si="257"/>
        <v>20.73</v>
      </c>
      <c r="CL90" s="938">
        <f t="shared" si="258"/>
        <v>0.1</v>
      </c>
      <c r="CM90" s="938">
        <f t="shared" si="259"/>
        <v>1.52</v>
      </c>
      <c r="CN90" s="938">
        <f t="shared" si="193"/>
        <v>6.02</v>
      </c>
      <c r="CO90" s="938">
        <f t="shared" si="194"/>
        <v>14.71</v>
      </c>
      <c r="CP90" s="938">
        <f t="shared" si="260"/>
        <v>8.36</v>
      </c>
      <c r="CQ90" s="936"/>
      <c r="CS90" s="895">
        <f t="shared" si="196"/>
        <v>8</v>
      </c>
      <c r="CT90" s="701">
        <f t="shared" si="197"/>
        <v>200</v>
      </c>
      <c r="CU90" s="895">
        <v>1</v>
      </c>
      <c r="CV90" s="938">
        <v>16.3</v>
      </c>
      <c r="CW90" s="938">
        <f t="shared" si="210"/>
        <v>16.3</v>
      </c>
      <c r="CX90" s="938">
        <f t="shared" si="198"/>
        <v>0.6</v>
      </c>
      <c r="CY90" s="938">
        <f t="shared" si="211"/>
        <v>1.26</v>
      </c>
      <c r="CZ90" s="938">
        <f t="shared" si="212"/>
        <v>12.32</v>
      </c>
      <c r="DA90" s="938">
        <f t="shared" si="213"/>
        <v>0</v>
      </c>
      <c r="DB90" s="938">
        <f t="shared" si="214"/>
        <v>0</v>
      </c>
      <c r="DC90" s="938">
        <f t="shared" si="215"/>
        <v>0</v>
      </c>
      <c r="DD90" s="938">
        <f t="shared" si="216"/>
        <v>0.3</v>
      </c>
      <c r="DE90" s="938">
        <f t="shared" si="217"/>
        <v>9.7799999999999994</v>
      </c>
      <c r="DF90" s="938" t="str">
        <f t="shared" si="218"/>
        <v>D</v>
      </c>
      <c r="DG90" s="938">
        <f t="shared" si="219"/>
        <v>0</v>
      </c>
      <c r="DH90" s="938">
        <f t="shared" si="220"/>
        <v>0</v>
      </c>
      <c r="DI90" s="938">
        <f t="shared" si="221"/>
        <v>0</v>
      </c>
      <c r="DJ90" s="938">
        <f t="shared" si="222"/>
        <v>0</v>
      </c>
      <c r="DK90" s="938">
        <v>25.3</v>
      </c>
      <c r="DL90" s="938">
        <f t="shared" si="223"/>
        <v>0</v>
      </c>
      <c r="DM90" s="938">
        <f t="shared" si="224"/>
        <v>0</v>
      </c>
      <c r="DN90" s="938">
        <f t="shared" si="225"/>
        <v>11.04</v>
      </c>
      <c r="DO90" s="938">
        <f t="shared" si="226"/>
        <v>0.1</v>
      </c>
      <c r="DP90" s="938">
        <f t="shared" si="227"/>
        <v>0.97799999999999998</v>
      </c>
      <c r="DQ90" s="938">
        <f t="shared" si="228"/>
        <v>2.21</v>
      </c>
      <c r="DR90" s="938">
        <f t="shared" si="229"/>
        <v>8.83</v>
      </c>
      <c r="DS90" s="938">
        <f t="shared" si="230"/>
        <v>3.19</v>
      </c>
      <c r="DU90" s="937" t="str">
        <f t="shared" si="199"/>
        <v>PZ-74</v>
      </c>
      <c r="DV90" s="938">
        <f t="shared" si="268"/>
        <v>1.6199999999999999</v>
      </c>
      <c r="DW90" s="938">
        <v>1.2</v>
      </c>
      <c r="DX90" s="938">
        <v>1.6</v>
      </c>
      <c r="DY90" s="938">
        <f t="shared" si="269"/>
        <v>-3.2572032632418977</v>
      </c>
      <c r="DZ90" s="938">
        <v>1.6</v>
      </c>
      <c r="EA90" s="938">
        <v>1.6</v>
      </c>
      <c r="EB90" s="938">
        <f t="shared" si="270"/>
        <v>4.1472000000000007</v>
      </c>
      <c r="EC90" s="938">
        <f t="shared" si="271"/>
        <v>0.88999673675810298</v>
      </c>
      <c r="ED90" s="938">
        <f t="shared" si="272"/>
        <v>0.48949820521695669</v>
      </c>
      <c r="EE90" s="938">
        <f t="shared" si="273"/>
        <v>0.40049853154114634</v>
      </c>
      <c r="EF90" s="938">
        <f t="shared" si="274"/>
        <v>0.48949820521695669</v>
      </c>
    </row>
    <row r="91" spans="1:136">
      <c r="A91" s="920" t="s">
        <v>2240</v>
      </c>
      <c r="B91" s="920" t="s">
        <v>2241</v>
      </c>
      <c r="C91" s="1294">
        <v>55.182000000000002</v>
      </c>
      <c r="D91" s="921">
        <v>410.02</v>
      </c>
      <c r="E91" s="921">
        <v>465.202</v>
      </c>
      <c r="F91" s="922">
        <v>1.4999999999999999E-2</v>
      </c>
      <c r="G91" s="923">
        <v>5.2</v>
      </c>
      <c r="H91" s="924">
        <v>5.1999999999999998E-3</v>
      </c>
      <c r="I91" s="925">
        <v>0.15041136602515229</v>
      </c>
      <c r="J91" s="926">
        <v>0.15</v>
      </c>
      <c r="K91" s="927">
        <v>6.3648668270351011E-2</v>
      </c>
      <c r="L91" s="923">
        <v>2.5058530814998585</v>
      </c>
      <c r="M91" s="928">
        <v>8</v>
      </c>
      <c r="N91" s="927">
        <v>0.2</v>
      </c>
      <c r="O91" s="927">
        <v>0.182</v>
      </c>
      <c r="P91" s="923">
        <v>8.5697075042797416E-2</v>
      </c>
      <c r="Q91" s="923">
        <v>3.2940662256909765</v>
      </c>
      <c r="R91" s="923">
        <v>0.06</v>
      </c>
      <c r="S91" s="927">
        <v>0.47299999999999998</v>
      </c>
      <c r="T91" s="929">
        <v>0.19600000000000001</v>
      </c>
      <c r="U91" s="927">
        <v>0.48099999999999998</v>
      </c>
      <c r="V91" s="930">
        <v>1.5580933247518318</v>
      </c>
      <c r="W91" s="927">
        <v>0.12373368035862471</v>
      </c>
      <c r="X91" s="927">
        <v>2.1885499999999999E-2</v>
      </c>
      <c r="Y91" s="927">
        <v>3.5672000000000002E-2</v>
      </c>
      <c r="Z91" s="927">
        <v>0.15940568035862471</v>
      </c>
      <c r="AA91" s="931">
        <v>0.128</v>
      </c>
      <c r="AB91" s="923">
        <v>2.3296000000000001E-2</v>
      </c>
      <c r="AC91" s="923">
        <v>32.204513249999998</v>
      </c>
      <c r="AD91" s="923">
        <v>3.2592545797166426</v>
      </c>
      <c r="AE91" s="932" t="s">
        <v>2197</v>
      </c>
      <c r="AF91" s="927">
        <v>-1.7751971776393802E-2</v>
      </c>
      <c r="AG91" s="924">
        <v>3.5503943552787605E-3</v>
      </c>
      <c r="AH91" s="923">
        <v>3.2967032967032965</v>
      </c>
      <c r="AI91" s="927">
        <v>6.6304833123410805E-3</v>
      </c>
      <c r="AJ91" s="927">
        <v>1.0180877667619841E-2</v>
      </c>
      <c r="AK91" s="933">
        <v>938.18</v>
      </c>
      <c r="AL91" s="933">
        <v>929.88</v>
      </c>
      <c r="AM91" s="930">
        <v>936.93650149999985</v>
      </c>
      <c r="AN91" s="930">
        <v>928.65920149999988</v>
      </c>
      <c r="AO91" s="977">
        <v>936.7365014999998</v>
      </c>
      <c r="AP91" s="934">
        <v>928.45920149999984</v>
      </c>
      <c r="AQ91" s="923">
        <v>936.77217349999978</v>
      </c>
      <c r="AR91" s="923">
        <v>928.49487349999981</v>
      </c>
      <c r="AS91" s="923">
        <v>936.89590718035845</v>
      </c>
      <c r="AT91" s="923">
        <v>928.61860718035848</v>
      </c>
      <c r="AU91" s="923">
        <v>1.2434985000001006</v>
      </c>
      <c r="AV91" s="923">
        <v>1.2207985000001145</v>
      </c>
      <c r="AW91" s="923">
        <v>1.4434985000001461</v>
      </c>
      <c r="AX91" s="923">
        <v>1.4207985000001599</v>
      </c>
      <c r="AY91" s="923">
        <v>1.999999999998181E-2</v>
      </c>
      <c r="AZ91" s="923" t="s">
        <v>2187</v>
      </c>
      <c r="BA91" s="935" t="s">
        <v>2188</v>
      </c>
      <c r="BB91" s="935" t="s">
        <v>2189</v>
      </c>
      <c r="BC91" s="935" t="s">
        <v>2198</v>
      </c>
      <c r="BD91" s="935" t="s">
        <v>2191</v>
      </c>
      <c r="BE91" s="935" t="s">
        <v>2191</v>
      </c>
      <c r="BF91" s="946"/>
      <c r="BH91" s="937"/>
      <c r="BI91" s="894" t="str">
        <f t="shared" si="238"/>
        <v>PZ-75</v>
      </c>
      <c r="BJ91" s="894" t="str">
        <f t="shared" si="238"/>
        <v>PZ-76</v>
      </c>
      <c r="BK91" s="938">
        <f t="shared" si="239"/>
        <v>55.18</v>
      </c>
      <c r="BL91" s="938">
        <f t="shared" si="240"/>
        <v>53.58</v>
      </c>
      <c r="BM91" s="895">
        <f t="shared" si="241"/>
        <v>8</v>
      </c>
      <c r="BN91" s="938">
        <f t="shared" si="242"/>
        <v>53.98</v>
      </c>
      <c r="BO91" s="700">
        <f t="shared" si="207"/>
        <v>0.6</v>
      </c>
      <c r="BP91" s="938">
        <f t="shared" si="243"/>
        <v>1.44</v>
      </c>
      <c r="BQ91" s="938">
        <f t="shared" si="244"/>
        <v>1.42</v>
      </c>
      <c r="BR91" s="938">
        <f t="shared" si="245"/>
        <v>1.53</v>
      </c>
      <c r="BS91" s="938">
        <f t="shared" si="246"/>
        <v>49.19</v>
      </c>
      <c r="BT91" s="938">
        <f t="shared" si="247"/>
        <v>81.977400000000003</v>
      </c>
      <c r="BU91" s="938">
        <f t="shared" si="208"/>
        <v>0</v>
      </c>
      <c r="BV91" s="938">
        <f t="shared" si="248"/>
        <v>0</v>
      </c>
      <c r="BW91" s="938">
        <f t="shared" si="168"/>
        <v>0</v>
      </c>
      <c r="BX91" s="938">
        <f t="shared" si="169"/>
        <v>39.35</v>
      </c>
      <c r="BY91" s="938">
        <f t="shared" si="181"/>
        <v>8.36</v>
      </c>
      <c r="BZ91" s="938">
        <f t="shared" si="209"/>
        <v>1.48</v>
      </c>
      <c r="CA91" s="938">
        <f t="shared" si="249"/>
        <v>1.74</v>
      </c>
      <c r="CB91" s="938">
        <f t="shared" si="250"/>
        <v>32.15</v>
      </c>
      <c r="CC91" s="938" t="s">
        <v>2192</v>
      </c>
      <c r="CD91" s="938">
        <f t="shared" si="251"/>
        <v>0</v>
      </c>
      <c r="CE91" s="938">
        <f t="shared" si="252"/>
        <v>0</v>
      </c>
      <c r="CF91" s="938">
        <f t="shared" si="253"/>
        <v>0</v>
      </c>
      <c r="CG91" s="938">
        <f t="shared" si="254"/>
        <v>0</v>
      </c>
      <c r="CH91" s="938">
        <v>0.3</v>
      </c>
      <c r="CI91" s="938">
        <f t="shared" si="255"/>
        <v>0</v>
      </c>
      <c r="CJ91" s="938">
        <f t="shared" si="256"/>
        <v>0</v>
      </c>
      <c r="CK91" s="938">
        <f t="shared" si="257"/>
        <v>44.24</v>
      </c>
      <c r="CL91" s="938">
        <f t="shared" si="258"/>
        <v>0.1</v>
      </c>
      <c r="CM91" s="938">
        <f t="shared" si="259"/>
        <v>3.21</v>
      </c>
      <c r="CN91" s="938">
        <f t="shared" si="193"/>
        <v>12.85</v>
      </c>
      <c r="CO91" s="938">
        <f t="shared" si="194"/>
        <v>31.39</v>
      </c>
      <c r="CP91" s="938">
        <f t="shared" si="260"/>
        <v>17.8</v>
      </c>
      <c r="CQ91" s="936"/>
      <c r="CS91" s="895">
        <f t="shared" si="196"/>
        <v>8</v>
      </c>
      <c r="CT91" s="701">
        <f t="shared" si="197"/>
        <v>200</v>
      </c>
      <c r="CU91" s="895">
        <v>2</v>
      </c>
      <c r="CV91" s="938">
        <v>16.649999999999999</v>
      </c>
      <c r="CW91" s="938">
        <f t="shared" si="210"/>
        <v>33.299999999999997</v>
      </c>
      <c r="CX91" s="938">
        <f t="shared" si="198"/>
        <v>0.6</v>
      </c>
      <c r="CY91" s="938">
        <f t="shared" si="211"/>
        <v>1.27</v>
      </c>
      <c r="CZ91" s="938">
        <f t="shared" si="212"/>
        <v>25.37</v>
      </c>
      <c r="DA91" s="938">
        <f t="shared" si="213"/>
        <v>0</v>
      </c>
      <c r="DB91" s="938">
        <f t="shared" si="214"/>
        <v>0</v>
      </c>
      <c r="DC91" s="938">
        <f t="shared" si="215"/>
        <v>0</v>
      </c>
      <c r="DD91" s="938">
        <f t="shared" si="216"/>
        <v>0.61</v>
      </c>
      <c r="DE91" s="938">
        <f t="shared" si="217"/>
        <v>19.98</v>
      </c>
      <c r="DF91" s="938" t="str">
        <f t="shared" si="218"/>
        <v>D</v>
      </c>
      <c r="DG91" s="938">
        <f t="shared" si="219"/>
        <v>0</v>
      </c>
      <c r="DH91" s="938">
        <f t="shared" si="220"/>
        <v>0</v>
      </c>
      <c r="DI91" s="938">
        <f t="shared" si="221"/>
        <v>0</v>
      </c>
      <c r="DJ91" s="938">
        <f t="shared" si="222"/>
        <v>0</v>
      </c>
      <c r="DK91" s="938">
        <v>26.3</v>
      </c>
      <c r="DL91" s="938">
        <f t="shared" si="223"/>
        <v>0</v>
      </c>
      <c r="DM91" s="938">
        <f t="shared" si="224"/>
        <v>0</v>
      </c>
      <c r="DN91" s="938">
        <f t="shared" si="225"/>
        <v>22.76</v>
      </c>
      <c r="DO91" s="938">
        <f t="shared" si="226"/>
        <v>0.1</v>
      </c>
      <c r="DP91" s="938">
        <f t="shared" si="227"/>
        <v>1.9980000000000002</v>
      </c>
      <c r="DQ91" s="938">
        <f t="shared" si="228"/>
        <v>4.55</v>
      </c>
      <c r="DR91" s="938">
        <f t="shared" si="229"/>
        <v>18.21</v>
      </c>
      <c r="DS91" s="938">
        <f t="shared" si="230"/>
        <v>6.55</v>
      </c>
      <c r="DU91" s="937" t="str">
        <f t="shared" si="199"/>
        <v>PZ-75</v>
      </c>
      <c r="DV91" s="938">
        <f t="shared" si="268"/>
        <v>1.64</v>
      </c>
      <c r="DW91" s="938">
        <v>1.2</v>
      </c>
      <c r="DX91" s="938">
        <v>1.6</v>
      </c>
      <c r="DY91" s="938">
        <f t="shared" si="269"/>
        <v>-3.297415649207847</v>
      </c>
      <c r="DZ91" s="938">
        <v>1.6</v>
      </c>
      <c r="EA91" s="938">
        <v>1.6</v>
      </c>
      <c r="EB91" s="938">
        <f t="shared" si="270"/>
        <v>4.1984000000000004</v>
      </c>
      <c r="EC91" s="938">
        <f t="shared" si="271"/>
        <v>0.90098435079215333</v>
      </c>
      <c r="ED91" s="938">
        <f t="shared" si="272"/>
        <v>0.49554139293568439</v>
      </c>
      <c r="EE91" s="938">
        <f t="shared" si="273"/>
        <v>0.405442957856469</v>
      </c>
      <c r="EF91" s="938">
        <f t="shared" si="274"/>
        <v>0.49554139293568439</v>
      </c>
    </row>
    <row r="92" spans="1:136">
      <c r="A92" s="920" t="s">
        <v>2241</v>
      </c>
      <c r="B92" s="920" t="s">
        <v>2242</v>
      </c>
      <c r="C92" s="1294">
        <v>49.253999999999998</v>
      </c>
      <c r="D92" s="921">
        <v>465.202</v>
      </c>
      <c r="E92" s="921">
        <v>514.45600000000002</v>
      </c>
      <c r="F92" s="922">
        <v>1.4999999999999999E-2</v>
      </c>
      <c r="G92" s="923">
        <v>5.46</v>
      </c>
      <c r="H92" s="924">
        <v>5.4599999999999996E-3</v>
      </c>
      <c r="I92" s="925">
        <v>0.14090226174523776</v>
      </c>
      <c r="J92" s="926">
        <v>0.14050000000000001</v>
      </c>
      <c r="K92" s="927">
        <v>6.5624061978538498E-2</v>
      </c>
      <c r="L92" s="923">
        <v>2.5836244873337004</v>
      </c>
      <c r="M92" s="928">
        <v>8</v>
      </c>
      <c r="N92" s="927">
        <v>0.2</v>
      </c>
      <c r="O92" s="927">
        <v>0.182</v>
      </c>
      <c r="P92" s="923">
        <v>8.2938949766687406E-2</v>
      </c>
      <c r="Q92" s="923">
        <v>3.1880480527985959</v>
      </c>
      <c r="R92" s="923">
        <v>7.0000000000000007E-2</v>
      </c>
      <c r="S92" s="927">
        <v>0.49199999999999999</v>
      </c>
      <c r="T92" s="929">
        <v>0.21</v>
      </c>
      <c r="U92" s="927">
        <v>0.51</v>
      </c>
      <c r="V92" s="930">
        <v>1.5685196419769092</v>
      </c>
      <c r="W92" s="927">
        <v>0.12539520220526867</v>
      </c>
      <c r="X92" s="927">
        <v>2.3205E-2</v>
      </c>
      <c r="Y92" s="927">
        <v>3.8219999999999997E-2</v>
      </c>
      <c r="Z92" s="927">
        <v>0.16361520220526868</v>
      </c>
      <c r="AA92" s="931">
        <v>0.14000000000000001</v>
      </c>
      <c r="AB92" s="923">
        <v>2.5480000000000003E-2</v>
      </c>
      <c r="AC92" s="923">
        <v>31.983567525000002</v>
      </c>
      <c r="AD92" s="923">
        <v>3.1372978079448202</v>
      </c>
      <c r="AE92" s="932" t="s">
        <v>2197</v>
      </c>
      <c r="AF92" s="927">
        <v>1.6615218466439624E-3</v>
      </c>
      <c r="AG92" s="924">
        <v>1.6615218466439625E-4</v>
      </c>
      <c r="AH92" s="923">
        <v>3.2967032967032965</v>
      </c>
      <c r="AI92" s="927">
        <v>6.2282220640973345E-3</v>
      </c>
      <c r="AJ92" s="927">
        <v>6.3943742487617304E-3</v>
      </c>
      <c r="AK92" s="933">
        <v>929.88</v>
      </c>
      <c r="AL92" s="933">
        <v>922.94</v>
      </c>
      <c r="AM92" s="930">
        <v>928.6392014999999</v>
      </c>
      <c r="AN92" s="930">
        <v>921.71901449999984</v>
      </c>
      <c r="AO92" s="934">
        <v>928.43920149999985</v>
      </c>
      <c r="AP92" s="934">
        <v>921.5190144999998</v>
      </c>
      <c r="AQ92" s="923">
        <v>928.47742149999988</v>
      </c>
      <c r="AR92" s="923">
        <v>921.55723449999982</v>
      </c>
      <c r="AS92" s="923">
        <v>928.60281670220513</v>
      </c>
      <c r="AT92" s="923">
        <v>921.68262970220508</v>
      </c>
      <c r="AU92" s="923">
        <v>1.2407985000000963</v>
      </c>
      <c r="AV92" s="923">
        <v>1.2209855000002108</v>
      </c>
      <c r="AW92" s="923">
        <v>1.4407985000001418</v>
      </c>
      <c r="AX92" s="923">
        <v>1.4209855000002563</v>
      </c>
      <c r="AY92" s="923">
        <v>1.999999999998181E-2</v>
      </c>
      <c r="AZ92" s="923" t="s">
        <v>2187</v>
      </c>
      <c r="BA92" s="935" t="s">
        <v>2188</v>
      </c>
      <c r="BB92" s="935" t="s">
        <v>2189</v>
      </c>
      <c r="BC92" s="935" t="s">
        <v>2198</v>
      </c>
      <c r="BD92" s="935" t="s">
        <v>2191</v>
      </c>
      <c r="BE92" s="935" t="s">
        <v>2191</v>
      </c>
      <c r="BF92" s="946"/>
      <c r="BH92" s="937"/>
      <c r="BI92" s="894" t="str">
        <f t="shared" si="238"/>
        <v>PZ-76</v>
      </c>
      <c r="BJ92" s="894" t="str">
        <f t="shared" si="238"/>
        <v>PZ-77</v>
      </c>
      <c r="BK92" s="938">
        <f t="shared" si="239"/>
        <v>49.25</v>
      </c>
      <c r="BL92" s="938">
        <f t="shared" si="240"/>
        <v>47.65</v>
      </c>
      <c r="BM92" s="895">
        <f t="shared" si="241"/>
        <v>8</v>
      </c>
      <c r="BN92" s="938">
        <f t="shared" si="242"/>
        <v>48.05</v>
      </c>
      <c r="BO92" s="700">
        <f t="shared" si="207"/>
        <v>0.6</v>
      </c>
      <c r="BP92" s="938">
        <f t="shared" si="243"/>
        <v>1.44</v>
      </c>
      <c r="BQ92" s="938">
        <f t="shared" si="244"/>
        <v>1.42</v>
      </c>
      <c r="BR92" s="938">
        <f t="shared" si="245"/>
        <v>1.53</v>
      </c>
      <c r="BS92" s="938">
        <f t="shared" si="246"/>
        <v>43.74</v>
      </c>
      <c r="BT92" s="938">
        <f t="shared" si="247"/>
        <v>72.904499999999999</v>
      </c>
      <c r="BU92" s="938">
        <f t="shared" si="208"/>
        <v>0</v>
      </c>
      <c r="BV92" s="938">
        <f t="shared" si="248"/>
        <v>0</v>
      </c>
      <c r="BW92" s="938">
        <f t="shared" si="168"/>
        <v>0</v>
      </c>
      <c r="BX92" s="938">
        <f t="shared" si="169"/>
        <v>34.99</v>
      </c>
      <c r="BY92" s="938">
        <f t="shared" si="181"/>
        <v>7.44</v>
      </c>
      <c r="BZ92" s="938">
        <f t="shared" si="209"/>
        <v>1.31</v>
      </c>
      <c r="CA92" s="938">
        <f t="shared" si="249"/>
        <v>1.55</v>
      </c>
      <c r="CB92" s="938">
        <f t="shared" si="250"/>
        <v>28.59</v>
      </c>
      <c r="CC92" s="938" t="s">
        <v>2192</v>
      </c>
      <c r="CD92" s="938">
        <f t="shared" si="251"/>
        <v>0</v>
      </c>
      <c r="CE92" s="938">
        <f t="shared" si="252"/>
        <v>0</v>
      </c>
      <c r="CF92" s="938">
        <f t="shared" si="253"/>
        <v>0</v>
      </c>
      <c r="CG92" s="938">
        <f t="shared" si="254"/>
        <v>0</v>
      </c>
      <c r="CH92" s="938">
        <v>0.3</v>
      </c>
      <c r="CI92" s="938">
        <f t="shared" si="255"/>
        <v>0</v>
      </c>
      <c r="CJ92" s="938">
        <f t="shared" si="256"/>
        <v>0</v>
      </c>
      <c r="CK92" s="938">
        <f t="shared" si="257"/>
        <v>39.33</v>
      </c>
      <c r="CL92" s="938">
        <f t="shared" si="258"/>
        <v>0.1</v>
      </c>
      <c r="CM92" s="938">
        <f t="shared" si="259"/>
        <v>2.86</v>
      </c>
      <c r="CN92" s="938">
        <f t="shared" si="193"/>
        <v>11.43</v>
      </c>
      <c r="CO92" s="938">
        <f t="shared" si="194"/>
        <v>27.9</v>
      </c>
      <c r="CP92" s="938">
        <f t="shared" si="260"/>
        <v>15.84</v>
      </c>
      <c r="CQ92" s="936"/>
      <c r="CS92" s="895">
        <f t="shared" si="196"/>
        <v>8</v>
      </c>
      <c r="CT92" s="701">
        <f t="shared" si="197"/>
        <v>200</v>
      </c>
      <c r="CU92" s="895">
        <v>3</v>
      </c>
      <c r="CV92" s="938">
        <v>30.3</v>
      </c>
      <c r="CW92" s="938">
        <f t="shared" si="210"/>
        <v>90.9</v>
      </c>
      <c r="CX92" s="938">
        <f t="shared" si="198"/>
        <v>0.6</v>
      </c>
      <c r="CY92" s="938">
        <f t="shared" si="211"/>
        <v>1.27</v>
      </c>
      <c r="CZ92" s="938">
        <f t="shared" si="212"/>
        <v>69.27</v>
      </c>
      <c r="DA92" s="938">
        <f t="shared" si="213"/>
        <v>0</v>
      </c>
      <c r="DB92" s="938">
        <f t="shared" si="214"/>
        <v>0</v>
      </c>
      <c r="DC92" s="938">
        <f t="shared" si="215"/>
        <v>0</v>
      </c>
      <c r="DD92" s="938">
        <f t="shared" si="216"/>
        <v>1.66</v>
      </c>
      <c r="DE92" s="938">
        <f t="shared" si="217"/>
        <v>54.54</v>
      </c>
      <c r="DF92" s="938" t="str">
        <f t="shared" si="218"/>
        <v>D</v>
      </c>
      <c r="DG92" s="938">
        <f t="shared" si="219"/>
        <v>0</v>
      </c>
      <c r="DH92" s="938">
        <f t="shared" si="220"/>
        <v>0</v>
      </c>
      <c r="DI92" s="938">
        <f t="shared" si="221"/>
        <v>0</v>
      </c>
      <c r="DJ92" s="938">
        <f t="shared" si="222"/>
        <v>0</v>
      </c>
      <c r="DK92" s="938">
        <v>27.3</v>
      </c>
      <c r="DL92" s="938">
        <f t="shared" si="223"/>
        <v>0</v>
      </c>
      <c r="DM92" s="938">
        <f t="shared" si="224"/>
        <v>0</v>
      </c>
      <c r="DN92" s="938">
        <f t="shared" si="225"/>
        <v>62.16</v>
      </c>
      <c r="DO92" s="938">
        <f t="shared" si="226"/>
        <v>0.1</v>
      </c>
      <c r="DP92" s="938">
        <f t="shared" si="227"/>
        <v>5.4540000000000006</v>
      </c>
      <c r="DQ92" s="938">
        <f t="shared" si="228"/>
        <v>12.43</v>
      </c>
      <c r="DR92" s="938">
        <f t="shared" si="229"/>
        <v>49.73</v>
      </c>
      <c r="DS92" s="938">
        <f t="shared" si="230"/>
        <v>17.88</v>
      </c>
      <c r="DU92" s="937" t="str">
        <f t="shared" si="199"/>
        <v>PZ-76</v>
      </c>
      <c r="DV92" s="938">
        <f t="shared" si="268"/>
        <v>1.64</v>
      </c>
      <c r="DW92" s="938">
        <v>1.2</v>
      </c>
      <c r="DX92" s="938">
        <v>1.6</v>
      </c>
      <c r="DY92" s="938">
        <f t="shared" si="269"/>
        <v>-3.297415649207847</v>
      </c>
      <c r="DZ92" s="938">
        <v>1.6</v>
      </c>
      <c r="EA92" s="938">
        <v>1.6</v>
      </c>
      <c r="EB92" s="938">
        <f t="shared" si="270"/>
        <v>4.1984000000000004</v>
      </c>
      <c r="EC92" s="938">
        <f t="shared" si="271"/>
        <v>0.90098435079215333</v>
      </c>
      <c r="ED92" s="938">
        <f t="shared" si="272"/>
        <v>0.49554139293568439</v>
      </c>
      <c r="EE92" s="938">
        <f t="shared" si="273"/>
        <v>0.405442957856469</v>
      </c>
      <c r="EF92" s="938">
        <f t="shared" si="274"/>
        <v>0.49554139293568439</v>
      </c>
    </row>
    <row r="93" spans="1:136">
      <c r="A93" s="920" t="s">
        <v>2242</v>
      </c>
      <c r="B93" s="920" t="s">
        <v>2243</v>
      </c>
      <c r="C93" s="1294">
        <v>30.734999999999999</v>
      </c>
      <c r="D93" s="921">
        <v>514.45600000000002</v>
      </c>
      <c r="E93" s="921">
        <v>545.19100000000003</v>
      </c>
      <c r="F93" s="922">
        <v>1.4999999999999999E-2</v>
      </c>
      <c r="G93" s="923">
        <v>5.72</v>
      </c>
      <c r="H93" s="924">
        <v>5.7199999999999994E-3</v>
      </c>
      <c r="I93" s="925">
        <v>7.3857166097286334E-2</v>
      </c>
      <c r="J93" s="926">
        <v>7.3999999999999996E-2</v>
      </c>
      <c r="K93" s="927">
        <v>7.5309149308195655E-2</v>
      </c>
      <c r="L93" s="923">
        <v>2.9649271381060793</v>
      </c>
      <c r="M93" s="928">
        <v>8</v>
      </c>
      <c r="N93" s="927">
        <v>0.2</v>
      </c>
      <c r="O93" s="927">
        <v>0.182</v>
      </c>
      <c r="P93" s="923">
        <v>6.0191647352210088E-2</v>
      </c>
      <c r="Q93" s="923">
        <v>2.3136760795231059</v>
      </c>
      <c r="R93" s="923">
        <v>0.1</v>
      </c>
      <c r="S93" s="927">
        <v>0.54</v>
      </c>
      <c r="T93" s="929">
        <v>0.248</v>
      </c>
      <c r="U93" s="927">
        <v>0.58599999999999997</v>
      </c>
      <c r="V93" s="930">
        <v>1.2493850829424773</v>
      </c>
      <c r="W93" s="927">
        <v>7.9559790289458754E-2</v>
      </c>
      <c r="X93" s="927">
        <v>2.6662999999999999E-2</v>
      </c>
      <c r="Y93" s="927">
        <v>4.5135999999999996E-2</v>
      </c>
      <c r="Z93" s="927">
        <v>0.12469579028945875</v>
      </c>
      <c r="AA93" s="931">
        <v>0.17</v>
      </c>
      <c r="AB93" s="923">
        <v>3.0940000000000002E-2</v>
      </c>
      <c r="AC93" s="923">
        <v>19.355738219999999</v>
      </c>
      <c r="AD93" s="923">
        <v>2.267783849247428</v>
      </c>
      <c r="AE93" s="932" t="s">
        <v>2197</v>
      </c>
      <c r="AF93" s="927">
        <v>-4.583541191580992E-2</v>
      </c>
      <c r="AG93" s="924">
        <v>9.1670823831619848E-3</v>
      </c>
      <c r="AH93" s="923">
        <v>3.2967032967032965</v>
      </c>
      <c r="AI93" s="927">
        <v>5.1238748123681862E-3</v>
      </c>
      <c r="AJ93" s="927">
        <v>1.4290957195530172E-2</v>
      </c>
      <c r="AK93" s="933">
        <v>922.94</v>
      </c>
      <c r="AL93" s="933">
        <v>920.67</v>
      </c>
      <c r="AM93" s="930">
        <v>921.69901449999986</v>
      </c>
      <c r="AN93" s="930">
        <v>919.42462449999982</v>
      </c>
      <c r="AO93" s="934">
        <v>921.49901449999982</v>
      </c>
      <c r="AP93" s="934">
        <v>919.22462449999978</v>
      </c>
      <c r="AQ93" s="923">
        <v>921.54415049999977</v>
      </c>
      <c r="AR93" s="923">
        <v>919.26976049999973</v>
      </c>
      <c r="AS93" s="923">
        <v>921.6237102902893</v>
      </c>
      <c r="AT93" s="923">
        <v>919.34932029028926</v>
      </c>
      <c r="AU93" s="923">
        <v>1.2409855000001926</v>
      </c>
      <c r="AV93" s="923">
        <v>1.2453755000001365</v>
      </c>
      <c r="AW93" s="923">
        <v>1.4409855000002381</v>
      </c>
      <c r="AX93" s="923">
        <v>1.445375500000182</v>
      </c>
      <c r="AY93" s="923">
        <v>1.999999999998181E-2</v>
      </c>
      <c r="AZ93" s="923" t="s">
        <v>2187</v>
      </c>
      <c r="BA93" s="935" t="s">
        <v>2188</v>
      </c>
      <c r="BB93" s="935" t="s">
        <v>2189</v>
      </c>
      <c r="BC93" s="935" t="s">
        <v>2198</v>
      </c>
      <c r="BD93" s="935" t="s">
        <v>2191</v>
      </c>
      <c r="BE93" s="935" t="s">
        <v>2191</v>
      </c>
      <c r="BF93" s="946"/>
      <c r="BH93" s="937"/>
      <c r="BI93" s="894" t="str">
        <f t="shared" si="238"/>
        <v>PZ-77</v>
      </c>
      <c r="BJ93" s="894" t="str">
        <f t="shared" si="238"/>
        <v>PZ-78</v>
      </c>
      <c r="BK93" s="938">
        <f t="shared" si="239"/>
        <v>30.74</v>
      </c>
      <c r="BL93" s="938">
        <f t="shared" si="240"/>
        <v>29.14</v>
      </c>
      <c r="BM93" s="895">
        <f t="shared" si="241"/>
        <v>8</v>
      </c>
      <c r="BN93" s="938">
        <f t="shared" si="242"/>
        <v>29.54</v>
      </c>
      <c r="BO93" s="700">
        <f t="shared" si="207"/>
        <v>0.6</v>
      </c>
      <c r="BP93" s="938">
        <f t="shared" si="243"/>
        <v>1.44</v>
      </c>
      <c r="BQ93" s="938">
        <f t="shared" si="244"/>
        <v>1.45</v>
      </c>
      <c r="BR93" s="938">
        <f t="shared" si="245"/>
        <v>1.55</v>
      </c>
      <c r="BS93" s="938">
        <f t="shared" si="246"/>
        <v>27.1</v>
      </c>
      <c r="BT93" s="938">
        <f t="shared" si="247"/>
        <v>45.167000000000002</v>
      </c>
      <c r="BU93" s="938">
        <f t="shared" si="208"/>
        <v>0</v>
      </c>
      <c r="BV93" s="938">
        <f t="shared" si="248"/>
        <v>0</v>
      </c>
      <c r="BW93" s="938">
        <f t="shared" si="168"/>
        <v>0</v>
      </c>
      <c r="BX93" s="938">
        <f t="shared" si="169"/>
        <v>21.68</v>
      </c>
      <c r="BY93" s="938">
        <f t="shared" si="181"/>
        <v>4.6100000000000003</v>
      </c>
      <c r="BZ93" s="938">
        <f t="shared" si="209"/>
        <v>0.81</v>
      </c>
      <c r="CA93" s="938">
        <f t="shared" si="249"/>
        <v>0.94</v>
      </c>
      <c r="CB93" s="938">
        <f t="shared" si="250"/>
        <v>17.48</v>
      </c>
      <c r="CC93" s="938" t="s">
        <v>2192</v>
      </c>
      <c r="CD93" s="938">
        <f t="shared" si="251"/>
        <v>0</v>
      </c>
      <c r="CE93" s="938">
        <f t="shared" si="252"/>
        <v>0</v>
      </c>
      <c r="CF93" s="938">
        <f t="shared" si="253"/>
        <v>0</v>
      </c>
      <c r="CG93" s="938">
        <f t="shared" si="254"/>
        <v>0</v>
      </c>
      <c r="CH93" s="938">
        <v>0.3</v>
      </c>
      <c r="CI93" s="938">
        <f t="shared" si="255"/>
        <v>0</v>
      </c>
      <c r="CJ93" s="938">
        <f t="shared" si="256"/>
        <v>0</v>
      </c>
      <c r="CK93" s="938">
        <f t="shared" si="257"/>
        <v>24.41</v>
      </c>
      <c r="CL93" s="938">
        <f t="shared" si="258"/>
        <v>0.1</v>
      </c>
      <c r="CM93" s="938">
        <f t="shared" si="259"/>
        <v>1.75</v>
      </c>
      <c r="CN93" s="938">
        <f t="shared" si="193"/>
        <v>7.09</v>
      </c>
      <c r="CO93" s="938">
        <f t="shared" si="194"/>
        <v>17.32</v>
      </c>
      <c r="CP93" s="938">
        <f t="shared" si="260"/>
        <v>9.7799999999999994</v>
      </c>
      <c r="CQ93" s="936"/>
      <c r="CS93" s="895">
        <f t="shared" si="196"/>
        <v>8</v>
      </c>
      <c r="CT93" s="701">
        <f t="shared" si="197"/>
        <v>200</v>
      </c>
      <c r="CU93" s="895">
        <v>4</v>
      </c>
      <c r="CV93" s="938">
        <v>16.5</v>
      </c>
      <c r="CW93" s="938">
        <f t="shared" si="210"/>
        <v>66</v>
      </c>
      <c r="CX93" s="938">
        <f t="shared" si="198"/>
        <v>0.6</v>
      </c>
      <c r="CY93" s="938">
        <f t="shared" si="211"/>
        <v>1.28</v>
      </c>
      <c r="CZ93" s="938">
        <f t="shared" si="212"/>
        <v>50.69</v>
      </c>
      <c r="DA93" s="938">
        <f t="shared" si="213"/>
        <v>0</v>
      </c>
      <c r="DB93" s="938">
        <f t="shared" si="214"/>
        <v>0</v>
      </c>
      <c r="DC93" s="938">
        <f t="shared" si="215"/>
        <v>0</v>
      </c>
      <c r="DD93" s="938">
        <f t="shared" si="216"/>
        <v>1.2</v>
      </c>
      <c r="DE93" s="938">
        <f t="shared" si="217"/>
        <v>39.6</v>
      </c>
      <c r="DF93" s="938" t="str">
        <f t="shared" si="218"/>
        <v>D</v>
      </c>
      <c r="DG93" s="938">
        <f t="shared" si="219"/>
        <v>0</v>
      </c>
      <c r="DH93" s="938">
        <f t="shared" si="220"/>
        <v>0</v>
      </c>
      <c r="DI93" s="938">
        <f t="shared" si="221"/>
        <v>0</v>
      </c>
      <c r="DJ93" s="938">
        <f t="shared" si="222"/>
        <v>0</v>
      </c>
      <c r="DK93" s="938">
        <v>28.3</v>
      </c>
      <c r="DL93" s="938">
        <f t="shared" si="223"/>
        <v>0</v>
      </c>
      <c r="DM93" s="938">
        <f t="shared" si="224"/>
        <v>0</v>
      </c>
      <c r="DN93" s="938">
        <f t="shared" si="225"/>
        <v>45.53</v>
      </c>
      <c r="DO93" s="938">
        <f t="shared" si="226"/>
        <v>0.1</v>
      </c>
      <c r="DP93" s="938">
        <f t="shared" si="227"/>
        <v>3.9600000000000004</v>
      </c>
      <c r="DQ93" s="938">
        <f t="shared" si="228"/>
        <v>9.11</v>
      </c>
      <c r="DR93" s="938">
        <f t="shared" si="229"/>
        <v>36.42</v>
      </c>
      <c r="DS93" s="938">
        <f t="shared" si="230"/>
        <v>13.07</v>
      </c>
      <c r="DU93" s="937" t="str">
        <f t="shared" si="199"/>
        <v>PZ-77</v>
      </c>
      <c r="DV93" s="938">
        <f t="shared" si="268"/>
        <v>1.64</v>
      </c>
      <c r="DW93" s="938">
        <v>1.2</v>
      </c>
      <c r="DX93" s="938">
        <v>1.6</v>
      </c>
      <c r="DY93" s="938">
        <f t="shared" si="269"/>
        <v>-3.297415649207847</v>
      </c>
      <c r="DZ93" s="938">
        <v>1.6</v>
      </c>
      <c r="EA93" s="938">
        <v>1.6</v>
      </c>
      <c r="EB93" s="938">
        <f t="shared" si="270"/>
        <v>4.1984000000000004</v>
      </c>
      <c r="EC93" s="938">
        <f t="shared" si="271"/>
        <v>0.90098435079215333</v>
      </c>
      <c r="ED93" s="938">
        <f t="shared" si="272"/>
        <v>0.49554139293568439</v>
      </c>
      <c r="EE93" s="938">
        <f t="shared" si="273"/>
        <v>0.405442957856469</v>
      </c>
      <c r="EF93" s="938">
        <f t="shared" si="274"/>
        <v>0.49554139293568439</v>
      </c>
    </row>
    <row r="94" spans="1:136">
      <c r="A94" s="920" t="s">
        <v>2243</v>
      </c>
      <c r="B94" s="920" t="s">
        <v>2244</v>
      </c>
      <c r="C94" s="1294">
        <v>65.77</v>
      </c>
      <c r="D94" s="921">
        <v>545.19100000000003</v>
      </c>
      <c r="E94" s="921">
        <v>610.96100000000001</v>
      </c>
      <c r="F94" s="922">
        <v>1.4999999999999999E-2</v>
      </c>
      <c r="G94" s="923">
        <v>6.28</v>
      </c>
      <c r="H94" s="924">
        <v>6.28E-3</v>
      </c>
      <c r="I94" s="925">
        <v>1.1859510415082451E-2</v>
      </c>
      <c r="J94" s="926">
        <v>1.0999999999999999E-2</v>
      </c>
      <c r="K94" s="927">
        <v>0.11150103954897392</v>
      </c>
      <c r="L94" s="923">
        <v>4.3898047066349566</v>
      </c>
      <c r="M94" s="928">
        <v>8</v>
      </c>
      <c r="N94" s="927">
        <v>0.2</v>
      </c>
      <c r="O94" s="927">
        <v>0.182</v>
      </c>
      <c r="P94" s="923">
        <v>2.3206877627088535E-2</v>
      </c>
      <c r="Q94" s="923">
        <v>0.89203735083092384</v>
      </c>
      <c r="R94" s="923">
        <v>0.27</v>
      </c>
      <c r="S94" s="927">
        <v>0.70599999999999996</v>
      </c>
      <c r="T94" s="929">
        <v>0.4</v>
      </c>
      <c r="U94" s="927">
        <v>0.86</v>
      </c>
      <c r="V94" s="930">
        <v>0.62977836968663214</v>
      </c>
      <c r="W94" s="927">
        <v>2.0215127162342115E-2</v>
      </c>
      <c r="X94" s="927">
        <v>3.9129999999999998E-2</v>
      </c>
      <c r="Y94" s="927">
        <v>7.2800000000000004E-2</v>
      </c>
      <c r="Z94" s="927">
        <v>9.3015127162342115E-2</v>
      </c>
      <c r="AA94" s="931">
        <v>0.3</v>
      </c>
      <c r="AB94" s="923">
        <v>5.4599999999999996E-2</v>
      </c>
      <c r="AC94" s="923">
        <v>4.2225182999999999</v>
      </c>
      <c r="AD94" s="923">
        <v>0.86051196879383396</v>
      </c>
      <c r="AE94" s="932" t="s">
        <v>2186</v>
      </c>
      <c r="AF94" s="927">
        <v>-5.9344663127116642E-2</v>
      </c>
      <c r="AG94" s="924">
        <v>1.186893262542333E-2</v>
      </c>
      <c r="AH94" s="923">
        <v>3.2967032967032965</v>
      </c>
      <c r="AI94" s="927">
        <v>2.4943729362950219E-3</v>
      </c>
      <c r="AJ94" s="927">
        <v>1.4363305561718352E-2</v>
      </c>
      <c r="AK94" s="933">
        <v>920.67</v>
      </c>
      <c r="AL94" s="933">
        <v>919.89</v>
      </c>
      <c r="AM94" s="930">
        <v>919.40462449999984</v>
      </c>
      <c r="AN94" s="930">
        <v>918.68115449999982</v>
      </c>
      <c r="AO94" s="934">
        <v>919.2046244999998</v>
      </c>
      <c r="AP94" s="934">
        <v>918.48115449999977</v>
      </c>
      <c r="AQ94" s="923">
        <v>919.27742449999982</v>
      </c>
      <c r="AR94" s="923">
        <v>918.5539544999998</v>
      </c>
      <c r="AS94" s="923">
        <v>919.29763962716208</v>
      </c>
      <c r="AT94" s="923">
        <v>918.57416962716206</v>
      </c>
      <c r="AU94" s="923">
        <v>1.2653755000001183</v>
      </c>
      <c r="AV94" s="923">
        <v>1.2088455000001659</v>
      </c>
      <c r="AW94" s="923">
        <v>1.4653755000001638</v>
      </c>
      <c r="AX94" s="923">
        <v>1.4088455000002114</v>
      </c>
      <c r="AY94" s="923">
        <v>1.999999999998181E-2</v>
      </c>
      <c r="AZ94" s="923" t="s">
        <v>2187</v>
      </c>
      <c r="BA94" s="935" t="s">
        <v>2188</v>
      </c>
      <c r="BB94" s="935" t="s">
        <v>2189</v>
      </c>
      <c r="BC94" s="935" t="s">
        <v>2190</v>
      </c>
      <c r="BD94" s="935" t="s">
        <v>2191</v>
      </c>
      <c r="BE94" s="935" t="s">
        <v>2191</v>
      </c>
      <c r="BF94" s="946" t="s">
        <v>2365</v>
      </c>
      <c r="BH94" s="937"/>
      <c r="BI94" s="894" t="str">
        <f t="shared" si="238"/>
        <v>PZ-78</v>
      </c>
      <c r="BJ94" s="894" t="str">
        <f t="shared" si="238"/>
        <v>PZ-79</v>
      </c>
      <c r="BK94" s="938">
        <f t="shared" si="239"/>
        <v>65.77</v>
      </c>
      <c r="BL94" s="938">
        <f t="shared" si="240"/>
        <v>64.17</v>
      </c>
      <c r="BM94" s="895">
        <f t="shared" si="241"/>
        <v>8</v>
      </c>
      <c r="BN94" s="938">
        <f t="shared" si="242"/>
        <v>64.569999999999993</v>
      </c>
      <c r="BO94" s="700">
        <f t="shared" si="207"/>
        <v>0.6</v>
      </c>
      <c r="BP94" s="938">
        <f t="shared" si="243"/>
        <v>1.47</v>
      </c>
      <c r="BQ94" s="938">
        <f t="shared" si="244"/>
        <v>1.41</v>
      </c>
      <c r="BR94" s="938">
        <f t="shared" si="245"/>
        <v>1.54</v>
      </c>
      <c r="BS94" s="938">
        <f t="shared" si="246"/>
        <v>59.29</v>
      </c>
      <c r="BT94" s="938">
        <f t="shared" si="247"/>
        <v>98.82180000000001</v>
      </c>
      <c r="BU94" s="938">
        <f t="shared" si="208"/>
        <v>0</v>
      </c>
      <c r="BV94" s="938">
        <f t="shared" si="248"/>
        <v>0</v>
      </c>
      <c r="BW94" s="938">
        <f t="shared" si="168"/>
        <v>0</v>
      </c>
      <c r="BX94" s="938">
        <f t="shared" si="169"/>
        <v>47.43</v>
      </c>
      <c r="BY94" s="938">
        <f t="shared" si="181"/>
        <v>10.08</v>
      </c>
      <c r="BZ94" s="938">
        <f t="shared" si="209"/>
        <v>1.78</v>
      </c>
      <c r="CA94" s="938">
        <f t="shared" si="249"/>
        <v>2.08</v>
      </c>
      <c r="CB94" s="938">
        <f t="shared" si="250"/>
        <v>38.5</v>
      </c>
      <c r="CC94" s="938" t="s">
        <v>2192</v>
      </c>
      <c r="CD94" s="938">
        <f t="shared" si="251"/>
        <v>0</v>
      </c>
      <c r="CE94" s="938">
        <f t="shared" si="252"/>
        <v>0</v>
      </c>
      <c r="CF94" s="938">
        <f t="shared" si="253"/>
        <v>0</v>
      </c>
      <c r="CG94" s="938">
        <f t="shared" si="254"/>
        <v>0</v>
      </c>
      <c r="CH94" s="938">
        <v>0.3</v>
      </c>
      <c r="CI94" s="938">
        <f t="shared" si="255"/>
        <v>0</v>
      </c>
      <c r="CJ94" s="938">
        <f t="shared" si="256"/>
        <v>0</v>
      </c>
      <c r="CK94" s="938">
        <f t="shared" si="257"/>
        <v>53.36</v>
      </c>
      <c r="CL94" s="938">
        <f t="shared" si="258"/>
        <v>0.1</v>
      </c>
      <c r="CM94" s="938">
        <f t="shared" si="259"/>
        <v>3.85</v>
      </c>
      <c r="CN94" s="938">
        <f t="shared" si="193"/>
        <v>15.5</v>
      </c>
      <c r="CO94" s="938">
        <f t="shared" si="194"/>
        <v>37.86</v>
      </c>
      <c r="CP94" s="938">
        <f t="shared" si="260"/>
        <v>21.43</v>
      </c>
      <c r="CQ94" s="936"/>
      <c r="CS94" s="895">
        <f t="shared" si="196"/>
        <v>8</v>
      </c>
      <c r="CT94" s="701">
        <f t="shared" si="197"/>
        <v>200</v>
      </c>
      <c r="CU94" s="895">
        <v>4</v>
      </c>
      <c r="CV94" s="938">
        <v>27.3</v>
      </c>
      <c r="CW94" s="938">
        <f t="shared" si="210"/>
        <v>109.2</v>
      </c>
      <c r="CX94" s="938">
        <f t="shared" si="198"/>
        <v>0.6</v>
      </c>
      <c r="CY94" s="938">
        <f t="shared" si="211"/>
        <v>1.27</v>
      </c>
      <c r="CZ94" s="938">
        <f t="shared" si="212"/>
        <v>83.21</v>
      </c>
      <c r="DA94" s="938">
        <f t="shared" si="213"/>
        <v>0</v>
      </c>
      <c r="DB94" s="938">
        <f t="shared" si="214"/>
        <v>0</v>
      </c>
      <c r="DC94" s="938">
        <f t="shared" si="215"/>
        <v>0</v>
      </c>
      <c r="DD94" s="938">
        <f t="shared" si="216"/>
        <v>1.99</v>
      </c>
      <c r="DE94" s="938">
        <f t="shared" si="217"/>
        <v>65.52</v>
      </c>
      <c r="DF94" s="938" t="str">
        <f t="shared" si="218"/>
        <v>D</v>
      </c>
      <c r="DG94" s="938">
        <f t="shared" si="219"/>
        <v>0</v>
      </c>
      <c r="DH94" s="938">
        <f t="shared" si="220"/>
        <v>0</v>
      </c>
      <c r="DI94" s="938">
        <f t="shared" si="221"/>
        <v>0</v>
      </c>
      <c r="DJ94" s="938">
        <f t="shared" si="222"/>
        <v>0</v>
      </c>
      <c r="DK94" s="938">
        <v>29.3</v>
      </c>
      <c r="DL94" s="938">
        <f t="shared" si="223"/>
        <v>0</v>
      </c>
      <c r="DM94" s="938">
        <f t="shared" si="224"/>
        <v>0</v>
      </c>
      <c r="DN94" s="938">
        <f t="shared" si="225"/>
        <v>74.67</v>
      </c>
      <c r="DO94" s="938">
        <f t="shared" si="226"/>
        <v>0.1</v>
      </c>
      <c r="DP94" s="938">
        <f t="shared" si="227"/>
        <v>6.5519999999999996</v>
      </c>
      <c r="DQ94" s="938">
        <f t="shared" si="228"/>
        <v>14.93</v>
      </c>
      <c r="DR94" s="938">
        <f t="shared" si="229"/>
        <v>59.74</v>
      </c>
      <c r="DS94" s="938">
        <f t="shared" si="230"/>
        <v>21.48</v>
      </c>
      <c r="DU94" s="937" t="str">
        <f t="shared" si="199"/>
        <v>PZ-78</v>
      </c>
      <c r="DV94" s="938">
        <f t="shared" si="268"/>
        <v>1.67</v>
      </c>
      <c r="DW94" s="938">
        <v>1.2</v>
      </c>
      <c r="DX94" s="938">
        <v>1.6</v>
      </c>
      <c r="DY94" s="938">
        <f t="shared" si="269"/>
        <v>-3.357734228156771</v>
      </c>
      <c r="DZ94" s="938">
        <v>1.6</v>
      </c>
      <c r="EA94" s="938">
        <v>1.6</v>
      </c>
      <c r="EB94" s="938">
        <f t="shared" si="270"/>
        <v>4.2752000000000008</v>
      </c>
      <c r="EC94" s="938">
        <f t="shared" si="271"/>
        <v>0.91746577184322975</v>
      </c>
      <c r="ED94" s="938">
        <f t="shared" si="272"/>
        <v>0.50460617451377643</v>
      </c>
      <c r="EE94" s="938">
        <f t="shared" si="273"/>
        <v>0.41285959732945338</v>
      </c>
      <c r="EF94" s="938">
        <f t="shared" si="274"/>
        <v>0.50460617451377643</v>
      </c>
    </row>
    <row r="95" spans="1:136">
      <c r="A95" s="920" t="s">
        <v>2244</v>
      </c>
      <c r="B95" s="920" t="s">
        <v>2245</v>
      </c>
      <c r="C95" s="1294">
        <v>65.790999999999997</v>
      </c>
      <c r="D95" s="921">
        <v>610.96100000000001</v>
      </c>
      <c r="E95" s="921">
        <v>676.75199999999995</v>
      </c>
      <c r="F95" s="922">
        <v>1.4999999999999999E-2</v>
      </c>
      <c r="G95" s="923">
        <v>6.71</v>
      </c>
      <c r="H95" s="924">
        <v>6.7099999999999998E-3</v>
      </c>
      <c r="I95" s="925">
        <v>-3.3439224210002477E-3</v>
      </c>
      <c r="J95" s="926">
        <v>4.0000000000000001E-3</v>
      </c>
      <c r="K95" s="927">
        <v>0.13817830951397764</v>
      </c>
      <c r="L95" s="923">
        <v>5.4400909257253902</v>
      </c>
      <c r="M95" s="928">
        <v>8</v>
      </c>
      <c r="N95" s="927">
        <v>0.2</v>
      </c>
      <c r="O95" s="927">
        <v>0.182</v>
      </c>
      <c r="P95" s="923">
        <v>1.3994273753590169E-2</v>
      </c>
      <c r="Q95" s="923">
        <v>0.53791876212523626</v>
      </c>
      <c r="R95" s="923">
        <v>0.48</v>
      </c>
      <c r="S95" s="927">
        <v>0.84</v>
      </c>
      <c r="T95" s="929">
        <v>0.55000000000000004</v>
      </c>
      <c r="U95" s="927">
        <v>1.0649999999999999</v>
      </c>
      <c r="V95" s="930">
        <v>0.45185176018519846</v>
      </c>
      <c r="W95" s="927">
        <v>1.0406218816639251E-2</v>
      </c>
      <c r="X95" s="927">
        <v>4.8457499999999994E-2</v>
      </c>
      <c r="Y95" s="927">
        <v>0.10010000000000001</v>
      </c>
      <c r="Z95" s="927">
        <v>0.11050621881663926</v>
      </c>
      <c r="AA95" s="931">
        <v>0.443</v>
      </c>
      <c r="AB95" s="923">
        <v>8.0626000000000003E-2</v>
      </c>
      <c r="AC95" s="923">
        <v>1.9014722999999998</v>
      </c>
      <c r="AD95" s="923">
        <v>0.50807042785585244</v>
      </c>
      <c r="AE95" s="932" t="s">
        <v>2186</v>
      </c>
      <c r="AF95" s="927">
        <v>-9.8089083457028638E-3</v>
      </c>
      <c r="AG95" s="924">
        <v>1.9617816691405729E-3</v>
      </c>
      <c r="AH95" s="923">
        <v>3.2967032967032965</v>
      </c>
      <c r="AI95" s="927">
        <v>7.6553364947453415E-4</v>
      </c>
      <c r="AJ95" s="927">
        <v>2.7273153186151071E-3</v>
      </c>
      <c r="AK95" s="933">
        <v>919.89</v>
      </c>
      <c r="AL95" s="933">
        <v>920.11</v>
      </c>
      <c r="AM95" s="930">
        <v>918.66115449999984</v>
      </c>
      <c r="AN95" s="930">
        <v>918.39799049999988</v>
      </c>
      <c r="AO95" s="934">
        <v>918.46115449999979</v>
      </c>
      <c r="AP95" s="934">
        <v>918.19799049999983</v>
      </c>
      <c r="AQ95" s="923">
        <v>918.56125449999979</v>
      </c>
      <c r="AR95" s="923">
        <v>918.29809049999983</v>
      </c>
      <c r="AS95" s="923">
        <v>918.57166071881647</v>
      </c>
      <c r="AT95" s="923">
        <v>918.30849671881651</v>
      </c>
      <c r="AU95" s="923">
        <v>1.2288455000001477</v>
      </c>
      <c r="AV95" s="923">
        <v>1.7120095000001356</v>
      </c>
      <c r="AW95" s="923">
        <v>1.4288455000001932</v>
      </c>
      <c r="AX95" s="923">
        <v>1.9120095000001811</v>
      </c>
      <c r="AY95" s="923">
        <v>4.9999999999954525E-2</v>
      </c>
      <c r="AZ95" s="923" t="s">
        <v>2187</v>
      </c>
      <c r="BA95" s="935" t="s">
        <v>2188</v>
      </c>
      <c r="BB95" s="935" t="s">
        <v>2189</v>
      </c>
      <c r="BC95" s="935" t="s">
        <v>2190</v>
      </c>
      <c r="BD95" s="935" t="s">
        <v>2191</v>
      </c>
      <c r="BE95" s="935" t="s">
        <v>2191</v>
      </c>
      <c r="BF95" s="946"/>
      <c r="BH95" s="937"/>
      <c r="BI95" s="894" t="str">
        <f t="shared" si="238"/>
        <v>PZ-79</v>
      </c>
      <c r="BJ95" s="894" t="str">
        <f t="shared" si="238"/>
        <v>PZ-80</v>
      </c>
      <c r="BK95" s="938">
        <f t="shared" si="239"/>
        <v>65.790000000000006</v>
      </c>
      <c r="BL95" s="938">
        <f t="shared" si="240"/>
        <v>64.19</v>
      </c>
      <c r="BM95" s="895">
        <f t="shared" si="241"/>
        <v>8</v>
      </c>
      <c r="BN95" s="938">
        <f t="shared" si="242"/>
        <v>64.59</v>
      </c>
      <c r="BO95" s="700">
        <f t="shared" si="207"/>
        <v>0.6</v>
      </c>
      <c r="BP95" s="938">
        <f t="shared" si="243"/>
        <v>1.43</v>
      </c>
      <c r="BQ95" s="938">
        <f t="shared" si="244"/>
        <v>1.91</v>
      </c>
      <c r="BR95" s="938">
        <f t="shared" si="245"/>
        <v>1.77</v>
      </c>
      <c r="BS95" s="938">
        <f t="shared" si="246"/>
        <v>68.17</v>
      </c>
      <c r="BT95" s="938">
        <f t="shared" si="247"/>
        <v>113.6163</v>
      </c>
      <c r="BU95" s="938">
        <f t="shared" si="208"/>
        <v>0</v>
      </c>
      <c r="BV95" s="938">
        <f t="shared" si="248"/>
        <v>0</v>
      </c>
      <c r="BW95" s="938">
        <f t="shared" si="168"/>
        <v>0</v>
      </c>
      <c r="BX95" s="938">
        <f t="shared" si="169"/>
        <v>54.54</v>
      </c>
      <c r="BY95" s="938">
        <f t="shared" si="181"/>
        <v>11.59</v>
      </c>
      <c r="BZ95" s="938">
        <f t="shared" si="209"/>
        <v>2.0499999999999998</v>
      </c>
      <c r="CA95" s="938">
        <f t="shared" si="249"/>
        <v>2.08</v>
      </c>
      <c r="CB95" s="938">
        <f t="shared" si="250"/>
        <v>38.51</v>
      </c>
      <c r="CC95" s="938" t="s">
        <v>2192</v>
      </c>
      <c r="CD95" s="938">
        <f t="shared" si="251"/>
        <v>0</v>
      </c>
      <c r="CE95" s="938">
        <f t="shared" si="252"/>
        <v>0</v>
      </c>
      <c r="CF95" s="938">
        <f t="shared" si="253"/>
        <v>0</v>
      </c>
      <c r="CG95" s="938">
        <f t="shared" si="254"/>
        <v>0</v>
      </c>
      <c r="CH95" s="938">
        <v>0.3</v>
      </c>
      <c r="CI95" s="938">
        <f t="shared" si="255"/>
        <v>0</v>
      </c>
      <c r="CJ95" s="938">
        <f t="shared" si="256"/>
        <v>0</v>
      </c>
      <c r="CK95" s="938">
        <f t="shared" si="257"/>
        <v>62.24</v>
      </c>
      <c r="CL95" s="938">
        <f t="shared" si="258"/>
        <v>0.1</v>
      </c>
      <c r="CM95" s="938">
        <f t="shared" si="259"/>
        <v>3.85</v>
      </c>
      <c r="CN95" s="938">
        <f t="shared" si="193"/>
        <v>18.079999999999998</v>
      </c>
      <c r="CO95" s="938">
        <f t="shared" si="194"/>
        <v>44.16</v>
      </c>
      <c r="CP95" s="938">
        <f t="shared" si="260"/>
        <v>24.01</v>
      </c>
      <c r="CQ95" s="936"/>
      <c r="CS95" s="895">
        <f t="shared" si="196"/>
        <v>8</v>
      </c>
      <c r="CT95" s="701">
        <f t="shared" si="197"/>
        <v>200</v>
      </c>
      <c r="CU95" s="895">
        <v>4</v>
      </c>
      <c r="CV95" s="938">
        <v>20.6</v>
      </c>
      <c r="CW95" s="938">
        <f t="shared" si="210"/>
        <v>82.4</v>
      </c>
      <c r="CX95" s="938">
        <f t="shared" si="198"/>
        <v>0.6</v>
      </c>
      <c r="CY95" s="938">
        <f t="shared" si="211"/>
        <v>1.39</v>
      </c>
      <c r="CZ95" s="938">
        <f t="shared" si="212"/>
        <v>68.72</v>
      </c>
      <c r="DA95" s="938">
        <f t="shared" si="213"/>
        <v>0</v>
      </c>
      <c r="DB95" s="938">
        <f t="shared" si="214"/>
        <v>0</v>
      </c>
      <c r="DC95" s="938">
        <f t="shared" si="215"/>
        <v>0</v>
      </c>
      <c r="DD95" s="938">
        <f t="shared" si="216"/>
        <v>1.5</v>
      </c>
      <c r="DE95" s="938">
        <f t="shared" si="217"/>
        <v>49.44</v>
      </c>
      <c r="DF95" s="938" t="str">
        <f t="shared" si="218"/>
        <v>D</v>
      </c>
      <c r="DG95" s="938">
        <f t="shared" si="219"/>
        <v>0</v>
      </c>
      <c r="DH95" s="938">
        <f t="shared" si="220"/>
        <v>0</v>
      </c>
      <c r="DI95" s="938">
        <f t="shared" si="221"/>
        <v>0</v>
      </c>
      <c r="DJ95" s="938">
        <f t="shared" si="222"/>
        <v>0</v>
      </c>
      <c r="DK95" s="938">
        <v>30.3</v>
      </c>
      <c r="DL95" s="938">
        <f t="shared" si="223"/>
        <v>0</v>
      </c>
      <c r="DM95" s="938">
        <f t="shared" si="224"/>
        <v>0</v>
      </c>
      <c r="DN95" s="938">
        <f t="shared" si="225"/>
        <v>62.28</v>
      </c>
      <c r="DO95" s="938">
        <f t="shared" si="226"/>
        <v>0.1</v>
      </c>
      <c r="DP95" s="938">
        <f t="shared" si="227"/>
        <v>4.944</v>
      </c>
      <c r="DQ95" s="938">
        <f t="shared" si="228"/>
        <v>12.46</v>
      </c>
      <c r="DR95" s="938">
        <f t="shared" si="229"/>
        <v>49.82</v>
      </c>
      <c r="DS95" s="938">
        <f t="shared" si="230"/>
        <v>17.399999999999999</v>
      </c>
      <c r="DU95" s="937" t="str">
        <f t="shared" si="199"/>
        <v>PZ-79</v>
      </c>
      <c r="DV95" s="938">
        <f t="shared" si="268"/>
        <v>1.63</v>
      </c>
      <c r="DW95" s="938">
        <v>1.2</v>
      </c>
      <c r="DX95" s="938">
        <v>1.6</v>
      </c>
      <c r="DY95" s="938">
        <f t="shared" si="269"/>
        <v>-3.2773094562248724</v>
      </c>
      <c r="DZ95" s="938">
        <v>1.6</v>
      </c>
      <c r="EA95" s="938">
        <v>1.6</v>
      </c>
      <c r="EB95" s="938">
        <f t="shared" si="270"/>
        <v>4.1728000000000005</v>
      </c>
      <c r="EC95" s="938">
        <f t="shared" si="271"/>
        <v>0.89549054377512816</v>
      </c>
      <c r="ED95" s="938">
        <f t="shared" si="272"/>
        <v>0.49251979907632054</v>
      </c>
      <c r="EE95" s="938">
        <f t="shared" si="273"/>
        <v>0.40297074469880767</v>
      </c>
      <c r="EF95" s="938">
        <f t="shared" si="274"/>
        <v>0.49251979907632054</v>
      </c>
    </row>
    <row r="96" spans="1:136">
      <c r="A96" s="920" t="s">
        <v>2245</v>
      </c>
      <c r="B96" s="920" t="s">
        <v>2246</v>
      </c>
      <c r="C96" s="1294">
        <v>30.178000000000001</v>
      </c>
      <c r="D96" s="921">
        <v>676.75199999999995</v>
      </c>
      <c r="E96" s="921">
        <v>706.93</v>
      </c>
      <c r="F96" s="922">
        <v>1.4999999999999999E-2</v>
      </c>
      <c r="G96" s="923">
        <v>11.96</v>
      </c>
      <c r="H96" s="924">
        <v>1.196E-2</v>
      </c>
      <c r="I96" s="925">
        <v>-3.9432699317381567E-2</v>
      </c>
      <c r="J96" s="926">
        <v>5.0000000000000001E-3</v>
      </c>
      <c r="K96" s="927">
        <v>0.16458774499980641</v>
      </c>
      <c r="L96" s="923">
        <v>6.4798324802814191</v>
      </c>
      <c r="M96" s="928">
        <v>10</v>
      </c>
      <c r="N96" s="927">
        <v>0.25</v>
      </c>
      <c r="O96" s="927">
        <v>0.22700000000000001</v>
      </c>
      <c r="P96" s="923">
        <v>2.8202262872021835E-2</v>
      </c>
      <c r="Q96" s="923">
        <v>0.69685327428815402</v>
      </c>
      <c r="R96" s="923">
        <v>0.42</v>
      </c>
      <c r="S96" s="927">
        <v>0.80600000000000005</v>
      </c>
      <c r="T96" s="929">
        <v>0.51</v>
      </c>
      <c r="U96" s="927">
        <v>1.0209999999999999</v>
      </c>
      <c r="V96" s="930">
        <v>0.56166373907625222</v>
      </c>
      <c r="W96" s="927">
        <v>1.6078805086295427E-2</v>
      </c>
      <c r="X96" s="927">
        <v>5.7941749999999993E-2</v>
      </c>
      <c r="Y96" s="927">
        <v>0.11577000000000001</v>
      </c>
      <c r="Z96" s="927">
        <v>0.13184880508629543</v>
      </c>
      <c r="AA96" s="931">
        <v>0.40200000000000002</v>
      </c>
      <c r="AB96" s="923">
        <v>9.1254000000000002E-2</v>
      </c>
      <c r="AC96" s="923">
        <v>2.8420428375000002</v>
      </c>
      <c r="AD96" s="923">
        <v>0.59363011947472066</v>
      </c>
      <c r="AE96" s="932" t="s">
        <v>2186</v>
      </c>
      <c r="AF96" s="927">
        <v>5.6725862696561762E-3</v>
      </c>
      <c r="AG96" s="924">
        <v>5.6725862696561762E-4</v>
      </c>
      <c r="AH96" s="923">
        <v>2.6431718061674006</v>
      </c>
      <c r="AI96" s="927">
        <v>2.6485023902934682E-3</v>
      </c>
      <c r="AJ96" s="927">
        <v>3.2157610172590858E-3</v>
      </c>
      <c r="AK96" s="933">
        <v>920.11</v>
      </c>
      <c r="AL96" s="933">
        <v>921.3</v>
      </c>
      <c r="AM96" s="930">
        <v>918.39799049999988</v>
      </c>
      <c r="AN96" s="930">
        <v>918.24710049999987</v>
      </c>
      <c r="AO96" s="978">
        <v>918.14799049999988</v>
      </c>
      <c r="AP96" s="934">
        <v>917.99710049999987</v>
      </c>
      <c r="AQ96" s="923">
        <v>918.26376049999988</v>
      </c>
      <c r="AR96" s="923">
        <v>918.11287049999987</v>
      </c>
      <c r="AS96" s="923">
        <v>918.27983930508617</v>
      </c>
      <c r="AT96" s="923">
        <v>918.12894930508617</v>
      </c>
      <c r="AU96" s="923">
        <v>1.7120095000001356</v>
      </c>
      <c r="AV96" s="923">
        <v>3.0528995000000805</v>
      </c>
      <c r="AW96" s="923">
        <v>1.9620095000001356</v>
      </c>
      <c r="AX96" s="923">
        <v>3.3028995000000805</v>
      </c>
      <c r="AY96" s="923">
        <v>1.999999999998181E-2</v>
      </c>
      <c r="AZ96" s="923" t="s">
        <v>2187</v>
      </c>
      <c r="BA96" s="935" t="s">
        <v>2188</v>
      </c>
      <c r="BB96" s="935" t="s">
        <v>2189</v>
      </c>
      <c r="BC96" s="935" t="s">
        <v>2190</v>
      </c>
      <c r="BD96" s="935" t="s">
        <v>2191</v>
      </c>
      <c r="BE96" s="935" t="s">
        <v>2194</v>
      </c>
      <c r="BF96" s="946" t="s">
        <v>2313</v>
      </c>
      <c r="BH96" s="937"/>
      <c r="BI96" s="894" t="str">
        <f t="shared" si="238"/>
        <v>PZ-80</v>
      </c>
      <c r="BJ96" s="894" t="str">
        <f t="shared" si="238"/>
        <v>PZ-81</v>
      </c>
      <c r="BK96" s="938">
        <f t="shared" si="239"/>
        <v>30.18</v>
      </c>
      <c r="BL96" s="938">
        <f t="shared" si="240"/>
        <v>28.58</v>
      </c>
      <c r="BM96" s="895">
        <f t="shared" si="241"/>
        <v>10</v>
      </c>
      <c r="BN96" s="938">
        <f t="shared" si="242"/>
        <v>28.98</v>
      </c>
      <c r="BO96" s="700">
        <f t="shared" si="207"/>
        <v>0.65</v>
      </c>
      <c r="BP96" s="938">
        <f t="shared" si="243"/>
        <v>1.96</v>
      </c>
      <c r="BQ96" s="938">
        <f t="shared" si="244"/>
        <v>3.3</v>
      </c>
      <c r="BR96" s="938">
        <f t="shared" si="245"/>
        <v>2.73</v>
      </c>
      <c r="BS96" s="938">
        <f t="shared" si="246"/>
        <v>50.72</v>
      </c>
      <c r="BT96" s="938">
        <f t="shared" si="247"/>
        <v>0</v>
      </c>
      <c r="BU96" s="938">
        <f t="shared" si="208"/>
        <v>60.858252</v>
      </c>
      <c r="BV96" s="938">
        <f t="shared" si="248"/>
        <v>0</v>
      </c>
      <c r="BW96" s="938">
        <f t="shared" si="168"/>
        <v>0</v>
      </c>
      <c r="BX96" s="938">
        <f t="shared" si="169"/>
        <v>40.58</v>
      </c>
      <c r="BY96" s="938">
        <f t="shared" si="181"/>
        <v>8.6199999999999992</v>
      </c>
      <c r="BZ96" s="938">
        <f t="shared" si="209"/>
        <v>1.52</v>
      </c>
      <c r="CA96" s="938">
        <f t="shared" si="249"/>
        <v>1.45</v>
      </c>
      <c r="CB96" s="938">
        <f t="shared" si="250"/>
        <v>18.579999999999998</v>
      </c>
      <c r="CC96" s="938" t="s">
        <v>2192</v>
      </c>
      <c r="CD96" s="938">
        <f t="shared" si="251"/>
        <v>0</v>
      </c>
      <c r="CE96" s="938">
        <f t="shared" si="252"/>
        <v>0</v>
      </c>
      <c r="CF96" s="938">
        <f t="shared" si="253"/>
        <v>0</v>
      </c>
      <c r="CG96" s="938">
        <f t="shared" si="254"/>
        <v>0</v>
      </c>
      <c r="CH96" s="938">
        <v>0.3</v>
      </c>
      <c r="CI96" s="938">
        <f t="shared" si="255"/>
        <v>0</v>
      </c>
      <c r="CJ96" s="938">
        <f t="shared" si="256"/>
        <v>0</v>
      </c>
      <c r="CK96" s="938">
        <f t="shared" si="257"/>
        <v>47.41</v>
      </c>
      <c r="CL96" s="938">
        <f t="shared" si="258"/>
        <v>0.1</v>
      </c>
      <c r="CM96" s="938">
        <f t="shared" si="259"/>
        <v>1.86</v>
      </c>
      <c r="CN96" s="938">
        <f t="shared" si="193"/>
        <v>13.77</v>
      </c>
      <c r="CO96" s="938">
        <f t="shared" si="194"/>
        <v>33.64</v>
      </c>
      <c r="CP96" s="938">
        <f t="shared" si="260"/>
        <v>17.079999999999998</v>
      </c>
      <c r="CQ96" s="936"/>
      <c r="CS96" s="895">
        <f t="shared" si="196"/>
        <v>10</v>
      </c>
      <c r="CT96" s="701">
        <f t="shared" si="197"/>
        <v>250</v>
      </c>
      <c r="CU96" s="895">
        <v>0</v>
      </c>
      <c r="CV96" s="938">
        <v>0</v>
      </c>
      <c r="CW96" s="938">
        <f t="shared" si="210"/>
        <v>0</v>
      </c>
      <c r="CX96" s="938">
        <f t="shared" si="198"/>
        <v>0.6</v>
      </c>
      <c r="CY96" s="938">
        <f t="shared" si="211"/>
        <v>1.87</v>
      </c>
      <c r="CZ96" s="938">
        <f t="shared" si="212"/>
        <v>0</v>
      </c>
      <c r="DA96" s="938">
        <f t="shared" si="213"/>
        <v>0</v>
      </c>
      <c r="DB96" s="938">
        <f t="shared" si="214"/>
        <v>0</v>
      </c>
      <c r="DC96" s="938">
        <f t="shared" si="215"/>
        <v>0</v>
      </c>
      <c r="DD96" s="938">
        <f t="shared" si="216"/>
        <v>0</v>
      </c>
      <c r="DE96" s="938">
        <f t="shared" si="217"/>
        <v>0</v>
      </c>
      <c r="DF96" s="938" t="str">
        <f t="shared" si="218"/>
        <v>D</v>
      </c>
      <c r="DG96" s="938">
        <f t="shared" si="219"/>
        <v>0</v>
      </c>
      <c r="DH96" s="938">
        <f t="shared" si="220"/>
        <v>0</v>
      </c>
      <c r="DI96" s="938">
        <f t="shared" si="221"/>
        <v>0</v>
      </c>
      <c r="DJ96" s="938">
        <f t="shared" si="222"/>
        <v>0</v>
      </c>
      <c r="DK96" s="938">
        <v>31.3</v>
      </c>
      <c r="DL96" s="938">
        <f t="shared" si="223"/>
        <v>0</v>
      </c>
      <c r="DM96" s="938">
        <f t="shared" si="224"/>
        <v>0</v>
      </c>
      <c r="DN96" s="938">
        <f t="shared" si="225"/>
        <v>0</v>
      </c>
      <c r="DO96" s="938">
        <f t="shared" si="226"/>
        <v>0.1</v>
      </c>
      <c r="DP96" s="938">
        <f t="shared" si="227"/>
        <v>0</v>
      </c>
      <c r="DQ96" s="938">
        <f t="shared" si="228"/>
        <v>0</v>
      </c>
      <c r="DR96" s="938">
        <f t="shared" si="229"/>
        <v>0</v>
      </c>
      <c r="DS96" s="938">
        <f t="shared" si="230"/>
        <v>0</v>
      </c>
      <c r="DU96" s="937" t="str">
        <f t="shared" si="199"/>
        <v>PZ-80</v>
      </c>
      <c r="DV96" s="938">
        <f t="shared" si="268"/>
        <v>2.16</v>
      </c>
      <c r="DW96" s="938">
        <v>1.2</v>
      </c>
      <c r="DX96" s="938">
        <v>1.6</v>
      </c>
      <c r="DY96" s="938">
        <f t="shared" si="269"/>
        <v>-4.3429376843225302</v>
      </c>
      <c r="DZ96" s="938">
        <v>1.6</v>
      </c>
      <c r="EA96" s="938">
        <v>1.6</v>
      </c>
      <c r="EB96" s="938">
        <f t="shared" si="270"/>
        <v>5.5296000000000012</v>
      </c>
      <c r="EC96" s="938">
        <f t="shared" si="271"/>
        <v>1.1866623156774709</v>
      </c>
      <c r="ED96" s="938">
        <f t="shared" si="272"/>
        <v>0.65266427362260904</v>
      </c>
      <c r="EE96" s="938">
        <f t="shared" si="273"/>
        <v>0.5339980420548619</v>
      </c>
      <c r="EF96" s="938">
        <f t="shared" si="274"/>
        <v>0.65266427362260904</v>
      </c>
    </row>
    <row r="97" spans="1:136">
      <c r="A97" s="920" t="s">
        <v>2246</v>
      </c>
      <c r="B97" s="920" t="s">
        <v>2247</v>
      </c>
      <c r="C97" s="1294">
        <v>36.659999999999997</v>
      </c>
      <c r="D97" s="921">
        <v>706.93</v>
      </c>
      <c r="E97" s="921">
        <v>743.58999999999992</v>
      </c>
      <c r="F97" s="922">
        <v>1.4999999999999999E-2</v>
      </c>
      <c r="G97" s="923">
        <v>12.22</v>
      </c>
      <c r="H97" s="924">
        <v>1.222E-2</v>
      </c>
      <c r="I97" s="925">
        <v>3.92798690671015E-2</v>
      </c>
      <c r="J97" s="926">
        <v>5.0000000000000001E-3</v>
      </c>
      <c r="K97" s="927">
        <v>0.16592048361216413</v>
      </c>
      <c r="L97" s="923">
        <v>6.5323025043897811</v>
      </c>
      <c r="M97" s="928">
        <v>10</v>
      </c>
      <c r="N97" s="927">
        <v>0.25</v>
      </c>
      <c r="O97" s="927">
        <v>0.22700000000000001</v>
      </c>
      <c r="P97" s="923">
        <v>2.8202262872021835E-2</v>
      </c>
      <c r="Q97" s="923">
        <v>0.69685327428815402</v>
      </c>
      <c r="R97" s="923">
        <v>0.43</v>
      </c>
      <c r="S97" s="927">
        <v>0.81</v>
      </c>
      <c r="T97" s="929">
        <v>0.51600000000000001</v>
      </c>
      <c r="U97" s="927">
        <v>1.028</v>
      </c>
      <c r="V97" s="930">
        <v>0.5644511521734048</v>
      </c>
      <c r="W97" s="927">
        <v>1.6238792211512955E-2</v>
      </c>
      <c r="X97" s="927">
        <v>5.8339000000000002E-2</v>
      </c>
      <c r="Y97" s="927">
        <v>0.11713200000000001</v>
      </c>
      <c r="Z97" s="927">
        <v>0.13337079221151296</v>
      </c>
      <c r="AA97" s="931">
        <v>0.40799999999999997</v>
      </c>
      <c r="AB97" s="923">
        <v>9.2616000000000004E-2</v>
      </c>
      <c r="AC97" s="923">
        <v>2.8615279500000002</v>
      </c>
      <c r="AD97" s="923">
        <v>0.59217333828795415</v>
      </c>
      <c r="AE97" s="932" t="s">
        <v>2186</v>
      </c>
      <c r="AF97" s="927">
        <v>1.5998712521752764E-4</v>
      </c>
      <c r="AG97" s="924">
        <v>1.5998712521752766E-5</v>
      </c>
      <c r="AH97" s="923">
        <v>2.6431718061674006</v>
      </c>
      <c r="AI97" s="927">
        <v>3.231759729780838E-3</v>
      </c>
      <c r="AJ97" s="927">
        <v>3.2477584423025907E-3</v>
      </c>
      <c r="AK97" s="933">
        <v>921.3</v>
      </c>
      <c r="AL97" s="933">
        <v>919.86</v>
      </c>
      <c r="AM97" s="930">
        <v>918.22710049999989</v>
      </c>
      <c r="AN97" s="930">
        <v>918.04380049999986</v>
      </c>
      <c r="AO97" s="934">
        <v>917.97710049999989</v>
      </c>
      <c r="AP97" s="934">
        <v>917.79380049999986</v>
      </c>
      <c r="AQ97" s="923">
        <v>918.09423249999986</v>
      </c>
      <c r="AR97" s="923">
        <v>917.91093249999983</v>
      </c>
      <c r="AS97" s="923">
        <v>918.1104712922114</v>
      </c>
      <c r="AT97" s="923">
        <v>917.92717129221137</v>
      </c>
      <c r="AU97" s="923">
        <v>3.0728995000000623</v>
      </c>
      <c r="AV97" s="923">
        <v>1.8161995000001525</v>
      </c>
      <c r="AW97" s="923">
        <v>3.3228995000000623</v>
      </c>
      <c r="AX97" s="923">
        <v>2.0661995000001525</v>
      </c>
      <c r="AY97" s="923">
        <v>1.999999999998181E-2</v>
      </c>
      <c r="AZ97" s="923" t="s">
        <v>2187</v>
      </c>
      <c r="BA97" s="935" t="s">
        <v>2188</v>
      </c>
      <c r="BB97" s="935" t="s">
        <v>2189</v>
      </c>
      <c r="BC97" s="935" t="s">
        <v>2190</v>
      </c>
      <c r="BD97" s="935" t="s">
        <v>2194</v>
      </c>
      <c r="BE97" s="935" t="s">
        <v>2191</v>
      </c>
      <c r="BF97" s="946"/>
      <c r="BH97" s="937"/>
      <c r="BI97" s="894" t="str">
        <f t="shared" si="238"/>
        <v>PZ-81</v>
      </c>
      <c r="BJ97" s="894" t="str">
        <f t="shared" si="238"/>
        <v>PZ-82</v>
      </c>
      <c r="BK97" s="938">
        <f t="shared" si="239"/>
        <v>36.659999999999997</v>
      </c>
      <c r="BL97" s="938">
        <f t="shared" si="240"/>
        <v>35.06</v>
      </c>
      <c r="BM97" s="895">
        <f t="shared" si="241"/>
        <v>10</v>
      </c>
      <c r="BN97" s="938">
        <f t="shared" si="242"/>
        <v>35.46</v>
      </c>
      <c r="BO97" s="700">
        <f t="shared" si="207"/>
        <v>0.65</v>
      </c>
      <c r="BP97" s="938">
        <f t="shared" si="243"/>
        <v>3.32</v>
      </c>
      <c r="BQ97" s="938">
        <f t="shared" si="244"/>
        <v>2.0699999999999998</v>
      </c>
      <c r="BR97" s="938">
        <f t="shared" si="245"/>
        <v>2.8</v>
      </c>
      <c r="BS97" s="938">
        <f t="shared" si="246"/>
        <v>63.81</v>
      </c>
      <c r="BT97" s="938">
        <f t="shared" si="247"/>
        <v>0</v>
      </c>
      <c r="BU97" s="938">
        <f t="shared" si="208"/>
        <v>76.571040000000011</v>
      </c>
      <c r="BV97" s="938">
        <f t="shared" si="248"/>
        <v>0</v>
      </c>
      <c r="BW97" s="938">
        <f t="shared" si="168"/>
        <v>0</v>
      </c>
      <c r="BX97" s="938">
        <f t="shared" si="169"/>
        <v>51.05</v>
      </c>
      <c r="BY97" s="938">
        <f t="shared" si="181"/>
        <v>10.85</v>
      </c>
      <c r="BZ97" s="938">
        <f t="shared" si="209"/>
        <v>1.91</v>
      </c>
      <c r="CA97" s="938">
        <f t="shared" si="249"/>
        <v>1.78</v>
      </c>
      <c r="CB97" s="938">
        <f t="shared" si="250"/>
        <v>22.79</v>
      </c>
      <c r="CC97" s="938" t="s">
        <v>2192</v>
      </c>
      <c r="CD97" s="938">
        <f t="shared" si="251"/>
        <v>0</v>
      </c>
      <c r="CE97" s="938">
        <f t="shared" si="252"/>
        <v>0</v>
      </c>
      <c r="CF97" s="938">
        <f t="shared" si="253"/>
        <v>0</v>
      </c>
      <c r="CG97" s="938">
        <f t="shared" si="254"/>
        <v>0</v>
      </c>
      <c r="CH97" s="938">
        <v>0.3</v>
      </c>
      <c r="CI97" s="938">
        <f t="shared" si="255"/>
        <v>0</v>
      </c>
      <c r="CJ97" s="938">
        <f t="shared" si="256"/>
        <v>0</v>
      </c>
      <c r="CK97" s="938">
        <f t="shared" si="257"/>
        <v>59.75</v>
      </c>
      <c r="CL97" s="938">
        <f t="shared" si="258"/>
        <v>0.1</v>
      </c>
      <c r="CM97" s="938">
        <f t="shared" si="259"/>
        <v>2.2799999999999998</v>
      </c>
      <c r="CN97" s="938">
        <f t="shared" si="193"/>
        <v>17.36</v>
      </c>
      <c r="CO97" s="938">
        <f t="shared" si="194"/>
        <v>42.39</v>
      </c>
      <c r="CP97" s="938">
        <f t="shared" si="260"/>
        <v>21.42</v>
      </c>
      <c r="CQ97" s="936"/>
      <c r="CS97" s="895">
        <f t="shared" si="196"/>
        <v>10</v>
      </c>
      <c r="CT97" s="701">
        <f t="shared" si="197"/>
        <v>250</v>
      </c>
      <c r="CU97" s="895">
        <v>2</v>
      </c>
      <c r="CV97" s="938">
        <v>28.5</v>
      </c>
      <c r="CW97" s="938">
        <f t="shared" si="210"/>
        <v>57</v>
      </c>
      <c r="CX97" s="938">
        <f t="shared" si="198"/>
        <v>0.6</v>
      </c>
      <c r="CY97" s="938">
        <f t="shared" si="211"/>
        <v>1.9</v>
      </c>
      <c r="CZ97" s="938">
        <f t="shared" si="212"/>
        <v>64.98</v>
      </c>
      <c r="DA97" s="938">
        <f t="shared" si="213"/>
        <v>108.3</v>
      </c>
      <c r="DB97" s="938">
        <f t="shared" si="214"/>
        <v>0</v>
      </c>
      <c r="DC97" s="938">
        <f t="shared" si="215"/>
        <v>0</v>
      </c>
      <c r="DD97" s="938">
        <f t="shared" si="216"/>
        <v>1.04</v>
      </c>
      <c r="DE97" s="938">
        <f t="shared" si="217"/>
        <v>34.200000000000003</v>
      </c>
      <c r="DF97" s="938" t="str">
        <f t="shared" si="218"/>
        <v>D</v>
      </c>
      <c r="DG97" s="938">
        <f t="shared" si="219"/>
        <v>0</v>
      </c>
      <c r="DH97" s="938">
        <f t="shared" si="220"/>
        <v>0</v>
      </c>
      <c r="DI97" s="938">
        <f t="shared" si="221"/>
        <v>0</v>
      </c>
      <c r="DJ97" s="938">
        <f t="shared" si="222"/>
        <v>0</v>
      </c>
      <c r="DK97" s="938">
        <v>32.299999999999997</v>
      </c>
      <c r="DL97" s="938">
        <f t="shared" si="223"/>
        <v>0</v>
      </c>
      <c r="DM97" s="938">
        <f t="shared" si="224"/>
        <v>0</v>
      </c>
      <c r="DN97" s="938">
        <f t="shared" si="225"/>
        <v>60.52</v>
      </c>
      <c r="DO97" s="938">
        <f t="shared" si="226"/>
        <v>0.1</v>
      </c>
      <c r="DP97" s="938">
        <f t="shared" si="227"/>
        <v>3.4200000000000004</v>
      </c>
      <c r="DQ97" s="938">
        <f t="shared" si="228"/>
        <v>12.1</v>
      </c>
      <c r="DR97" s="938">
        <f t="shared" si="229"/>
        <v>48.42</v>
      </c>
      <c r="DS97" s="938">
        <f t="shared" si="230"/>
        <v>15.52</v>
      </c>
      <c r="DU97" s="937" t="str">
        <f t="shared" si="199"/>
        <v>PZ-81</v>
      </c>
      <c r="DV97" s="938">
        <f t="shared" si="268"/>
        <v>3.52</v>
      </c>
      <c r="DW97" s="938">
        <v>1.2</v>
      </c>
      <c r="DX97" s="938">
        <v>1.6</v>
      </c>
      <c r="DY97" s="938">
        <f t="shared" si="269"/>
        <v>-7.077379930007087</v>
      </c>
      <c r="DZ97" s="938">
        <v>1.6</v>
      </c>
      <c r="EA97" s="938">
        <v>1.6</v>
      </c>
      <c r="EB97" s="938">
        <f t="shared" si="270"/>
        <v>9.0112000000000023</v>
      </c>
      <c r="EC97" s="938">
        <f t="shared" si="271"/>
        <v>1.9338200699929153</v>
      </c>
      <c r="ED97" s="938">
        <f t="shared" si="272"/>
        <v>1.0636010384961034</v>
      </c>
      <c r="EE97" s="938">
        <f t="shared" si="273"/>
        <v>0.8702190314968119</v>
      </c>
      <c r="EF97" s="938">
        <f t="shared" si="274"/>
        <v>1.0636010384961034</v>
      </c>
    </row>
    <row r="98" spans="1:136">
      <c r="A98" s="920" t="s">
        <v>2247</v>
      </c>
      <c r="B98" s="920" t="s">
        <v>2248</v>
      </c>
      <c r="C98" s="1294">
        <v>95.831999999999994</v>
      </c>
      <c r="D98" s="921">
        <v>743.58999999999992</v>
      </c>
      <c r="E98" s="921">
        <v>839.42199999999991</v>
      </c>
      <c r="F98" s="922">
        <v>1.4999999999999999E-2</v>
      </c>
      <c r="G98" s="923">
        <v>12.86</v>
      </c>
      <c r="H98" s="924">
        <v>1.286E-2</v>
      </c>
      <c r="I98" s="925">
        <v>2.1287252692210993E-2</v>
      </c>
      <c r="J98" s="926">
        <v>1.0999999999999999E-2</v>
      </c>
      <c r="K98" s="927">
        <v>0.14588458801257795</v>
      </c>
      <c r="L98" s="923">
        <v>5.7434877170076533</v>
      </c>
      <c r="M98" s="928">
        <v>10</v>
      </c>
      <c r="N98" s="927">
        <v>0.25</v>
      </c>
      <c r="O98" s="927">
        <v>0.22700000000000001</v>
      </c>
      <c r="P98" s="923">
        <v>4.1830715848832502E-2</v>
      </c>
      <c r="Q98" s="923">
        <v>1.0336004397006933</v>
      </c>
      <c r="R98" s="923">
        <v>0.31</v>
      </c>
      <c r="S98" s="927">
        <v>0.73199999999999998</v>
      </c>
      <c r="T98" s="929">
        <v>0.43099999999999999</v>
      </c>
      <c r="U98" s="927">
        <v>0.90700000000000003</v>
      </c>
      <c r="V98" s="930">
        <v>0.75659552186090751</v>
      </c>
      <c r="W98" s="927">
        <v>2.9176186732924513E-2</v>
      </c>
      <c r="X98" s="927">
        <v>5.1472250000000004E-2</v>
      </c>
      <c r="Y98" s="927">
        <v>9.7837000000000007E-2</v>
      </c>
      <c r="Z98" s="927">
        <v>0.12701318673292453</v>
      </c>
      <c r="AA98" s="931">
        <v>0.32800000000000001</v>
      </c>
      <c r="AB98" s="923">
        <v>7.4456000000000008E-2</v>
      </c>
      <c r="AC98" s="923">
        <v>5.5543704975000008</v>
      </c>
      <c r="AD98" s="923">
        <v>0.88527747122374889</v>
      </c>
      <c r="AE98" s="932" t="s">
        <v>2186</v>
      </c>
      <c r="AF98" s="927">
        <v>1.2937394521411558E-2</v>
      </c>
      <c r="AG98" s="924">
        <v>1.2937394521411558E-3</v>
      </c>
      <c r="AH98" s="923">
        <v>2.6431718061674006</v>
      </c>
      <c r="AI98" s="927">
        <v>4.5414978944437467E-3</v>
      </c>
      <c r="AJ98" s="927">
        <v>5.8352373465849023E-3</v>
      </c>
      <c r="AK98" s="933">
        <v>919.86</v>
      </c>
      <c r="AL98" s="933">
        <v>917.82</v>
      </c>
      <c r="AM98" s="930">
        <v>918.02380049999988</v>
      </c>
      <c r="AN98" s="930">
        <v>916.96964849999983</v>
      </c>
      <c r="AO98" s="934">
        <v>917.77380049999988</v>
      </c>
      <c r="AP98" s="934">
        <v>916.71964849999983</v>
      </c>
      <c r="AQ98" s="923">
        <v>917.87163749999991</v>
      </c>
      <c r="AR98" s="923">
        <v>916.81748549999986</v>
      </c>
      <c r="AS98" s="923">
        <v>917.90081368673282</v>
      </c>
      <c r="AT98" s="923">
        <v>916.84666168673277</v>
      </c>
      <c r="AU98" s="923">
        <v>1.8361995000001343</v>
      </c>
      <c r="AV98" s="923">
        <v>0.85035150000021531</v>
      </c>
      <c r="AW98" s="923">
        <v>2.0861995000001343</v>
      </c>
      <c r="AX98" s="923">
        <v>1.1003515000002153</v>
      </c>
      <c r="AY98" s="923">
        <v>1.999999999998181E-2</v>
      </c>
      <c r="AZ98" s="923" t="s">
        <v>2187</v>
      </c>
      <c r="BA98" s="935" t="s">
        <v>2188</v>
      </c>
      <c r="BB98" s="935" t="s">
        <v>2189</v>
      </c>
      <c r="BC98" s="935" t="s">
        <v>2198</v>
      </c>
      <c r="BD98" s="935" t="s">
        <v>2191</v>
      </c>
      <c r="BE98" s="935" t="s">
        <v>2231</v>
      </c>
      <c r="BF98" s="946" t="s">
        <v>2366</v>
      </c>
      <c r="BH98" s="937"/>
      <c r="BI98" s="894" t="str">
        <f t="shared" si="238"/>
        <v>PZ-82</v>
      </c>
      <c r="BJ98" s="894" t="str">
        <f t="shared" si="238"/>
        <v>PZ-83</v>
      </c>
      <c r="BK98" s="938">
        <f t="shared" si="239"/>
        <v>95.83</v>
      </c>
      <c r="BL98" s="938">
        <f t="shared" si="240"/>
        <v>94.23</v>
      </c>
      <c r="BM98" s="895">
        <f t="shared" si="241"/>
        <v>10</v>
      </c>
      <c r="BN98" s="938">
        <f t="shared" si="242"/>
        <v>94.63</v>
      </c>
      <c r="BO98" s="700">
        <f t="shared" si="207"/>
        <v>0.65</v>
      </c>
      <c r="BP98" s="938">
        <f t="shared" si="243"/>
        <v>2.09</v>
      </c>
      <c r="BQ98" s="938">
        <f t="shared" si="244"/>
        <v>1.1000000000000001</v>
      </c>
      <c r="BR98" s="938">
        <f t="shared" si="245"/>
        <v>1.7</v>
      </c>
      <c r="BS98" s="938">
        <f t="shared" si="246"/>
        <v>104.12</v>
      </c>
      <c r="BT98" s="938">
        <f t="shared" si="247"/>
        <v>160.191</v>
      </c>
      <c r="BU98" s="938">
        <f t="shared" si="208"/>
        <v>0</v>
      </c>
      <c r="BV98" s="938">
        <f t="shared" si="248"/>
        <v>0</v>
      </c>
      <c r="BW98" s="938">
        <f t="shared" si="168"/>
        <v>0</v>
      </c>
      <c r="BX98" s="938">
        <f t="shared" si="169"/>
        <v>83.3</v>
      </c>
      <c r="BY98" s="938">
        <f t="shared" si="181"/>
        <v>17.7</v>
      </c>
      <c r="BZ98" s="938">
        <f t="shared" si="209"/>
        <v>3.12</v>
      </c>
      <c r="CA98" s="938">
        <f t="shared" si="249"/>
        <v>4.7699999999999996</v>
      </c>
      <c r="CB98" s="938">
        <f t="shared" si="250"/>
        <v>61.25</v>
      </c>
      <c r="CC98" s="938" t="s">
        <v>2192</v>
      </c>
      <c r="CD98" s="938">
        <f t="shared" si="251"/>
        <v>0</v>
      </c>
      <c r="CE98" s="938">
        <f t="shared" si="252"/>
        <v>0</v>
      </c>
      <c r="CF98" s="938">
        <f t="shared" si="253"/>
        <v>0</v>
      </c>
      <c r="CG98" s="938">
        <f t="shared" si="254"/>
        <v>0</v>
      </c>
      <c r="CH98" s="938">
        <v>0.3</v>
      </c>
      <c r="CI98" s="938">
        <f t="shared" si="255"/>
        <v>0</v>
      </c>
      <c r="CJ98" s="938">
        <f t="shared" si="256"/>
        <v>0</v>
      </c>
      <c r="CK98" s="938">
        <f t="shared" si="257"/>
        <v>93.23</v>
      </c>
      <c r="CL98" s="938">
        <f t="shared" si="258"/>
        <v>0.1</v>
      </c>
      <c r="CM98" s="938">
        <f t="shared" si="259"/>
        <v>6.12</v>
      </c>
      <c r="CN98" s="938">
        <f t="shared" si="193"/>
        <v>27.08</v>
      </c>
      <c r="CO98" s="938">
        <f t="shared" si="194"/>
        <v>66.150000000000006</v>
      </c>
      <c r="CP98" s="938">
        <f t="shared" si="260"/>
        <v>37.97</v>
      </c>
      <c r="CQ98" s="936"/>
      <c r="CS98" s="895">
        <f t="shared" si="196"/>
        <v>10</v>
      </c>
      <c r="CT98" s="701">
        <f t="shared" si="197"/>
        <v>250</v>
      </c>
      <c r="CU98" s="895">
        <v>2</v>
      </c>
      <c r="CV98" s="938">
        <v>11</v>
      </c>
      <c r="CW98" s="938">
        <f t="shared" si="210"/>
        <v>22</v>
      </c>
      <c r="CX98" s="938">
        <f t="shared" si="198"/>
        <v>0.6</v>
      </c>
      <c r="CY98" s="938">
        <f t="shared" si="211"/>
        <v>1.35</v>
      </c>
      <c r="CZ98" s="938">
        <f t="shared" si="212"/>
        <v>17.82</v>
      </c>
      <c r="DA98" s="938">
        <f t="shared" si="213"/>
        <v>0</v>
      </c>
      <c r="DB98" s="938">
        <f t="shared" si="214"/>
        <v>0</v>
      </c>
      <c r="DC98" s="938">
        <f t="shared" si="215"/>
        <v>0</v>
      </c>
      <c r="DD98" s="938">
        <f t="shared" si="216"/>
        <v>0.4</v>
      </c>
      <c r="DE98" s="938">
        <f t="shared" si="217"/>
        <v>13.2</v>
      </c>
      <c r="DF98" s="938" t="str">
        <f t="shared" si="218"/>
        <v>D</v>
      </c>
      <c r="DG98" s="938">
        <f t="shared" si="219"/>
        <v>0</v>
      </c>
      <c r="DH98" s="938">
        <f t="shared" si="220"/>
        <v>0</v>
      </c>
      <c r="DI98" s="938">
        <f t="shared" si="221"/>
        <v>0</v>
      </c>
      <c r="DJ98" s="938">
        <f t="shared" si="222"/>
        <v>0</v>
      </c>
      <c r="DK98" s="938">
        <v>33.299999999999997</v>
      </c>
      <c r="DL98" s="938">
        <f t="shared" si="223"/>
        <v>0</v>
      </c>
      <c r="DM98" s="938">
        <f t="shared" si="224"/>
        <v>0</v>
      </c>
      <c r="DN98" s="938">
        <f t="shared" si="225"/>
        <v>16.100000000000001</v>
      </c>
      <c r="DO98" s="938">
        <f t="shared" si="226"/>
        <v>0.1</v>
      </c>
      <c r="DP98" s="938">
        <f t="shared" si="227"/>
        <v>1.32</v>
      </c>
      <c r="DQ98" s="938">
        <f t="shared" si="228"/>
        <v>3.22</v>
      </c>
      <c r="DR98" s="938">
        <f t="shared" si="229"/>
        <v>12.88</v>
      </c>
      <c r="DS98" s="938">
        <f t="shared" si="230"/>
        <v>4.54</v>
      </c>
      <c r="DU98" s="937" t="str">
        <f t="shared" si="199"/>
        <v>PZ-82</v>
      </c>
      <c r="DV98" s="938">
        <f t="shared" si="268"/>
        <v>2.29</v>
      </c>
      <c r="DW98" s="938">
        <v>1.2</v>
      </c>
      <c r="DX98" s="938">
        <v>1.6</v>
      </c>
      <c r="DY98" s="938">
        <f t="shared" si="269"/>
        <v>-4.6043181931012009</v>
      </c>
      <c r="DZ98" s="938">
        <v>1.6</v>
      </c>
      <c r="EA98" s="938">
        <v>1.6</v>
      </c>
      <c r="EB98" s="938">
        <f t="shared" si="270"/>
        <v>5.8624000000000009</v>
      </c>
      <c r="EC98" s="938">
        <f t="shared" si="271"/>
        <v>1.2580818068988</v>
      </c>
      <c r="ED98" s="938">
        <f t="shared" si="272"/>
        <v>0.69194499379434005</v>
      </c>
      <c r="EE98" s="938">
        <f t="shared" si="273"/>
        <v>0.56613681310446007</v>
      </c>
      <c r="EF98" s="938">
        <f t="shared" si="274"/>
        <v>0.69194499379434005</v>
      </c>
    </row>
    <row r="99" spans="1:136">
      <c r="A99" s="920" t="s">
        <v>2248</v>
      </c>
      <c r="B99" s="920" t="s">
        <v>2334</v>
      </c>
      <c r="C99" s="1294">
        <v>55.415999999999997</v>
      </c>
      <c r="D99" s="921">
        <v>839.42199999999991</v>
      </c>
      <c r="E99" s="921">
        <v>894.83799999999997</v>
      </c>
      <c r="F99" s="922">
        <v>1.4999999999999999E-2</v>
      </c>
      <c r="G99" s="923">
        <v>13.22</v>
      </c>
      <c r="H99" s="924">
        <v>1.3220000000000001E-2</v>
      </c>
      <c r="I99" s="925">
        <v>6.4963187527070461E-3</v>
      </c>
      <c r="J99" s="926">
        <v>5.0000000000000001E-3</v>
      </c>
      <c r="K99" s="927">
        <v>0.17088742211032787</v>
      </c>
      <c r="L99" s="923">
        <v>6.7278512641592245</v>
      </c>
      <c r="M99" s="928">
        <v>10</v>
      </c>
      <c r="N99" s="927">
        <v>0.25</v>
      </c>
      <c r="O99" s="927">
        <v>0.22700000000000001</v>
      </c>
      <c r="P99" s="923">
        <v>2.8202262872021835E-2</v>
      </c>
      <c r="Q99" s="923">
        <v>0.69685327428815402</v>
      </c>
      <c r="R99" s="923">
        <v>0.47</v>
      </c>
      <c r="S99" s="927">
        <v>0.83399999999999996</v>
      </c>
      <c r="T99" s="929">
        <v>0.54200000000000004</v>
      </c>
      <c r="U99" s="927">
        <v>1.056</v>
      </c>
      <c r="V99" s="930">
        <v>0.58117563075632039</v>
      </c>
      <c r="W99" s="927">
        <v>1.7215347287716964E-2</v>
      </c>
      <c r="X99" s="927">
        <v>5.9928000000000002E-2</v>
      </c>
      <c r="Y99" s="927">
        <v>0.12303400000000002</v>
      </c>
      <c r="Z99" s="927">
        <v>0.14024934728771699</v>
      </c>
      <c r="AA99" s="931">
        <v>0.436</v>
      </c>
      <c r="AB99" s="923">
        <v>9.8972000000000004E-2</v>
      </c>
      <c r="AC99" s="923">
        <v>2.9394684000000004</v>
      </c>
      <c r="AD99" s="923">
        <v>0.58981622976573012</v>
      </c>
      <c r="AE99" s="932" t="s">
        <v>2186</v>
      </c>
      <c r="AF99" s="927">
        <v>-1.1960839445207549E-2</v>
      </c>
      <c r="AG99" s="924">
        <v>2.3921678890415098E-3</v>
      </c>
      <c r="AH99" s="923">
        <v>2.6431718061674006</v>
      </c>
      <c r="AI99" s="927">
        <v>4.6391534020641476E-3</v>
      </c>
      <c r="AJ99" s="927">
        <v>7.031321291105657E-3</v>
      </c>
      <c r="AK99" s="933">
        <v>917.82</v>
      </c>
      <c r="AL99" s="933">
        <v>917.46</v>
      </c>
      <c r="AM99" s="930">
        <v>916.94964849999985</v>
      </c>
      <c r="AN99" s="930">
        <v>916.6725684999999</v>
      </c>
      <c r="AO99" s="934">
        <v>916.69964849999985</v>
      </c>
      <c r="AP99" s="934">
        <v>916.4225684999999</v>
      </c>
      <c r="AQ99" s="923">
        <v>916.82268249999981</v>
      </c>
      <c r="AR99" s="923">
        <v>916.54560249999986</v>
      </c>
      <c r="AS99" s="923">
        <v>916.8398978472876</v>
      </c>
      <c r="AT99" s="923">
        <v>916.56281784728765</v>
      </c>
      <c r="AU99" s="923">
        <v>0.87035150000019712</v>
      </c>
      <c r="AV99" s="923">
        <v>0.78743150000013884</v>
      </c>
      <c r="AW99" s="923">
        <v>1.1203515000001971</v>
      </c>
      <c r="AX99" s="923">
        <v>1.0374315000001388</v>
      </c>
      <c r="AY99" s="923">
        <v>1.999999999998181E-2</v>
      </c>
      <c r="AZ99" s="923" t="s">
        <v>2187</v>
      </c>
      <c r="BA99" s="935" t="s">
        <v>2188</v>
      </c>
      <c r="BB99" s="935" t="s">
        <v>2189</v>
      </c>
      <c r="BC99" s="935" t="s">
        <v>2190</v>
      </c>
      <c r="BD99" s="935" t="s">
        <v>2231</v>
      </c>
      <c r="BE99" s="935" t="s">
        <v>2231</v>
      </c>
      <c r="BF99" s="946" t="s">
        <v>2367</v>
      </c>
      <c r="BH99" s="937"/>
      <c r="BI99" s="894" t="str">
        <f t="shared" si="238"/>
        <v>PZ-83</v>
      </c>
      <c r="BJ99" s="894" t="str">
        <f t="shared" si="238"/>
        <v>PZ-84</v>
      </c>
      <c r="BK99" s="938">
        <f t="shared" si="239"/>
        <v>55.42</v>
      </c>
      <c r="BL99" s="938">
        <f t="shared" si="240"/>
        <v>53.82</v>
      </c>
      <c r="BM99" s="895">
        <f t="shared" si="241"/>
        <v>10</v>
      </c>
      <c r="BN99" s="938">
        <f t="shared" si="242"/>
        <v>54.22</v>
      </c>
      <c r="BO99" s="700">
        <f t="shared" si="207"/>
        <v>0.65</v>
      </c>
      <c r="BP99" s="938">
        <f t="shared" si="243"/>
        <v>1.1200000000000001</v>
      </c>
      <c r="BQ99" s="938">
        <f t="shared" si="244"/>
        <v>1.04</v>
      </c>
      <c r="BR99" s="938">
        <f t="shared" si="245"/>
        <v>1.18</v>
      </c>
      <c r="BS99" s="938">
        <f t="shared" si="246"/>
        <v>41.28</v>
      </c>
      <c r="BT99" s="938">
        <f t="shared" si="247"/>
        <v>0</v>
      </c>
      <c r="BU99" s="938">
        <f t="shared" si="208"/>
        <v>0</v>
      </c>
      <c r="BV99" s="938">
        <f t="shared" si="248"/>
        <v>0</v>
      </c>
      <c r="BW99" s="938">
        <f t="shared" si="168"/>
        <v>0</v>
      </c>
      <c r="BX99" s="938">
        <f t="shared" si="169"/>
        <v>33.020000000000003</v>
      </c>
      <c r="BY99" s="938">
        <f t="shared" si="181"/>
        <v>7.02</v>
      </c>
      <c r="BZ99" s="938">
        <f t="shared" si="209"/>
        <v>1.24</v>
      </c>
      <c r="CA99" s="938">
        <f t="shared" si="249"/>
        <v>2.73</v>
      </c>
      <c r="CB99" s="938">
        <f t="shared" si="250"/>
        <v>34.979999999999997</v>
      </c>
      <c r="CC99" s="938" t="s">
        <v>2192</v>
      </c>
      <c r="CD99" s="938">
        <f t="shared" si="251"/>
        <v>0</v>
      </c>
      <c r="CE99" s="938">
        <f t="shared" si="252"/>
        <v>0</v>
      </c>
      <c r="CF99" s="938">
        <f t="shared" si="253"/>
        <v>0</v>
      </c>
      <c r="CG99" s="938">
        <f t="shared" si="254"/>
        <v>0</v>
      </c>
      <c r="CH99" s="938">
        <v>0.3</v>
      </c>
      <c r="CI99" s="938">
        <f t="shared" si="255"/>
        <v>0</v>
      </c>
      <c r="CJ99" s="938">
        <f t="shared" si="256"/>
        <v>0</v>
      </c>
      <c r="CK99" s="938">
        <f t="shared" si="257"/>
        <v>35.049999999999997</v>
      </c>
      <c r="CL99" s="938">
        <f t="shared" si="258"/>
        <v>0.1</v>
      </c>
      <c r="CM99" s="938">
        <f t="shared" si="259"/>
        <v>3.5</v>
      </c>
      <c r="CN99" s="938">
        <f t="shared" si="193"/>
        <v>10.18</v>
      </c>
      <c r="CO99" s="938">
        <f t="shared" si="194"/>
        <v>24.87</v>
      </c>
      <c r="CP99" s="938">
        <f t="shared" si="260"/>
        <v>16.41</v>
      </c>
      <c r="CQ99" s="936"/>
      <c r="CS99" s="895">
        <f t="shared" si="196"/>
        <v>10</v>
      </c>
      <c r="CT99" s="701">
        <f t="shared" si="197"/>
        <v>250</v>
      </c>
      <c r="CU99" s="895">
        <v>3</v>
      </c>
      <c r="CV99" s="938">
        <v>12.8</v>
      </c>
      <c r="CW99" s="938">
        <f t="shared" si="210"/>
        <v>38.400000000000006</v>
      </c>
      <c r="CX99" s="938">
        <f t="shared" si="198"/>
        <v>0.6</v>
      </c>
      <c r="CY99" s="938">
        <f t="shared" si="211"/>
        <v>1.0900000000000001</v>
      </c>
      <c r="CZ99" s="938">
        <f t="shared" si="212"/>
        <v>25.11</v>
      </c>
      <c r="DA99" s="938">
        <f t="shared" si="213"/>
        <v>0</v>
      </c>
      <c r="DB99" s="938">
        <f t="shared" si="214"/>
        <v>0</v>
      </c>
      <c r="DC99" s="938">
        <f t="shared" si="215"/>
        <v>0</v>
      </c>
      <c r="DD99" s="938">
        <f t="shared" si="216"/>
        <v>0.7</v>
      </c>
      <c r="DE99" s="938">
        <f t="shared" si="217"/>
        <v>23.04</v>
      </c>
      <c r="DF99" s="938" t="str">
        <f t="shared" si="218"/>
        <v>D</v>
      </c>
      <c r="DG99" s="938">
        <f t="shared" si="219"/>
        <v>0</v>
      </c>
      <c r="DH99" s="938">
        <f t="shared" si="220"/>
        <v>0</v>
      </c>
      <c r="DI99" s="938">
        <f t="shared" si="221"/>
        <v>0</v>
      </c>
      <c r="DJ99" s="938">
        <f t="shared" si="222"/>
        <v>0</v>
      </c>
      <c r="DK99" s="938">
        <v>34.299999999999997</v>
      </c>
      <c r="DL99" s="938">
        <f t="shared" si="223"/>
        <v>0</v>
      </c>
      <c r="DM99" s="938">
        <f t="shared" si="224"/>
        <v>0</v>
      </c>
      <c r="DN99" s="938">
        <f t="shared" si="225"/>
        <v>22.11</v>
      </c>
      <c r="DO99" s="938">
        <f t="shared" si="226"/>
        <v>0.1</v>
      </c>
      <c r="DP99" s="938">
        <f t="shared" si="227"/>
        <v>2.3039999999999998</v>
      </c>
      <c r="DQ99" s="938">
        <f t="shared" si="228"/>
        <v>4.42</v>
      </c>
      <c r="DR99" s="938">
        <f t="shared" si="229"/>
        <v>17.690000000000001</v>
      </c>
      <c r="DS99" s="938">
        <f t="shared" si="230"/>
        <v>6.72</v>
      </c>
      <c r="DU99" s="937" t="str">
        <f t="shared" si="199"/>
        <v>PZ-83</v>
      </c>
      <c r="DV99" s="938">
        <f t="shared" si="268"/>
        <v>1.32</v>
      </c>
      <c r="DW99" s="938">
        <v>1.2</v>
      </c>
      <c r="DX99" s="938">
        <v>1.6</v>
      </c>
      <c r="DY99" s="938">
        <f t="shared" si="269"/>
        <v>-2.6540174737526576</v>
      </c>
      <c r="DZ99" s="938">
        <v>1.6</v>
      </c>
      <c r="EA99" s="938">
        <v>1.6</v>
      </c>
      <c r="EB99" s="938">
        <f t="shared" si="270"/>
        <v>3.3792000000000009</v>
      </c>
      <c r="EC99" s="938">
        <f t="shared" si="271"/>
        <v>0.72518252624734325</v>
      </c>
      <c r="ED99" s="938">
        <f t="shared" si="272"/>
        <v>0.39885038943603884</v>
      </c>
      <c r="EE99" s="938">
        <f t="shared" si="273"/>
        <v>0.32633213681130446</v>
      </c>
      <c r="EF99" s="938">
        <f t="shared" si="274"/>
        <v>0.39885038943603884</v>
      </c>
    </row>
    <row r="100" spans="1:136">
      <c r="A100" s="922" t="s">
        <v>2334</v>
      </c>
      <c r="B100" s="920" t="s">
        <v>2204</v>
      </c>
      <c r="C100" s="1294">
        <v>47.863</v>
      </c>
      <c r="D100" s="921">
        <v>894.83799999999997</v>
      </c>
      <c r="E100" s="921">
        <v>942.70100000000002</v>
      </c>
      <c r="F100" s="922">
        <v>1.4999999999999999E-2</v>
      </c>
      <c r="G100" s="923">
        <v>13.33</v>
      </c>
      <c r="H100" s="924">
        <v>1.333E-2</v>
      </c>
      <c r="I100" s="925">
        <v>-1.7759020537783027E-2</v>
      </c>
      <c r="J100" s="926">
        <v>5.0000000000000001E-3</v>
      </c>
      <c r="K100" s="927">
        <v>0.17141925713673764</v>
      </c>
      <c r="L100" s="923">
        <v>6.7487896510256675</v>
      </c>
      <c r="M100" s="928">
        <v>10</v>
      </c>
      <c r="N100" s="927">
        <v>0.25</v>
      </c>
      <c r="O100" s="927">
        <v>0.22700000000000001</v>
      </c>
      <c r="P100" s="923">
        <v>2.8202262872021835E-2</v>
      </c>
      <c r="Q100" s="923">
        <v>0.69685327428815402</v>
      </c>
      <c r="R100" s="923">
        <v>0.47</v>
      </c>
      <c r="S100" s="927">
        <v>0.83399999999999996</v>
      </c>
      <c r="T100" s="929">
        <v>0.54200000000000004</v>
      </c>
      <c r="U100" s="927">
        <v>1.056</v>
      </c>
      <c r="V100" s="930">
        <v>0.58117563075632039</v>
      </c>
      <c r="W100" s="927">
        <v>1.7215347287716964E-2</v>
      </c>
      <c r="X100" s="927">
        <v>5.9928000000000002E-2</v>
      </c>
      <c r="Y100" s="927">
        <v>0.12303400000000002</v>
      </c>
      <c r="Z100" s="927">
        <v>0.14024934728771699</v>
      </c>
      <c r="AA100" s="931">
        <v>0.436</v>
      </c>
      <c r="AB100" s="923">
        <v>9.8972000000000004E-2</v>
      </c>
      <c r="AC100" s="923">
        <v>2.9394684000000004</v>
      </c>
      <c r="AD100" s="923">
        <v>0.58981622976573012</v>
      </c>
      <c r="AE100" s="932" t="s">
        <v>2186</v>
      </c>
      <c r="AF100" s="927">
        <v>0</v>
      </c>
      <c r="AG100" s="924">
        <v>0</v>
      </c>
      <c r="AH100" s="923">
        <v>2.6431718061674006</v>
      </c>
      <c r="AI100" s="927">
        <v>3.4430694575433929E-3</v>
      </c>
      <c r="AJ100" s="927">
        <v>3.4430694575433929E-3</v>
      </c>
      <c r="AK100" s="933">
        <v>917.46</v>
      </c>
      <c r="AL100" s="933">
        <v>918.31</v>
      </c>
      <c r="AM100" s="930">
        <v>916.26</v>
      </c>
      <c r="AN100" s="930">
        <v>916.02068499999996</v>
      </c>
      <c r="AO100" s="934">
        <v>916.40256849999992</v>
      </c>
      <c r="AP100" s="944">
        <v>916.16325349999988</v>
      </c>
      <c r="AQ100" s="923">
        <v>916.52560249999988</v>
      </c>
      <c r="AR100" s="923">
        <v>916.28628749999984</v>
      </c>
      <c r="AS100" s="923">
        <v>916.54281784728767</v>
      </c>
      <c r="AT100" s="923">
        <v>916.30350284728763</v>
      </c>
      <c r="AU100" s="923">
        <v>1.2000000000000455</v>
      </c>
      <c r="AV100" s="923">
        <v>2.2893149999999878</v>
      </c>
      <c r="AW100" s="923">
        <v>1.0574315000001206</v>
      </c>
      <c r="AX100" s="923">
        <v>2.146746500000063</v>
      </c>
      <c r="AY100" s="923">
        <v>916.16325349999988</v>
      </c>
      <c r="AZ100" s="923" t="s">
        <v>2187</v>
      </c>
      <c r="BA100" s="935" t="s">
        <v>2188</v>
      </c>
      <c r="BB100" s="935" t="s">
        <v>2189</v>
      </c>
      <c r="BC100" s="935" t="s">
        <v>2190</v>
      </c>
      <c r="BD100" s="935" t="s">
        <v>2191</v>
      </c>
      <c r="BE100" s="935" t="s">
        <v>2191</v>
      </c>
      <c r="BF100" s="946"/>
      <c r="BH100" s="937"/>
      <c r="BI100" s="894" t="str">
        <f t="shared" si="238"/>
        <v>PZ-84</v>
      </c>
      <c r="BJ100" s="894" t="str">
        <f t="shared" si="238"/>
        <v>PZ-11</v>
      </c>
      <c r="BK100" s="938">
        <f t="shared" si="239"/>
        <v>47.86</v>
      </c>
      <c r="BL100" s="938">
        <f t="shared" si="240"/>
        <v>46.26</v>
      </c>
      <c r="BM100" s="895">
        <f t="shared" si="241"/>
        <v>10</v>
      </c>
      <c r="BN100" s="938">
        <f t="shared" si="242"/>
        <v>46.66</v>
      </c>
      <c r="BO100" s="700">
        <f t="shared" si="207"/>
        <v>0.65</v>
      </c>
      <c r="BP100" s="938">
        <f t="shared" si="243"/>
        <v>1.06</v>
      </c>
      <c r="BQ100" s="938">
        <f t="shared" si="244"/>
        <v>2.15</v>
      </c>
      <c r="BR100" s="938">
        <f t="shared" si="245"/>
        <v>1.71</v>
      </c>
      <c r="BS100" s="938">
        <f t="shared" si="246"/>
        <v>51.42</v>
      </c>
      <c r="BT100" s="938">
        <f t="shared" si="247"/>
        <v>79.104599999999991</v>
      </c>
      <c r="BU100" s="938">
        <f t="shared" si="208"/>
        <v>0</v>
      </c>
      <c r="BV100" s="938">
        <f t="shared" si="248"/>
        <v>0</v>
      </c>
      <c r="BW100" s="938">
        <f t="shared" si="168"/>
        <v>0</v>
      </c>
      <c r="BX100" s="938">
        <f t="shared" si="169"/>
        <v>41.14</v>
      </c>
      <c r="BY100" s="938">
        <f t="shared" si="181"/>
        <v>8.74</v>
      </c>
      <c r="BZ100" s="938">
        <f t="shared" si="209"/>
        <v>1.54</v>
      </c>
      <c r="CA100" s="938">
        <f t="shared" si="249"/>
        <v>2.34</v>
      </c>
      <c r="CB100" s="938">
        <f t="shared" si="250"/>
        <v>30.07</v>
      </c>
      <c r="CC100" s="938" t="s">
        <v>2192</v>
      </c>
      <c r="CD100" s="938">
        <f t="shared" si="251"/>
        <v>0</v>
      </c>
      <c r="CE100" s="938">
        <f t="shared" si="252"/>
        <v>0</v>
      </c>
      <c r="CF100" s="938">
        <f t="shared" si="253"/>
        <v>0</v>
      </c>
      <c r="CG100" s="938">
        <f t="shared" si="254"/>
        <v>0</v>
      </c>
      <c r="CH100" s="938">
        <v>0.3</v>
      </c>
      <c r="CI100" s="938">
        <f t="shared" si="255"/>
        <v>0</v>
      </c>
      <c r="CJ100" s="938">
        <f t="shared" si="256"/>
        <v>0</v>
      </c>
      <c r="CK100" s="938">
        <f t="shared" si="257"/>
        <v>46.07</v>
      </c>
      <c r="CL100" s="938">
        <f t="shared" si="258"/>
        <v>0.1</v>
      </c>
      <c r="CM100" s="938">
        <f t="shared" si="259"/>
        <v>3.01</v>
      </c>
      <c r="CN100" s="938">
        <f t="shared" si="193"/>
        <v>13.38</v>
      </c>
      <c r="CO100" s="938">
        <f t="shared" si="194"/>
        <v>32.69</v>
      </c>
      <c r="CP100" s="938">
        <f t="shared" si="260"/>
        <v>18.73</v>
      </c>
      <c r="CQ100" s="936"/>
      <c r="CS100" s="895">
        <f t="shared" si="196"/>
        <v>10</v>
      </c>
      <c r="CT100" s="701">
        <f t="shared" si="197"/>
        <v>250</v>
      </c>
      <c r="CU100" s="895">
        <v>1</v>
      </c>
      <c r="CV100" s="938">
        <v>30.3</v>
      </c>
      <c r="CW100" s="938">
        <f t="shared" si="210"/>
        <v>30.3</v>
      </c>
      <c r="CX100" s="938">
        <f t="shared" si="198"/>
        <v>0.6</v>
      </c>
      <c r="CY100" s="938">
        <f t="shared" si="211"/>
        <v>1.36</v>
      </c>
      <c r="CZ100" s="938">
        <f t="shared" si="212"/>
        <v>24.72</v>
      </c>
      <c r="DA100" s="938">
        <f t="shared" si="213"/>
        <v>0</v>
      </c>
      <c r="DB100" s="938">
        <f t="shared" si="214"/>
        <v>0</v>
      </c>
      <c r="DC100" s="938">
        <f t="shared" si="215"/>
        <v>0</v>
      </c>
      <c r="DD100" s="938">
        <f t="shared" si="216"/>
        <v>0.55000000000000004</v>
      </c>
      <c r="DE100" s="938">
        <f t="shared" si="217"/>
        <v>18.18</v>
      </c>
      <c r="DF100" s="938" t="str">
        <f t="shared" si="218"/>
        <v>D</v>
      </c>
      <c r="DG100" s="938">
        <f t="shared" si="219"/>
        <v>0</v>
      </c>
      <c r="DH100" s="938">
        <f t="shared" si="220"/>
        <v>0</v>
      </c>
      <c r="DI100" s="938">
        <f t="shared" si="221"/>
        <v>0</v>
      </c>
      <c r="DJ100" s="938">
        <f t="shared" si="222"/>
        <v>0</v>
      </c>
      <c r="DK100" s="938">
        <v>35.299999999999997</v>
      </c>
      <c r="DL100" s="938">
        <f t="shared" si="223"/>
        <v>0</v>
      </c>
      <c r="DM100" s="938">
        <f t="shared" si="224"/>
        <v>0</v>
      </c>
      <c r="DN100" s="938">
        <f t="shared" si="225"/>
        <v>22.35</v>
      </c>
      <c r="DO100" s="938">
        <f t="shared" si="226"/>
        <v>0.1</v>
      </c>
      <c r="DP100" s="938">
        <f t="shared" si="227"/>
        <v>1.8180000000000001</v>
      </c>
      <c r="DQ100" s="938">
        <f t="shared" si="228"/>
        <v>4.47</v>
      </c>
      <c r="DR100" s="938">
        <f t="shared" si="229"/>
        <v>17.88</v>
      </c>
      <c r="DS100" s="938">
        <f t="shared" si="230"/>
        <v>6.29</v>
      </c>
      <c r="DU100" s="937" t="str">
        <f t="shared" si="199"/>
        <v>PZ-84</v>
      </c>
      <c r="DV100" s="938">
        <f t="shared" si="268"/>
        <v>1.26</v>
      </c>
      <c r="DW100" s="938">
        <v>1.2</v>
      </c>
      <c r="DX100" s="938">
        <v>1.6</v>
      </c>
      <c r="DY100" s="938">
        <f t="shared" si="269"/>
        <v>-2.5333803158548096</v>
      </c>
      <c r="DZ100" s="938">
        <v>1.6</v>
      </c>
      <c r="EA100" s="938">
        <v>1.6</v>
      </c>
      <c r="EB100" s="938">
        <f t="shared" si="270"/>
        <v>3.2256000000000005</v>
      </c>
      <c r="EC100" s="938">
        <f t="shared" si="271"/>
        <v>0.69221968414519086</v>
      </c>
      <c r="ED100" s="938">
        <f t="shared" si="272"/>
        <v>0.38072082627985498</v>
      </c>
      <c r="EE100" s="938">
        <f t="shared" si="273"/>
        <v>0.31149885786533588</v>
      </c>
      <c r="EF100" s="938">
        <f t="shared" si="274"/>
        <v>0.38072082627985498</v>
      </c>
    </row>
    <row r="101" spans="1:136" s="919" customFormat="1">
      <c r="A101" s="948" t="s">
        <v>2335</v>
      </c>
      <c r="B101" s="949"/>
      <c r="C101" s="1295"/>
      <c r="D101" s="964"/>
      <c r="E101" s="964"/>
      <c r="F101" s="948"/>
      <c r="G101" s="951"/>
      <c r="H101" s="952"/>
      <c r="I101" s="953"/>
      <c r="J101" s="954"/>
      <c r="K101" s="955"/>
      <c r="L101" s="951"/>
      <c r="M101" s="956"/>
      <c r="N101" s="955"/>
      <c r="O101" s="955"/>
      <c r="P101" s="951"/>
      <c r="Q101" s="951"/>
      <c r="R101" s="951"/>
      <c r="S101" s="955"/>
      <c r="T101" s="957"/>
      <c r="U101" s="955"/>
      <c r="V101" s="958"/>
      <c r="W101" s="955"/>
      <c r="X101" s="955"/>
      <c r="Y101" s="955"/>
      <c r="Z101" s="955"/>
      <c r="AA101" s="959"/>
      <c r="AB101" s="951"/>
      <c r="AC101" s="951"/>
      <c r="AD101" s="951"/>
      <c r="AE101" s="960"/>
      <c r="AF101" s="955"/>
      <c r="AG101" s="952"/>
      <c r="AH101" s="951"/>
      <c r="AI101" s="955"/>
      <c r="AJ101" s="955"/>
      <c r="AK101" s="961"/>
      <c r="AL101" s="961"/>
      <c r="AM101" s="958"/>
      <c r="AN101" s="958"/>
      <c r="AO101" s="962"/>
      <c r="AP101" s="962"/>
      <c r="AQ101" s="951"/>
      <c r="AR101" s="951"/>
      <c r="AS101" s="951"/>
      <c r="AT101" s="951"/>
      <c r="AU101" s="951"/>
      <c r="AV101" s="951"/>
      <c r="AW101" s="951"/>
      <c r="AX101" s="951"/>
      <c r="AY101" s="951"/>
      <c r="AZ101" s="951"/>
      <c r="BA101" s="963"/>
      <c r="BB101" s="963"/>
      <c r="BC101" s="963"/>
      <c r="BD101" s="963"/>
      <c r="BE101" s="963"/>
      <c r="BF101" s="966"/>
      <c r="BH101" s="917"/>
      <c r="BI101" s="903"/>
      <c r="BJ101" s="903"/>
      <c r="BK101" s="901"/>
      <c r="BL101" s="901"/>
      <c r="BM101" s="908"/>
      <c r="BN101" s="901"/>
      <c r="BO101" s="698" t="str">
        <f t="shared" si="207"/>
        <v/>
      </c>
      <c r="BP101" s="901"/>
      <c r="BQ101" s="901"/>
      <c r="BR101" s="901"/>
      <c r="BS101" s="901"/>
      <c r="BT101" s="901"/>
      <c r="BU101" s="901">
        <f t="shared" si="208"/>
        <v>0</v>
      </c>
      <c r="BV101" s="901"/>
      <c r="BW101" s="901" t="str">
        <f t="shared" si="168"/>
        <v/>
      </c>
      <c r="BX101" s="901" t="str">
        <f t="shared" si="169"/>
        <v/>
      </c>
      <c r="BY101" s="901" t="str">
        <f t="shared" si="181"/>
        <v/>
      </c>
      <c r="BZ101" s="901" t="str">
        <f t="shared" si="209"/>
        <v/>
      </c>
      <c r="CA101" s="901"/>
      <c r="CB101" s="901"/>
      <c r="CC101" s="901"/>
      <c r="CD101" s="901"/>
      <c r="CE101" s="901"/>
      <c r="CF101" s="901"/>
      <c r="CG101" s="901"/>
      <c r="CH101" s="901"/>
      <c r="CI101" s="901"/>
      <c r="CJ101" s="901"/>
      <c r="CK101" s="901"/>
      <c r="CL101" s="901"/>
      <c r="CM101" s="901"/>
      <c r="CN101" s="901" t="str">
        <f t="shared" si="193"/>
        <v/>
      </c>
      <c r="CO101" s="901" t="str">
        <f t="shared" si="194"/>
        <v/>
      </c>
      <c r="CP101" s="901"/>
      <c r="CQ101" s="916"/>
      <c r="CS101" s="908"/>
      <c r="CT101" s="699"/>
      <c r="CU101" s="908"/>
      <c r="CV101" s="901"/>
      <c r="CW101" s="901"/>
      <c r="CX101" s="901"/>
      <c r="CY101" s="901"/>
      <c r="CZ101" s="901"/>
      <c r="DA101" s="901"/>
      <c r="DB101" s="901"/>
      <c r="DC101" s="901"/>
      <c r="DD101" s="901"/>
      <c r="DE101" s="901"/>
      <c r="DF101" s="901"/>
      <c r="DG101" s="901"/>
      <c r="DH101" s="901"/>
      <c r="DI101" s="901"/>
      <c r="DJ101" s="901"/>
      <c r="DK101" s="901"/>
      <c r="DL101" s="901"/>
      <c r="DM101" s="901"/>
      <c r="DN101" s="901"/>
      <c r="DO101" s="901" t="str">
        <f t="shared" si="226"/>
        <v/>
      </c>
      <c r="DP101" s="901"/>
      <c r="DQ101" s="901" t="str">
        <f t="shared" si="228"/>
        <v/>
      </c>
      <c r="DR101" s="901" t="str">
        <f t="shared" si="229"/>
        <v/>
      </c>
      <c r="DS101" s="901"/>
      <c r="DU101" s="917"/>
      <c r="DV101" s="901"/>
      <c r="DW101" s="901"/>
      <c r="DX101" s="901"/>
      <c r="DY101" s="901"/>
      <c r="DZ101" s="901"/>
      <c r="EA101" s="901"/>
      <c r="EB101" s="901"/>
      <c r="EC101" s="901"/>
      <c r="ED101" s="901"/>
      <c r="EE101" s="901"/>
      <c r="EF101" s="901"/>
    </row>
    <row r="102" spans="1:136">
      <c r="A102" s="979" t="s">
        <v>2336</v>
      </c>
      <c r="B102" s="920" t="s">
        <v>2337</v>
      </c>
      <c r="C102" s="1294">
        <v>39.03</v>
      </c>
      <c r="D102" s="921">
        <v>0</v>
      </c>
      <c r="E102" s="921">
        <v>39.03</v>
      </c>
      <c r="F102" s="922">
        <v>1.4999999999999999E-2</v>
      </c>
      <c r="G102" s="923">
        <v>1.5</v>
      </c>
      <c r="H102" s="924">
        <v>1.5E-3</v>
      </c>
      <c r="I102" s="925">
        <v>0.23366641045349743</v>
      </c>
      <c r="J102" s="926">
        <v>0.23400000000000001</v>
      </c>
      <c r="K102" s="927">
        <v>3.6737654657908361E-2</v>
      </c>
      <c r="L102" s="923">
        <v>1.4463643566047799</v>
      </c>
      <c r="M102" s="928">
        <v>8</v>
      </c>
      <c r="N102" s="927">
        <v>0.2</v>
      </c>
      <c r="O102" s="927">
        <v>0.182</v>
      </c>
      <c r="P102" s="923">
        <v>0.10703561242217342</v>
      </c>
      <c r="Q102" s="923">
        <v>4.1142873972063825</v>
      </c>
      <c r="R102" s="923">
        <v>0.01</v>
      </c>
      <c r="S102" s="927">
        <v>0.29199999999999998</v>
      </c>
      <c r="T102" s="929">
        <v>9.1999999999999998E-2</v>
      </c>
      <c r="U102" s="927">
        <v>0.23899999999999999</v>
      </c>
      <c r="V102" s="930">
        <v>1.2013719199842636</v>
      </c>
      <c r="W102" s="927">
        <v>7.3562410302073181E-2</v>
      </c>
      <c r="X102" s="927">
        <v>1.0874499999999999E-2</v>
      </c>
      <c r="Y102" s="927">
        <v>1.6743999999999998E-2</v>
      </c>
      <c r="Z102" s="927">
        <v>9.0306410302073176E-2</v>
      </c>
      <c r="AA102" s="931">
        <v>4.1000000000000002E-2</v>
      </c>
      <c r="AB102" s="923">
        <v>7.4619999999999999E-3</v>
      </c>
      <c r="AC102" s="923">
        <v>24.962849729999999</v>
      </c>
      <c r="AD102" s="923">
        <v>4.4403310555210656</v>
      </c>
      <c r="AE102" s="932" t="s">
        <v>2197</v>
      </c>
      <c r="AF102" s="927">
        <v>7.3562410302073181E-2</v>
      </c>
      <c r="AG102" s="924">
        <v>7.3562410302073188E-3</v>
      </c>
      <c r="AH102" s="923">
        <v>3.2967032967032965</v>
      </c>
      <c r="AI102" s="927">
        <v>1.8390602575518297E-3</v>
      </c>
      <c r="AJ102" s="927">
        <v>9.1953012877591493E-3</v>
      </c>
      <c r="AK102" s="933">
        <v>958.19</v>
      </c>
      <c r="AL102" s="933">
        <v>949.07</v>
      </c>
      <c r="AM102" s="930">
        <v>956.99</v>
      </c>
      <c r="AN102" s="930">
        <v>947.85698000000002</v>
      </c>
      <c r="AO102" s="934">
        <v>956.79</v>
      </c>
      <c r="AP102" s="934">
        <v>947.65697999999998</v>
      </c>
      <c r="AQ102" s="923">
        <v>956.80674399999998</v>
      </c>
      <c r="AR102" s="923">
        <v>947.67372399999999</v>
      </c>
      <c r="AS102" s="923">
        <v>956.88030641030207</v>
      </c>
      <c r="AT102" s="923">
        <v>947.74728641030208</v>
      </c>
      <c r="AU102" s="923">
        <v>1.2000000000000455</v>
      </c>
      <c r="AV102" s="923">
        <v>1.2130200000000286</v>
      </c>
      <c r="AW102" s="923">
        <v>1.4000000000000909</v>
      </c>
      <c r="AX102" s="923">
        <v>1.4130200000000741</v>
      </c>
      <c r="AY102" s="923">
        <v>1.999999999998181E-2</v>
      </c>
      <c r="AZ102" s="923" t="s">
        <v>2187</v>
      </c>
      <c r="BA102" s="935" t="s">
        <v>2188</v>
      </c>
      <c r="BB102" s="935" t="s">
        <v>2189</v>
      </c>
      <c r="BC102" s="935" t="s">
        <v>2198</v>
      </c>
      <c r="BD102" s="935" t="s">
        <v>2191</v>
      </c>
      <c r="BE102" s="935" t="s">
        <v>2191</v>
      </c>
      <c r="BF102" s="946"/>
      <c r="BH102" s="937"/>
      <c r="BI102" s="894" t="str">
        <f t="shared" si="238"/>
        <v>PZ-85</v>
      </c>
      <c r="BJ102" s="894" t="str">
        <f t="shared" si="238"/>
        <v>PZ-86</v>
      </c>
      <c r="BK102" s="938">
        <f t="shared" si="239"/>
        <v>39.03</v>
      </c>
      <c r="BL102" s="938">
        <f t="shared" si="240"/>
        <v>37.43</v>
      </c>
      <c r="BM102" s="895">
        <f t="shared" si="241"/>
        <v>8</v>
      </c>
      <c r="BN102" s="938">
        <f t="shared" si="242"/>
        <v>37.83</v>
      </c>
      <c r="BO102" s="700">
        <f t="shared" si="207"/>
        <v>0.6</v>
      </c>
      <c r="BP102" s="938">
        <f t="shared" si="243"/>
        <v>1.4</v>
      </c>
      <c r="BQ102" s="938">
        <f t="shared" si="244"/>
        <v>1.41</v>
      </c>
      <c r="BR102" s="938">
        <f t="shared" si="245"/>
        <v>1.51</v>
      </c>
      <c r="BS102" s="938">
        <f t="shared" si="246"/>
        <v>33.909999999999997</v>
      </c>
      <c r="BT102" s="938">
        <f t="shared" si="247"/>
        <v>56.519300000000001</v>
      </c>
      <c r="BU102" s="938">
        <f t="shared" si="208"/>
        <v>0</v>
      </c>
      <c r="BV102" s="938">
        <f t="shared" si="248"/>
        <v>0</v>
      </c>
      <c r="BW102" s="938">
        <f t="shared" si="168"/>
        <v>0</v>
      </c>
      <c r="BX102" s="938">
        <f t="shared" si="169"/>
        <v>27.13</v>
      </c>
      <c r="BY102" s="938">
        <f t="shared" si="181"/>
        <v>5.76</v>
      </c>
      <c r="BZ102" s="938">
        <f t="shared" si="209"/>
        <v>1.02</v>
      </c>
      <c r="CA102" s="938">
        <f t="shared" si="249"/>
        <v>1.21</v>
      </c>
      <c r="CB102" s="938">
        <f t="shared" si="250"/>
        <v>22.46</v>
      </c>
      <c r="CC102" s="938" t="s">
        <v>2192</v>
      </c>
      <c r="CD102" s="938">
        <f t="shared" si="251"/>
        <v>0</v>
      </c>
      <c r="CE102" s="938">
        <f t="shared" si="252"/>
        <v>0</v>
      </c>
      <c r="CF102" s="938">
        <f t="shared" si="253"/>
        <v>0</v>
      </c>
      <c r="CG102" s="938">
        <f t="shared" si="254"/>
        <v>0</v>
      </c>
      <c r="CH102" s="938">
        <v>0.3</v>
      </c>
      <c r="CI102" s="938">
        <f t="shared" si="255"/>
        <v>0</v>
      </c>
      <c r="CJ102" s="938">
        <f t="shared" si="256"/>
        <v>0</v>
      </c>
      <c r="CK102" s="938">
        <f t="shared" si="257"/>
        <v>30.45</v>
      </c>
      <c r="CL102" s="938">
        <f t="shared" si="258"/>
        <v>0.1</v>
      </c>
      <c r="CM102" s="938">
        <f t="shared" si="259"/>
        <v>2.25</v>
      </c>
      <c r="CN102" s="938">
        <f t="shared" si="193"/>
        <v>8.85</v>
      </c>
      <c r="CO102" s="938">
        <f t="shared" si="194"/>
        <v>21.6</v>
      </c>
      <c r="CP102" s="938">
        <f t="shared" si="260"/>
        <v>12.31</v>
      </c>
      <c r="CQ102" s="936"/>
      <c r="CS102" s="895">
        <f t="shared" si="196"/>
        <v>8</v>
      </c>
      <c r="CT102" s="701">
        <f t="shared" si="197"/>
        <v>200</v>
      </c>
      <c r="CU102" s="895">
        <v>2</v>
      </c>
      <c r="CV102" s="938">
        <v>18.600000000000001</v>
      </c>
      <c r="CW102" s="938">
        <f t="shared" si="210"/>
        <v>37.200000000000003</v>
      </c>
      <c r="CX102" s="938">
        <f t="shared" si="198"/>
        <v>0.6</v>
      </c>
      <c r="CY102" s="938">
        <f t="shared" si="211"/>
        <v>1.26</v>
      </c>
      <c r="CZ102" s="938">
        <f t="shared" si="212"/>
        <v>28.12</v>
      </c>
      <c r="DA102" s="938">
        <f t="shared" si="213"/>
        <v>0</v>
      </c>
      <c r="DB102" s="938">
        <f t="shared" si="214"/>
        <v>0</v>
      </c>
      <c r="DC102" s="938">
        <f t="shared" si="215"/>
        <v>0</v>
      </c>
      <c r="DD102" s="938">
        <f t="shared" si="216"/>
        <v>0.68</v>
      </c>
      <c r="DE102" s="938">
        <f t="shared" si="217"/>
        <v>22.32</v>
      </c>
      <c r="DF102" s="938" t="str">
        <f t="shared" si="218"/>
        <v>D</v>
      </c>
      <c r="DG102" s="938">
        <f t="shared" si="219"/>
        <v>0</v>
      </c>
      <c r="DH102" s="938">
        <f t="shared" si="220"/>
        <v>0</v>
      </c>
      <c r="DI102" s="938">
        <f t="shared" si="221"/>
        <v>0</v>
      </c>
      <c r="DJ102" s="938">
        <f t="shared" si="222"/>
        <v>0</v>
      </c>
      <c r="DK102" s="938">
        <v>37.299999999999997</v>
      </c>
      <c r="DL102" s="938">
        <f t="shared" si="223"/>
        <v>0</v>
      </c>
      <c r="DM102" s="938">
        <f t="shared" si="224"/>
        <v>0</v>
      </c>
      <c r="DN102" s="938">
        <f t="shared" si="225"/>
        <v>25.21</v>
      </c>
      <c r="DO102" s="938">
        <f t="shared" si="226"/>
        <v>0.1</v>
      </c>
      <c r="DP102" s="938">
        <f t="shared" si="227"/>
        <v>2.2320000000000002</v>
      </c>
      <c r="DQ102" s="938">
        <f t="shared" si="228"/>
        <v>5.04</v>
      </c>
      <c r="DR102" s="938">
        <f t="shared" si="229"/>
        <v>20.170000000000002</v>
      </c>
      <c r="DS102" s="938">
        <f t="shared" si="230"/>
        <v>7.27</v>
      </c>
      <c r="DU102" s="937" t="str">
        <f t="shared" si="199"/>
        <v>PZ-85</v>
      </c>
      <c r="DV102" s="938">
        <f t="shared" si="261"/>
        <v>1.5999999999999999</v>
      </c>
      <c r="DW102" s="938">
        <v>1.2</v>
      </c>
      <c r="DX102" s="938">
        <v>1.6</v>
      </c>
      <c r="DY102" s="938">
        <f t="shared" si="262"/>
        <v>-3.2169908772759483</v>
      </c>
      <c r="DZ102" s="938">
        <v>1.6</v>
      </c>
      <c r="EA102" s="938">
        <v>1.6</v>
      </c>
      <c r="EB102" s="938">
        <f t="shared" si="263"/>
        <v>4.0960000000000001</v>
      </c>
      <c r="EC102" s="938">
        <f t="shared" si="264"/>
        <v>0.87900912272405174</v>
      </c>
      <c r="ED102" s="938">
        <f t="shared" si="265"/>
        <v>0.4834550174982285</v>
      </c>
      <c r="EE102" s="938">
        <f t="shared" si="266"/>
        <v>0.39555410522582329</v>
      </c>
      <c r="EF102" s="938">
        <f t="shared" si="267"/>
        <v>0.4834550174982285</v>
      </c>
    </row>
    <row r="103" spans="1:136">
      <c r="A103" s="979" t="s">
        <v>2337</v>
      </c>
      <c r="B103" s="920" t="s">
        <v>2338</v>
      </c>
      <c r="C103" s="1294">
        <v>85.326999999999998</v>
      </c>
      <c r="D103" s="921">
        <v>39.03</v>
      </c>
      <c r="E103" s="921">
        <v>124.357</v>
      </c>
      <c r="F103" s="922">
        <v>1.4999999999999999E-2</v>
      </c>
      <c r="G103" s="923">
        <v>1.5</v>
      </c>
      <c r="H103" s="924">
        <v>1.5E-3</v>
      </c>
      <c r="I103" s="925">
        <v>2.2384473847669343E-2</v>
      </c>
      <c r="J103" s="926">
        <v>2.2499999999999999E-2</v>
      </c>
      <c r="K103" s="927">
        <v>5.6990855788340559E-2</v>
      </c>
      <c r="L103" s="923">
        <v>2.2437344798469523</v>
      </c>
      <c r="M103" s="928">
        <v>8</v>
      </c>
      <c r="N103" s="927">
        <v>0.2</v>
      </c>
      <c r="O103" s="927">
        <v>0.182</v>
      </c>
      <c r="P103" s="923">
        <v>3.3190334445944158E-2</v>
      </c>
      <c r="Q103" s="923">
        <v>1.2757863633405471</v>
      </c>
      <c r="R103" s="923">
        <v>0.05</v>
      </c>
      <c r="S103" s="927">
        <v>0.45300000000000001</v>
      </c>
      <c r="T103" s="929">
        <v>0.182</v>
      </c>
      <c r="U103" s="927">
        <v>0.44900000000000001</v>
      </c>
      <c r="V103" s="930">
        <v>0.57793122259326779</v>
      </c>
      <c r="W103" s="927">
        <v>1.7023674722127891E-2</v>
      </c>
      <c r="X103" s="927">
        <v>2.04295E-2</v>
      </c>
      <c r="Y103" s="927">
        <v>3.3124000000000001E-2</v>
      </c>
      <c r="Z103" s="927">
        <v>5.0147674722127888E-2</v>
      </c>
      <c r="AA103" s="931">
        <v>0.11600000000000001</v>
      </c>
      <c r="AB103" s="923">
        <v>2.1111999999999999E-2</v>
      </c>
      <c r="AC103" s="923">
        <v>4.5093013874999999</v>
      </c>
      <c r="AD103" s="923">
        <v>1.2699217617592664</v>
      </c>
      <c r="AE103" s="932" t="s">
        <v>2197</v>
      </c>
      <c r="AF103" s="927">
        <v>-5.6538735579945293E-2</v>
      </c>
      <c r="AG103" s="924">
        <v>1.1307747115989059E-2</v>
      </c>
      <c r="AH103" s="923">
        <v>3.2967032967032965</v>
      </c>
      <c r="AI103" s="927">
        <v>2.2646521256050266E-3</v>
      </c>
      <c r="AJ103" s="927">
        <v>1.3572399241594086E-2</v>
      </c>
      <c r="AK103" s="933">
        <v>949.07</v>
      </c>
      <c r="AL103" s="933">
        <v>947.16</v>
      </c>
      <c r="AM103" s="930">
        <v>947.83698000000004</v>
      </c>
      <c r="AN103" s="930">
        <v>945.9171225</v>
      </c>
      <c r="AO103" s="934">
        <v>947.63697999999999</v>
      </c>
      <c r="AP103" s="934">
        <v>945.71712249999996</v>
      </c>
      <c r="AQ103" s="923">
        <v>947.67010400000004</v>
      </c>
      <c r="AR103" s="923">
        <v>945.7502465</v>
      </c>
      <c r="AS103" s="923">
        <v>947.73809110901436</v>
      </c>
      <c r="AT103" s="923">
        <v>945.81823360901433</v>
      </c>
      <c r="AU103" s="923">
        <v>1.2330200000000104</v>
      </c>
      <c r="AV103" s="923">
        <v>1.2428774999999632</v>
      </c>
      <c r="AW103" s="923">
        <v>1.4330200000000559</v>
      </c>
      <c r="AX103" s="923">
        <v>1.4428775000000087</v>
      </c>
      <c r="AY103" s="923">
        <v>1.999999999998181E-2</v>
      </c>
      <c r="AZ103" s="923" t="s">
        <v>2187</v>
      </c>
      <c r="BA103" s="935" t="s">
        <v>2188</v>
      </c>
      <c r="BB103" s="935" t="s">
        <v>2189</v>
      </c>
      <c r="BC103" s="935" t="s">
        <v>2190</v>
      </c>
      <c r="BD103" s="935" t="s">
        <v>2191</v>
      </c>
      <c r="BE103" s="935" t="s">
        <v>2191</v>
      </c>
      <c r="BF103" s="946"/>
      <c r="BH103" s="937"/>
      <c r="BI103" s="894" t="str">
        <f t="shared" ref="BI103:BJ114" si="275">A103</f>
        <v>PZ-86</v>
      </c>
      <c r="BJ103" s="894" t="str">
        <f t="shared" si="275"/>
        <v>PZ-87</v>
      </c>
      <c r="BK103" s="938">
        <f t="shared" si="239"/>
        <v>85.33</v>
      </c>
      <c r="BL103" s="938">
        <f t="shared" si="240"/>
        <v>83.73</v>
      </c>
      <c r="BM103" s="895">
        <f t="shared" si="241"/>
        <v>8</v>
      </c>
      <c r="BN103" s="938">
        <f t="shared" si="242"/>
        <v>84.13</v>
      </c>
      <c r="BO103" s="700">
        <f t="shared" si="207"/>
        <v>0.6</v>
      </c>
      <c r="BP103" s="938">
        <f t="shared" si="243"/>
        <v>1.43</v>
      </c>
      <c r="BQ103" s="938">
        <f t="shared" si="244"/>
        <v>1.44</v>
      </c>
      <c r="BR103" s="938">
        <f t="shared" si="245"/>
        <v>1.54</v>
      </c>
      <c r="BS103" s="938">
        <f t="shared" si="246"/>
        <v>77.37</v>
      </c>
      <c r="BT103" s="938">
        <f t="shared" si="247"/>
        <v>128.9442</v>
      </c>
      <c r="BU103" s="938">
        <f t="shared" si="208"/>
        <v>0</v>
      </c>
      <c r="BV103" s="938">
        <f t="shared" si="248"/>
        <v>0</v>
      </c>
      <c r="BW103" s="938">
        <f t="shared" si="168"/>
        <v>0</v>
      </c>
      <c r="BX103" s="938">
        <f t="shared" si="169"/>
        <v>61.9</v>
      </c>
      <c r="BY103" s="938">
        <f t="shared" si="181"/>
        <v>13.15</v>
      </c>
      <c r="BZ103" s="938">
        <f t="shared" si="209"/>
        <v>2.3199999999999998</v>
      </c>
      <c r="CA103" s="938">
        <f t="shared" si="249"/>
        <v>2.72</v>
      </c>
      <c r="CB103" s="938">
        <f t="shared" si="250"/>
        <v>50.24</v>
      </c>
      <c r="CC103" s="938" t="s">
        <v>2192</v>
      </c>
      <c r="CD103" s="938">
        <f t="shared" si="251"/>
        <v>0</v>
      </c>
      <c r="CE103" s="938">
        <f t="shared" si="252"/>
        <v>0</v>
      </c>
      <c r="CF103" s="938">
        <f t="shared" si="253"/>
        <v>0</v>
      </c>
      <c r="CG103" s="938">
        <f t="shared" si="254"/>
        <v>0</v>
      </c>
      <c r="CH103" s="938">
        <v>0.3</v>
      </c>
      <c r="CI103" s="938">
        <f t="shared" si="255"/>
        <v>0</v>
      </c>
      <c r="CJ103" s="938">
        <f t="shared" si="256"/>
        <v>0</v>
      </c>
      <c r="CK103" s="938">
        <f t="shared" si="257"/>
        <v>69.63</v>
      </c>
      <c r="CL103" s="938">
        <f t="shared" si="258"/>
        <v>0.1</v>
      </c>
      <c r="CM103" s="938">
        <f t="shared" si="259"/>
        <v>5.0199999999999996</v>
      </c>
      <c r="CN103" s="938">
        <f t="shared" si="193"/>
        <v>20.23</v>
      </c>
      <c r="CO103" s="938">
        <f t="shared" si="194"/>
        <v>49.4</v>
      </c>
      <c r="CP103" s="938">
        <f t="shared" si="260"/>
        <v>27.97</v>
      </c>
      <c r="CQ103" s="936"/>
      <c r="CS103" s="980">
        <f t="shared" si="196"/>
        <v>8</v>
      </c>
      <c r="CT103" s="702">
        <f t="shared" si="197"/>
        <v>200</v>
      </c>
      <c r="CU103" s="895">
        <v>1</v>
      </c>
      <c r="CV103" s="938">
        <v>36</v>
      </c>
      <c r="CW103" s="938">
        <f t="shared" si="210"/>
        <v>36</v>
      </c>
      <c r="CX103" s="938">
        <f t="shared" si="198"/>
        <v>0.6</v>
      </c>
      <c r="CY103" s="938">
        <f t="shared" si="211"/>
        <v>1.27</v>
      </c>
      <c r="CZ103" s="938">
        <f t="shared" si="212"/>
        <v>27.43</v>
      </c>
      <c r="DA103" s="938">
        <f t="shared" si="213"/>
        <v>0</v>
      </c>
      <c r="DB103" s="938">
        <f t="shared" si="214"/>
        <v>0</v>
      </c>
      <c r="DC103" s="938">
        <f t="shared" si="215"/>
        <v>0</v>
      </c>
      <c r="DD103" s="938">
        <f t="shared" si="216"/>
        <v>0.66</v>
      </c>
      <c r="DE103" s="938">
        <f t="shared" si="217"/>
        <v>21.6</v>
      </c>
      <c r="DF103" s="938" t="str">
        <f t="shared" si="218"/>
        <v>D</v>
      </c>
      <c r="DG103" s="938">
        <f t="shared" si="219"/>
        <v>0</v>
      </c>
      <c r="DH103" s="938">
        <f t="shared" si="220"/>
        <v>0</v>
      </c>
      <c r="DI103" s="938">
        <f t="shared" si="221"/>
        <v>0</v>
      </c>
      <c r="DJ103" s="938">
        <f t="shared" si="222"/>
        <v>0</v>
      </c>
      <c r="DK103" s="938">
        <v>38.299999999999997</v>
      </c>
      <c r="DL103" s="938">
        <f t="shared" si="223"/>
        <v>0</v>
      </c>
      <c r="DM103" s="938">
        <f t="shared" si="224"/>
        <v>0</v>
      </c>
      <c r="DN103" s="938">
        <f t="shared" si="225"/>
        <v>24.61</v>
      </c>
      <c r="DO103" s="938">
        <f t="shared" si="226"/>
        <v>0.1</v>
      </c>
      <c r="DP103" s="938">
        <f t="shared" si="227"/>
        <v>2.16</v>
      </c>
      <c r="DQ103" s="938">
        <f t="shared" si="228"/>
        <v>4.92</v>
      </c>
      <c r="DR103" s="938">
        <f t="shared" si="229"/>
        <v>19.690000000000001</v>
      </c>
      <c r="DS103" s="938">
        <f t="shared" si="230"/>
        <v>7.08</v>
      </c>
      <c r="DU103" s="937" t="str">
        <f t="shared" si="199"/>
        <v>PZ-86</v>
      </c>
      <c r="DV103" s="938">
        <f t="shared" ref="DV103:DV114" si="276">+BP103+0.2</f>
        <v>1.63</v>
      </c>
      <c r="DW103" s="938">
        <v>1.2</v>
      </c>
      <c r="DX103" s="938">
        <v>1.6</v>
      </c>
      <c r="DY103" s="938">
        <f t="shared" ref="DY103:DY114" si="277">+((PI()*DX103^2)/4)*DV103*-1</f>
        <v>-3.2773094562248724</v>
      </c>
      <c r="DZ103" s="938">
        <v>1.6</v>
      </c>
      <c r="EA103" s="938">
        <v>1.6</v>
      </c>
      <c r="EB103" s="938">
        <f t="shared" ref="EB103:EB114" si="278">+(DZ103*EA103*DV103)</f>
        <v>4.1728000000000005</v>
      </c>
      <c r="EC103" s="938">
        <f t="shared" ref="EC103:EC114" si="279">+EB103+DY103</f>
        <v>0.89549054377512816</v>
      </c>
      <c r="ED103" s="938">
        <f t="shared" ref="ED103:ED114" si="280">+EC103*0.55</f>
        <v>0.49251979907632054</v>
      </c>
      <c r="EE103" s="938">
        <f t="shared" ref="EE103:EE114" si="281">+EC103*0.45</f>
        <v>0.40297074469880767</v>
      </c>
      <c r="EF103" s="938">
        <f t="shared" ref="EF103:EF114" si="282">+ED103</f>
        <v>0.49251979907632054</v>
      </c>
    </row>
    <row r="104" spans="1:136">
      <c r="A104" s="979" t="s">
        <v>2338</v>
      </c>
      <c r="B104" s="920" t="s">
        <v>2339</v>
      </c>
      <c r="C104" s="1294">
        <v>44.555</v>
      </c>
      <c r="D104" s="921">
        <v>124.357</v>
      </c>
      <c r="E104" s="921">
        <v>168.91200000000001</v>
      </c>
      <c r="F104" s="922">
        <v>1.4999999999999999E-2</v>
      </c>
      <c r="G104" s="923">
        <v>1.5</v>
      </c>
      <c r="H104" s="924">
        <v>1.5E-3</v>
      </c>
      <c r="I104" s="925">
        <v>0.15262035686230399</v>
      </c>
      <c r="J104" s="926">
        <v>0.1515</v>
      </c>
      <c r="K104" s="927">
        <v>3.9857681459601939E-2</v>
      </c>
      <c r="L104" s="923">
        <v>1.5692000574583664</v>
      </c>
      <c r="M104" s="928">
        <v>8</v>
      </c>
      <c r="N104" s="927">
        <v>0.2</v>
      </c>
      <c r="O104" s="927">
        <v>0.182</v>
      </c>
      <c r="P104" s="923">
        <v>8.6124494527397705E-2</v>
      </c>
      <c r="Q104" s="923">
        <v>3.3104955855929439</v>
      </c>
      <c r="R104" s="923">
        <v>0.02</v>
      </c>
      <c r="S104" s="927">
        <v>0.36199999999999999</v>
      </c>
      <c r="T104" s="929">
        <v>0.124</v>
      </c>
      <c r="U104" s="927">
        <v>0.315</v>
      </c>
      <c r="V104" s="930">
        <v>1.1983994019846456</v>
      </c>
      <c r="W104" s="927">
        <v>7.3198834183341291E-2</v>
      </c>
      <c r="X104" s="927">
        <v>1.43325E-2</v>
      </c>
      <c r="Y104" s="927">
        <v>2.2567999999999998E-2</v>
      </c>
      <c r="Z104" s="927">
        <v>9.5766834183341282E-2</v>
      </c>
      <c r="AA104" s="931">
        <v>6.7000000000000004E-2</v>
      </c>
      <c r="AB104" s="923">
        <v>1.2194E-2</v>
      </c>
      <c r="AC104" s="923">
        <v>21.301176487500001</v>
      </c>
      <c r="AD104" s="923">
        <v>3.4649261654030217</v>
      </c>
      <c r="AE104" s="932" t="s">
        <v>2197</v>
      </c>
      <c r="AF104" s="927">
        <v>5.6175159461213403E-2</v>
      </c>
      <c r="AG104" s="924">
        <v>5.617515946121341E-3</v>
      </c>
      <c r="AH104" s="923">
        <v>3.2967032967032965</v>
      </c>
      <c r="AI104" s="927">
        <v>2.2555627226367296E-3</v>
      </c>
      <c r="AJ104" s="927">
        <v>7.8730786687580701E-3</v>
      </c>
      <c r="AK104" s="933">
        <v>947.16</v>
      </c>
      <c r="AL104" s="933">
        <v>940.36</v>
      </c>
      <c r="AM104" s="930">
        <v>945.89712250000002</v>
      </c>
      <c r="AN104" s="930">
        <v>939.14704000000006</v>
      </c>
      <c r="AO104" s="934">
        <v>945.69712249999998</v>
      </c>
      <c r="AP104" s="934">
        <v>938.94704000000002</v>
      </c>
      <c r="AQ104" s="923">
        <v>945.71969049999996</v>
      </c>
      <c r="AR104" s="923">
        <v>938.96960799999999</v>
      </c>
      <c r="AS104" s="923">
        <v>945.80466120977269</v>
      </c>
      <c r="AT104" s="923">
        <v>939.05457870977273</v>
      </c>
      <c r="AU104" s="923">
        <v>1.262877499999945</v>
      </c>
      <c r="AV104" s="923">
        <v>1.2129599999999527</v>
      </c>
      <c r="AW104" s="923">
        <v>1.4628774999999905</v>
      </c>
      <c r="AX104" s="923">
        <v>1.4129599999999982</v>
      </c>
      <c r="AY104" s="923">
        <v>1.999999999998181E-2</v>
      </c>
      <c r="AZ104" s="923" t="s">
        <v>2187</v>
      </c>
      <c r="BA104" s="935" t="s">
        <v>2188</v>
      </c>
      <c r="BB104" s="935" t="s">
        <v>2189</v>
      </c>
      <c r="BC104" s="935" t="s">
        <v>2198</v>
      </c>
      <c r="BD104" s="935" t="s">
        <v>2191</v>
      </c>
      <c r="BE104" s="935" t="s">
        <v>2191</v>
      </c>
      <c r="BF104" s="946"/>
      <c r="BH104" s="937"/>
      <c r="BI104" s="894" t="str">
        <f t="shared" si="275"/>
        <v>PZ-87</v>
      </c>
      <c r="BJ104" s="894" t="str">
        <f t="shared" si="275"/>
        <v>PZ-88</v>
      </c>
      <c r="BK104" s="938">
        <f t="shared" si="239"/>
        <v>44.56</v>
      </c>
      <c r="BL104" s="938">
        <f t="shared" si="240"/>
        <v>42.96</v>
      </c>
      <c r="BM104" s="895">
        <f t="shared" si="241"/>
        <v>8</v>
      </c>
      <c r="BN104" s="938">
        <f t="shared" si="242"/>
        <v>43.36</v>
      </c>
      <c r="BO104" s="700">
        <f t="shared" si="207"/>
        <v>0.6</v>
      </c>
      <c r="BP104" s="938">
        <f t="shared" si="243"/>
        <v>1.46</v>
      </c>
      <c r="BQ104" s="938">
        <f t="shared" si="244"/>
        <v>1.41</v>
      </c>
      <c r="BR104" s="938">
        <f t="shared" si="245"/>
        <v>1.54</v>
      </c>
      <c r="BS104" s="938">
        <f t="shared" si="246"/>
        <v>39.700000000000003</v>
      </c>
      <c r="BT104" s="938">
        <f t="shared" si="247"/>
        <v>66.1584</v>
      </c>
      <c r="BU104" s="938">
        <f t="shared" si="208"/>
        <v>0</v>
      </c>
      <c r="BV104" s="938">
        <f t="shared" si="248"/>
        <v>0</v>
      </c>
      <c r="BW104" s="938">
        <f t="shared" si="168"/>
        <v>0</v>
      </c>
      <c r="BX104" s="938">
        <f t="shared" si="169"/>
        <v>31.76</v>
      </c>
      <c r="BY104" s="938">
        <f t="shared" si="181"/>
        <v>6.75</v>
      </c>
      <c r="BZ104" s="938">
        <f t="shared" si="209"/>
        <v>1.19</v>
      </c>
      <c r="CA104" s="938">
        <f t="shared" si="249"/>
        <v>1.39</v>
      </c>
      <c r="CB104" s="938">
        <f t="shared" si="250"/>
        <v>25.78</v>
      </c>
      <c r="CC104" s="938" t="s">
        <v>2192</v>
      </c>
      <c r="CD104" s="938">
        <f t="shared" si="251"/>
        <v>0</v>
      </c>
      <c r="CE104" s="938">
        <f t="shared" si="252"/>
        <v>0</v>
      </c>
      <c r="CF104" s="938">
        <f t="shared" si="253"/>
        <v>0</v>
      </c>
      <c r="CG104" s="938">
        <f t="shared" si="254"/>
        <v>0</v>
      </c>
      <c r="CH104" s="938">
        <v>0.3</v>
      </c>
      <c r="CI104" s="938">
        <f t="shared" si="255"/>
        <v>0</v>
      </c>
      <c r="CJ104" s="938">
        <f t="shared" si="256"/>
        <v>0</v>
      </c>
      <c r="CK104" s="938">
        <f t="shared" si="257"/>
        <v>35.729999999999997</v>
      </c>
      <c r="CL104" s="938">
        <f t="shared" si="258"/>
        <v>0.1</v>
      </c>
      <c r="CM104" s="938">
        <f t="shared" si="259"/>
        <v>2.58</v>
      </c>
      <c r="CN104" s="938">
        <f t="shared" si="193"/>
        <v>10.38</v>
      </c>
      <c r="CO104" s="938">
        <f t="shared" si="194"/>
        <v>25.35</v>
      </c>
      <c r="CP104" s="938">
        <f t="shared" si="260"/>
        <v>14.35</v>
      </c>
      <c r="CQ104" s="936"/>
      <c r="CS104" s="980">
        <f t="shared" si="196"/>
        <v>8</v>
      </c>
      <c r="CT104" s="702">
        <f t="shared" si="197"/>
        <v>200</v>
      </c>
      <c r="CU104" s="895">
        <v>0</v>
      </c>
      <c r="CV104" s="938">
        <v>0</v>
      </c>
      <c r="CW104" s="938">
        <f t="shared" si="210"/>
        <v>0</v>
      </c>
      <c r="CX104" s="938">
        <f t="shared" si="198"/>
        <v>0.6</v>
      </c>
      <c r="CY104" s="938">
        <f t="shared" si="211"/>
        <v>1.27</v>
      </c>
      <c r="CZ104" s="938">
        <f t="shared" si="212"/>
        <v>0</v>
      </c>
      <c r="DA104" s="938">
        <f t="shared" si="213"/>
        <v>0</v>
      </c>
      <c r="DB104" s="938">
        <f t="shared" si="214"/>
        <v>0</v>
      </c>
      <c r="DC104" s="938">
        <f t="shared" si="215"/>
        <v>0</v>
      </c>
      <c r="DD104" s="938">
        <f t="shared" si="216"/>
        <v>0</v>
      </c>
      <c r="DE104" s="938">
        <f t="shared" si="217"/>
        <v>0</v>
      </c>
      <c r="DF104" s="938" t="str">
        <f t="shared" si="218"/>
        <v>D</v>
      </c>
      <c r="DG104" s="938">
        <f t="shared" si="219"/>
        <v>0</v>
      </c>
      <c r="DH104" s="938">
        <f t="shared" si="220"/>
        <v>0</v>
      </c>
      <c r="DI104" s="938">
        <f t="shared" si="221"/>
        <v>0</v>
      </c>
      <c r="DJ104" s="938">
        <f t="shared" si="222"/>
        <v>0</v>
      </c>
      <c r="DK104" s="938">
        <v>39.299999999999997</v>
      </c>
      <c r="DL104" s="938">
        <f t="shared" si="223"/>
        <v>0</v>
      </c>
      <c r="DM104" s="938">
        <f t="shared" si="224"/>
        <v>0</v>
      </c>
      <c r="DN104" s="938">
        <f t="shared" si="225"/>
        <v>0</v>
      </c>
      <c r="DO104" s="938">
        <f t="shared" si="226"/>
        <v>0.1</v>
      </c>
      <c r="DP104" s="938">
        <f t="shared" si="227"/>
        <v>0</v>
      </c>
      <c r="DQ104" s="938">
        <f t="shared" si="228"/>
        <v>0</v>
      </c>
      <c r="DR104" s="938">
        <f t="shared" si="229"/>
        <v>0</v>
      </c>
      <c r="DS104" s="938">
        <f t="shared" si="230"/>
        <v>0</v>
      </c>
      <c r="DU104" s="937" t="str">
        <f t="shared" si="199"/>
        <v>PZ-87</v>
      </c>
      <c r="DV104" s="938">
        <f t="shared" si="276"/>
        <v>1.66</v>
      </c>
      <c r="DW104" s="938">
        <v>1.2</v>
      </c>
      <c r="DX104" s="938">
        <v>1.6</v>
      </c>
      <c r="DY104" s="938">
        <f t="shared" si="277"/>
        <v>-3.3376280351737964</v>
      </c>
      <c r="DZ104" s="938">
        <v>1.6</v>
      </c>
      <c r="EA104" s="938">
        <v>1.6</v>
      </c>
      <c r="EB104" s="938">
        <f t="shared" si="278"/>
        <v>4.2496000000000009</v>
      </c>
      <c r="EC104" s="938">
        <f t="shared" si="279"/>
        <v>0.91197196482620457</v>
      </c>
      <c r="ED104" s="938">
        <f t="shared" si="280"/>
        <v>0.50158458065441258</v>
      </c>
      <c r="EE104" s="938">
        <f t="shared" si="281"/>
        <v>0.41038738417179205</v>
      </c>
      <c r="EF104" s="938">
        <f t="shared" si="282"/>
        <v>0.50158458065441258</v>
      </c>
    </row>
    <row r="105" spans="1:136">
      <c r="A105" s="979" t="s">
        <v>2339</v>
      </c>
      <c r="B105" s="920" t="s">
        <v>2340</v>
      </c>
      <c r="C105" s="1294">
        <v>47.281999999999996</v>
      </c>
      <c r="D105" s="921">
        <v>168.91200000000001</v>
      </c>
      <c r="E105" s="921">
        <v>216.19400000000002</v>
      </c>
      <c r="F105" s="922">
        <v>1.4999999999999999E-2</v>
      </c>
      <c r="G105" s="923">
        <v>1.5</v>
      </c>
      <c r="H105" s="924">
        <v>1.5E-3</v>
      </c>
      <c r="I105" s="925">
        <v>0.12013028213696679</v>
      </c>
      <c r="J105" s="926">
        <v>0.12</v>
      </c>
      <c r="K105" s="927">
        <v>4.1638293009756154E-2</v>
      </c>
      <c r="L105" s="923">
        <v>1.6393028743932911</v>
      </c>
      <c r="M105" s="928">
        <v>8</v>
      </c>
      <c r="N105" s="927">
        <v>0.2</v>
      </c>
      <c r="O105" s="927">
        <v>0.182</v>
      </c>
      <c r="P105" s="923">
        <v>7.6649794107438274E-2</v>
      </c>
      <c r="Q105" s="923">
        <v>2.9463024012124741</v>
      </c>
      <c r="R105" s="923">
        <v>0.02</v>
      </c>
      <c r="S105" s="927">
        <v>0.36199999999999999</v>
      </c>
      <c r="T105" s="929">
        <v>0.124</v>
      </c>
      <c r="U105" s="927">
        <v>0.315</v>
      </c>
      <c r="V105" s="930">
        <v>1.0665614692389156</v>
      </c>
      <c r="W105" s="927">
        <v>5.7979274600666368E-2</v>
      </c>
      <c r="X105" s="927">
        <v>1.43325E-2</v>
      </c>
      <c r="Y105" s="927">
        <v>2.2567999999999998E-2</v>
      </c>
      <c r="Z105" s="927">
        <v>8.0547274600666366E-2</v>
      </c>
      <c r="AA105" s="931">
        <v>6.7000000000000004E-2</v>
      </c>
      <c r="AB105" s="923">
        <v>1.2194E-2</v>
      </c>
      <c r="AC105" s="923">
        <v>16.872219000000001</v>
      </c>
      <c r="AD105" s="923">
        <v>3.0837438133367474</v>
      </c>
      <c r="AE105" s="932" t="s">
        <v>2197</v>
      </c>
      <c r="AF105" s="927">
        <v>-1.5219559582674923E-2</v>
      </c>
      <c r="AG105" s="924">
        <v>3.0439119165349849E-3</v>
      </c>
      <c r="AH105" s="923">
        <v>3.2967032967032965</v>
      </c>
      <c r="AI105" s="927">
        <v>3.2794527196001915E-3</v>
      </c>
      <c r="AJ105" s="927">
        <v>6.3233646361351764E-3</v>
      </c>
      <c r="AK105" s="933">
        <v>940.36</v>
      </c>
      <c r="AL105" s="933">
        <v>934.68</v>
      </c>
      <c r="AM105" s="930">
        <v>939.12704000000008</v>
      </c>
      <c r="AN105" s="930">
        <v>933.45320000000004</v>
      </c>
      <c r="AO105" s="934">
        <v>938.92704000000003</v>
      </c>
      <c r="AP105" s="934">
        <v>933.25319999999999</v>
      </c>
      <c r="AQ105" s="923">
        <v>938.94960800000001</v>
      </c>
      <c r="AR105" s="923">
        <v>933.27576799999997</v>
      </c>
      <c r="AS105" s="923">
        <v>939.04670563110392</v>
      </c>
      <c r="AT105" s="923">
        <v>933.37286563110388</v>
      </c>
      <c r="AU105" s="923">
        <v>1.2329599999999346</v>
      </c>
      <c r="AV105" s="923">
        <v>1.226799999999912</v>
      </c>
      <c r="AW105" s="923">
        <v>1.43295999999998</v>
      </c>
      <c r="AX105" s="923">
        <v>1.4267999999999574</v>
      </c>
      <c r="AY105" s="923">
        <v>1.999999999998181E-2</v>
      </c>
      <c r="AZ105" s="923" t="s">
        <v>2187</v>
      </c>
      <c r="BA105" s="935" t="s">
        <v>2188</v>
      </c>
      <c r="BB105" s="935" t="s">
        <v>2189</v>
      </c>
      <c r="BC105" s="935" t="s">
        <v>2198</v>
      </c>
      <c r="BD105" s="935" t="s">
        <v>2191</v>
      </c>
      <c r="BE105" s="935" t="s">
        <v>2191</v>
      </c>
      <c r="BF105" s="946"/>
      <c r="BH105" s="937"/>
      <c r="BI105" s="894" t="str">
        <f t="shared" si="275"/>
        <v>PZ-88</v>
      </c>
      <c r="BJ105" s="894" t="str">
        <f t="shared" si="275"/>
        <v>PZ-89</v>
      </c>
      <c r="BK105" s="938">
        <f t="shared" si="239"/>
        <v>47.28</v>
      </c>
      <c r="BL105" s="938">
        <f t="shared" si="240"/>
        <v>45.68</v>
      </c>
      <c r="BM105" s="895">
        <f t="shared" si="241"/>
        <v>8</v>
      </c>
      <c r="BN105" s="938">
        <f t="shared" si="242"/>
        <v>46.08</v>
      </c>
      <c r="BO105" s="700">
        <f t="shared" si="207"/>
        <v>0.6</v>
      </c>
      <c r="BP105" s="938">
        <f t="shared" si="243"/>
        <v>1.43</v>
      </c>
      <c r="BQ105" s="938">
        <f t="shared" si="244"/>
        <v>1.43</v>
      </c>
      <c r="BR105" s="938">
        <f t="shared" si="245"/>
        <v>1.53</v>
      </c>
      <c r="BS105" s="938">
        <f t="shared" si="246"/>
        <v>41.93</v>
      </c>
      <c r="BT105" s="938">
        <f t="shared" si="247"/>
        <v>69.8904</v>
      </c>
      <c r="BU105" s="938">
        <f t="shared" si="208"/>
        <v>0</v>
      </c>
      <c r="BV105" s="938">
        <f t="shared" si="248"/>
        <v>0</v>
      </c>
      <c r="BW105" s="938">
        <f t="shared" si="168"/>
        <v>0</v>
      </c>
      <c r="BX105" s="938">
        <f t="shared" si="169"/>
        <v>33.54</v>
      </c>
      <c r="BY105" s="938">
        <f t="shared" si="181"/>
        <v>7.13</v>
      </c>
      <c r="BZ105" s="938">
        <f t="shared" si="209"/>
        <v>1.26</v>
      </c>
      <c r="CA105" s="938">
        <f t="shared" si="249"/>
        <v>1.48</v>
      </c>
      <c r="CB105" s="938">
        <f t="shared" si="250"/>
        <v>27.41</v>
      </c>
      <c r="CC105" s="938" t="s">
        <v>2192</v>
      </c>
      <c r="CD105" s="938">
        <f t="shared" si="251"/>
        <v>0</v>
      </c>
      <c r="CE105" s="938">
        <f t="shared" si="252"/>
        <v>0</v>
      </c>
      <c r="CF105" s="938">
        <f t="shared" si="253"/>
        <v>0</v>
      </c>
      <c r="CG105" s="938">
        <f t="shared" si="254"/>
        <v>0</v>
      </c>
      <c r="CH105" s="938">
        <v>0.3</v>
      </c>
      <c r="CI105" s="938">
        <f t="shared" si="255"/>
        <v>0</v>
      </c>
      <c r="CJ105" s="938">
        <f t="shared" si="256"/>
        <v>0</v>
      </c>
      <c r="CK105" s="938">
        <f t="shared" si="257"/>
        <v>37.71</v>
      </c>
      <c r="CL105" s="938">
        <f t="shared" si="258"/>
        <v>0.1</v>
      </c>
      <c r="CM105" s="938">
        <f t="shared" si="259"/>
        <v>2.74</v>
      </c>
      <c r="CN105" s="938">
        <f t="shared" si="193"/>
        <v>10.95</v>
      </c>
      <c r="CO105" s="938">
        <f t="shared" si="194"/>
        <v>26.76</v>
      </c>
      <c r="CP105" s="938">
        <f t="shared" si="260"/>
        <v>15.17</v>
      </c>
      <c r="CQ105" s="936"/>
      <c r="CS105" s="980">
        <f t="shared" si="196"/>
        <v>8</v>
      </c>
      <c r="CT105" s="702">
        <f t="shared" si="197"/>
        <v>200</v>
      </c>
      <c r="CU105" s="895">
        <v>2</v>
      </c>
      <c r="CV105" s="938">
        <v>19.7</v>
      </c>
      <c r="CW105" s="938">
        <f t="shared" si="210"/>
        <v>39.4</v>
      </c>
      <c r="CX105" s="938">
        <f t="shared" si="198"/>
        <v>0.6</v>
      </c>
      <c r="CY105" s="938">
        <f t="shared" si="211"/>
        <v>1.27</v>
      </c>
      <c r="CZ105" s="938">
        <f t="shared" si="212"/>
        <v>30.02</v>
      </c>
      <c r="DA105" s="938">
        <f t="shared" si="213"/>
        <v>0</v>
      </c>
      <c r="DB105" s="938">
        <f t="shared" si="214"/>
        <v>0</v>
      </c>
      <c r="DC105" s="938">
        <f t="shared" si="215"/>
        <v>0</v>
      </c>
      <c r="DD105" s="938">
        <f t="shared" si="216"/>
        <v>0.72</v>
      </c>
      <c r="DE105" s="938">
        <f t="shared" si="217"/>
        <v>23.64</v>
      </c>
      <c r="DF105" s="938" t="str">
        <f t="shared" si="218"/>
        <v>D</v>
      </c>
      <c r="DG105" s="938">
        <f t="shared" si="219"/>
        <v>0</v>
      </c>
      <c r="DH105" s="938">
        <f t="shared" si="220"/>
        <v>0</v>
      </c>
      <c r="DI105" s="938">
        <f t="shared" si="221"/>
        <v>0</v>
      </c>
      <c r="DJ105" s="938">
        <f t="shared" si="222"/>
        <v>0</v>
      </c>
      <c r="DK105" s="938">
        <v>40.299999999999997</v>
      </c>
      <c r="DL105" s="938">
        <f t="shared" si="223"/>
        <v>0</v>
      </c>
      <c r="DM105" s="938">
        <f t="shared" si="224"/>
        <v>0</v>
      </c>
      <c r="DN105" s="938">
        <f t="shared" si="225"/>
        <v>26.94</v>
      </c>
      <c r="DO105" s="938">
        <f t="shared" si="226"/>
        <v>0.1</v>
      </c>
      <c r="DP105" s="938">
        <f t="shared" si="227"/>
        <v>2.3640000000000003</v>
      </c>
      <c r="DQ105" s="938">
        <f t="shared" si="228"/>
        <v>5.39</v>
      </c>
      <c r="DR105" s="938">
        <f t="shared" si="229"/>
        <v>21.55</v>
      </c>
      <c r="DS105" s="938">
        <f t="shared" si="230"/>
        <v>7.75</v>
      </c>
      <c r="DU105" s="937" t="str">
        <f t="shared" si="199"/>
        <v>PZ-88</v>
      </c>
      <c r="DV105" s="938">
        <f t="shared" si="276"/>
        <v>1.63</v>
      </c>
      <c r="DW105" s="938">
        <v>1.2</v>
      </c>
      <c r="DX105" s="938">
        <v>1.6</v>
      </c>
      <c r="DY105" s="938">
        <f t="shared" si="277"/>
        <v>-3.2773094562248724</v>
      </c>
      <c r="DZ105" s="938">
        <v>1.6</v>
      </c>
      <c r="EA105" s="938">
        <v>1.6</v>
      </c>
      <c r="EB105" s="938">
        <f t="shared" si="278"/>
        <v>4.1728000000000005</v>
      </c>
      <c r="EC105" s="938">
        <f t="shared" si="279"/>
        <v>0.89549054377512816</v>
      </c>
      <c r="ED105" s="938">
        <f t="shared" si="280"/>
        <v>0.49251979907632054</v>
      </c>
      <c r="EE105" s="938">
        <f t="shared" si="281"/>
        <v>0.40297074469880767</v>
      </c>
      <c r="EF105" s="938">
        <f t="shared" si="282"/>
        <v>0.49251979907632054</v>
      </c>
    </row>
    <row r="106" spans="1:136">
      <c r="A106" s="979" t="s">
        <v>2340</v>
      </c>
      <c r="B106" s="920" t="s">
        <v>2341</v>
      </c>
      <c r="C106" s="1294">
        <v>27.338999999999999</v>
      </c>
      <c r="D106" s="921">
        <v>216.19400000000002</v>
      </c>
      <c r="E106" s="921">
        <v>243.53300000000002</v>
      </c>
      <c r="F106" s="922">
        <v>1.4999999999999999E-2</v>
      </c>
      <c r="G106" s="923">
        <v>1.62</v>
      </c>
      <c r="H106" s="924">
        <v>1.6200000000000001E-3</v>
      </c>
      <c r="I106" s="925">
        <v>3.4748893522072201E-2</v>
      </c>
      <c r="J106" s="926">
        <v>3.3500000000000002E-2</v>
      </c>
      <c r="K106" s="927">
        <v>5.4441164676671164E-2</v>
      </c>
      <c r="L106" s="923">
        <v>2.1433529400178504</v>
      </c>
      <c r="M106" s="928">
        <v>8</v>
      </c>
      <c r="N106" s="927">
        <v>0.2</v>
      </c>
      <c r="O106" s="927">
        <v>0.182</v>
      </c>
      <c r="P106" s="923">
        <v>4.0498857636139446E-2</v>
      </c>
      <c r="Q106" s="923">
        <v>1.5567149643281368</v>
      </c>
      <c r="R106" s="923">
        <v>0.04</v>
      </c>
      <c r="S106" s="927">
        <v>0.42699999999999999</v>
      </c>
      <c r="T106" s="929">
        <v>0.16500000000000001</v>
      </c>
      <c r="U106" s="927">
        <v>0.41</v>
      </c>
      <c r="V106" s="930">
        <v>0.66471728976811439</v>
      </c>
      <c r="W106" s="927">
        <v>2.2520340230207304E-2</v>
      </c>
      <c r="X106" s="927">
        <v>1.8654999999999998E-2</v>
      </c>
      <c r="Y106" s="927">
        <v>3.0030000000000001E-2</v>
      </c>
      <c r="Z106" s="927">
        <v>5.2550340230207306E-2</v>
      </c>
      <c r="AA106" s="931">
        <v>0.10199999999999999</v>
      </c>
      <c r="AB106" s="923">
        <v>1.8563999999999997E-2</v>
      </c>
      <c r="AC106" s="923">
        <v>6.1306859249999999</v>
      </c>
      <c r="AD106" s="923">
        <v>1.5576385667313097</v>
      </c>
      <c r="AE106" s="932" t="s">
        <v>2197</v>
      </c>
      <c r="AF106" s="927">
        <v>-3.5458934370459064E-2</v>
      </c>
      <c r="AG106" s="924">
        <v>7.0917868740918129E-3</v>
      </c>
      <c r="AH106" s="923">
        <v>3.2967032967032965</v>
      </c>
      <c r="AI106" s="927">
        <v>2.0124903707718421E-3</v>
      </c>
      <c r="AJ106" s="927">
        <v>9.1042772448636546E-3</v>
      </c>
      <c r="AK106" s="933">
        <v>934.68</v>
      </c>
      <c r="AL106" s="933">
        <v>933.73</v>
      </c>
      <c r="AM106" s="930">
        <v>933.43320000000006</v>
      </c>
      <c r="AN106" s="930">
        <v>932.51734350000004</v>
      </c>
      <c r="AO106" s="934">
        <v>933.23320000000001</v>
      </c>
      <c r="AP106" s="934">
        <v>932.31734349999999</v>
      </c>
      <c r="AQ106" s="923">
        <v>933.26323000000002</v>
      </c>
      <c r="AR106" s="923">
        <v>932.3473735</v>
      </c>
      <c r="AS106" s="923">
        <v>933.36654226646772</v>
      </c>
      <c r="AT106" s="923">
        <v>932.4506857664677</v>
      </c>
      <c r="AU106" s="923">
        <v>1.2467999999998938</v>
      </c>
      <c r="AV106" s="923">
        <v>1.21265649999998</v>
      </c>
      <c r="AW106" s="923">
        <v>1.4467999999999392</v>
      </c>
      <c r="AX106" s="923">
        <v>1.4126565000000255</v>
      </c>
      <c r="AY106" s="923">
        <v>1.999999999998181E-2</v>
      </c>
      <c r="AZ106" s="923" t="s">
        <v>2187</v>
      </c>
      <c r="BA106" s="935" t="s">
        <v>2188</v>
      </c>
      <c r="BB106" s="935" t="s">
        <v>2189</v>
      </c>
      <c r="BC106" s="935" t="s">
        <v>2198</v>
      </c>
      <c r="BD106" s="935" t="s">
        <v>2191</v>
      </c>
      <c r="BE106" s="935" t="s">
        <v>2191</v>
      </c>
      <c r="BF106" s="946"/>
      <c r="BH106" s="937"/>
      <c r="BI106" s="894" t="str">
        <f t="shared" si="275"/>
        <v>PZ-89</v>
      </c>
      <c r="BJ106" s="894" t="str">
        <f t="shared" si="275"/>
        <v>PZ-90</v>
      </c>
      <c r="BK106" s="938">
        <f t="shared" si="239"/>
        <v>27.34</v>
      </c>
      <c r="BL106" s="938">
        <f t="shared" si="240"/>
        <v>25.74</v>
      </c>
      <c r="BM106" s="895">
        <f t="shared" si="241"/>
        <v>8</v>
      </c>
      <c r="BN106" s="938">
        <f t="shared" si="242"/>
        <v>26.14</v>
      </c>
      <c r="BO106" s="700">
        <f t="shared" si="207"/>
        <v>0.6</v>
      </c>
      <c r="BP106" s="938">
        <f t="shared" si="243"/>
        <v>1.45</v>
      </c>
      <c r="BQ106" s="938">
        <f t="shared" si="244"/>
        <v>1.41</v>
      </c>
      <c r="BR106" s="938">
        <f t="shared" si="245"/>
        <v>1.53</v>
      </c>
      <c r="BS106" s="938">
        <f t="shared" si="246"/>
        <v>23.63</v>
      </c>
      <c r="BT106" s="938">
        <f t="shared" si="247"/>
        <v>39.382199999999997</v>
      </c>
      <c r="BU106" s="938">
        <f t="shared" si="208"/>
        <v>0</v>
      </c>
      <c r="BV106" s="938">
        <f t="shared" si="248"/>
        <v>0</v>
      </c>
      <c r="BW106" s="938">
        <f t="shared" si="168"/>
        <v>0</v>
      </c>
      <c r="BX106" s="938">
        <f t="shared" si="169"/>
        <v>18.899999999999999</v>
      </c>
      <c r="BY106" s="938">
        <f t="shared" si="181"/>
        <v>4.0199999999999996</v>
      </c>
      <c r="BZ106" s="938">
        <f t="shared" si="209"/>
        <v>0.71</v>
      </c>
      <c r="CA106" s="938">
        <f t="shared" si="249"/>
        <v>0.83</v>
      </c>
      <c r="CB106" s="938">
        <f t="shared" si="250"/>
        <v>15.44</v>
      </c>
      <c r="CC106" s="938" t="s">
        <v>2192</v>
      </c>
      <c r="CD106" s="938">
        <f t="shared" si="251"/>
        <v>0</v>
      </c>
      <c r="CE106" s="938">
        <f t="shared" si="252"/>
        <v>0</v>
      </c>
      <c r="CF106" s="938">
        <f t="shared" si="253"/>
        <v>0</v>
      </c>
      <c r="CG106" s="938">
        <f t="shared" si="254"/>
        <v>0</v>
      </c>
      <c r="CH106" s="938">
        <v>0.3</v>
      </c>
      <c r="CI106" s="938">
        <f t="shared" si="255"/>
        <v>0</v>
      </c>
      <c r="CJ106" s="938">
        <f t="shared" si="256"/>
        <v>0</v>
      </c>
      <c r="CK106" s="938">
        <f t="shared" si="257"/>
        <v>21.26</v>
      </c>
      <c r="CL106" s="938">
        <f t="shared" si="258"/>
        <v>0.1</v>
      </c>
      <c r="CM106" s="938">
        <f t="shared" si="259"/>
        <v>1.54</v>
      </c>
      <c r="CN106" s="938">
        <f t="shared" si="193"/>
        <v>6.18</v>
      </c>
      <c r="CO106" s="938">
        <f t="shared" si="194"/>
        <v>15.08</v>
      </c>
      <c r="CP106" s="938">
        <f t="shared" si="260"/>
        <v>8.5500000000000007</v>
      </c>
      <c r="CQ106" s="936"/>
      <c r="CS106" s="980">
        <f t="shared" si="196"/>
        <v>8</v>
      </c>
      <c r="CT106" s="702">
        <f t="shared" si="197"/>
        <v>200</v>
      </c>
      <c r="CU106" s="895">
        <v>0</v>
      </c>
      <c r="CV106" s="938">
        <v>0</v>
      </c>
      <c r="CW106" s="938">
        <f t="shared" si="210"/>
        <v>0</v>
      </c>
      <c r="CX106" s="938">
        <f t="shared" si="198"/>
        <v>0.6</v>
      </c>
      <c r="CY106" s="938">
        <f t="shared" si="211"/>
        <v>1.27</v>
      </c>
      <c r="CZ106" s="938">
        <f t="shared" si="212"/>
        <v>0</v>
      </c>
      <c r="DA106" s="938">
        <f t="shared" si="213"/>
        <v>0</v>
      </c>
      <c r="DB106" s="938">
        <f t="shared" si="214"/>
        <v>0</v>
      </c>
      <c r="DC106" s="938">
        <f t="shared" si="215"/>
        <v>0</v>
      </c>
      <c r="DD106" s="938">
        <f t="shared" si="216"/>
        <v>0</v>
      </c>
      <c r="DE106" s="938">
        <f t="shared" si="217"/>
        <v>0</v>
      </c>
      <c r="DF106" s="938" t="str">
        <f t="shared" si="218"/>
        <v>D</v>
      </c>
      <c r="DG106" s="938">
        <f t="shared" si="219"/>
        <v>0</v>
      </c>
      <c r="DH106" s="938">
        <f t="shared" si="220"/>
        <v>0</v>
      </c>
      <c r="DI106" s="938">
        <f t="shared" si="221"/>
        <v>0</v>
      </c>
      <c r="DJ106" s="938">
        <f t="shared" si="222"/>
        <v>0</v>
      </c>
      <c r="DK106" s="938">
        <v>41.3</v>
      </c>
      <c r="DL106" s="938">
        <f t="shared" si="223"/>
        <v>0</v>
      </c>
      <c r="DM106" s="938">
        <f t="shared" si="224"/>
        <v>0</v>
      </c>
      <c r="DN106" s="938">
        <f t="shared" si="225"/>
        <v>0</v>
      </c>
      <c r="DO106" s="938">
        <f t="shared" si="226"/>
        <v>0.1</v>
      </c>
      <c r="DP106" s="938">
        <f t="shared" si="227"/>
        <v>0</v>
      </c>
      <c r="DQ106" s="938">
        <f t="shared" si="228"/>
        <v>0</v>
      </c>
      <c r="DR106" s="938">
        <f t="shared" si="229"/>
        <v>0</v>
      </c>
      <c r="DS106" s="938">
        <f t="shared" si="230"/>
        <v>0</v>
      </c>
      <c r="DU106" s="937" t="str">
        <f t="shared" si="199"/>
        <v>PZ-89</v>
      </c>
      <c r="DV106" s="938">
        <f t="shared" si="276"/>
        <v>1.65</v>
      </c>
      <c r="DW106" s="938">
        <v>1.2</v>
      </c>
      <c r="DX106" s="938">
        <v>1.6</v>
      </c>
      <c r="DY106" s="938">
        <f t="shared" si="277"/>
        <v>-3.3175218421908217</v>
      </c>
      <c r="DZ106" s="938">
        <v>1.6</v>
      </c>
      <c r="EA106" s="938">
        <v>1.6</v>
      </c>
      <c r="EB106" s="938">
        <f t="shared" si="278"/>
        <v>4.2240000000000002</v>
      </c>
      <c r="EC106" s="938">
        <f t="shared" si="279"/>
        <v>0.90647815780917851</v>
      </c>
      <c r="ED106" s="938">
        <f t="shared" si="280"/>
        <v>0.49856298679504824</v>
      </c>
      <c r="EE106" s="938">
        <f t="shared" si="281"/>
        <v>0.40791517101413033</v>
      </c>
      <c r="EF106" s="938">
        <f t="shared" si="282"/>
        <v>0.49856298679504824</v>
      </c>
    </row>
    <row r="107" spans="1:136">
      <c r="A107" s="979" t="s">
        <v>2341</v>
      </c>
      <c r="B107" s="920" t="s">
        <v>2342</v>
      </c>
      <c r="C107" s="1294">
        <v>29.443999999999999</v>
      </c>
      <c r="D107" s="921">
        <v>243.53300000000002</v>
      </c>
      <c r="E107" s="921">
        <v>272.97700000000003</v>
      </c>
      <c r="F107" s="922">
        <v>1.4999999999999999E-2</v>
      </c>
      <c r="G107" s="923">
        <v>1.78</v>
      </c>
      <c r="H107" s="924">
        <v>1.7800000000000001E-3</v>
      </c>
      <c r="I107" s="925">
        <v>5.1963048498844339E-2</v>
      </c>
      <c r="J107" s="926">
        <v>5.1999999999999998E-2</v>
      </c>
      <c r="K107" s="927">
        <v>5.1935229181130589E-2</v>
      </c>
      <c r="L107" s="923">
        <v>2.044694062241057</v>
      </c>
      <c r="M107" s="928">
        <v>8</v>
      </c>
      <c r="N107" s="927">
        <v>0.2</v>
      </c>
      <c r="O107" s="927">
        <v>0.182</v>
      </c>
      <c r="P107" s="923">
        <v>5.0457071581449263E-2</v>
      </c>
      <c r="Q107" s="923">
        <v>1.9394936788766557</v>
      </c>
      <c r="R107" s="923">
        <v>0.04</v>
      </c>
      <c r="S107" s="927">
        <v>0.42699999999999999</v>
      </c>
      <c r="T107" s="929">
        <v>0.16500000000000001</v>
      </c>
      <c r="U107" s="927">
        <v>0.41</v>
      </c>
      <c r="V107" s="930">
        <v>0.82816380088033192</v>
      </c>
      <c r="W107" s="927">
        <v>3.4956946028978496E-2</v>
      </c>
      <c r="X107" s="927">
        <v>1.8654999999999998E-2</v>
      </c>
      <c r="Y107" s="927">
        <v>3.0030000000000001E-2</v>
      </c>
      <c r="Z107" s="927">
        <v>6.4986946028978504E-2</v>
      </c>
      <c r="AA107" s="931">
        <v>0.10199999999999999</v>
      </c>
      <c r="AB107" s="923">
        <v>1.8563999999999997E-2</v>
      </c>
      <c r="AC107" s="923">
        <v>9.5162885999999993</v>
      </c>
      <c r="AD107" s="923">
        <v>1.9406443847308401</v>
      </c>
      <c r="AE107" s="932" t="s">
        <v>2197</v>
      </c>
      <c r="AF107" s="927">
        <v>1.2436605798771191E-2</v>
      </c>
      <c r="AG107" s="924">
        <v>1.2436605798771191E-3</v>
      </c>
      <c r="AH107" s="923">
        <v>3.2967032967032965</v>
      </c>
      <c r="AI107" s="927">
        <v>1.4369321564796451E-3</v>
      </c>
      <c r="AJ107" s="927">
        <v>2.6805927363567645E-3</v>
      </c>
      <c r="AK107" s="933">
        <v>933.73</v>
      </c>
      <c r="AL107" s="933">
        <v>932.2</v>
      </c>
      <c r="AM107" s="930">
        <v>932.49734350000006</v>
      </c>
      <c r="AN107" s="930">
        <v>930.9662555000001</v>
      </c>
      <c r="AO107" s="934">
        <v>932.29734350000001</v>
      </c>
      <c r="AP107" s="934">
        <v>930.76625550000006</v>
      </c>
      <c r="AQ107" s="923">
        <v>932.32737350000002</v>
      </c>
      <c r="AR107" s="923">
        <v>930.79628550000007</v>
      </c>
      <c r="AS107" s="923">
        <v>932.44158148922281</v>
      </c>
      <c r="AT107" s="923">
        <v>930.91049348922286</v>
      </c>
      <c r="AU107" s="923">
        <v>1.2326564999999619</v>
      </c>
      <c r="AV107" s="923">
        <v>1.2337444999999434</v>
      </c>
      <c r="AW107" s="923">
        <v>1.4326565000000073</v>
      </c>
      <c r="AX107" s="923">
        <v>1.4337444999999889</v>
      </c>
      <c r="AY107" s="923">
        <v>1.999999999998181E-2</v>
      </c>
      <c r="AZ107" s="923" t="s">
        <v>2187</v>
      </c>
      <c r="BA107" s="935" t="s">
        <v>2188</v>
      </c>
      <c r="BB107" s="935" t="s">
        <v>2189</v>
      </c>
      <c r="BC107" s="935" t="s">
        <v>2198</v>
      </c>
      <c r="BD107" s="935" t="s">
        <v>2191</v>
      </c>
      <c r="BE107" s="935" t="s">
        <v>2191</v>
      </c>
      <c r="BF107" s="946"/>
      <c r="BH107" s="937"/>
      <c r="BI107" s="894" t="str">
        <f t="shared" si="275"/>
        <v>PZ-90</v>
      </c>
      <c r="BJ107" s="894" t="str">
        <f t="shared" si="275"/>
        <v>PZ-91</v>
      </c>
      <c r="BK107" s="938">
        <f t="shared" si="239"/>
        <v>29.44</v>
      </c>
      <c r="BL107" s="938">
        <f t="shared" si="240"/>
        <v>27.84</v>
      </c>
      <c r="BM107" s="895">
        <f t="shared" si="241"/>
        <v>8</v>
      </c>
      <c r="BN107" s="938">
        <f t="shared" si="242"/>
        <v>28.24</v>
      </c>
      <c r="BO107" s="700">
        <f t="shared" si="207"/>
        <v>0.6</v>
      </c>
      <c r="BP107" s="938">
        <f t="shared" si="243"/>
        <v>1.43</v>
      </c>
      <c r="BQ107" s="938">
        <f t="shared" si="244"/>
        <v>1.43</v>
      </c>
      <c r="BR107" s="938">
        <f t="shared" si="245"/>
        <v>1.53</v>
      </c>
      <c r="BS107" s="938">
        <f t="shared" si="246"/>
        <v>25.56</v>
      </c>
      <c r="BT107" s="938">
        <f t="shared" si="247"/>
        <v>42.595199999999998</v>
      </c>
      <c r="BU107" s="938">
        <f t="shared" si="208"/>
        <v>0</v>
      </c>
      <c r="BV107" s="938">
        <f t="shared" si="248"/>
        <v>0</v>
      </c>
      <c r="BW107" s="938">
        <f t="shared" ref="BW107:BW137" si="283">IF(BK107="","",ROUND( BS107*$BN$1,2))</f>
        <v>0</v>
      </c>
      <c r="BX107" s="938">
        <f t="shared" ref="BX107:BX137" si="284">IF(BK107="","",ROUND(BS107*$BN$2,2))</f>
        <v>20.45</v>
      </c>
      <c r="BY107" s="938">
        <f t="shared" si="181"/>
        <v>4.3499999999999996</v>
      </c>
      <c r="BZ107" s="938">
        <f t="shared" si="209"/>
        <v>0.77</v>
      </c>
      <c r="CA107" s="938">
        <f t="shared" si="249"/>
        <v>0.9</v>
      </c>
      <c r="CB107" s="938">
        <f t="shared" si="250"/>
        <v>16.7</v>
      </c>
      <c r="CC107" s="938" t="s">
        <v>2192</v>
      </c>
      <c r="CD107" s="938">
        <f t="shared" si="251"/>
        <v>0</v>
      </c>
      <c r="CE107" s="938">
        <f t="shared" si="252"/>
        <v>0</v>
      </c>
      <c r="CF107" s="938">
        <f t="shared" si="253"/>
        <v>0</v>
      </c>
      <c r="CG107" s="938">
        <f t="shared" si="254"/>
        <v>0</v>
      </c>
      <c r="CH107" s="938">
        <v>0.3</v>
      </c>
      <c r="CI107" s="938">
        <f t="shared" si="255"/>
        <v>0</v>
      </c>
      <c r="CJ107" s="938">
        <f t="shared" si="256"/>
        <v>0</v>
      </c>
      <c r="CK107" s="938">
        <f t="shared" si="257"/>
        <v>22.99</v>
      </c>
      <c r="CL107" s="938">
        <f t="shared" si="258"/>
        <v>0.1</v>
      </c>
      <c r="CM107" s="938">
        <f t="shared" si="259"/>
        <v>1.67</v>
      </c>
      <c r="CN107" s="938">
        <f t="shared" si="193"/>
        <v>6.68</v>
      </c>
      <c r="CO107" s="938">
        <f t="shared" si="194"/>
        <v>16.309999999999999</v>
      </c>
      <c r="CP107" s="938">
        <f t="shared" si="260"/>
        <v>9.25</v>
      </c>
      <c r="CQ107" s="936"/>
      <c r="CS107" s="980">
        <f t="shared" si="196"/>
        <v>8</v>
      </c>
      <c r="CT107" s="702">
        <f t="shared" si="197"/>
        <v>200</v>
      </c>
      <c r="CU107" s="895">
        <v>1</v>
      </c>
      <c r="CV107" s="938">
        <v>27.6</v>
      </c>
      <c r="CW107" s="938">
        <f t="shared" si="210"/>
        <v>27.6</v>
      </c>
      <c r="CX107" s="938">
        <f t="shared" si="198"/>
        <v>0.6</v>
      </c>
      <c r="CY107" s="938">
        <f t="shared" si="211"/>
        <v>1.27</v>
      </c>
      <c r="CZ107" s="938">
        <f t="shared" si="212"/>
        <v>21.03</v>
      </c>
      <c r="DA107" s="938">
        <f t="shared" si="213"/>
        <v>0</v>
      </c>
      <c r="DB107" s="938">
        <f t="shared" si="214"/>
        <v>0</v>
      </c>
      <c r="DC107" s="938">
        <f t="shared" si="215"/>
        <v>0</v>
      </c>
      <c r="DD107" s="938">
        <f t="shared" si="216"/>
        <v>0.5</v>
      </c>
      <c r="DE107" s="938">
        <f t="shared" si="217"/>
        <v>16.559999999999999</v>
      </c>
      <c r="DF107" s="938" t="str">
        <f t="shared" si="218"/>
        <v>D</v>
      </c>
      <c r="DG107" s="938">
        <f t="shared" si="219"/>
        <v>0</v>
      </c>
      <c r="DH107" s="938">
        <f t="shared" si="220"/>
        <v>0</v>
      </c>
      <c r="DI107" s="938">
        <f t="shared" si="221"/>
        <v>0</v>
      </c>
      <c r="DJ107" s="938">
        <f t="shared" si="222"/>
        <v>0</v>
      </c>
      <c r="DK107" s="938">
        <v>42.3</v>
      </c>
      <c r="DL107" s="938">
        <f t="shared" si="223"/>
        <v>0</v>
      </c>
      <c r="DM107" s="938">
        <f t="shared" si="224"/>
        <v>0</v>
      </c>
      <c r="DN107" s="938">
        <f t="shared" si="225"/>
        <v>18.87</v>
      </c>
      <c r="DO107" s="938">
        <f t="shared" si="226"/>
        <v>0.1</v>
      </c>
      <c r="DP107" s="938">
        <f t="shared" si="227"/>
        <v>1.6559999999999999</v>
      </c>
      <c r="DQ107" s="938">
        <f t="shared" si="228"/>
        <v>3.77</v>
      </c>
      <c r="DR107" s="938">
        <f t="shared" si="229"/>
        <v>15.1</v>
      </c>
      <c r="DS107" s="938">
        <f t="shared" si="230"/>
        <v>5.43</v>
      </c>
      <c r="DU107" s="937" t="str">
        <f t="shared" si="199"/>
        <v>PZ-90</v>
      </c>
      <c r="DV107" s="938">
        <f t="shared" si="276"/>
        <v>1.63</v>
      </c>
      <c r="DW107" s="938">
        <v>1.2</v>
      </c>
      <c r="DX107" s="938">
        <v>1.6</v>
      </c>
      <c r="DY107" s="938">
        <f t="shared" si="277"/>
        <v>-3.2773094562248724</v>
      </c>
      <c r="DZ107" s="938">
        <v>1.6</v>
      </c>
      <c r="EA107" s="938">
        <v>1.6</v>
      </c>
      <c r="EB107" s="938">
        <f t="shared" si="278"/>
        <v>4.1728000000000005</v>
      </c>
      <c r="EC107" s="938">
        <f t="shared" si="279"/>
        <v>0.89549054377512816</v>
      </c>
      <c r="ED107" s="938">
        <f t="shared" si="280"/>
        <v>0.49251979907632054</v>
      </c>
      <c r="EE107" s="938">
        <f t="shared" si="281"/>
        <v>0.40297074469880767</v>
      </c>
      <c r="EF107" s="938">
        <f t="shared" si="282"/>
        <v>0.49251979907632054</v>
      </c>
    </row>
    <row r="108" spans="1:136">
      <c r="A108" s="979" t="s">
        <v>2342</v>
      </c>
      <c r="B108" s="920" t="s">
        <v>2343</v>
      </c>
      <c r="C108" s="1294">
        <v>66.186999999999998</v>
      </c>
      <c r="D108" s="921">
        <v>272.97700000000003</v>
      </c>
      <c r="E108" s="921">
        <v>339.16400000000004</v>
      </c>
      <c r="F108" s="922">
        <v>1.4999999999999999E-2</v>
      </c>
      <c r="G108" s="923">
        <v>2.11</v>
      </c>
      <c r="H108" s="924">
        <v>2.1099999999999999E-3</v>
      </c>
      <c r="I108" s="925">
        <v>5.741308716213085E-3</v>
      </c>
      <c r="J108" s="926">
        <v>0.01</v>
      </c>
      <c r="K108" s="927">
        <v>7.5406902092079078E-2</v>
      </c>
      <c r="L108" s="923">
        <v>2.968775672904624</v>
      </c>
      <c r="M108" s="928">
        <v>8</v>
      </c>
      <c r="N108" s="927">
        <v>0.2</v>
      </c>
      <c r="O108" s="927">
        <v>0.182</v>
      </c>
      <c r="P108" s="923">
        <v>2.2126889630629445E-2</v>
      </c>
      <c r="Q108" s="923">
        <v>0.8505242422270316</v>
      </c>
      <c r="R108" s="923">
        <v>0.1</v>
      </c>
      <c r="S108" s="927">
        <v>0.54</v>
      </c>
      <c r="T108" s="929">
        <v>0.248</v>
      </c>
      <c r="U108" s="927">
        <v>0.58599999999999997</v>
      </c>
      <c r="V108" s="930">
        <v>0.4592830908025971</v>
      </c>
      <c r="W108" s="927">
        <v>1.0751323012089024E-2</v>
      </c>
      <c r="X108" s="927">
        <v>2.6662999999999999E-2</v>
      </c>
      <c r="Y108" s="927">
        <v>4.5135999999999996E-2</v>
      </c>
      <c r="Z108" s="927">
        <v>5.588732301208902E-2</v>
      </c>
      <c r="AA108" s="931">
        <v>0.17</v>
      </c>
      <c r="AB108" s="923">
        <v>3.0940000000000002E-2</v>
      </c>
      <c r="AC108" s="923">
        <v>2.6156402999999999</v>
      </c>
      <c r="AD108" s="923">
        <v>0.83365392285744433</v>
      </c>
      <c r="AE108" s="932" t="s">
        <v>2186</v>
      </c>
      <c r="AF108" s="927">
        <v>-2.4205623016889471E-2</v>
      </c>
      <c r="AG108" s="924">
        <v>4.841124603377895E-3</v>
      </c>
      <c r="AH108" s="923">
        <v>3.2967032967032965</v>
      </c>
      <c r="AI108" s="927">
        <v>1.142706726026688E-3</v>
      </c>
      <c r="AJ108" s="927">
        <v>5.9838313294045828E-3</v>
      </c>
      <c r="AK108" s="933">
        <v>932.2</v>
      </c>
      <c r="AL108" s="933">
        <v>931.82</v>
      </c>
      <c r="AM108" s="930">
        <v>930.94625550000012</v>
      </c>
      <c r="AN108" s="930">
        <v>930.2843855000001</v>
      </c>
      <c r="AO108" s="934">
        <v>930.74625550000007</v>
      </c>
      <c r="AP108" s="934">
        <v>930.08438550000005</v>
      </c>
      <c r="AQ108" s="923">
        <v>930.79139150000003</v>
      </c>
      <c r="AR108" s="923">
        <v>930.12952150000001</v>
      </c>
      <c r="AS108" s="923">
        <v>930.90781289648646</v>
      </c>
      <c r="AT108" s="923">
        <v>930.24594289648644</v>
      </c>
      <c r="AU108" s="923">
        <v>1.2537444999999252</v>
      </c>
      <c r="AV108" s="923">
        <v>1.5356144999999515</v>
      </c>
      <c r="AW108" s="923">
        <v>1.4537444999999707</v>
      </c>
      <c r="AX108" s="923">
        <v>1.735614499999997</v>
      </c>
      <c r="AY108" s="923">
        <v>1.999999999998181E-2</v>
      </c>
      <c r="AZ108" s="923" t="s">
        <v>2187</v>
      </c>
      <c r="BA108" s="935" t="s">
        <v>2188</v>
      </c>
      <c r="BB108" s="935" t="s">
        <v>2189</v>
      </c>
      <c r="BC108" s="935" t="s">
        <v>2190</v>
      </c>
      <c r="BD108" s="935" t="s">
        <v>2191</v>
      </c>
      <c r="BE108" s="935" t="s">
        <v>2191</v>
      </c>
      <c r="BF108" s="946"/>
      <c r="BH108" s="937"/>
      <c r="BI108" s="894" t="str">
        <f t="shared" si="275"/>
        <v>PZ-91</v>
      </c>
      <c r="BJ108" s="894" t="str">
        <f t="shared" si="275"/>
        <v>PZ-92</v>
      </c>
      <c r="BK108" s="938">
        <f t="shared" si="239"/>
        <v>66.19</v>
      </c>
      <c r="BL108" s="938">
        <f t="shared" si="240"/>
        <v>64.59</v>
      </c>
      <c r="BM108" s="895">
        <f t="shared" si="241"/>
        <v>8</v>
      </c>
      <c r="BN108" s="938">
        <f t="shared" si="242"/>
        <v>64.989999999999995</v>
      </c>
      <c r="BO108" s="700">
        <f t="shared" si="207"/>
        <v>0.6</v>
      </c>
      <c r="BP108" s="938">
        <f t="shared" si="243"/>
        <v>1.45</v>
      </c>
      <c r="BQ108" s="938">
        <f t="shared" si="244"/>
        <v>1.74</v>
      </c>
      <c r="BR108" s="938">
        <f t="shared" si="245"/>
        <v>1.7</v>
      </c>
      <c r="BS108" s="938">
        <f t="shared" si="246"/>
        <v>65.88</v>
      </c>
      <c r="BT108" s="938">
        <f t="shared" si="247"/>
        <v>109.803</v>
      </c>
      <c r="BU108" s="938">
        <f t="shared" si="208"/>
        <v>0</v>
      </c>
      <c r="BV108" s="938">
        <f t="shared" si="248"/>
        <v>0</v>
      </c>
      <c r="BW108" s="938">
        <f t="shared" si="283"/>
        <v>0</v>
      </c>
      <c r="BX108" s="938">
        <f t="shared" si="284"/>
        <v>52.7</v>
      </c>
      <c r="BY108" s="938">
        <f t="shared" si="181"/>
        <v>11.2</v>
      </c>
      <c r="BZ108" s="938">
        <f t="shared" si="209"/>
        <v>1.98</v>
      </c>
      <c r="CA108" s="938">
        <f t="shared" si="249"/>
        <v>2.09</v>
      </c>
      <c r="CB108" s="938">
        <f t="shared" si="250"/>
        <v>38.75</v>
      </c>
      <c r="CC108" s="938" t="s">
        <v>2192</v>
      </c>
      <c r="CD108" s="938">
        <f t="shared" si="251"/>
        <v>0</v>
      </c>
      <c r="CE108" s="938">
        <f t="shared" si="252"/>
        <v>0</v>
      </c>
      <c r="CF108" s="938">
        <f t="shared" si="253"/>
        <v>0</v>
      </c>
      <c r="CG108" s="938">
        <f t="shared" si="254"/>
        <v>0</v>
      </c>
      <c r="CH108" s="938">
        <v>0.3</v>
      </c>
      <c r="CI108" s="938">
        <f t="shared" si="255"/>
        <v>0</v>
      </c>
      <c r="CJ108" s="938">
        <f t="shared" si="256"/>
        <v>0</v>
      </c>
      <c r="CK108" s="938">
        <f t="shared" si="257"/>
        <v>59.91</v>
      </c>
      <c r="CL108" s="938">
        <f t="shared" si="258"/>
        <v>0.1</v>
      </c>
      <c r="CM108" s="938">
        <f t="shared" si="259"/>
        <v>3.88</v>
      </c>
      <c r="CN108" s="938">
        <f t="shared" si="193"/>
        <v>17.399999999999999</v>
      </c>
      <c r="CO108" s="938">
        <f t="shared" si="194"/>
        <v>42.51</v>
      </c>
      <c r="CP108" s="938">
        <f t="shared" si="260"/>
        <v>23.37</v>
      </c>
      <c r="CQ108" s="936"/>
      <c r="CS108" s="980">
        <f t="shared" si="196"/>
        <v>8</v>
      </c>
      <c r="CT108" s="702">
        <f t="shared" si="197"/>
        <v>200</v>
      </c>
      <c r="CU108" s="895">
        <v>0</v>
      </c>
      <c r="CV108" s="938">
        <v>0</v>
      </c>
      <c r="CW108" s="938">
        <f t="shared" si="210"/>
        <v>0</v>
      </c>
      <c r="CX108" s="938">
        <f t="shared" si="198"/>
        <v>0.6</v>
      </c>
      <c r="CY108" s="938">
        <f t="shared" si="211"/>
        <v>1.35</v>
      </c>
      <c r="CZ108" s="938">
        <f t="shared" si="212"/>
        <v>0</v>
      </c>
      <c r="DA108" s="938">
        <f t="shared" si="213"/>
        <v>0</v>
      </c>
      <c r="DB108" s="938">
        <f t="shared" si="214"/>
        <v>0</v>
      </c>
      <c r="DC108" s="938">
        <f t="shared" si="215"/>
        <v>0</v>
      </c>
      <c r="DD108" s="938">
        <f t="shared" si="216"/>
        <v>0</v>
      </c>
      <c r="DE108" s="938">
        <f t="shared" si="217"/>
        <v>0</v>
      </c>
      <c r="DF108" s="938" t="str">
        <f t="shared" si="218"/>
        <v>D</v>
      </c>
      <c r="DG108" s="938">
        <f t="shared" si="219"/>
        <v>0</v>
      </c>
      <c r="DH108" s="938">
        <f t="shared" si="220"/>
        <v>0</v>
      </c>
      <c r="DI108" s="938">
        <f t="shared" si="221"/>
        <v>0</v>
      </c>
      <c r="DJ108" s="938">
        <f t="shared" si="222"/>
        <v>0</v>
      </c>
      <c r="DK108" s="938">
        <v>43.3</v>
      </c>
      <c r="DL108" s="938">
        <f t="shared" si="223"/>
        <v>0</v>
      </c>
      <c r="DM108" s="938">
        <f t="shared" si="224"/>
        <v>0</v>
      </c>
      <c r="DN108" s="938">
        <f t="shared" si="225"/>
        <v>0</v>
      </c>
      <c r="DO108" s="938">
        <f t="shared" si="226"/>
        <v>0.1</v>
      </c>
      <c r="DP108" s="938">
        <f t="shared" si="227"/>
        <v>0</v>
      </c>
      <c r="DQ108" s="938">
        <f t="shared" si="228"/>
        <v>0</v>
      </c>
      <c r="DR108" s="938">
        <f t="shared" si="229"/>
        <v>0</v>
      </c>
      <c r="DS108" s="938">
        <f t="shared" si="230"/>
        <v>0</v>
      </c>
      <c r="DU108" s="937" t="str">
        <f t="shared" si="199"/>
        <v>PZ-91</v>
      </c>
      <c r="DV108" s="938">
        <f t="shared" si="276"/>
        <v>1.65</v>
      </c>
      <c r="DW108" s="938">
        <v>1.2</v>
      </c>
      <c r="DX108" s="938">
        <v>1.6</v>
      </c>
      <c r="DY108" s="938">
        <f t="shared" si="277"/>
        <v>-3.3175218421908217</v>
      </c>
      <c r="DZ108" s="938">
        <v>1.6</v>
      </c>
      <c r="EA108" s="938">
        <v>1.6</v>
      </c>
      <c r="EB108" s="938">
        <f t="shared" si="278"/>
        <v>4.2240000000000002</v>
      </c>
      <c r="EC108" s="938">
        <f t="shared" si="279"/>
        <v>0.90647815780917851</v>
      </c>
      <c r="ED108" s="938">
        <f t="shared" si="280"/>
        <v>0.49856298679504824</v>
      </c>
      <c r="EE108" s="938">
        <f t="shared" si="281"/>
        <v>0.40791517101413033</v>
      </c>
      <c r="EF108" s="938">
        <f t="shared" si="282"/>
        <v>0.49856298679504824</v>
      </c>
    </row>
    <row r="109" spans="1:136">
      <c r="A109" s="979" t="s">
        <v>2343</v>
      </c>
      <c r="B109" s="920" t="s">
        <v>2344</v>
      </c>
      <c r="C109" s="1294">
        <v>55.164000000000001</v>
      </c>
      <c r="D109" s="921">
        <v>339.16400000000004</v>
      </c>
      <c r="E109" s="921">
        <v>394.32800000000003</v>
      </c>
      <c r="F109" s="922">
        <v>1.4999999999999999E-2</v>
      </c>
      <c r="G109" s="923">
        <v>2.27</v>
      </c>
      <c r="H109" s="924">
        <v>2.2699999999999999E-3</v>
      </c>
      <c r="I109" s="925">
        <v>8.3931549561308008E-2</v>
      </c>
      <c r="J109" s="926">
        <v>7.8E-2</v>
      </c>
      <c r="K109" s="927">
        <v>5.272870883733026E-2</v>
      </c>
      <c r="L109" s="923">
        <v>2.075933418784226</v>
      </c>
      <c r="M109" s="928">
        <v>8</v>
      </c>
      <c r="N109" s="927">
        <v>0.2</v>
      </c>
      <c r="O109" s="927">
        <v>0.182</v>
      </c>
      <c r="P109" s="923">
        <v>6.1797039644818287E-2</v>
      </c>
      <c r="Q109" s="923">
        <v>2.3753849363005899</v>
      </c>
      <c r="R109" s="923">
        <v>0.04</v>
      </c>
      <c r="S109" s="927">
        <v>0.42699999999999999</v>
      </c>
      <c r="T109" s="929">
        <v>0.16500000000000001</v>
      </c>
      <c r="U109" s="927">
        <v>0.41</v>
      </c>
      <c r="V109" s="930">
        <v>1.0142893678003519</v>
      </c>
      <c r="W109" s="927">
        <v>5.2435419043467768E-2</v>
      </c>
      <c r="X109" s="927">
        <v>1.8654999999999998E-2</v>
      </c>
      <c r="Y109" s="927">
        <v>3.0030000000000001E-2</v>
      </c>
      <c r="Z109" s="927">
        <v>8.2465419043467769E-2</v>
      </c>
      <c r="AA109" s="931">
        <v>0.10199999999999999</v>
      </c>
      <c r="AB109" s="923">
        <v>1.8563999999999997E-2</v>
      </c>
      <c r="AC109" s="923">
        <v>14.274432899999999</v>
      </c>
      <c r="AD109" s="923">
        <v>2.3767942573939829</v>
      </c>
      <c r="AE109" s="932" t="s">
        <v>2197</v>
      </c>
      <c r="AF109" s="927">
        <v>4.1684096031378744E-2</v>
      </c>
      <c r="AG109" s="924">
        <v>4.1684096031378744E-3</v>
      </c>
      <c r="AH109" s="923">
        <v>3.2967032967032965</v>
      </c>
      <c r="AI109" s="927">
        <v>1.57966855138892E-3</v>
      </c>
      <c r="AJ109" s="927">
        <v>5.7480781545267944E-3</v>
      </c>
      <c r="AK109" s="933">
        <v>931.82</v>
      </c>
      <c r="AL109" s="933">
        <v>927.19</v>
      </c>
      <c r="AM109" s="930">
        <v>930.26438550000012</v>
      </c>
      <c r="AN109" s="930">
        <v>925.96159350000016</v>
      </c>
      <c r="AO109" s="934">
        <v>930.06438550000007</v>
      </c>
      <c r="AP109" s="934">
        <v>925.76159350000012</v>
      </c>
      <c r="AQ109" s="923">
        <v>930.09441550000008</v>
      </c>
      <c r="AR109" s="923">
        <v>925.79162350000013</v>
      </c>
      <c r="AS109" s="923">
        <v>930.239959065157</v>
      </c>
      <c r="AT109" s="923">
        <v>925.93716706515704</v>
      </c>
      <c r="AU109" s="923">
        <v>1.5556144999999333</v>
      </c>
      <c r="AV109" s="923">
        <v>1.2284064999998918</v>
      </c>
      <c r="AW109" s="923">
        <v>1.7556144999999788</v>
      </c>
      <c r="AX109" s="923">
        <v>1.4284064999999373</v>
      </c>
      <c r="AY109" s="923">
        <v>0.48080750000008265</v>
      </c>
      <c r="AZ109" s="923" t="s">
        <v>2187</v>
      </c>
      <c r="BA109" s="935" t="s">
        <v>2188</v>
      </c>
      <c r="BB109" s="935" t="s">
        <v>2189</v>
      </c>
      <c r="BC109" s="935" t="s">
        <v>2198</v>
      </c>
      <c r="BD109" s="935" t="s">
        <v>2191</v>
      </c>
      <c r="BE109" s="935" t="s">
        <v>2191</v>
      </c>
      <c r="BF109" s="946"/>
      <c r="BH109" s="937"/>
      <c r="BI109" s="894" t="str">
        <f t="shared" si="275"/>
        <v>PZ-92</v>
      </c>
      <c r="BJ109" s="894" t="str">
        <f t="shared" si="275"/>
        <v>PZ-93</v>
      </c>
      <c r="BK109" s="938">
        <f t="shared" si="239"/>
        <v>55.16</v>
      </c>
      <c r="BL109" s="938">
        <f t="shared" si="240"/>
        <v>53.56</v>
      </c>
      <c r="BM109" s="895">
        <f t="shared" si="241"/>
        <v>8</v>
      </c>
      <c r="BN109" s="938">
        <f t="shared" si="242"/>
        <v>53.96</v>
      </c>
      <c r="BO109" s="700">
        <f t="shared" si="207"/>
        <v>0.6</v>
      </c>
      <c r="BP109" s="938">
        <f t="shared" si="243"/>
        <v>1.76</v>
      </c>
      <c r="BQ109" s="938">
        <f t="shared" si="244"/>
        <v>1.43</v>
      </c>
      <c r="BR109" s="938">
        <f t="shared" si="245"/>
        <v>1.7</v>
      </c>
      <c r="BS109" s="938">
        <f t="shared" si="246"/>
        <v>54.63</v>
      </c>
      <c r="BT109" s="938">
        <f t="shared" si="247"/>
        <v>91.052000000000007</v>
      </c>
      <c r="BU109" s="938">
        <f t="shared" si="208"/>
        <v>0</v>
      </c>
      <c r="BV109" s="938">
        <f t="shared" si="248"/>
        <v>0</v>
      </c>
      <c r="BW109" s="938">
        <f t="shared" si="283"/>
        <v>0</v>
      </c>
      <c r="BX109" s="938">
        <f t="shared" si="284"/>
        <v>43.7</v>
      </c>
      <c r="BY109" s="938">
        <f t="shared" si="181"/>
        <v>9.2899999999999991</v>
      </c>
      <c r="BZ109" s="938">
        <f t="shared" si="209"/>
        <v>1.64</v>
      </c>
      <c r="CA109" s="938">
        <f t="shared" si="249"/>
        <v>1.74</v>
      </c>
      <c r="CB109" s="938">
        <f t="shared" si="250"/>
        <v>32.14</v>
      </c>
      <c r="CC109" s="938" t="s">
        <v>2192</v>
      </c>
      <c r="CD109" s="938">
        <f t="shared" si="251"/>
        <v>0</v>
      </c>
      <c r="CE109" s="938">
        <f t="shared" si="252"/>
        <v>0</v>
      </c>
      <c r="CF109" s="938">
        <f t="shared" si="253"/>
        <v>0</v>
      </c>
      <c r="CG109" s="938">
        <f t="shared" si="254"/>
        <v>0</v>
      </c>
      <c r="CH109" s="938">
        <v>0.3</v>
      </c>
      <c r="CI109" s="938">
        <f t="shared" si="255"/>
        <v>0</v>
      </c>
      <c r="CJ109" s="938">
        <f t="shared" si="256"/>
        <v>0</v>
      </c>
      <c r="CK109" s="938">
        <f t="shared" si="257"/>
        <v>49.68</v>
      </c>
      <c r="CL109" s="938">
        <f t="shared" si="258"/>
        <v>0.1</v>
      </c>
      <c r="CM109" s="938">
        <f t="shared" si="259"/>
        <v>3.21</v>
      </c>
      <c r="CN109" s="938">
        <f t="shared" si="193"/>
        <v>14.43</v>
      </c>
      <c r="CO109" s="938">
        <f t="shared" si="194"/>
        <v>35.25</v>
      </c>
      <c r="CP109" s="938">
        <f t="shared" si="260"/>
        <v>19.38</v>
      </c>
      <c r="CQ109" s="936"/>
      <c r="CS109" s="980">
        <f t="shared" si="196"/>
        <v>8</v>
      </c>
      <c r="CT109" s="702">
        <f t="shared" si="197"/>
        <v>200</v>
      </c>
      <c r="CU109" s="895">
        <v>1</v>
      </c>
      <c r="CV109" s="938">
        <v>42.5</v>
      </c>
      <c r="CW109" s="938">
        <f t="shared" si="210"/>
        <v>42.5</v>
      </c>
      <c r="CX109" s="938">
        <f t="shared" si="198"/>
        <v>0.6</v>
      </c>
      <c r="CY109" s="938">
        <f t="shared" si="211"/>
        <v>1.35</v>
      </c>
      <c r="CZ109" s="938">
        <f t="shared" si="212"/>
        <v>34.43</v>
      </c>
      <c r="DA109" s="938">
        <f t="shared" si="213"/>
        <v>0</v>
      </c>
      <c r="DB109" s="938">
        <f t="shared" si="214"/>
        <v>0</v>
      </c>
      <c r="DC109" s="938">
        <f t="shared" si="215"/>
        <v>0</v>
      </c>
      <c r="DD109" s="938">
        <f t="shared" si="216"/>
        <v>0.78</v>
      </c>
      <c r="DE109" s="938">
        <f t="shared" si="217"/>
        <v>25.5</v>
      </c>
      <c r="DF109" s="938" t="str">
        <f t="shared" si="218"/>
        <v>D</v>
      </c>
      <c r="DG109" s="938">
        <f t="shared" si="219"/>
        <v>0</v>
      </c>
      <c r="DH109" s="938">
        <f t="shared" si="220"/>
        <v>0</v>
      </c>
      <c r="DI109" s="938">
        <f t="shared" si="221"/>
        <v>0</v>
      </c>
      <c r="DJ109" s="938">
        <f t="shared" si="222"/>
        <v>0</v>
      </c>
      <c r="DK109" s="938">
        <v>44.3</v>
      </c>
      <c r="DL109" s="938">
        <f t="shared" si="223"/>
        <v>0</v>
      </c>
      <c r="DM109" s="938">
        <f t="shared" si="224"/>
        <v>0</v>
      </c>
      <c r="DN109" s="938">
        <f t="shared" si="225"/>
        <v>31.1</v>
      </c>
      <c r="DO109" s="938">
        <f t="shared" si="226"/>
        <v>0.1</v>
      </c>
      <c r="DP109" s="938">
        <f t="shared" si="227"/>
        <v>2.5500000000000003</v>
      </c>
      <c r="DQ109" s="938">
        <f t="shared" si="228"/>
        <v>6.22</v>
      </c>
      <c r="DR109" s="938">
        <f t="shared" si="229"/>
        <v>24.88</v>
      </c>
      <c r="DS109" s="938">
        <f t="shared" si="230"/>
        <v>8.77</v>
      </c>
      <c r="DU109" s="937" t="str">
        <f t="shared" si="199"/>
        <v>PZ-92</v>
      </c>
      <c r="DV109" s="938">
        <f t="shared" si="276"/>
        <v>1.96</v>
      </c>
      <c r="DW109" s="938">
        <v>1.2</v>
      </c>
      <c r="DX109" s="938">
        <v>1.6</v>
      </c>
      <c r="DY109" s="938">
        <f t="shared" si="277"/>
        <v>-3.9408138246630369</v>
      </c>
      <c r="DZ109" s="938">
        <v>1.6</v>
      </c>
      <c r="EA109" s="938">
        <v>1.6</v>
      </c>
      <c r="EB109" s="938">
        <f t="shared" si="278"/>
        <v>5.0176000000000007</v>
      </c>
      <c r="EC109" s="938">
        <f t="shared" si="279"/>
        <v>1.0767861753369639</v>
      </c>
      <c r="ED109" s="938">
        <f t="shared" si="280"/>
        <v>0.59223239643533021</v>
      </c>
      <c r="EE109" s="938">
        <f t="shared" si="281"/>
        <v>0.48455377890163376</v>
      </c>
      <c r="EF109" s="938">
        <f t="shared" si="282"/>
        <v>0.59223239643533021</v>
      </c>
    </row>
    <row r="110" spans="1:136">
      <c r="A110" s="979" t="s">
        <v>2344</v>
      </c>
      <c r="B110" s="920" t="s">
        <v>2345</v>
      </c>
      <c r="C110" s="1294">
        <v>81.986999999999995</v>
      </c>
      <c r="D110" s="921">
        <v>394.32800000000003</v>
      </c>
      <c r="E110" s="921">
        <v>476.31500000000005</v>
      </c>
      <c r="F110" s="922">
        <v>1.4999999999999999E-2</v>
      </c>
      <c r="G110" s="923">
        <v>4.5</v>
      </c>
      <c r="H110" s="924">
        <v>4.4999999999999997E-3</v>
      </c>
      <c r="I110" s="925">
        <v>3.2566138534158746E-2</v>
      </c>
      <c r="J110" s="926">
        <v>3.2000000000000001E-2</v>
      </c>
      <c r="K110" s="927">
        <v>8.054605053126529E-2</v>
      </c>
      <c r="L110" s="923">
        <v>3.171104351611933</v>
      </c>
      <c r="M110" s="928">
        <v>8</v>
      </c>
      <c r="N110" s="927">
        <v>0.2</v>
      </c>
      <c r="O110" s="927">
        <v>0.182</v>
      </c>
      <c r="P110" s="923">
        <v>3.9581783475778114E-2</v>
      </c>
      <c r="Q110" s="923">
        <v>1.5214640177049117</v>
      </c>
      <c r="R110" s="923">
        <v>0.11</v>
      </c>
      <c r="S110" s="927">
        <v>0.55300000000000005</v>
      </c>
      <c r="T110" s="929">
        <v>0.25800000000000001</v>
      </c>
      <c r="U110" s="927">
        <v>0.60599999999999998</v>
      </c>
      <c r="V110" s="930">
        <v>0.84136960179081621</v>
      </c>
      <c r="W110" s="927">
        <v>3.6080673130358641E-2</v>
      </c>
      <c r="X110" s="927">
        <v>2.7572999999999997E-2</v>
      </c>
      <c r="Y110" s="927">
        <v>4.6955999999999998E-2</v>
      </c>
      <c r="Z110" s="927">
        <v>8.3036673130358646E-2</v>
      </c>
      <c r="AA110" s="931">
        <v>0.17899999999999999</v>
      </c>
      <c r="AB110" s="923">
        <v>3.2577999999999996E-2</v>
      </c>
      <c r="AC110" s="923">
        <v>8.655716159999999</v>
      </c>
      <c r="AD110" s="923">
        <v>1.4882987053770333</v>
      </c>
      <c r="AE110" s="932" t="s">
        <v>2197</v>
      </c>
      <c r="AF110" s="927">
        <v>-1.6354745913109127E-2</v>
      </c>
      <c r="AG110" s="924">
        <v>3.2709491826218256E-3</v>
      </c>
      <c r="AH110" s="923">
        <v>3.2967032967032965</v>
      </c>
      <c r="AI110" s="927">
        <v>2.2129023043456603E-3</v>
      </c>
      <c r="AJ110" s="927">
        <v>5.483851486967486E-3</v>
      </c>
      <c r="AK110" s="933">
        <v>927.19</v>
      </c>
      <c r="AL110" s="933">
        <v>924.52</v>
      </c>
      <c r="AM110" s="930">
        <v>925.48078600000008</v>
      </c>
      <c r="AN110" s="930">
        <v>922.85720200000003</v>
      </c>
      <c r="AO110" s="942">
        <v>925.28078600000003</v>
      </c>
      <c r="AP110" s="934">
        <v>922.65720199999998</v>
      </c>
      <c r="AQ110" s="923">
        <v>925.32774200000006</v>
      </c>
      <c r="AR110" s="923">
        <v>922.70415800000001</v>
      </c>
      <c r="AS110" s="923">
        <v>925.93141898700253</v>
      </c>
      <c r="AT110" s="923">
        <v>923.30783498700248</v>
      </c>
      <c r="AU110" s="923">
        <v>1.7092139999999745</v>
      </c>
      <c r="AV110" s="923">
        <v>1.6627979999999525</v>
      </c>
      <c r="AW110" s="923">
        <v>1.90921400000002</v>
      </c>
      <c r="AX110" s="923">
        <v>1.862797999999998</v>
      </c>
      <c r="AY110" s="923">
        <v>1.999999999998181E-2</v>
      </c>
      <c r="AZ110" s="923" t="s">
        <v>2187</v>
      </c>
      <c r="BA110" s="935" t="s">
        <v>2188</v>
      </c>
      <c r="BB110" s="935" t="s">
        <v>2189</v>
      </c>
      <c r="BC110" s="935" t="s">
        <v>2198</v>
      </c>
      <c r="BD110" s="935" t="s">
        <v>2191</v>
      </c>
      <c r="BE110" s="935" t="s">
        <v>2191</v>
      </c>
      <c r="BF110" s="946"/>
      <c r="BH110" s="937"/>
      <c r="BI110" s="894" t="str">
        <f t="shared" si="275"/>
        <v>PZ-93</v>
      </c>
      <c r="BJ110" s="894" t="str">
        <f t="shared" si="275"/>
        <v>PZ-94</v>
      </c>
      <c r="BK110" s="938">
        <f t="shared" si="239"/>
        <v>81.99</v>
      </c>
      <c r="BL110" s="938">
        <f t="shared" si="240"/>
        <v>80.39</v>
      </c>
      <c r="BM110" s="895">
        <f t="shared" si="241"/>
        <v>8</v>
      </c>
      <c r="BN110" s="938">
        <f t="shared" si="242"/>
        <v>80.790000000000006</v>
      </c>
      <c r="BO110" s="700">
        <f t="shared" si="207"/>
        <v>0.6</v>
      </c>
      <c r="BP110" s="938">
        <f t="shared" si="243"/>
        <v>1.91</v>
      </c>
      <c r="BQ110" s="938">
        <f t="shared" si="244"/>
        <v>1.86</v>
      </c>
      <c r="BR110" s="938">
        <f t="shared" si="245"/>
        <v>1.99</v>
      </c>
      <c r="BS110" s="938">
        <f t="shared" si="246"/>
        <v>95.99</v>
      </c>
      <c r="BT110" s="938">
        <f t="shared" si="247"/>
        <v>159.9761</v>
      </c>
      <c r="BU110" s="938">
        <f t="shared" si="208"/>
        <v>0</v>
      </c>
      <c r="BV110" s="938">
        <f t="shared" si="248"/>
        <v>0</v>
      </c>
      <c r="BW110" s="938">
        <f t="shared" si="283"/>
        <v>0</v>
      </c>
      <c r="BX110" s="938">
        <f t="shared" si="284"/>
        <v>76.790000000000006</v>
      </c>
      <c r="BY110" s="938">
        <f t="shared" si="181"/>
        <v>16.32</v>
      </c>
      <c r="BZ110" s="938">
        <f t="shared" si="209"/>
        <v>2.88</v>
      </c>
      <c r="CA110" s="938">
        <f t="shared" si="249"/>
        <v>2.61</v>
      </c>
      <c r="CB110" s="938">
        <f t="shared" si="250"/>
        <v>48.23</v>
      </c>
      <c r="CC110" s="938" t="s">
        <v>2192</v>
      </c>
      <c r="CD110" s="938">
        <f t="shared" si="251"/>
        <v>0</v>
      </c>
      <c r="CE110" s="938">
        <f t="shared" si="252"/>
        <v>0</v>
      </c>
      <c r="CF110" s="938">
        <f t="shared" si="253"/>
        <v>0</v>
      </c>
      <c r="CG110" s="938">
        <f t="shared" si="254"/>
        <v>0</v>
      </c>
      <c r="CH110" s="938">
        <v>0.3</v>
      </c>
      <c r="CI110" s="938">
        <f t="shared" si="255"/>
        <v>0</v>
      </c>
      <c r="CJ110" s="938">
        <f t="shared" si="256"/>
        <v>0</v>
      </c>
      <c r="CK110" s="938">
        <f t="shared" si="257"/>
        <v>88.56</v>
      </c>
      <c r="CL110" s="938">
        <f t="shared" si="258"/>
        <v>0.1</v>
      </c>
      <c r="CM110" s="938">
        <f t="shared" si="259"/>
        <v>4.82</v>
      </c>
      <c r="CN110" s="938">
        <f t="shared" si="193"/>
        <v>25.73</v>
      </c>
      <c r="CO110" s="938">
        <f t="shared" si="194"/>
        <v>62.83</v>
      </c>
      <c r="CP110" s="938">
        <f t="shared" si="260"/>
        <v>33.159999999999997</v>
      </c>
      <c r="CQ110" s="936"/>
      <c r="CS110" s="980">
        <f t="shared" si="196"/>
        <v>8</v>
      </c>
      <c r="CT110" s="702">
        <f t="shared" si="197"/>
        <v>200</v>
      </c>
      <c r="CU110" s="895">
        <v>4</v>
      </c>
      <c r="CV110" s="938">
        <v>38.9</v>
      </c>
      <c r="CW110" s="938">
        <f t="shared" si="210"/>
        <v>155.6</v>
      </c>
      <c r="CX110" s="938">
        <f t="shared" si="198"/>
        <v>0.6</v>
      </c>
      <c r="CY110" s="938">
        <f t="shared" si="211"/>
        <v>1.5</v>
      </c>
      <c r="CZ110" s="938">
        <f t="shared" si="212"/>
        <v>140.04</v>
      </c>
      <c r="DA110" s="938">
        <f t="shared" si="213"/>
        <v>233.4</v>
      </c>
      <c r="DB110" s="938">
        <f t="shared" si="214"/>
        <v>0</v>
      </c>
      <c r="DC110" s="938">
        <f t="shared" si="215"/>
        <v>0</v>
      </c>
      <c r="DD110" s="938">
        <f t="shared" si="216"/>
        <v>2.84</v>
      </c>
      <c r="DE110" s="938">
        <f t="shared" si="217"/>
        <v>93.36</v>
      </c>
      <c r="DF110" s="938" t="str">
        <f t="shared" si="218"/>
        <v>D</v>
      </c>
      <c r="DG110" s="938">
        <f t="shared" si="219"/>
        <v>0</v>
      </c>
      <c r="DH110" s="938">
        <f t="shared" si="220"/>
        <v>0</v>
      </c>
      <c r="DI110" s="938">
        <f t="shared" si="221"/>
        <v>0</v>
      </c>
      <c r="DJ110" s="938">
        <f t="shared" si="222"/>
        <v>0</v>
      </c>
      <c r="DK110" s="938">
        <v>45.3</v>
      </c>
      <c r="DL110" s="938">
        <f t="shared" si="223"/>
        <v>0</v>
      </c>
      <c r="DM110" s="938">
        <f t="shared" si="224"/>
        <v>0</v>
      </c>
      <c r="DN110" s="938">
        <f t="shared" si="225"/>
        <v>127.86</v>
      </c>
      <c r="DO110" s="938">
        <f t="shared" si="226"/>
        <v>0.1</v>
      </c>
      <c r="DP110" s="938">
        <f t="shared" si="227"/>
        <v>9.3360000000000003</v>
      </c>
      <c r="DQ110" s="938">
        <f t="shared" si="228"/>
        <v>25.57</v>
      </c>
      <c r="DR110" s="938">
        <f t="shared" si="229"/>
        <v>102.29</v>
      </c>
      <c r="DS110" s="938">
        <f t="shared" si="230"/>
        <v>34.909999999999997</v>
      </c>
      <c r="DU110" s="937" t="str">
        <f t="shared" si="199"/>
        <v>PZ-93</v>
      </c>
      <c r="DV110" s="938">
        <f t="shared" si="276"/>
        <v>2.11</v>
      </c>
      <c r="DW110" s="938">
        <v>1.2</v>
      </c>
      <c r="DX110" s="938">
        <v>1.6</v>
      </c>
      <c r="DY110" s="938">
        <f t="shared" si="277"/>
        <v>-4.2424067194076569</v>
      </c>
      <c r="DZ110" s="938">
        <v>1.6</v>
      </c>
      <c r="EA110" s="938">
        <v>1.6</v>
      </c>
      <c r="EB110" s="938">
        <f t="shared" si="278"/>
        <v>5.4016000000000011</v>
      </c>
      <c r="EC110" s="938">
        <f t="shared" si="279"/>
        <v>1.1591932805923442</v>
      </c>
      <c r="ED110" s="938">
        <f t="shared" si="280"/>
        <v>0.63755630432578936</v>
      </c>
      <c r="EE110" s="938">
        <f t="shared" si="281"/>
        <v>0.52163697626655492</v>
      </c>
      <c r="EF110" s="938">
        <f t="shared" si="282"/>
        <v>0.63755630432578936</v>
      </c>
    </row>
    <row r="111" spans="1:136">
      <c r="A111" s="979" t="s">
        <v>2345</v>
      </c>
      <c r="B111" s="920" t="s">
        <v>2346</v>
      </c>
      <c r="C111" s="1294">
        <v>43.838999999999999</v>
      </c>
      <c r="D111" s="921">
        <v>476.31500000000005</v>
      </c>
      <c r="E111" s="921">
        <v>520.154</v>
      </c>
      <c r="F111" s="922">
        <v>1.4999999999999999E-2</v>
      </c>
      <c r="G111" s="923">
        <v>4.72</v>
      </c>
      <c r="H111" s="924">
        <v>4.7199999999999994E-3</v>
      </c>
      <c r="I111" s="925">
        <v>1.687994707908504E-2</v>
      </c>
      <c r="J111" s="926">
        <v>1.7999999999999999E-2</v>
      </c>
      <c r="K111" s="927">
        <v>9.1341856287175324E-2</v>
      </c>
      <c r="L111" s="923">
        <v>3.5961360742838564</v>
      </c>
      <c r="M111" s="928">
        <v>8</v>
      </c>
      <c r="N111" s="927">
        <v>0.2</v>
      </c>
      <c r="O111" s="927">
        <v>0.182</v>
      </c>
      <c r="P111" s="923">
        <v>2.9686337606833587E-2</v>
      </c>
      <c r="Q111" s="923">
        <v>1.1410980132786839</v>
      </c>
      <c r="R111" s="923">
        <v>0.16</v>
      </c>
      <c r="S111" s="927">
        <v>0.61299999999999999</v>
      </c>
      <c r="T111" s="929">
        <v>0.308</v>
      </c>
      <c r="U111" s="927">
        <v>0.70399999999999996</v>
      </c>
      <c r="V111" s="930">
        <v>0.69949308213983319</v>
      </c>
      <c r="W111" s="927">
        <v>2.4938357388454811E-2</v>
      </c>
      <c r="X111" s="927">
        <v>3.2031999999999998E-2</v>
      </c>
      <c r="Y111" s="927">
        <v>5.6055999999999995E-2</v>
      </c>
      <c r="Z111" s="927">
        <v>8.0994357388454813E-2</v>
      </c>
      <c r="AA111" s="931">
        <v>0.221</v>
      </c>
      <c r="AB111" s="923">
        <v>4.0222000000000001E-2</v>
      </c>
      <c r="AC111" s="923">
        <v>5.6562105599999999</v>
      </c>
      <c r="AD111" s="923">
        <v>1.1135688894029925</v>
      </c>
      <c r="AE111" s="932" t="s">
        <v>2197</v>
      </c>
      <c r="AF111" s="927">
        <v>-1.114231574190383E-2</v>
      </c>
      <c r="AG111" s="924">
        <v>2.228463148380766E-3</v>
      </c>
      <c r="AH111" s="923">
        <v>3.2967032967032965</v>
      </c>
      <c r="AI111" s="927">
        <v>1.5254757629703363E-3</v>
      </c>
      <c r="AJ111" s="927">
        <v>3.7539389113511023E-3</v>
      </c>
      <c r="AK111" s="933">
        <v>924.52</v>
      </c>
      <c r="AL111" s="933">
        <v>923.78</v>
      </c>
      <c r="AM111" s="930">
        <v>922.83720200000005</v>
      </c>
      <c r="AN111" s="930">
        <v>922.04810000000009</v>
      </c>
      <c r="AO111" s="934">
        <v>922.637202</v>
      </c>
      <c r="AP111" s="934">
        <v>921.84810000000004</v>
      </c>
      <c r="AQ111" s="923">
        <v>922.69325800000001</v>
      </c>
      <c r="AR111" s="923">
        <v>921.90415600000006</v>
      </c>
      <c r="AS111" s="923">
        <v>923.30235113551555</v>
      </c>
      <c r="AT111" s="923">
        <v>922.51324913551559</v>
      </c>
      <c r="AU111" s="923">
        <v>1.6827979999999343</v>
      </c>
      <c r="AV111" s="923">
        <v>1.7318999999998823</v>
      </c>
      <c r="AW111" s="923">
        <v>1.8827979999999798</v>
      </c>
      <c r="AX111" s="923">
        <v>1.9318999999999278</v>
      </c>
      <c r="AY111" s="923">
        <v>1.999999999998181E-2</v>
      </c>
      <c r="AZ111" s="923" t="s">
        <v>2187</v>
      </c>
      <c r="BA111" s="935" t="s">
        <v>2188</v>
      </c>
      <c r="BB111" s="935" t="s">
        <v>2189</v>
      </c>
      <c r="BC111" s="935" t="s">
        <v>2198</v>
      </c>
      <c r="BD111" s="935" t="s">
        <v>2191</v>
      </c>
      <c r="BE111" s="935" t="s">
        <v>2191</v>
      </c>
      <c r="BF111" s="946"/>
      <c r="BH111" s="937"/>
      <c r="BI111" s="894" t="str">
        <f t="shared" si="275"/>
        <v>PZ-94</v>
      </c>
      <c r="BJ111" s="894" t="str">
        <f t="shared" si="275"/>
        <v>PZ-95</v>
      </c>
      <c r="BK111" s="938">
        <f t="shared" si="239"/>
        <v>43.84</v>
      </c>
      <c r="BL111" s="938">
        <f t="shared" si="240"/>
        <v>42.24</v>
      </c>
      <c r="BM111" s="895">
        <f t="shared" si="241"/>
        <v>8</v>
      </c>
      <c r="BN111" s="938">
        <f t="shared" si="242"/>
        <v>42.64</v>
      </c>
      <c r="BO111" s="700">
        <f t="shared" si="207"/>
        <v>0.6</v>
      </c>
      <c r="BP111" s="938">
        <f t="shared" si="243"/>
        <v>1.88</v>
      </c>
      <c r="BQ111" s="938">
        <f t="shared" si="244"/>
        <v>1.93</v>
      </c>
      <c r="BR111" s="938">
        <f t="shared" si="245"/>
        <v>2.0099999999999998</v>
      </c>
      <c r="BS111" s="938">
        <f t="shared" si="246"/>
        <v>50.94</v>
      </c>
      <c r="BT111" s="938">
        <f t="shared" si="247"/>
        <v>0</v>
      </c>
      <c r="BU111" s="938">
        <f t="shared" si="208"/>
        <v>66.223872</v>
      </c>
      <c r="BV111" s="938">
        <f t="shared" si="248"/>
        <v>0</v>
      </c>
      <c r="BW111" s="938">
        <f t="shared" si="283"/>
        <v>0</v>
      </c>
      <c r="BX111" s="938">
        <f t="shared" si="284"/>
        <v>40.75</v>
      </c>
      <c r="BY111" s="938">
        <f t="shared" si="181"/>
        <v>8.66</v>
      </c>
      <c r="BZ111" s="938">
        <f t="shared" si="209"/>
        <v>1.53</v>
      </c>
      <c r="CA111" s="938">
        <f t="shared" si="249"/>
        <v>1.37</v>
      </c>
      <c r="CB111" s="938">
        <f t="shared" si="250"/>
        <v>25.34</v>
      </c>
      <c r="CC111" s="938" t="s">
        <v>2192</v>
      </c>
      <c r="CD111" s="938">
        <f t="shared" si="251"/>
        <v>0</v>
      </c>
      <c r="CE111" s="938">
        <f t="shared" si="252"/>
        <v>0</v>
      </c>
      <c r="CF111" s="938">
        <f t="shared" si="253"/>
        <v>0</v>
      </c>
      <c r="CG111" s="938">
        <f t="shared" si="254"/>
        <v>0</v>
      </c>
      <c r="CH111" s="938">
        <v>0.3</v>
      </c>
      <c r="CI111" s="938">
        <f t="shared" si="255"/>
        <v>0</v>
      </c>
      <c r="CJ111" s="938">
        <f t="shared" si="256"/>
        <v>0</v>
      </c>
      <c r="CK111" s="938">
        <f t="shared" si="257"/>
        <v>47.04</v>
      </c>
      <c r="CL111" s="938">
        <f t="shared" si="258"/>
        <v>0.1</v>
      </c>
      <c r="CM111" s="938">
        <f t="shared" si="259"/>
        <v>2.5299999999999998</v>
      </c>
      <c r="CN111" s="938">
        <f t="shared" si="193"/>
        <v>13.67</v>
      </c>
      <c r="CO111" s="938">
        <f t="shared" si="194"/>
        <v>33.369999999999997</v>
      </c>
      <c r="CP111" s="938">
        <f t="shared" si="260"/>
        <v>17.57</v>
      </c>
      <c r="CQ111" s="936"/>
      <c r="CS111" s="980">
        <f t="shared" si="196"/>
        <v>8</v>
      </c>
      <c r="CT111" s="702">
        <f t="shared" si="197"/>
        <v>200</v>
      </c>
      <c r="CU111" s="895">
        <v>0</v>
      </c>
      <c r="CV111" s="938">
        <v>0</v>
      </c>
      <c r="CW111" s="938">
        <f t="shared" si="210"/>
        <v>0</v>
      </c>
      <c r="CX111" s="938">
        <f t="shared" si="198"/>
        <v>0.6</v>
      </c>
      <c r="CY111" s="938">
        <f t="shared" si="211"/>
        <v>1.51</v>
      </c>
      <c r="CZ111" s="938">
        <f t="shared" si="212"/>
        <v>0</v>
      </c>
      <c r="DA111" s="938">
        <f t="shared" si="213"/>
        <v>0</v>
      </c>
      <c r="DB111" s="938">
        <f t="shared" si="214"/>
        <v>0</v>
      </c>
      <c r="DC111" s="938">
        <f t="shared" si="215"/>
        <v>0</v>
      </c>
      <c r="DD111" s="938">
        <f t="shared" si="216"/>
        <v>0</v>
      </c>
      <c r="DE111" s="938">
        <f t="shared" si="217"/>
        <v>0</v>
      </c>
      <c r="DF111" s="938" t="str">
        <f t="shared" si="218"/>
        <v>D</v>
      </c>
      <c r="DG111" s="938">
        <f t="shared" si="219"/>
        <v>0</v>
      </c>
      <c r="DH111" s="938">
        <f t="shared" si="220"/>
        <v>0</v>
      </c>
      <c r="DI111" s="938">
        <f t="shared" si="221"/>
        <v>0</v>
      </c>
      <c r="DJ111" s="938">
        <f t="shared" si="222"/>
        <v>0</v>
      </c>
      <c r="DK111" s="938">
        <v>46.3</v>
      </c>
      <c r="DL111" s="938">
        <f t="shared" si="223"/>
        <v>0</v>
      </c>
      <c r="DM111" s="938">
        <f t="shared" si="224"/>
        <v>0</v>
      </c>
      <c r="DN111" s="938">
        <f t="shared" si="225"/>
        <v>0</v>
      </c>
      <c r="DO111" s="938">
        <f t="shared" si="226"/>
        <v>0.1</v>
      </c>
      <c r="DP111" s="938">
        <f t="shared" si="227"/>
        <v>0</v>
      </c>
      <c r="DQ111" s="938">
        <f t="shared" si="228"/>
        <v>0</v>
      </c>
      <c r="DR111" s="938">
        <f t="shared" si="229"/>
        <v>0</v>
      </c>
      <c r="DS111" s="938">
        <f t="shared" si="230"/>
        <v>0</v>
      </c>
      <c r="DU111" s="937" t="str">
        <f t="shared" si="199"/>
        <v>PZ-94</v>
      </c>
      <c r="DV111" s="938">
        <f t="shared" si="276"/>
        <v>2.08</v>
      </c>
      <c r="DW111" s="938">
        <v>1.2</v>
      </c>
      <c r="DX111" s="938">
        <v>1.6</v>
      </c>
      <c r="DY111" s="938">
        <f t="shared" si="277"/>
        <v>-4.1820881404587329</v>
      </c>
      <c r="DZ111" s="938">
        <v>1.6</v>
      </c>
      <c r="EA111" s="938">
        <v>1.6</v>
      </c>
      <c r="EB111" s="938">
        <f t="shared" si="278"/>
        <v>5.3248000000000015</v>
      </c>
      <c r="EC111" s="938">
        <f t="shared" si="279"/>
        <v>1.1427118595412686</v>
      </c>
      <c r="ED111" s="938">
        <f t="shared" si="280"/>
        <v>0.62849152274769782</v>
      </c>
      <c r="EE111" s="938">
        <f t="shared" si="281"/>
        <v>0.51422033679357093</v>
      </c>
      <c r="EF111" s="938">
        <f t="shared" si="282"/>
        <v>0.62849152274769782</v>
      </c>
    </row>
    <row r="112" spans="1:136">
      <c r="A112" s="979" t="s">
        <v>2346</v>
      </c>
      <c r="B112" s="920" t="s">
        <v>2347</v>
      </c>
      <c r="C112" s="1294">
        <v>71.691999999999993</v>
      </c>
      <c r="D112" s="921">
        <v>520.154</v>
      </c>
      <c r="E112" s="921">
        <v>591.846</v>
      </c>
      <c r="F112" s="922">
        <v>1.4999999999999999E-2</v>
      </c>
      <c r="G112" s="923">
        <v>5.08</v>
      </c>
      <c r="H112" s="924">
        <v>5.0800000000000003E-3</v>
      </c>
      <c r="I112" s="925">
        <v>1.9109524075210688E-2</v>
      </c>
      <c r="J112" s="926">
        <v>1.7999999999999999E-2</v>
      </c>
      <c r="K112" s="927">
        <v>9.389456967703165E-2</v>
      </c>
      <c r="L112" s="923">
        <v>3.696636601443152</v>
      </c>
      <c r="M112" s="928">
        <v>8</v>
      </c>
      <c r="N112" s="927">
        <v>0.2</v>
      </c>
      <c r="O112" s="927">
        <v>0.182</v>
      </c>
      <c r="P112" s="923">
        <v>2.9686337606833587E-2</v>
      </c>
      <c r="Q112" s="923">
        <v>1.1410980132786839</v>
      </c>
      <c r="R112" s="923">
        <v>0.17</v>
      </c>
      <c r="S112" s="927">
        <v>0.624</v>
      </c>
      <c r="T112" s="929">
        <v>0.315</v>
      </c>
      <c r="U112" s="927">
        <v>0.71599999999999997</v>
      </c>
      <c r="V112" s="930">
        <v>0.7120451602858987</v>
      </c>
      <c r="W112" s="927">
        <v>2.5841402155278859E-2</v>
      </c>
      <c r="X112" s="927">
        <v>3.2577999999999996E-2</v>
      </c>
      <c r="Y112" s="927">
        <v>5.7329999999999999E-2</v>
      </c>
      <c r="Z112" s="927">
        <v>8.3171402155278851E-2</v>
      </c>
      <c r="AA112" s="931">
        <v>0.22900000000000001</v>
      </c>
      <c r="AB112" s="923">
        <v>4.1678E-2</v>
      </c>
      <c r="AC112" s="923">
        <v>5.7526232400000001</v>
      </c>
      <c r="AD112" s="923">
        <v>1.1135753274254534</v>
      </c>
      <c r="AE112" s="932" t="s">
        <v>2197</v>
      </c>
      <c r="AF112" s="927">
        <v>9.0304476682404738E-4</v>
      </c>
      <c r="AG112" s="924">
        <v>9.0304476682404738E-5</v>
      </c>
      <c r="AH112" s="923">
        <v>3.2967032967032965</v>
      </c>
      <c r="AI112" s="927">
        <v>1.2694939885933417E-3</v>
      </c>
      <c r="AJ112" s="927">
        <v>1.3597984652757465E-3</v>
      </c>
      <c r="AK112" s="933">
        <v>923.78</v>
      </c>
      <c r="AL112" s="933">
        <v>922.41</v>
      </c>
      <c r="AM112" s="930">
        <v>922.02810000000011</v>
      </c>
      <c r="AN112" s="930">
        <v>920.73764400000016</v>
      </c>
      <c r="AO112" s="934">
        <v>921.82810000000006</v>
      </c>
      <c r="AP112" s="934">
        <v>920.53764400000011</v>
      </c>
      <c r="AQ112" s="923">
        <v>921.88543000000004</v>
      </c>
      <c r="AR112" s="923">
        <v>920.59497400000009</v>
      </c>
      <c r="AS112" s="923">
        <v>922.50949519660423</v>
      </c>
      <c r="AT112" s="923">
        <v>921.21903919660429</v>
      </c>
      <c r="AU112" s="923">
        <v>1.7518999999998641</v>
      </c>
      <c r="AV112" s="923">
        <v>1.6723559999998088</v>
      </c>
      <c r="AW112" s="923">
        <v>1.9518999999999096</v>
      </c>
      <c r="AX112" s="923">
        <v>1.8723559999998542</v>
      </c>
      <c r="AY112" s="923">
        <v>1.999999999998181E-2</v>
      </c>
      <c r="AZ112" s="923" t="s">
        <v>2187</v>
      </c>
      <c r="BA112" s="935" t="s">
        <v>2188</v>
      </c>
      <c r="BB112" s="935" t="s">
        <v>2189</v>
      </c>
      <c r="BC112" s="935" t="s">
        <v>2198</v>
      </c>
      <c r="BD112" s="935" t="s">
        <v>2191</v>
      </c>
      <c r="BE112" s="935" t="s">
        <v>2191</v>
      </c>
      <c r="BF112" s="946"/>
      <c r="BH112" s="937"/>
      <c r="BI112" s="894" t="str">
        <f t="shared" si="275"/>
        <v>PZ-95</v>
      </c>
      <c r="BJ112" s="894" t="str">
        <f t="shared" si="275"/>
        <v>PZ-96</v>
      </c>
      <c r="BK112" s="938">
        <f t="shared" si="239"/>
        <v>71.69</v>
      </c>
      <c r="BL112" s="938">
        <f t="shared" si="240"/>
        <v>70.09</v>
      </c>
      <c r="BM112" s="895">
        <f t="shared" si="241"/>
        <v>8</v>
      </c>
      <c r="BN112" s="938">
        <f t="shared" si="242"/>
        <v>70.489999999999995</v>
      </c>
      <c r="BO112" s="700">
        <f t="shared" si="207"/>
        <v>0.6</v>
      </c>
      <c r="BP112" s="938">
        <f t="shared" si="243"/>
        <v>1.95</v>
      </c>
      <c r="BQ112" s="938">
        <f t="shared" si="244"/>
        <v>1.87</v>
      </c>
      <c r="BR112" s="938">
        <f t="shared" si="245"/>
        <v>2.0099999999999998</v>
      </c>
      <c r="BS112" s="938">
        <f t="shared" si="246"/>
        <v>84.53</v>
      </c>
      <c r="BT112" s="938">
        <f t="shared" si="247"/>
        <v>0</v>
      </c>
      <c r="BU112" s="938">
        <f t="shared" si="208"/>
        <v>109.887102</v>
      </c>
      <c r="BV112" s="938">
        <f t="shared" si="248"/>
        <v>0</v>
      </c>
      <c r="BW112" s="938">
        <f t="shared" si="283"/>
        <v>0</v>
      </c>
      <c r="BX112" s="938">
        <f t="shared" si="284"/>
        <v>67.62</v>
      </c>
      <c r="BY112" s="938">
        <f t="shared" si="181"/>
        <v>14.37</v>
      </c>
      <c r="BZ112" s="938">
        <f t="shared" si="209"/>
        <v>2.54</v>
      </c>
      <c r="CA112" s="938">
        <f t="shared" si="249"/>
        <v>2.27</v>
      </c>
      <c r="CB112" s="938">
        <f t="shared" si="250"/>
        <v>42.05</v>
      </c>
      <c r="CC112" s="938" t="s">
        <v>2192</v>
      </c>
      <c r="CD112" s="938">
        <f t="shared" si="251"/>
        <v>0</v>
      </c>
      <c r="CE112" s="938">
        <f t="shared" si="252"/>
        <v>0</v>
      </c>
      <c r="CF112" s="938">
        <f t="shared" si="253"/>
        <v>0</v>
      </c>
      <c r="CG112" s="938">
        <f t="shared" si="254"/>
        <v>0</v>
      </c>
      <c r="CH112" s="938">
        <v>0.3</v>
      </c>
      <c r="CI112" s="938">
        <f t="shared" si="255"/>
        <v>0</v>
      </c>
      <c r="CJ112" s="938">
        <f t="shared" si="256"/>
        <v>0</v>
      </c>
      <c r="CK112" s="938">
        <f t="shared" si="257"/>
        <v>78.05</v>
      </c>
      <c r="CL112" s="938">
        <f t="shared" si="258"/>
        <v>0.1</v>
      </c>
      <c r="CM112" s="938">
        <f t="shared" si="259"/>
        <v>4.21</v>
      </c>
      <c r="CN112" s="938">
        <f t="shared" si="193"/>
        <v>22.67</v>
      </c>
      <c r="CO112" s="938">
        <f t="shared" si="194"/>
        <v>55.38</v>
      </c>
      <c r="CP112" s="938">
        <f t="shared" si="260"/>
        <v>29.15</v>
      </c>
      <c r="CQ112" s="936"/>
      <c r="CS112" s="980">
        <f t="shared" si="196"/>
        <v>8</v>
      </c>
      <c r="CT112" s="702">
        <f t="shared" si="197"/>
        <v>200</v>
      </c>
      <c r="CU112" s="895">
        <v>1</v>
      </c>
      <c r="CV112" s="938">
        <v>21</v>
      </c>
      <c r="CW112" s="938">
        <f t="shared" si="210"/>
        <v>21</v>
      </c>
      <c r="CX112" s="938">
        <f t="shared" si="198"/>
        <v>0.6</v>
      </c>
      <c r="CY112" s="938">
        <f t="shared" si="211"/>
        <v>1.51</v>
      </c>
      <c r="CZ112" s="938">
        <f t="shared" si="212"/>
        <v>19.03</v>
      </c>
      <c r="DA112" s="938">
        <f t="shared" si="213"/>
        <v>31.71</v>
      </c>
      <c r="DB112" s="938">
        <f t="shared" si="214"/>
        <v>0</v>
      </c>
      <c r="DC112" s="938">
        <f t="shared" si="215"/>
        <v>0</v>
      </c>
      <c r="DD112" s="938">
        <f t="shared" si="216"/>
        <v>0.38</v>
      </c>
      <c r="DE112" s="938">
        <f t="shared" si="217"/>
        <v>12.6</v>
      </c>
      <c r="DF112" s="938" t="str">
        <f t="shared" si="218"/>
        <v>D</v>
      </c>
      <c r="DG112" s="938">
        <f t="shared" si="219"/>
        <v>0</v>
      </c>
      <c r="DH112" s="938">
        <f t="shared" si="220"/>
        <v>0</v>
      </c>
      <c r="DI112" s="938">
        <f t="shared" si="221"/>
        <v>0</v>
      </c>
      <c r="DJ112" s="938">
        <f t="shared" si="222"/>
        <v>0</v>
      </c>
      <c r="DK112" s="938">
        <v>47.3</v>
      </c>
      <c r="DL112" s="938">
        <f t="shared" si="223"/>
        <v>0</v>
      </c>
      <c r="DM112" s="938">
        <f t="shared" si="224"/>
        <v>0</v>
      </c>
      <c r="DN112" s="938">
        <f t="shared" si="225"/>
        <v>17.39</v>
      </c>
      <c r="DO112" s="938">
        <f t="shared" si="226"/>
        <v>0.1</v>
      </c>
      <c r="DP112" s="938">
        <f t="shared" si="227"/>
        <v>1.26</v>
      </c>
      <c r="DQ112" s="938">
        <f t="shared" si="228"/>
        <v>3.48</v>
      </c>
      <c r="DR112" s="938">
        <f t="shared" si="229"/>
        <v>13.91</v>
      </c>
      <c r="DS112" s="938">
        <f t="shared" si="230"/>
        <v>4.74</v>
      </c>
      <c r="DU112" s="937" t="str">
        <f t="shared" si="199"/>
        <v>PZ-95</v>
      </c>
      <c r="DV112" s="938">
        <f t="shared" si="276"/>
        <v>2.15</v>
      </c>
      <c r="DW112" s="938">
        <v>1.2</v>
      </c>
      <c r="DX112" s="938">
        <v>1.6</v>
      </c>
      <c r="DY112" s="938">
        <f t="shared" si="277"/>
        <v>-4.3228314913395556</v>
      </c>
      <c r="DZ112" s="938">
        <v>1.6</v>
      </c>
      <c r="EA112" s="938">
        <v>1.6</v>
      </c>
      <c r="EB112" s="938">
        <f t="shared" si="278"/>
        <v>5.5040000000000004</v>
      </c>
      <c r="EC112" s="938">
        <f t="shared" si="279"/>
        <v>1.1811685086604449</v>
      </c>
      <c r="ED112" s="938">
        <f t="shared" si="280"/>
        <v>0.64964267976324475</v>
      </c>
      <c r="EE112" s="938">
        <f t="shared" si="281"/>
        <v>0.53152582889720024</v>
      </c>
      <c r="EF112" s="938">
        <f t="shared" si="282"/>
        <v>0.64964267976324475</v>
      </c>
    </row>
    <row r="113" spans="1:136">
      <c r="A113" s="979" t="s">
        <v>2347</v>
      </c>
      <c r="B113" s="920" t="s">
        <v>2348</v>
      </c>
      <c r="C113" s="1294">
        <v>70.936000000000007</v>
      </c>
      <c r="D113" s="921">
        <v>591.846</v>
      </c>
      <c r="E113" s="921">
        <v>662.78200000000004</v>
      </c>
      <c r="F113" s="922">
        <v>1.4999999999999999E-2</v>
      </c>
      <c r="G113" s="923">
        <v>5.42</v>
      </c>
      <c r="H113" s="924">
        <v>5.4200000000000003E-3</v>
      </c>
      <c r="I113" s="925">
        <v>2.4529153039359548E-2</v>
      </c>
      <c r="J113" s="926">
        <v>1.7999999999999999E-2</v>
      </c>
      <c r="K113" s="927">
        <v>9.6203598298683177E-2</v>
      </c>
      <c r="L113" s="923">
        <v>3.7875432400904865</v>
      </c>
      <c r="M113" s="928">
        <v>8</v>
      </c>
      <c r="N113" s="927">
        <v>0.2</v>
      </c>
      <c r="O113" s="927">
        <v>0.182</v>
      </c>
      <c r="P113" s="923">
        <v>2.9686337606833587E-2</v>
      </c>
      <c r="Q113" s="923">
        <v>1.1410980132786839</v>
      </c>
      <c r="R113" s="923">
        <v>0.18</v>
      </c>
      <c r="S113" s="927">
        <v>0.63400000000000001</v>
      </c>
      <c r="T113" s="929">
        <v>0.32300000000000001</v>
      </c>
      <c r="U113" s="927">
        <v>0.72899999999999998</v>
      </c>
      <c r="V113" s="930">
        <v>0.72345614041868556</v>
      </c>
      <c r="W113" s="927">
        <v>2.6676288843501574E-2</v>
      </c>
      <c r="X113" s="927">
        <v>3.3169499999999998E-2</v>
      </c>
      <c r="Y113" s="927">
        <v>5.8785999999999998E-2</v>
      </c>
      <c r="Z113" s="927">
        <v>8.5462288843501572E-2</v>
      </c>
      <c r="AA113" s="931">
        <v>0.23599999999999999</v>
      </c>
      <c r="AB113" s="923">
        <v>4.2951999999999997E-2</v>
      </c>
      <c r="AC113" s="923">
        <v>5.8570703100000001</v>
      </c>
      <c r="AD113" s="923">
        <v>1.114515231031096</v>
      </c>
      <c r="AE113" s="932" t="s">
        <v>2197</v>
      </c>
      <c r="AF113" s="927">
        <v>8.3488668822271489E-4</v>
      </c>
      <c r="AG113" s="924">
        <v>8.3488668822271489E-5</v>
      </c>
      <c r="AH113" s="923">
        <v>3.2967032967032965</v>
      </c>
      <c r="AI113" s="927">
        <v>1.3129422749695108E-3</v>
      </c>
      <c r="AJ113" s="927">
        <v>1.3964309437917823E-3</v>
      </c>
      <c r="AK113" s="933">
        <v>922.41</v>
      </c>
      <c r="AL113" s="933">
        <v>920.67</v>
      </c>
      <c r="AM113" s="930">
        <v>920.71764400000018</v>
      </c>
      <c r="AN113" s="930">
        <v>919.4407960000002</v>
      </c>
      <c r="AO113" s="934">
        <v>920.51764400000013</v>
      </c>
      <c r="AP113" s="934">
        <v>919.24079600000016</v>
      </c>
      <c r="AQ113" s="923">
        <v>920.57643000000019</v>
      </c>
      <c r="AR113" s="923">
        <v>919.29958200000021</v>
      </c>
      <c r="AS113" s="923">
        <v>921.21767939813901</v>
      </c>
      <c r="AT113" s="923">
        <v>919.94083139813904</v>
      </c>
      <c r="AU113" s="923">
        <v>1.6923559999997906</v>
      </c>
      <c r="AV113" s="923">
        <v>1.2292039999997542</v>
      </c>
      <c r="AW113" s="923">
        <v>1.8923559999998361</v>
      </c>
      <c r="AX113" s="923">
        <v>1.4292039999997996</v>
      </c>
      <c r="AY113" s="923">
        <v>1.999999999998181E-2</v>
      </c>
      <c r="AZ113" s="923" t="s">
        <v>2187</v>
      </c>
      <c r="BA113" s="935" t="s">
        <v>2188</v>
      </c>
      <c r="BB113" s="935" t="s">
        <v>2189</v>
      </c>
      <c r="BC113" s="935" t="s">
        <v>2198</v>
      </c>
      <c r="BD113" s="935" t="s">
        <v>2191</v>
      </c>
      <c r="BE113" s="935" t="s">
        <v>2191</v>
      </c>
      <c r="BF113" s="946"/>
      <c r="BH113" s="937"/>
      <c r="BI113" s="894" t="str">
        <f t="shared" si="275"/>
        <v>PZ-96</v>
      </c>
      <c r="BJ113" s="894" t="str">
        <f t="shared" si="275"/>
        <v>PZ-97</v>
      </c>
      <c r="BK113" s="938">
        <f t="shared" si="239"/>
        <v>70.94</v>
      </c>
      <c r="BL113" s="938">
        <f t="shared" si="240"/>
        <v>69.34</v>
      </c>
      <c r="BM113" s="895">
        <f t="shared" si="241"/>
        <v>8</v>
      </c>
      <c r="BN113" s="938">
        <f t="shared" si="242"/>
        <v>69.739999999999995</v>
      </c>
      <c r="BO113" s="700">
        <f t="shared" si="207"/>
        <v>0.6</v>
      </c>
      <c r="BP113" s="938">
        <f t="shared" si="243"/>
        <v>1.89</v>
      </c>
      <c r="BQ113" s="938">
        <f t="shared" si="244"/>
        <v>1.43</v>
      </c>
      <c r="BR113" s="938">
        <f t="shared" si="245"/>
        <v>1.76</v>
      </c>
      <c r="BS113" s="938">
        <f t="shared" si="246"/>
        <v>73.22</v>
      </c>
      <c r="BT113" s="938">
        <f t="shared" si="247"/>
        <v>122.03840000000001</v>
      </c>
      <c r="BU113" s="938">
        <f t="shared" si="208"/>
        <v>0</v>
      </c>
      <c r="BV113" s="938">
        <f t="shared" si="248"/>
        <v>0</v>
      </c>
      <c r="BW113" s="938">
        <f t="shared" si="283"/>
        <v>0</v>
      </c>
      <c r="BX113" s="938">
        <f t="shared" si="284"/>
        <v>58.58</v>
      </c>
      <c r="BY113" s="938">
        <f t="shared" si="181"/>
        <v>12.45</v>
      </c>
      <c r="BZ113" s="938">
        <f t="shared" si="209"/>
        <v>2.2000000000000002</v>
      </c>
      <c r="CA113" s="938">
        <f t="shared" si="249"/>
        <v>2.25</v>
      </c>
      <c r="CB113" s="938">
        <f t="shared" si="250"/>
        <v>41.6</v>
      </c>
      <c r="CC113" s="938" t="s">
        <v>2192</v>
      </c>
      <c r="CD113" s="938">
        <f t="shared" si="251"/>
        <v>0</v>
      </c>
      <c r="CE113" s="938">
        <f t="shared" si="252"/>
        <v>0</v>
      </c>
      <c r="CF113" s="938">
        <f t="shared" si="253"/>
        <v>0</v>
      </c>
      <c r="CG113" s="938">
        <f t="shared" si="254"/>
        <v>0</v>
      </c>
      <c r="CH113" s="938">
        <v>0.3</v>
      </c>
      <c r="CI113" s="938">
        <f t="shared" si="255"/>
        <v>0</v>
      </c>
      <c r="CJ113" s="938">
        <f t="shared" si="256"/>
        <v>0</v>
      </c>
      <c r="CK113" s="938">
        <f t="shared" si="257"/>
        <v>66.81</v>
      </c>
      <c r="CL113" s="938">
        <f t="shared" si="258"/>
        <v>0.1</v>
      </c>
      <c r="CM113" s="938">
        <f t="shared" si="259"/>
        <v>4.16</v>
      </c>
      <c r="CN113" s="938">
        <f t="shared" si="193"/>
        <v>19.41</v>
      </c>
      <c r="CO113" s="938">
        <f t="shared" si="194"/>
        <v>47.4</v>
      </c>
      <c r="CP113" s="938">
        <f t="shared" si="260"/>
        <v>25.82</v>
      </c>
      <c r="CQ113" s="936"/>
      <c r="CS113" s="980">
        <f t="shared" si="196"/>
        <v>8</v>
      </c>
      <c r="CT113" s="702">
        <f t="shared" si="197"/>
        <v>200</v>
      </c>
      <c r="CU113" s="895">
        <v>3</v>
      </c>
      <c r="CV113" s="938">
        <v>41</v>
      </c>
      <c r="CW113" s="938">
        <f t="shared" si="210"/>
        <v>123</v>
      </c>
      <c r="CX113" s="938">
        <f t="shared" si="198"/>
        <v>0.6</v>
      </c>
      <c r="CY113" s="938">
        <f t="shared" si="211"/>
        <v>1.38</v>
      </c>
      <c r="CZ113" s="938">
        <f t="shared" si="212"/>
        <v>101.84</v>
      </c>
      <c r="DA113" s="938">
        <f t="shared" si="213"/>
        <v>0</v>
      </c>
      <c r="DB113" s="938">
        <f t="shared" si="214"/>
        <v>0</v>
      </c>
      <c r="DC113" s="938">
        <f t="shared" si="215"/>
        <v>0</v>
      </c>
      <c r="DD113" s="938">
        <f t="shared" si="216"/>
        <v>2.2400000000000002</v>
      </c>
      <c r="DE113" s="938">
        <f t="shared" si="217"/>
        <v>73.8</v>
      </c>
      <c r="DF113" s="938" t="str">
        <f t="shared" si="218"/>
        <v>D</v>
      </c>
      <c r="DG113" s="938">
        <f t="shared" si="219"/>
        <v>0</v>
      </c>
      <c r="DH113" s="938">
        <f t="shared" si="220"/>
        <v>0</v>
      </c>
      <c r="DI113" s="938">
        <f t="shared" si="221"/>
        <v>0</v>
      </c>
      <c r="DJ113" s="938">
        <f t="shared" si="222"/>
        <v>0</v>
      </c>
      <c r="DK113" s="938">
        <v>48.3</v>
      </c>
      <c r="DL113" s="938">
        <f t="shared" si="223"/>
        <v>0</v>
      </c>
      <c r="DM113" s="938">
        <f t="shared" si="224"/>
        <v>0</v>
      </c>
      <c r="DN113" s="938">
        <f t="shared" si="225"/>
        <v>92.22</v>
      </c>
      <c r="DO113" s="938">
        <f t="shared" si="226"/>
        <v>0.1</v>
      </c>
      <c r="DP113" s="938">
        <f t="shared" si="227"/>
        <v>7.38</v>
      </c>
      <c r="DQ113" s="938">
        <f t="shared" si="228"/>
        <v>18.440000000000001</v>
      </c>
      <c r="DR113" s="938">
        <f t="shared" si="229"/>
        <v>73.78</v>
      </c>
      <c r="DS113" s="938">
        <f t="shared" si="230"/>
        <v>25.82</v>
      </c>
      <c r="DU113" s="937" t="str">
        <f t="shared" si="199"/>
        <v>PZ-96</v>
      </c>
      <c r="DV113" s="938">
        <f t="shared" si="276"/>
        <v>2.09</v>
      </c>
      <c r="DW113" s="938">
        <v>1.2</v>
      </c>
      <c r="DX113" s="938">
        <v>1.6</v>
      </c>
      <c r="DY113" s="938">
        <f t="shared" si="277"/>
        <v>-4.2021943334417076</v>
      </c>
      <c r="DZ113" s="938">
        <v>1.6</v>
      </c>
      <c r="EA113" s="938">
        <v>1.6</v>
      </c>
      <c r="EB113" s="938">
        <f t="shared" si="278"/>
        <v>5.3504000000000005</v>
      </c>
      <c r="EC113" s="938">
        <f t="shared" si="279"/>
        <v>1.1482056665582929</v>
      </c>
      <c r="ED113" s="938">
        <f t="shared" si="280"/>
        <v>0.63151311660706111</v>
      </c>
      <c r="EE113" s="938">
        <f t="shared" si="281"/>
        <v>0.51669254995123182</v>
      </c>
      <c r="EF113" s="938">
        <f t="shared" si="282"/>
        <v>0.63151311660706111</v>
      </c>
    </row>
    <row r="114" spans="1:136">
      <c r="A114" s="979" t="s">
        <v>2348</v>
      </c>
      <c r="B114" s="920" t="s">
        <v>2245</v>
      </c>
      <c r="C114" s="1294">
        <v>42.213000000000001</v>
      </c>
      <c r="D114" s="921">
        <v>662.78200000000004</v>
      </c>
      <c r="E114" s="921">
        <v>704.995</v>
      </c>
      <c r="F114" s="922">
        <v>1.4999999999999999E-2</v>
      </c>
      <c r="G114" s="923">
        <v>5.6</v>
      </c>
      <c r="H114" s="924">
        <v>5.5999999999999999E-3</v>
      </c>
      <c r="I114" s="925">
        <v>1.3266055480537877E-2</v>
      </c>
      <c r="J114" s="926">
        <v>1.7999999999999999E-2</v>
      </c>
      <c r="K114" s="927">
        <v>9.7389490525982392E-2</v>
      </c>
      <c r="L114" s="923">
        <v>3.8342319104564107</v>
      </c>
      <c r="M114" s="928">
        <v>8</v>
      </c>
      <c r="N114" s="927">
        <v>0.2</v>
      </c>
      <c r="O114" s="927">
        <v>0.182</v>
      </c>
      <c r="P114" s="923">
        <v>2.9686337606833587E-2</v>
      </c>
      <c r="Q114" s="923">
        <v>1.1410980132786839</v>
      </c>
      <c r="R114" s="923">
        <v>0.19</v>
      </c>
      <c r="S114" s="927">
        <v>0.64500000000000002</v>
      </c>
      <c r="T114" s="929">
        <v>0.33400000000000002</v>
      </c>
      <c r="U114" s="927">
        <v>0.748</v>
      </c>
      <c r="V114" s="930">
        <v>0.73600821856475107</v>
      </c>
      <c r="W114" s="927">
        <v>2.7609994790767502E-2</v>
      </c>
      <c r="X114" s="927">
        <v>3.4034000000000002E-2</v>
      </c>
      <c r="Y114" s="927">
        <v>6.0788000000000002E-2</v>
      </c>
      <c r="Z114" s="927">
        <v>8.8397994790767501E-2</v>
      </c>
      <c r="AA114" s="931">
        <v>0.24399999999999999</v>
      </c>
      <c r="AB114" s="923">
        <v>4.4407999999999996E-2</v>
      </c>
      <c r="AC114" s="923">
        <v>6.0097237200000002</v>
      </c>
      <c r="AD114" s="923">
        <v>1.1151095957353916</v>
      </c>
      <c r="AE114" s="932" t="s">
        <v>2197</v>
      </c>
      <c r="AF114" s="927">
        <v>9.3370594726592884E-4</v>
      </c>
      <c r="AG114" s="924">
        <v>9.3370594726592892E-5</v>
      </c>
      <c r="AH114" s="923">
        <v>3.2967032967032965</v>
      </c>
      <c r="AI114" s="927">
        <v>1.357157090856727E-3</v>
      </c>
      <c r="AJ114" s="927">
        <v>1.4505276855833198E-3</v>
      </c>
      <c r="AK114" s="933">
        <v>920.67</v>
      </c>
      <c r="AL114" s="933">
        <v>920.11</v>
      </c>
      <c r="AM114" s="930">
        <v>919.42079600000022</v>
      </c>
      <c r="AN114" s="930">
        <v>918.66096200000027</v>
      </c>
      <c r="AO114" s="934">
        <v>919.22079600000018</v>
      </c>
      <c r="AP114" s="978">
        <v>918.46096200000022</v>
      </c>
      <c r="AQ114" s="923">
        <v>919.28158400000018</v>
      </c>
      <c r="AR114" s="923">
        <v>918.52175000000022</v>
      </c>
      <c r="AS114" s="923">
        <v>919.93943496719521</v>
      </c>
      <c r="AT114" s="923">
        <v>919.17960096719526</v>
      </c>
      <c r="AU114" s="923">
        <v>1.249203999999736</v>
      </c>
      <c r="AV114" s="923">
        <v>1.4490379999997458</v>
      </c>
      <c r="AW114" s="923">
        <v>1.4492039999997814</v>
      </c>
      <c r="AX114" s="923">
        <v>1.6490379999997913</v>
      </c>
      <c r="AY114" s="923">
        <v>918.46096200000022</v>
      </c>
      <c r="AZ114" s="923" t="s">
        <v>2187</v>
      </c>
      <c r="BA114" s="935" t="s">
        <v>2188</v>
      </c>
      <c r="BB114" s="935" t="s">
        <v>2189</v>
      </c>
      <c r="BC114" s="935" t="s">
        <v>2198</v>
      </c>
      <c r="BD114" s="935" t="s">
        <v>2191</v>
      </c>
      <c r="BE114" s="935" t="s">
        <v>2191</v>
      </c>
      <c r="BF114" s="946"/>
      <c r="BH114" s="937"/>
      <c r="BI114" s="894" t="str">
        <f t="shared" si="275"/>
        <v>PZ-97</v>
      </c>
      <c r="BJ114" s="894" t="str">
        <f t="shared" si="275"/>
        <v>PZ-80</v>
      </c>
      <c r="BK114" s="938">
        <f t="shared" si="239"/>
        <v>42.21</v>
      </c>
      <c r="BL114" s="938">
        <f t="shared" si="240"/>
        <v>40.61</v>
      </c>
      <c r="BM114" s="895">
        <f t="shared" si="241"/>
        <v>8</v>
      </c>
      <c r="BN114" s="938">
        <f t="shared" si="242"/>
        <v>41.01</v>
      </c>
      <c r="BO114" s="700">
        <f t="shared" si="207"/>
        <v>0.6</v>
      </c>
      <c r="BP114" s="938">
        <f t="shared" si="243"/>
        <v>1.45</v>
      </c>
      <c r="BQ114" s="938">
        <f t="shared" si="244"/>
        <v>1.65</v>
      </c>
      <c r="BR114" s="938">
        <f t="shared" si="245"/>
        <v>1.65</v>
      </c>
      <c r="BS114" s="938">
        <f t="shared" si="246"/>
        <v>40.200000000000003</v>
      </c>
      <c r="BT114" s="938">
        <f t="shared" si="247"/>
        <v>67.006499999999988</v>
      </c>
      <c r="BU114" s="938">
        <f t="shared" si="208"/>
        <v>0</v>
      </c>
      <c r="BV114" s="938">
        <f t="shared" si="248"/>
        <v>0</v>
      </c>
      <c r="BW114" s="938">
        <f t="shared" si="283"/>
        <v>0</v>
      </c>
      <c r="BX114" s="938">
        <f t="shared" si="284"/>
        <v>32.159999999999997</v>
      </c>
      <c r="BY114" s="938">
        <f t="shared" si="181"/>
        <v>6.83</v>
      </c>
      <c r="BZ114" s="938">
        <f t="shared" si="209"/>
        <v>1.21</v>
      </c>
      <c r="CA114" s="938">
        <f t="shared" si="249"/>
        <v>1.32</v>
      </c>
      <c r="CB114" s="938">
        <f t="shared" si="250"/>
        <v>24.37</v>
      </c>
      <c r="CC114" s="938" t="s">
        <v>2192</v>
      </c>
      <c r="CD114" s="938">
        <f t="shared" si="251"/>
        <v>0</v>
      </c>
      <c r="CE114" s="938">
        <f t="shared" si="252"/>
        <v>0</v>
      </c>
      <c r="CF114" s="938">
        <f t="shared" si="253"/>
        <v>0</v>
      </c>
      <c r="CG114" s="938">
        <f t="shared" si="254"/>
        <v>0</v>
      </c>
      <c r="CH114" s="938">
        <v>0.3</v>
      </c>
      <c r="CI114" s="938">
        <f t="shared" si="255"/>
        <v>0</v>
      </c>
      <c r="CJ114" s="938">
        <f t="shared" si="256"/>
        <v>0</v>
      </c>
      <c r="CK114" s="938">
        <f t="shared" si="257"/>
        <v>36.44</v>
      </c>
      <c r="CL114" s="938">
        <f t="shared" si="258"/>
        <v>0.1</v>
      </c>
      <c r="CM114" s="938">
        <f t="shared" si="259"/>
        <v>2.44</v>
      </c>
      <c r="CN114" s="938">
        <f t="shared" si="193"/>
        <v>10.59</v>
      </c>
      <c r="CO114" s="938">
        <f t="shared" si="194"/>
        <v>25.85</v>
      </c>
      <c r="CP114" s="938">
        <f t="shared" si="260"/>
        <v>14.35</v>
      </c>
      <c r="CQ114" s="936"/>
      <c r="CS114" s="980">
        <f t="shared" si="196"/>
        <v>8</v>
      </c>
      <c r="CT114" s="702">
        <f t="shared" si="197"/>
        <v>200</v>
      </c>
      <c r="CU114" s="895">
        <v>1</v>
      </c>
      <c r="CV114" s="938">
        <v>16.600000000000001</v>
      </c>
      <c r="CW114" s="938">
        <f t="shared" si="210"/>
        <v>16.600000000000001</v>
      </c>
      <c r="CX114" s="938">
        <f t="shared" si="198"/>
        <v>0.6</v>
      </c>
      <c r="CY114" s="938">
        <f t="shared" si="211"/>
        <v>1.33</v>
      </c>
      <c r="CZ114" s="938">
        <f t="shared" si="212"/>
        <v>13.25</v>
      </c>
      <c r="DA114" s="938">
        <f t="shared" si="213"/>
        <v>0</v>
      </c>
      <c r="DB114" s="938">
        <f t="shared" si="214"/>
        <v>0</v>
      </c>
      <c r="DC114" s="938">
        <f t="shared" si="215"/>
        <v>0</v>
      </c>
      <c r="DD114" s="938">
        <f t="shared" si="216"/>
        <v>0.3</v>
      </c>
      <c r="DE114" s="938">
        <f t="shared" si="217"/>
        <v>9.9600000000000009</v>
      </c>
      <c r="DF114" s="938" t="str">
        <f t="shared" si="218"/>
        <v>D</v>
      </c>
      <c r="DG114" s="938">
        <f t="shared" si="219"/>
        <v>0</v>
      </c>
      <c r="DH114" s="938">
        <f t="shared" si="220"/>
        <v>0</v>
      </c>
      <c r="DI114" s="938">
        <f t="shared" si="221"/>
        <v>0</v>
      </c>
      <c r="DJ114" s="938">
        <f t="shared" si="222"/>
        <v>0</v>
      </c>
      <c r="DK114" s="938">
        <v>49.3</v>
      </c>
      <c r="DL114" s="938">
        <f t="shared" si="223"/>
        <v>0</v>
      </c>
      <c r="DM114" s="938">
        <f t="shared" si="224"/>
        <v>0</v>
      </c>
      <c r="DN114" s="938">
        <f t="shared" si="225"/>
        <v>11.95</v>
      </c>
      <c r="DO114" s="938">
        <f t="shared" si="226"/>
        <v>0.1</v>
      </c>
      <c r="DP114" s="938">
        <f t="shared" si="227"/>
        <v>0.99600000000000011</v>
      </c>
      <c r="DQ114" s="938">
        <f t="shared" si="228"/>
        <v>2.39</v>
      </c>
      <c r="DR114" s="938">
        <f t="shared" si="229"/>
        <v>9.56</v>
      </c>
      <c r="DS114" s="938">
        <f t="shared" si="230"/>
        <v>3.39</v>
      </c>
      <c r="DU114" s="937" t="str">
        <f t="shared" si="199"/>
        <v>PZ-97</v>
      </c>
      <c r="DV114" s="938">
        <f t="shared" si="276"/>
        <v>1.65</v>
      </c>
      <c r="DW114" s="938">
        <v>1.2</v>
      </c>
      <c r="DX114" s="938">
        <v>1.6</v>
      </c>
      <c r="DY114" s="938">
        <f t="shared" si="277"/>
        <v>-3.3175218421908217</v>
      </c>
      <c r="DZ114" s="938">
        <v>1.6</v>
      </c>
      <c r="EA114" s="938">
        <v>1.6</v>
      </c>
      <c r="EB114" s="938">
        <f t="shared" si="278"/>
        <v>4.2240000000000002</v>
      </c>
      <c r="EC114" s="938">
        <f t="shared" si="279"/>
        <v>0.90647815780917851</v>
      </c>
      <c r="ED114" s="938">
        <f t="shared" si="280"/>
        <v>0.49856298679504824</v>
      </c>
      <c r="EE114" s="938">
        <f t="shared" si="281"/>
        <v>0.40791517101413033</v>
      </c>
      <c r="EF114" s="938">
        <f t="shared" si="282"/>
        <v>0.49856298679504824</v>
      </c>
    </row>
    <row r="115" spans="1:136" s="919" customFormat="1">
      <c r="A115" s="982" t="s">
        <v>2349</v>
      </c>
      <c r="B115" s="949"/>
      <c r="C115" s="1295"/>
      <c r="D115" s="964"/>
      <c r="E115" s="964"/>
      <c r="F115" s="948"/>
      <c r="G115" s="951"/>
      <c r="H115" s="952"/>
      <c r="I115" s="953"/>
      <c r="J115" s="954"/>
      <c r="K115" s="955"/>
      <c r="L115" s="951"/>
      <c r="M115" s="956"/>
      <c r="N115" s="955"/>
      <c r="O115" s="955"/>
      <c r="P115" s="951"/>
      <c r="Q115" s="951"/>
      <c r="R115" s="951"/>
      <c r="S115" s="955"/>
      <c r="T115" s="957"/>
      <c r="U115" s="955"/>
      <c r="V115" s="958"/>
      <c r="W115" s="955"/>
      <c r="X115" s="955"/>
      <c r="Y115" s="955"/>
      <c r="Z115" s="955"/>
      <c r="AA115" s="959"/>
      <c r="AB115" s="951"/>
      <c r="AC115" s="951"/>
      <c r="AD115" s="951"/>
      <c r="AE115" s="960"/>
      <c r="AF115" s="955"/>
      <c r="AG115" s="952"/>
      <c r="AH115" s="951"/>
      <c r="AI115" s="955"/>
      <c r="AJ115" s="955"/>
      <c r="AK115" s="961"/>
      <c r="AL115" s="961"/>
      <c r="AM115" s="958"/>
      <c r="AN115" s="958"/>
      <c r="AO115" s="962"/>
      <c r="AP115" s="962"/>
      <c r="AQ115" s="951"/>
      <c r="AR115" s="951"/>
      <c r="AS115" s="951"/>
      <c r="AT115" s="951"/>
      <c r="AU115" s="951"/>
      <c r="AV115" s="951"/>
      <c r="AW115" s="951"/>
      <c r="AX115" s="951"/>
      <c r="AY115" s="951">
        <v>-936.65999999999985</v>
      </c>
      <c r="AZ115" s="951"/>
      <c r="BA115" s="963"/>
      <c r="BB115" s="963"/>
      <c r="BC115" s="963"/>
      <c r="BD115" s="963"/>
      <c r="BE115" s="963"/>
      <c r="BF115" s="966"/>
      <c r="BH115" s="917"/>
      <c r="BI115" s="903"/>
      <c r="BJ115" s="903"/>
      <c r="BK115" s="901"/>
      <c r="BL115" s="901"/>
      <c r="BM115" s="908"/>
      <c r="BN115" s="901"/>
      <c r="BO115" s="698" t="str">
        <f t="shared" si="207"/>
        <v/>
      </c>
      <c r="BP115" s="901"/>
      <c r="BQ115" s="901"/>
      <c r="BR115" s="901"/>
      <c r="BS115" s="901"/>
      <c r="BT115" s="901"/>
      <c r="BU115" s="901">
        <f t="shared" si="208"/>
        <v>0</v>
      </c>
      <c r="BV115" s="901"/>
      <c r="BW115" s="901" t="str">
        <f t="shared" si="283"/>
        <v/>
      </c>
      <c r="BX115" s="901" t="str">
        <f t="shared" si="284"/>
        <v/>
      </c>
      <c r="BY115" s="901" t="str">
        <f t="shared" si="181"/>
        <v/>
      </c>
      <c r="BZ115" s="901" t="str">
        <f t="shared" si="209"/>
        <v/>
      </c>
      <c r="CA115" s="901"/>
      <c r="CB115" s="901"/>
      <c r="CC115" s="901"/>
      <c r="CD115" s="901"/>
      <c r="CE115" s="901"/>
      <c r="CF115" s="901"/>
      <c r="CG115" s="901"/>
      <c r="CH115" s="901"/>
      <c r="CI115" s="901"/>
      <c r="CJ115" s="901"/>
      <c r="CK115" s="901"/>
      <c r="CL115" s="901"/>
      <c r="CM115" s="901"/>
      <c r="CN115" s="901" t="str">
        <f t="shared" si="193"/>
        <v/>
      </c>
      <c r="CO115" s="901" t="str">
        <f t="shared" si="194"/>
        <v/>
      </c>
      <c r="CP115" s="901"/>
      <c r="CQ115" s="916"/>
      <c r="CS115" s="983"/>
      <c r="CT115" s="849"/>
      <c r="CU115" s="908"/>
      <c r="CV115" s="901"/>
      <c r="CW115" s="901"/>
      <c r="CX115" s="901"/>
      <c r="CY115" s="901"/>
      <c r="CZ115" s="901"/>
      <c r="DA115" s="901"/>
      <c r="DB115" s="901"/>
      <c r="DC115" s="901"/>
      <c r="DD115" s="901"/>
      <c r="DE115" s="901"/>
      <c r="DF115" s="901"/>
      <c r="DG115" s="901"/>
      <c r="DH115" s="901"/>
      <c r="DI115" s="901"/>
      <c r="DJ115" s="901"/>
      <c r="DK115" s="901"/>
      <c r="DL115" s="901"/>
      <c r="DM115" s="901"/>
      <c r="DN115" s="901"/>
      <c r="DO115" s="901" t="str">
        <f t="shared" si="226"/>
        <v/>
      </c>
      <c r="DP115" s="901"/>
      <c r="DQ115" s="901" t="str">
        <f t="shared" si="228"/>
        <v/>
      </c>
      <c r="DR115" s="901" t="str">
        <f t="shared" si="229"/>
        <v/>
      </c>
      <c r="DS115" s="901"/>
      <c r="DU115" s="917"/>
      <c r="DV115" s="917"/>
      <c r="DW115" s="917"/>
      <c r="DX115" s="917"/>
      <c r="DY115" s="917"/>
      <c r="DZ115" s="917"/>
      <c r="EA115" s="917"/>
      <c r="EB115" s="917"/>
      <c r="EC115" s="917"/>
      <c r="ED115" s="917"/>
      <c r="EE115" s="984"/>
      <c r="EF115" s="917"/>
    </row>
    <row r="116" spans="1:136">
      <c r="A116" s="979"/>
      <c r="B116" s="920"/>
      <c r="C116" s="1294"/>
      <c r="D116" s="921"/>
      <c r="E116" s="921"/>
      <c r="F116" s="922"/>
      <c r="G116" s="923"/>
      <c r="H116" s="924"/>
      <c r="I116" s="925"/>
      <c r="J116" s="926"/>
      <c r="K116" s="927"/>
      <c r="L116" s="923"/>
      <c r="M116" s="928"/>
      <c r="N116" s="927"/>
      <c r="O116" s="927"/>
      <c r="P116" s="923"/>
      <c r="Q116" s="923"/>
      <c r="R116" s="923"/>
      <c r="S116" s="927"/>
      <c r="T116" s="929"/>
      <c r="U116" s="927"/>
      <c r="V116" s="930"/>
      <c r="W116" s="927"/>
      <c r="X116" s="927"/>
      <c r="Y116" s="927"/>
      <c r="Z116" s="927"/>
      <c r="AA116" s="931"/>
      <c r="AB116" s="923"/>
      <c r="AC116" s="923"/>
      <c r="AD116" s="923"/>
      <c r="AE116" s="932"/>
      <c r="AF116" s="927"/>
      <c r="AG116" s="924"/>
      <c r="AH116" s="923"/>
      <c r="AI116" s="927"/>
      <c r="AJ116" s="927"/>
      <c r="AK116" s="933"/>
      <c r="AL116" s="933"/>
      <c r="AM116" s="930"/>
      <c r="AN116" s="930"/>
      <c r="AO116" s="934"/>
      <c r="AP116" s="934"/>
      <c r="AQ116" s="923"/>
      <c r="AR116" s="923"/>
      <c r="AS116" s="923"/>
      <c r="AT116" s="923"/>
      <c r="AU116" s="923"/>
      <c r="AV116" s="923"/>
      <c r="AW116" s="923"/>
      <c r="AX116" s="923"/>
      <c r="AY116" s="923"/>
      <c r="AZ116" s="923"/>
      <c r="BA116" s="935"/>
      <c r="BB116" s="935"/>
      <c r="BC116" s="935"/>
      <c r="BD116" s="935"/>
      <c r="BE116" s="935"/>
      <c r="BF116" s="946"/>
      <c r="BH116" s="937"/>
      <c r="BI116" s="894"/>
      <c r="BJ116" s="894"/>
      <c r="BK116" s="938"/>
      <c r="BL116" s="938"/>
      <c r="BM116" s="895"/>
      <c r="BN116" s="938"/>
      <c r="BO116" s="700"/>
      <c r="BP116" s="938"/>
      <c r="BQ116" s="938"/>
      <c r="BR116" s="938"/>
      <c r="BS116" s="938"/>
      <c r="BT116" s="938"/>
      <c r="BU116" s="938"/>
      <c r="BV116" s="938"/>
      <c r="BW116" s="938"/>
      <c r="BX116" s="938"/>
      <c r="BY116" s="938"/>
      <c r="BZ116" s="938"/>
      <c r="CA116" s="938"/>
      <c r="CB116" s="938"/>
      <c r="CC116" s="938"/>
      <c r="CD116" s="938"/>
      <c r="CE116" s="938"/>
      <c r="CF116" s="938"/>
      <c r="CG116" s="938"/>
      <c r="CH116" s="938"/>
      <c r="CI116" s="938"/>
      <c r="CJ116" s="938"/>
      <c r="CK116" s="938"/>
      <c r="CL116" s="938"/>
      <c r="CM116" s="938"/>
      <c r="CN116" s="938"/>
      <c r="CO116" s="938"/>
      <c r="CP116" s="938"/>
      <c r="CQ116" s="936"/>
      <c r="CS116" s="980"/>
      <c r="CT116" s="702"/>
      <c r="CU116" s="895"/>
      <c r="CV116" s="938"/>
      <c r="CW116" s="938"/>
      <c r="CX116" s="938"/>
      <c r="CY116" s="938"/>
      <c r="CZ116" s="938"/>
      <c r="DA116" s="938"/>
      <c r="DB116" s="938"/>
      <c r="DC116" s="938"/>
      <c r="DD116" s="938"/>
      <c r="DE116" s="938"/>
      <c r="DF116" s="938"/>
      <c r="DG116" s="938"/>
      <c r="DH116" s="938"/>
      <c r="DI116" s="938"/>
      <c r="DJ116" s="938"/>
      <c r="DK116" s="938"/>
      <c r="DL116" s="938"/>
      <c r="DM116" s="938"/>
      <c r="DN116" s="938"/>
      <c r="DO116" s="938"/>
      <c r="DP116" s="938"/>
      <c r="DQ116" s="938"/>
      <c r="DR116" s="938"/>
      <c r="DS116" s="938"/>
      <c r="DU116" s="937"/>
      <c r="DV116" s="938"/>
      <c r="DW116" s="938"/>
      <c r="DX116" s="938"/>
      <c r="DY116" s="938"/>
      <c r="DZ116" s="938"/>
      <c r="EA116" s="938"/>
      <c r="EB116" s="938"/>
      <c r="EC116" s="938"/>
      <c r="ED116" s="938"/>
      <c r="EE116" s="938"/>
      <c r="EF116" s="938"/>
    </row>
    <row r="117" spans="1:136">
      <c r="A117" s="979"/>
      <c r="B117" s="920"/>
      <c r="C117" s="1294"/>
      <c r="D117" s="921"/>
      <c r="E117" s="921"/>
      <c r="F117" s="922"/>
      <c r="G117" s="923"/>
      <c r="H117" s="924"/>
      <c r="I117" s="925"/>
      <c r="J117" s="926"/>
      <c r="K117" s="927"/>
      <c r="L117" s="923"/>
      <c r="M117" s="928"/>
      <c r="N117" s="927"/>
      <c r="O117" s="927"/>
      <c r="P117" s="923"/>
      <c r="Q117" s="923"/>
      <c r="R117" s="923"/>
      <c r="S117" s="927"/>
      <c r="T117" s="929"/>
      <c r="U117" s="927"/>
      <c r="V117" s="930"/>
      <c r="W117" s="927"/>
      <c r="X117" s="927"/>
      <c r="Y117" s="927"/>
      <c r="Z117" s="927"/>
      <c r="AA117" s="931"/>
      <c r="AB117" s="923"/>
      <c r="AC117" s="923"/>
      <c r="AD117" s="923"/>
      <c r="AE117" s="932"/>
      <c r="AF117" s="927"/>
      <c r="AG117" s="924"/>
      <c r="AH117" s="923"/>
      <c r="AI117" s="927"/>
      <c r="AJ117" s="927"/>
      <c r="AK117" s="933"/>
      <c r="AL117" s="933"/>
      <c r="AM117" s="930"/>
      <c r="AN117" s="930"/>
      <c r="AO117" s="934"/>
      <c r="AP117" s="934"/>
      <c r="AQ117" s="923"/>
      <c r="AR117" s="923"/>
      <c r="AS117" s="923"/>
      <c r="AT117" s="923"/>
      <c r="AU117" s="923"/>
      <c r="AV117" s="923"/>
      <c r="AW117" s="923"/>
      <c r="AX117" s="923"/>
      <c r="AY117" s="923"/>
      <c r="AZ117" s="923"/>
      <c r="BA117" s="935"/>
      <c r="BB117" s="935"/>
      <c r="BC117" s="935"/>
      <c r="BD117" s="935"/>
      <c r="BE117" s="935"/>
      <c r="BF117" s="935"/>
      <c r="BH117" s="937"/>
      <c r="BI117" s="894"/>
      <c r="BJ117" s="894"/>
      <c r="BK117" s="938"/>
      <c r="BL117" s="938"/>
      <c r="BM117" s="895"/>
      <c r="BN117" s="938"/>
      <c r="BO117" s="700"/>
      <c r="BP117" s="938"/>
      <c r="BQ117" s="938"/>
      <c r="BR117" s="938"/>
      <c r="BS117" s="938"/>
      <c r="BT117" s="938"/>
      <c r="BU117" s="938"/>
      <c r="BV117" s="938"/>
      <c r="BW117" s="938"/>
      <c r="BX117" s="938"/>
      <c r="BY117" s="938"/>
      <c r="BZ117" s="938"/>
      <c r="CA117" s="938"/>
      <c r="CB117" s="938"/>
      <c r="CC117" s="938"/>
      <c r="CD117" s="938"/>
      <c r="CE117" s="938"/>
      <c r="CF117" s="938"/>
      <c r="CG117" s="938"/>
      <c r="CH117" s="938"/>
      <c r="CI117" s="938"/>
      <c r="CJ117" s="938"/>
      <c r="CK117" s="938"/>
      <c r="CL117" s="938"/>
      <c r="CM117" s="938"/>
      <c r="CN117" s="938"/>
      <c r="CO117" s="938"/>
      <c r="CP117" s="938"/>
      <c r="CQ117" s="936"/>
      <c r="CS117" s="980"/>
      <c r="CT117" s="702"/>
      <c r="CU117" s="895"/>
      <c r="CV117" s="938"/>
      <c r="CW117" s="938"/>
      <c r="CX117" s="938"/>
      <c r="CY117" s="938"/>
      <c r="CZ117" s="938"/>
      <c r="DA117" s="938"/>
      <c r="DB117" s="938"/>
      <c r="DC117" s="938"/>
      <c r="DD117" s="938"/>
      <c r="DE117" s="938"/>
      <c r="DF117" s="938"/>
      <c r="DG117" s="938"/>
      <c r="DH117" s="938"/>
      <c r="DI117" s="938"/>
      <c r="DJ117" s="938"/>
      <c r="DK117" s="938"/>
      <c r="DL117" s="938"/>
      <c r="DM117" s="938"/>
      <c r="DN117" s="938"/>
      <c r="DO117" s="938"/>
      <c r="DP117" s="938"/>
      <c r="DQ117" s="938"/>
      <c r="DR117" s="938"/>
      <c r="DS117" s="938"/>
      <c r="DU117" s="937"/>
      <c r="DV117" s="938"/>
      <c r="DW117" s="938"/>
      <c r="DX117" s="938"/>
      <c r="DY117" s="938"/>
      <c r="DZ117" s="938"/>
      <c r="EA117" s="938"/>
      <c r="EB117" s="938"/>
      <c r="EC117" s="938"/>
      <c r="ED117" s="938"/>
      <c r="EE117" s="938"/>
      <c r="EF117" s="938"/>
    </row>
    <row r="118" spans="1:136">
      <c r="A118" s="979"/>
      <c r="B118" s="920"/>
      <c r="C118" s="1294"/>
      <c r="D118" s="921"/>
      <c r="E118" s="921"/>
      <c r="F118" s="922"/>
      <c r="G118" s="923"/>
      <c r="H118" s="924"/>
      <c r="I118" s="925"/>
      <c r="J118" s="926"/>
      <c r="K118" s="927"/>
      <c r="L118" s="923"/>
      <c r="M118" s="928"/>
      <c r="N118" s="927"/>
      <c r="O118" s="927"/>
      <c r="P118" s="923"/>
      <c r="Q118" s="923"/>
      <c r="R118" s="923"/>
      <c r="S118" s="927"/>
      <c r="T118" s="929"/>
      <c r="U118" s="927"/>
      <c r="V118" s="930"/>
      <c r="W118" s="927"/>
      <c r="X118" s="927"/>
      <c r="Y118" s="927"/>
      <c r="Z118" s="927"/>
      <c r="AA118" s="931"/>
      <c r="AB118" s="923"/>
      <c r="AC118" s="923"/>
      <c r="AD118" s="923"/>
      <c r="AE118" s="932"/>
      <c r="AF118" s="927"/>
      <c r="AG118" s="924"/>
      <c r="AH118" s="923"/>
      <c r="AI118" s="927"/>
      <c r="AJ118" s="927"/>
      <c r="AK118" s="933"/>
      <c r="AL118" s="933"/>
      <c r="AM118" s="930"/>
      <c r="AN118" s="930"/>
      <c r="AO118" s="934"/>
      <c r="AP118" s="934"/>
      <c r="AQ118" s="923"/>
      <c r="AR118" s="923"/>
      <c r="AS118" s="923"/>
      <c r="AT118" s="923"/>
      <c r="AU118" s="923"/>
      <c r="AV118" s="923"/>
      <c r="AW118" s="923"/>
      <c r="AX118" s="923"/>
      <c r="AY118" s="923"/>
      <c r="AZ118" s="923"/>
      <c r="BA118" s="935"/>
      <c r="BB118" s="935"/>
      <c r="BC118" s="935"/>
      <c r="BD118" s="935"/>
      <c r="BE118" s="935"/>
      <c r="BF118" s="1040"/>
      <c r="BH118" s="937"/>
      <c r="BI118" s="894"/>
      <c r="BJ118" s="894"/>
      <c r="BK118" s="938"/>
      <c r="BL118" s="938"/>
      <c r="BM118" s="895"/>
      <c r="BN118" s="938"/>
      <c r="BO118" s="700"/>
      <c r="BP118" s="938"/>
      <c r="BQ118" s="938"/>
      <c r="BR118" s="938"/>
      <c r="BS118" s="938"/>
      <c r="BT118" s="938"/>
      <c r="BU118" s="938"/>
      <c r="BV118" s="938"/>
      <c r="BW118" s="938"/>
      <c r="BX118" s="938"/>
      <c r="BY118" s="938"/>
      <c r="BZ118" s="938"/>
      <c r="CA118" s="938"/>
      <c r="CB118" s="938"/>
      <c r="CC118" s="938"/>
      <c r="CD118" s="938"/>
      <c r="CE118" s="938"/>
      <c r="CF118" s="938"/>
      <c r="CG118" s="938"/>
      <c r="CH118" s="938"/>
      <c r="CI118" s="938"/>
      <c r="CJ118" s="938"/>
      <c r="CK118" s="938"/>
      <c r="CL118" s="938"/>
      <c r="CM118" s="938"/>
      <c r="CN118" s="938"/>
      <c r="CO118" s="938"/>
      <c r="CP118" s="938"/>
      <c r="CQ118" s="936"/>
      <c r="CS118" s="980"/>
      <c r="CT118" s="702"/>
      <c r="CU118" s="895"/>
      <c r="CV118" s="938"/>
      <c r="CW118" s="938"/>
      <c r="CX118" s="938"/>
      <c r="CY118" s="938"/>
      <c r="CZ118" s="938"/>
      <c r="DA118" s="938"/>
      <c r="DB118" s="938"/>
      <c r="DC118" s="938"/>
      <c r="DD118" s="938"/>
      <c r="DE118" s="938"/>
      <c r="DF118" s="938"/>
      <c r="DG118" s="938"/>
      <c r="DH118" s="938"/>
      <c r="DI118" s="938"/>
      <c r="DJ118" s="938"/>
      <c r="DK118" s="938"/>
      <c r="DL118" s="938"/>
      <c r="DM118" s="938"/>
      <c r="DN118" s="938"/>
      <c r="DO118" s="938"/>
      <c r="DP118" s="938"/>
      <c r="DQ118" s="938"/>
      <c r="DR118" s="938"/>
      <c r="DS118" s="938"/>
      <c r="DU118" s="937"/>
      <c r="DV118" s="938"/>
      <c r="DW118" s="938"/>
      <c r="DX118" s="938"/>
      <c r="DY118" s="938"/>
      <c r="DZ118" s="938"/>
      <c r="EA118" s="938"/>
      <c r="EB118" s="938"/>
      <c r="EC118" s="938"/>
      <c r="ED118" s="938"/>
      <c r="EE118" s="938"/>
      <c r="EF118" s="938"/>
    </row>
    <row r="119" spans="1:136">
      <c r="A119" s="979"/>
      <c r="B119" s="920"/>
      <c r="C119" s="1294"/>
      <c r="D119" s="921"/>
      <c r="E119" s="921"/>
      <c r="F119" s="922"/>
      <c r="G119" s="923"/>
      <c r="H119" s="924"/>
      <c r="I119" s="925"/>
      <c r="J119" s="926"/>
      <c r="K119" s="927"/>
      <c r="L119" s="923"/>
      <c r="M119" s="928"/>
      <c r="N119" s="927"/>
      <c r="O119" s="927"/>
      <c r="P119" s="923"/>
      <c r="Q119" s="923"/>
      <c r="R119" s="923"/>
      <c r="S119" s="927"/>
      <c r="T119" s="929"/>
      <c r="U119" s="927"/>
      <c r="V119" s="930"/>
      <c r="W119" s="927"/>
      <c r="X119" s="927"/>
      <c r="Y119" s="927"/>
      <c r="Z119" s="927"/>
      <c r="AA119" s="931"/>
      <c r="AB119" s="923"/>
      <c r="AC119" s="923"/>
      <c r="AD119" s="923"/>
      <c r="AE119" s="932"/>
      <c r="AF119" s="927"/>
      <c r="AG119" s="924"/>
      <c r="AH119" s="923"/>
      <c r="AI119" s="927"/>
      <c r="AJ119" s="927"/>
      <c r="AK119" s="933"/>
      <c r="AL119" s="933"/>
      <c r="AM119" s="930"/>
      <c r="AN119" s="930"/>
      <c r="AO119" s="934"/>
      <c r="AP119" s="934"/>
      <c r="AQ119" s="923"/>
      <c r="AR119" s="923"/>
      <c r="AS119" s="923"/>
      <c r="AT119" s="923"/>
      <c r="AU119" s="923"/>
      <c r="AV119" s="923"/>
      <c r="AW119" s="923"/>
      <c r="AX119" s="923"/>
      <c r="AY119" s="923"/>
      <c r="AZ119" s="923"/>
      <c r="BA119" s="935"/>
      <c r="BB119" s="935"/>
      <c r="BC119" s="935"/>
      <c r="BD119" s="935"/>
      <c r="BE119" s="935"/>
      <c r="BF119" s="935"/>
      <c r="BH119" s="937"/>
      <c r="BI119" s="894"/>
      <c r="BJ119" s="894"/>
      <c r="BK119" s="938"/>
      <c r="BL119" s="938"/>
      <c r="BM119" s="895"/>
      <c r="BN119" s="938"/>
      <c r="BO119" s="700"/>
      <c r="BP119" s="938"/>
      <c r="BQ119" s="938"/>
      <c r="BR119" s="938"/>
      <c r="BS119" s="938"/>
      <c r="BT119" s="938"/>
      <c r="BU119" s="938"/>
      <c r="BV119" s="938"/>
      <c r="BW119" s="938"/>
      <c r="BX119" s="938"/>
      <c r="BY119" s="938"/>
      <c r="BZ119" s="938"/>
      <c r="CA119" s="938"/>
      <c r="CB119" s="938"/>
      <c r="CC119" s="938"/>
      <c r="CD119" s="938"/>
      <c r="CE119" s="938"/>
      <c r="CF119" s="938"/>
      <c r="CG119" s="938"/>
      <c r="CH119" s="938"/>
      <c r="CI119" s="938"/>
      <c r="CJ119" s="938"/>
      <c r="CK119" s="938"/>
      <c r="CL119" s="938"/>
      <c r="CM119" s="938"/>
      <c r="CN119" s="938"/>
      <c r="CO119" s="938"/>
      <c r="CP119" s="938"/>
      <c r="CQ119" s="936"/>
      <c r="CS119" s="980"/>
      <c r="CT119" s="702"/>
      <c r="CU119" s="895"/>
      <c r="CV119" s="938"/>
      <c r="CW119" s="938"/>
      <c r="CX119" s="938"/>
      <c r="CY119" s="938"/>
      <c r="CZ119" s="938"/>
      <c r="DA119" s="938"/>
      <c r="DB119" s="938"/>
      <c r="DC119" s="938"/>
      <c r="DD119" s="938"/>
      <c r="DE119" s="938"/>
      <c r="DF119" s="938"/>
      <c r="DG119" s="938"/>
      <c r="DH119" s="938"/>
      <c r="DI119" s="938"/>
      <c r="DJ119" s="938"/>
      <c r="DK119" s="938"/>
      <c r="DL119" s="938"/>
      <c r="DM119" s="938"/>
      <c r="DN119" s="938"/>
      <c r="DO119" s="938"/>
      <c r="DP119" s="938"/>
      <c r="DQ119" s="938"/>
      <c r="DR119" s="938"/>
      <c r="DS119" s="938"/>
      <c r="DU119" s="937"/>
      <c r="DV119" s="938"/>
      <c r="DW119" s="938"/>
      <c r="DX119" s="938"/>
      <c r="DY119" s="938"/>
      <c r="DZ119" s="938"/>
      <c r="EA119" s="938"/>
      <c r="EB119" s="938"/>
      <c r="EC119" s="938"/>
      <c r="ED119" s="938"/>
      <c r="EE119" s="938"/>
      <c r="EF119" s="938"/>
    </row>
    <row r="120" spans="1:136" ht="15" customHeight="1">
      <c r="A120" s="979"/>
      <c r="B120" s="920"/>
      <c r="C120" s="1294"/>
      <c r="D120" s="921"/>
      <c r="E120" s="921"/>
      <c r="F120" s="922"/>
      <c r="G120" s="923"/>
      <c r="H120" s="924"/>
      <c r="I120" s="925"/>
      <c r="J120" s="926"/>
      <c r="K120" s="927"/>
      <c r="L120" s="923"/>
      <c r="M120" s="928"/>
      <c r="N120" s="927"/>
      <c r="O120" s="927"/>
      <c r="P120" s="923"/>
      <c r="Q120" s="923"/>
      <c r="R120" s="923"/>
      <c r="S120" s="927"/>
      <c r="T120" s="929"/>
      <c r="U120" s="927"/>
      <c r="V120" s="930"/>
      <c r="W120" s="927"/>
      <c r="X120" s="927"/>
      <c r="Y120" s="927"/>
      <c r="Z120" s="927"/>
      <c r="AA120" s="931"/>
      <c r="AB120" s="923"/>
      <c r="AC120" s="923"/>
      <c r="AD120" s="923"/>
      <c r="AE120" s="932"/>
      <c r="AF120" s="927"/>
      <c r="AG120" s="924"/>
      <c r="AH120" s="923"/>
      <c r="AI120" s="927"/>
      <c r="AJ120" s="927"/>
      <c r="AK120" s="933"/>
      <c r="AL120" s="933"/>
      <c r="AM120" s="930"/>
      <c r="AN120" s="930"/>
      <c r="AO120" s="934"/>
      <c r="AP120" s="934"/>
      <c r="AQ120" s="923"/>
      <c r="AR120" s="923"/>
      <c r="AS120" s="923"/>
      <c r="AT120" s="923"/>
      <c r="AU120" s="923"/>
      <c r="AV120" s="923"/>
      <c r="AW120" s="923"/>
      <c r="AX120" s="923"/>
      <c r="AY120" s="923"/>
      <c r="AZ120" s="923"/>
      <c r="BA120" s="935"/>
      <c r="BB120" s="935"/>
      <c r="BC120" s="935"/>
      <c r="BD120" s="935"/>
      <c r="BE120" s="935"/>
      <c r="BF120" s="1040"/>
      <c r="BH120" s="937"/>
      <c r="BI120" s="894"/>
      <c r="BJ120" s="894"/>
      <c r="BK120" s="938"/>
      <c r="BL120" s="938"/>
      <c r="BM120" s="895"/>
      <c r="BN120" s="938"/>
      <c r="BO120" s="700"/>
      <c r="BP120" s="938"/>
      <c r="BQ120" s="938"/>
      <c r="BR120" s="938"/>
      <c r="BS120" s="938"/>
      <c r="BT120" s="938"/>
      <c r="BU120" s="938"/>
      <c r="BV120" s="938"/>
      <c r="BW120" s="938"/>
      <c r="BX120" s="938"/>
      <c r="BY120" s="938"/>
      <c r="BZ120" s="938"/>
      <c r="CA120" s="938"/>
      <c r="CB120" s="938"/>
      <c r="CC120" s="938"/>
      <c r="CD120" s="938"/>
      <c r="CE120" s="938"/>
      <c r="CF120" s="938"/>
      <c r="CG120" s="938"/>
      <c r="CH120" s="938"/>
      <c r="CI120" s="938"/>
      <c r="CJ120" s="938"/>
      <c r="CK120" s="938"/>
      <c r="CL120" s="938"/>
      <c r="CM120" s="938"/>
      <c r="CN120" s="938"/>
      <c r="CO120" s="938"/>
      <c r="CP120" s="938"/>
      <c r="CQ120" s="936"/>
      <c r="CS120" s="980"/>
      <c r="CT120" s="702"/>
      <c r="CU120" s="895"/>
      <c r="CV120" s="938"/>
      <c r="CW120" s="938"/>
      <c r="CX120" s="938"/>
      <c r="CY120" s="938"/>
      <c r="CZ120" s="938"/>
      <c r="DA120" s="938"/>
      <c r="DB120" s="938"/>
      <c r="DC120" s="938"/>
      <c r="DD120" s="938"/>
      <c r="DE120" s="938"/>
      <c r="DF120" s="938"/>
      <c r="DG120" s="938"/>
      <c r="DH120" s="938"/>
      <c r="DI120" s="938"/>
      <c r="DJ120" s="938"/>
      <c r="DK120" s="938"/>
      <c r="DL120" s="938"/>
      <c r="DM120" s="938"/>
      <c r="DN120" s="938"/>
      <c r="DO120" s="938"/>
      <c r="DP120" s="938"/>
      <c r="DQ120" s="938"/>
      <c r="DR120" s="938"/>
      <c r="DS120" s="938"/>
      <c r="DU120" s="937"/>
      <c r="DV120" s="938"/>
      <c r="DW120" s="938"/>
      <c r="DX120" s="938"/>
      <c r="DY120" s="938"/>
      <c r="DZ120" s="938"/>
      <c r="EA120" s="938"/>
      <c r="EB120" s="938"/>
      <c r="EC120" s="938"/>
      <c r="ED120" s="938"/>
      <c r="EE120" s="938"/>
      <c r="EF120" s="938"/>
    </row>
    <row r="121" spans="1:136">
      <c r="A121" s="979"/>
      <c r="B121" s="920"/>
      <c r="C121" s="1294"/>
      <c r="D121" s="921"/>
      <c r="E121" s="921"/>
      <c r="F121" s="922"/>
      <c r="G121" s="923"/>
      <c r="H121" s="924"/>
      <c r="I121" s="925"/>
      <c r="J121" s="926"/>
      <c r="K121" s="927"/>
      <c r="L121" s="923"/>
      <c r="M121" s="928"/>
      <c r="N121" s="927"/>
      <c r="O121" s="927"/>
      <c r="P121" s="923"/>
      <c r="Q121" s="923"/>
      <c r="R121" s="923"/>
      <c r="S121" s="927"/>
      <c r="T121" s="929"/>
      <c r="U121" s="927"/>
      <c r="V121" s="930"/>
      <c r="W121" s="927"/>
      <c r="X121" s="927"/>
      <c r="Y121" s="927"/>
      <c r="Z121" s="927"/>
      <c r="AA121" s="931"/>
      <c r="AB121" s="923"/>
      <c r="AC121" s="923"/>
      <c r="AD121" s="923"/>
      <c r="AE121" s="932"/>
      <c r="AF121" s="927"/>
      <c r="AG121" s="924"/>
      <c r="AH121" s="923"/>
      <c r="AI121" s="927"/>
      <c r="AJ121" s="927"/>
      <c r="AK121" s="933"/>
      <c r="AL121" s="933"/>
      <c r="AM121" s="930"/>
      <c r="AN121" s="930"/>
      <c r="AO121" s="934"/>
      <c r="AP121" s="985"/>
      <c r="AQ121" s="923"/>
      <c r="AR121" s="923"/>
      <c r="AS121" s="923"/>
      <c r="AT121" s="923"/>
      <c r="AU121" s="923"/>
      <c r="AV121" s="923"/>
      <c r="AW121" s="923"/>
      <c r="AX121" s="923"/>
      <c r="AY121" s="923"/>
      <c r="AZ121" s="923"/>
      <c r="BA121" s="935"/>
      <c r="BB121" s="935"/>
      <c r="BC121" s="935"/>
      <c r="BD121" s="935"/>
      <c r="BE121" s="935"/>
      <c r="BF121" s="1040"/>
      <c r="BH121" s="937"/>
      <c r="BI121" s="894"/>
      <c r="BJ121" s="894"/>
      <c r="BK121" s="938"/>
      <c r="BL121" s="938"/>
      <c r="BM121" s="895"/>
      <c r="BN121" s="938"/>
      <c r="BO121" s="700"/>
      <c r="BP121" s="938"/>
      <c r="BQ121" s="938"/>
      <c r="BR121" s="938"/>
      <c r="BS121" s="938"/>
      <c r="BT121" s="938"/>
      <c r="BU121" s="938"/>
      <c r="BV121" s="938"/>
      <c r="BW121" s="938"/>
      <c r="BX121" s="938"/>
      <c r="BY121" s="938"/>
      <c r="BZ121" s="938"/>
      <c r="CA121" s="938"/>
      <c r="CB121" s="938"/>
      <c r="CC121" s="938"/>
      <c r="CD121" s="938"/>
      <c r="CE121" s="938"/>
      <c r="CF121" s="938"/>
      <c r="CG121" s="938"/>
      <c r="CH121" s="938"/>
      <c r="CI121" s="938"/>
      <c r="CJ121" s="938"/>
      <c r="CK121" s="938"/>
      <c r="CL121" s="938"/>
      <c r="CM121" s="938"/>
      <c r="CN121" s="938"/>
      <c r="CO121" s="938"/>
      <c r="CP121" s="938"/>
      <c r="CQ121" s="936"/>
      <c r="CS121" s="980"/>
      <c r="CT121" s="702"/>
      <c r="CU121" s="895"/>
      <c r="CV121" s="938"/>
      <c r="CW121" s="938"/>
      <c r="CX121" s="938"/>
      <c r="CY121" s="938"/>
      <c r="CZ121" s="938"/>
      <c r="DA121" s="938"/>
      <c r="DB121" s="938"/>
      <c r="DC121" s="938"/>
      <c r="DD121" s="938"/>
      <c r="DE121" s="938"/>
      <c r="DF121" s="938"/>
      <c r="DG121" s="938"/>
      <c r="DH121" s="938"/>
      <c r="DI121" s="938"/>
      <c r="DJ121" s="938"/>
      <c r="DK121" s="938"/>
      <c r="DL121" s="938"/>
      <c r="DM121" s="938"/>
      <c r="DN121" s="938"/>
      <c r="DO121" s="938"/>
      <c r="DP121" s="938"/>
      <c r="DQ121" s="938"/>
      <c r="DR121" s="938"/>
      <c r="DS121" s="938"/>
      <c r="DU121" s="937"/>
      <c r="DV121" s="938"/>
      <c r="DW121" s="938"/>
      <c r="DX121" s="938"/>
      <c r="DY121" s="938"/>
      <c r="DZ121" s="938"/>
      <c r="EA121" s="938"/>
      <c r="EB121" s="938"/>
      <c r="EC121" s="938"/>
      <c r="ED121" s="938"/>
      <c r="EE121" s="938"/>
      <c r="EF121" s="938"/>
    </row>
    <row r="122" spans="1:136">
      <c r="A122" s="979"/>
      <c r="B122" s="920"/>
      <c r="C122" s="1294"/>
      <c r="D122" s="921"/>
      <c r="E122" s="921"/>
      <c r="F122" s="922"/>
      <c r="G122" s="923"/>
      <c r="H122" s="924"/>
      <c r="I122" s="925"/>
      <c r="J122" s="926"/>
      <c r="K122" s="927"/>
      <c r="L122" s="923"/>
      <c r="M122" s="928"/>
      <c r="N122" s="927"/>
      <c r="O122" s="927"/>
      <c r="P122" s="923"/>
      <c r="Q122" s="923"/>
      <c r="R122" s="923"/>
      <c r="S122" s="927"/>
      <c r="T122" s="929"/>
      <c r="U122" s="927"/>
      <c r="V122" s="930"/>
      <c r="W122" s="927"/>
      <c r="X122" s="927"/>
      <c r="Y122" s="927"/>
      <c r="Z122" s="927"/>
      <c r="AA122" s="931"/>
      <c r="AB122" s="923"/>
      <c r="AC122" s="923"/>
      <c r="AD122" s="923"/>
      <c r="AE122" s="932"/>
      <c r="AF122" s="927"/>
      <c r="AG122" s="924"/>
      <c r="AH122" s="923"/>
      <c r="AI122" s="927"/>
      <c r="AJ122" s="927"/>
      <c r="AK122" s="933"/>
      <c r="AL122" s="933"/>
      <c r="AM122" s="930"/>
      <c r="AN122" s="930"/>
      <c r="AO122" s="934"/>
      <c r="AP122" s="934"/>
      <c r="AQ122" s="923"/>
      <c r="AR122" s="923"/>
      <c r="AS122" s="923"/>
      <c r="AT122" s="923"/>
      <c r="AU122" s="923"/>
      <c r="AV122" s="923"/>
      <c r="AW122" s="923"/>
      <c r="AX122" s="923"/>
      <c r="AY122" s="923"/>
      <c r="AZ122" s="923"/>
      <c r="BA122" s="935"/>
      <c r="BB122" s="935"/>
      <c r="BC122" s="935"/>
      <c r="BD122" s="935"/>
      <c r="BE122" s="935"/>
      <c r="BF122" s="1040"/>
      <c r="BH122" s="937"/>
      <c r="BI122" s="894"/>
      <c r="BJ122" s="894"/>
      <c r="BK122" s="938"/>
      <c r="BL122" s="938"/>
      <c r="BM122" s="895"/>
      <c r="BN122" s="938"/>
      <c r="BO122" s="700"/>
      <c r="BP122" s="938"/>
      <c r="BQ122" s="938"/>
      <c r="BR122" s="938"/>
      <c r="BS122" s="938"/>
      <c r="BT122" s="938"/>
      <c r="BU122" s="938"/>
      <c r="BV122" s="938"/>
      <c r="BW122" s="938"/>
      <c r="BX122" s="938"/>
      <c r="BY122" s="938"/>
      <c r="BZ122" s="938"/>
      <c r="CA122" s="938"/>
      <c r="CB122" s="938"/>
      <c r="CC122" s="938"/>
      <c r="CD122" s="938"/>
      <c r="CE122" s="938"/>
      <c r="CF122" s="938"/>
      <c r="CG122" s="938"/>
      <c r="CH122" s="938"/>
      <c r="CI122" s="938"/>
      <c r="CJ122" s="938"/>
      <c r="CK122" s="938"/>
      <c r="CL122" s="938"/>
      <c r="CM122" s="938"/>
      <c r="CN122" s="938"/>
      <c r="CO122" s="938"/>
      <c r="CP122" s="938"/>
      <c r="CQ122" s="936"/>
      <c r="CS122" s="980"/>
      <c r="CT122" s="702"/>
      <c r="CU122" s="895"/>
      <c r="CV122" s="938"/>
      <c r="CW122" s="938"/>
      <c r="CX122" s="938"/>
      <c r="CY122" s="938"/>
      <c r="CZ122" s="938"/>
      <c r="DA122" s="938"/>
      <c r="DB122" s="938"/>
      <c r="DC122" s="938"/>
      <c r="DD122" s="938"/>
      <c r="DE122" s="938"/>
      <c r="DF122" s="938"/>
      <c r="DG122" s="938"/>
      <c r="DH122" s="938"/>
      <c r="DI122" s="938"/>
      <c r="DJ122" s="938"/>
      <c r="DK122" s="938"/>
      <c r="DL122" s="938"/>
      <c r="DM122" s="938"/>
      <c r="DN122" s="938"/>
      <c r="DO122" s="938"/>
      <c r="DP122" s="938"/>
      <c r="DQ122" s="938"/>
      <c r="DR122" s="938"/>
      <c r="DS122" s="938"/>
      <c r="DU122" s="937"/>
      <c r="DV122" s="938"/>
      <c r="DW122" s="938"/>
      <c r="DX122" s="938"/>
      <c r="DY122" s="938"/>
      <c r="DZ122" s="938"/>
      <c r="EA122" s="938"/>
      <c r="EB122" s="938"/>
      <c r="EC122" s="938"/>
      <c r="ED122" s="938"/>
      <c r="EE122" s="938"/>
      <c r="EF122" s="938"/>
    </row>
    <row r="123" spans="1:136">
      <c r="A123" s="979"/>
      <c r="B123" s="920"/>
      <c r="C123" s="1294"/>
      <c r="D123" s="921"/>
      <c r="E123" s="921"/>
      <c r="F123" s="922"/>
      <c r="G123" s="923"/>
      <c r="H123" s="924"/>
      <c r="I123" s="925"/>
      <c r="J123" s="926"/>
      <c r="K123" s="927"/>
      <c r="L123" s="923"/>
      <c r="M123" s="928"/>
      <c r="N123" s="927"/>
      <c r="O123" s="927"/>
      <c r="P123" s="923"/>
      <c r="Q123" s="923"/>
      <c r="R123" s="923"/>
      <c r="S123" s="927"/>
      <c r="T123" s="929"/>
      <c r="U123" s="927"/>
      <c r="V123" s="930"/>
      <c r="W123" s="927"/>
      <c r="X123" s="927"/>
      <c r="Y123" s="927"/>
      <c r="Z123" s="927"/>
      <c r="AA123" s="931"/>
      <c r="AB123" s="923"/>
      <c r="AC123" s="923"/>
      <c r="AD123" s="923"/>
      <c r="AE123" s="932"/>
      <c r="AF123" s="927"/>
      <c r="AG123" s="924"/>
      <c r="AH123" s="923"/>
      <c r="AI123" s="927"/>
      <c r="AJ123" s="927"/>
      <c r="AK123" s="986"/>
      <c r="AL123" s="986"/>
      <c r="AM123" s="987"/>
      <c r="AN123" s="987"/>
      <c r="AO123" s="934"/>
      <c r="AP123" s="942"/>
      <c r="AQ123" s="923"/>
      <c r="AR123" s="923"/>
      <c r="AS123" s="923"/>
      <c r="AT123" s="923"/>
      <c r="AU123" s="923"/>
      <c r="AV123" s="923"/>
      <c r="AW123" s="923"/>
      <c r="AX123" s="923"/>
      <c r="AY123" s="923"/>
      <c r="AZ123" s="923"/>
      <c r="BA123" s="935"/>
      <c r="BB123" s="935"/>
      <c r="BC123" s="935"/>
      <c r="BD123" s="935"/>
      <c r="BE123" s="935"/>
      <c r="BF123" s="946"/>
      <c r="BH123" s="937"/>
      <c r="BI123" s="894"/>
      <c r="BJ123" s="894"/>
      <c r="BK123" s="938"/>
      <c r="BL123" s="938"/>
      <c r="BM123" s="895"/>
      <c r="BN123" s="938"/>
      <c r="BO123" s="700"/>
      <c r="BP123" s="938"/>
      <c r="BQ123" s="938"/>
      <c r="BR123" s="938"/>
      <c r="BS123" s="938"/>
      <c r="BT123" s="938"/>
      <c r="BU123" s="938"/>
      <c r="BV123" s="938"/>
      <c r="BW123" s="938"/>
      <c r="BX123" s="938"/>
      <c r="BY123" s="938"/>
      <c r="BZ123" s="938"/>
      <c r="CA123" s="938"/>
      <c r="CB123" s="938"/>
      <c r="CC123" s="938"/>
      <c r="CD123" s="938"/>
      <c r="CE123" s="938"/>
      <c r="CF123" s="938"/>
      <c r="CG123" s="938"/>
      <c r="CH123" s="938"/>
      <c r="CI123" s="938"/>
      <c r="CJ123" s="938"/>
      <c r="CK123" s="938"/>
      <c r="CL123" s="938"/>
      <c r="CM123" s="938"/>
      <c r="CN123" s="938"/>
      <c r="CO123" s="938"/>
      <c r="CP123" s="938"/>
      <c r="CQ123" s="936"/>
      <c r="CS123" s="980"/>
      <c r="CT123" s="702"/>
      <c r="CU123" s="895"/>
      <c r="CV123" s="938"/>
      <c r="CW123" s="938"/>
      <c r="CX123" s="938"/>
      <c r="CY123" s="938"/>
      <c r="CZ123" s="938"/>
      <c r="DA123" s="938"/>
      <c r="DB123" s="938"/>
      <c r="DC123" s="938"/>
      <c r="DD123" s="938"/>
      <c r="DE123" s="938"/>
      <c r="DF123" s="938"/>
      <c r="DG123" s="938"/>
      <c r="DH123" s="938"/>
      <c r="DI123" s="938"/>
      <c r="DJ123" s="938"/>
      <c r="DK123" s="938"/>
      <c r="DL123" s="938"/>
      <c r="DM123" s="938"/>
      <c r="DN123" s="938"/>
      <c r="DO123" s="938"/>
      <c r="DP123" s="938"/>
      <c r="DQ123" s="938"/>
      <c r="DR123" s="938"/>
      <c r="DS123" s="938"/>
      <c r="DU123" s="937"/>
      <c r="DV123" s="938"/>
      <c r="DW123" s="938"/>
      <c r="DX123" s="938"/>
      <c r="DY123" s="938"/>
      <c r="DZ123" s="938"/>
      <c r="EA123" s="938"/>
      <c r="EB123" s="938"/>
      <c r="EC123" s="938"/>
      <c r="ED123" s="938"/>
      <c r="EE123" s="938"/>
      <c r="EF123" s="938"/>
    </row>
    <row r="124" spans="1:136" s="919" customFormat="1">
      <c r="A124" s="982" t="s">
        <v>2350</v>
      </c>
      <c r="B124" s="949"/>
      <c r="C124" s="1295"/>
      <c r="D124" s="964"/>
      <c r="E124" s="964"/>
      <c r="F124" s="948"/>
      <c r="G124" s="951"/>
      <c r="H124" s="952"/>
      <c r="I124" s="953"/>
      <c r="J124" s="954"/>
      <c r="K124" s="955"/>
      <c r="L124" s="951"/>
      <c r="M124" s="956"/>
      <c r="N124" s="955"/>
      <c r="O124" s="955"/>
      <c r="P124" s="951"/>
      <c r="Q124" s="951"/>
      <c r="R124" s="951"/>
      <c r="S124" s="955"/>
      <c r="T124" s="957"/>
      <c r="U124" s="955"/>
      <c r="V124" s="958"/>
      <c r="W124" s="955"/>
      <c r="X124" s="955"/>
      <c r="Y124" s="955"/>
      <c r="Z124" s="955"/>
      <c r="AA124" s="959"/>
      <c r="AB124" s="951"/>
      <c r="AC124" s="951"/>
      <c r="AD124" s="951"/>
      <c r="AE124" s="960"/>
      <c r="AF124" s="955"/>
      <c r="AG124" s="952"/>
      <c r="AH124" s="951"/>
      <c r="AI124" s="955"/>
      <c r="AJ124" s="955"/>
      <c r="AK124" s="961"/>
      <c r="AL124" s="961"/>
      <c r="AM124" s="958"/>
      <c r="AN124" s="958"/>
      <c r="AO124" s="962"/>
      <c r="AP124" s="962"/>
      <c r="AQ124" s="951"/>
      <c r="AR124" s="951"/>
      <c r="AS124" s="951"/>
      <c r="AT124" s="951"/>
      <c r="AU124" s="951"/>
      <c r="AV124" s="951"/>
      <c r="AW124" s="951"/>
      <c r="AX124" s="951"/>
      <c r="AY124" s="951">
        <v>-953.18</v>
      </c>
      <c r="AZ124" s="951"/>
      <c r="BA124" s="963"/>
      <c r="BB124" s="963"/>
      <c r="BC124" s="963"/>
      <c r="BD124" s="963"/>
      <c r="BE124" s="963"/>
      <c r="BF124" s="966"/>
      <c r="BH124" s="917"/>
      <c r="BI124" s="903"/>
      <c r="BJ124" s="903"/>
      <c r="BK124" s="901"/>
      <c r="BL124" s="901"/>
      <c r="BM124" s="908"/>
      <c r="BN124" s="901"/>
      <c r="BO124" s="698" t="str">
        <f t="shared" si="207"/>
        <v/>
      </c>
      <c r="BP124" s="901"/>
      <c r="BQ124" s="901"/>
      <c r="BR124" s="901"/>
      <c r="BS124" s="901"/>
      <c r="BT124" s="901"/>
      <c r="BU124" s="901">
        <f t="shared" si="208"/>
        <v>0</v>
      </c>
      <c r="BV124" s="901"/>
      <c r="BW124" s="901" t="str">
        <f t="shared" si="283"/>
        <v/>
      </c>
      <c r="BX124" s="901" t="str">
        <f t="shared" si="284"/>
        <v/>
      </c>
      <c r="BY124" s="901" t="str">
        <f t="shared" si="181"/>
        <v/>
      </c>
      <c r="BZ124" s="901" t="str">
        <f t="shared" si="209"/>
        <v/>
      </c>
      <c r="CA124" s="901"/>
      <c r="CB124" s="901"/>
      <c r="CC124" s="901"/>
      <c r="CD124" s="901"/>
      <c r="CE124" s="901"/>
      <c r="CF124" s="901"/>
      <c r="CG124" s="901"/>
      <c r="CH124" s="901"/>
      <c r="CI124" s="901"/>
      <c r="CJ124" s="901"/>
      <c r="CK124" s="901"/>
      <c r="CL124" s="901"/>
      <c r="CM124" s="901"/>
      <c r="CN124" s="901" t="str">
        <f t="shared" si="193"/>
        <v/>
      </c>
      <c r="CO124" s="901" t="str">
        <f t="shared" si="194"/>
        <v/>
      </c>
      <c r="CP124" s="901"/>
      <c r="CQ124" s="916"/>
      <c r="CS124" s="983"/>
      <c r="CT124" s="849"/>
      <c r="CU124" s="908"/>
      <c r="CV124" s="901"/>
      <c r="CW124" s="901"/>
      <c r="CX124" s="901"/>
      <c r="CY124" s="901"/>
      <c r="CZ124" s="901"/>
      <c r="DA124" s="901"/>
      <c r="DB124" s="901"/>
      <c r="DC124" s="901"/>
      <c r="DD124" s="901"/>
      <c r="DE124" s="901"/>
      <c r="DF124" s="901"/>
      <c r="DG124" s="901"/>
      <c r="DH124" s="901"/>
      <c r="DI124" s="901"/>
      <c r="DJ124" s="901"/>
      <c r="DK124" s="901"/>
      <c r="DL124" s="901"/>
      <c r="DM124" s="901"/>
      <c r="DN124" s="901"/>
      <c r="DO124" s="901" t="str">
        <f t="shared" si="226"/>
        <v/>
      </c>
      <c r="DP124" s="901"/>
      <c r="DQ124" s="901" t="str">
        <f t="shared" si="228"/>
        <v/>
      </c>
      <c r="DR124" s="901" t="str">
        <f t="shared" si="229"/>
        <v/>
      </c>
      <c r="DS124" s="901"/>
      <c r="DU124" s="917"/>
      <c r="DV124" s="917"/>
      <c r="DW124" s="917"/>
      <c r="DX124" s="917"/>
      <c r="DY124" s="917"/>
      <c r="DZ124" s="917"/>
      <c r="EA124" s="917"/>
      <c r="EB124" s="917"/>
      <c r="EC124" s="917"/>
      <c r="ED124" s="917"/>
      <c r="EE124" s="984"/>
      <c r="EF124" s="917"/>
    </row>
    <row r="125" spans="1:136">
      <c r="A125" s="979"/>
      <c r="B125" s="920"/>
      <c r="C125" s="1294"/>
      <c r="D125" s="921"/>
      <c r="E125" s="921"/>
      <c r="F125" s="922"/>
      <c r="G125" s="923"/>
      <c r="H125" s="924"/>
      <c r="I125" s="925"/>
      <c r="J125" s="926"/>
      <c r="K125" s="927"/>
      <c r="L125" s="923"/>
      <c r="M125" s="928"/>
      <c r="N125" s="927"/>
      <c r="O125" s="927"/>
      <c r="P125" s="923"/>
      <c r="Q125" s="923"/>
      <c r="R125" s="923"/>
      <c r="S125" s="927"/>
      <c r="T125" s="929"/>
      <c r="U125" s="927"/>
      <c r="V125" s="930"/>
      <c r="W125" s="927"/>
      <c r="X125" s="927"/>
      <c r="Y125" s="927"/>
      <c r="Z125" s="927"/>
      <c r="AA125" s="931"/>
      <c r="AB125" s="923"/>
      <c r="AC125" s="923"/>
      <c r="AD125" s="923"/>
      <c r="AE125" s="932"/>
      <c r="AF125" s="927"/>
      <c r="AG125" s="924"/>
      <c r="AH125" s="923"/>
      <c r="AI125" s="927"/>
      <c r="AJ125" s="927"/>
      <c r="AK125" s="933"/>
      <c r="AL125" s="933"/>
      <c r="AM125" s="930"/>
      <c r="AN125" s="930"/>
      <c r="AO125" s="934"/>
      <c r="AP125" s="934"/>
      <c r="AQ125" s="923"/>
      <c r="AR125" s="923"/>
      <c r="AS125" s="923"/>
      <c r="AT125" s="923"/>
      <c r="AU125" s="923"/>
      <c r="AV125" s="923"/>
      <c r="AW125" s="923"/>
      <c r="AX125" s="923"/>
      <c r="AY125" s="923"/>
      <c r="AZ125" s="923"/>
      <c r="BA125" s="935"/>
      <c r="BB125" s="935"/>
      <c r="BC125" s="935"/>
      <c r="BD125" s="935"/>
      <c r="BE125" s="935"/>
      <c r="BF125" s="946"/>
      <c r="BH125" s="937"/>
      <c r="BI125" s="894"/>
      <c r="BJ125" s="894"/>
      <c r="BK125" s="938"/>
      <c r="BL125" s="938"/>
      <c r="BM125" s="895"/>
      <c r="BN125" s="938"/>
      <c r="BO125" s="700"/>
      <c r="BP125" s="938"/>
      <c r="BQ125" s="938"/>
      <c r="BR125" s="938"/>
      <c r="BS125" s="938"/>
      <c r="BT125" s="938"/>
      <c r="BU125" s="938"/>
      <c r="BV125" s="938"/>
      <c r="BW125" s="938"/>
      <c r="BX125" s="938"/>
      <c r="BY125" s="938"/>
      <c r="BZ125" s="938"/>
      <c r="CA125" s="938"/>
      <c r="CB125" s="938"/>
      <c r="CC125" s="938"/>
      <c r="CD125" s="938"/>
      <c r="CE125" s="938"/>
      <c r="CF125" s="938"/>
      <c r="CG125" s="938"/>
      <c r="CH125" s="938"/>
      <c r="CI125" s="938"/>
      <c r="CJ125" s="938"/>
      <c r="CK125" s="938"/>
      <c r="CL125" s="938"/>
      <c r="CM125" s="938"/>
      <c r="CN125" s="938"/>
      <c r="CO125" s="938"/>
      <c r="CP125" s="938"/>
      <c r="CQ125" s="936"/>
      <c r="CS125" s="980"/>
      <c r="CT125" s="702"/>
      <c r="CU125" s="895"/>
      <c r="CV125" s="938"/>
      <c r="CW125" s="938"/>
      <c r="CX125" s="938"/>
      <c r="CY125" s="938"/>
      <c r="CZ125" s="938"/>
      <c r="DA125" s="938"/>
      <c r="DB125" s="938"/>
      <c r="DC125" s="938"/>
      <c r="DD125" s="938"/>
      <c r="DE125" s="938"/>
      <c r="DF125" s="938"/>
      <c r="DG125" s="938"/>
      <c r="DH125" s="938"/>
      <c r="DI125" s="938"/>
      <c r="DJ125" s="938"/>
      <c r="DK125" s="938"/>
      <c r="DL125" s="938"/>
      <c r="DM125" s="938"/>
      <c r="DN125" s="938"/>
      <c r="DO125" s="938"/>
      <c r="DP125" s="938"/>
      <c r="DQ125" s="938"/>
      <c r="DR125" s="938"/>
      <c r="DS125" s="938"/>
      <c r="DU125" s="937"/>
      <c r="DV125" s="938"/>
      <c r="DW125" s="938"/>
      <c r="DX125" s="938"/>
      <c r="DY125" s="938"/>
      <c r="DZ125" s="938"/>
      <c r="EA125" s="938"/>
      <c r="EB125" s="938"/>
      <c r="EC125" s="938"/>
      <c r="ED125" s="938"/>
      <c r="EE125" s="938"/>
      <c r="EF125" s="938"/>
    </row>
    <row r="126" spans="1:136">
      <c r="A126" s="979"/>
      <c r="B126" s="920"/>
      <c r="C126" s="1294"/>
      <c r="D126" s="921"/>
      <c r="E126" s="921"/>
      <c r="F126" s="922"/>
      <c r="G126" s="923"/>
      <c r="H126" s="924"/>
      <c r="I126" s="925"/>
      <c r="J126" s="926"/>
      <c r="K126" s="927"/>
      <c r="L126" s="923"/>
      <c r="M126" s="928"/>
      <c r="N126" s="927"/>
      <c r="O126" s="927"/>
      <c r="P126" s="923"/>
      <c r="Q126" s="923"/>
      <c r="R126" s="923"/>
      <c r="S126" s="927"/>
      <c r="T126" s="929"/>
      <c r="U126" s="927"/>
      <c r="V126" s="930"/>
      <c r="W126" s="927"/>
      <c r="X126" s="927"/>
      <c r="Y126" s="927"/>
      <c r="Z126" s="927"/>
      <c r="AA126" s="931"/>
      <c r="AB126" s="923"/>
      <c r="AC126" s="923"/>
      <c r="AD126" s="923"/>
      <c r="AE126" s="932"/>
      <c r="AF126" s="927"/>
      <c r="AG126" s="924"/>
      <c r="AH126" s="923"/>
      <c r="AI126" s="927"/>
      <c r="AJ126" s="927"/>
      <c r="AK126" s="933"/>
      <c r="AL126" s="933"/>
      <c r="AM126" s="930"/>
      <c r="AN126" s="930"/>
      <c r="AO126" s="934"/>
      <c r="AP126" s="934"/>
      <c r="AQ126" s="923"/>
      <c r="AR126" s="923"/>
      <c r="AS126" s="923"/>
      <c r="AT126" s="923"/>
      <c r="AU126" s="923"/>
      <c r="AV126" s="923"/>
      <c r="AW126" s="923"/>
      <c r="AX126" s="923"/>
      <c r="AY126" s="923"/>
      <c r="AZ126" s="923"/>
      <c r="BA126" s="935"/>
      <c r="BB126" s="935"/>
      <c r="BC126" s="935"/>
      <c r="BD126" s="935"/>
      <c r="BE126" s="935"/>
      <c r="BF126" s="946"/>
      <c r="BH126" s="937"/>
      <c r="BI126" s="894"/>
      <c r="BJ126" s="894"/>
      <c r="BK126" s="938"/>
      <c r="BL126" s="938"/>
      <c r="BM126" s="895"/>
      <c r="BN126" s="938"/>
      <c r="BO126" s="700"/>
      <c r="BP126" s="938"/>
      <c r="BQ126" s="938"/>
      <c r="BR126" s="938"/>
      <c r="BS126" s="938"/>
      <c r="BT126" s="938"/>
      <c r="BU126" s="938"/>
      <c r="BV126" s="938"/>
      <c r="BW126" s="938"/>
      <c r="BX126" s="938"/>
      <c r="BY126" s="938"/>
      <c r="BZ126" s="938"/>
      <c r="CA126" s="938"/>
      <c r="CB126" s="938"/>
      <c r="CC126" s="938"/>
      <c r="CD126" s="938"/>
      <c r="CE126" s="938"/>
      <c r="CF126" s="938"/>
      <c r="CG126" s="938"/>
      <c r="CH126" s="938"/>
      <c r="CI126" s="938"/>
      <c r="CJ126" s="938"/>
      <c r="CK126" s="938"/>
      <c r="CL126" s="938"/>
      <c r="CM126" s="938"/>
      <c r="CN126" s="938"/>
      <c r="CO126" s="938"/>
      <c r="CP126" s="938"/>
      <c r="CQ126" s="936"/>
      <c r="CS126" s="980"/>
      <c r="CT126" s="702"/>
      <c r="CU126" s="895"/>
      <c r="CV126" s="938"/>
      <c r="CW126" s="938"/>
      <c r="CX126" s="938"/>
      <c r="CY126" s="938"/>
      <c r="CZ126" s="938"/>
      <c r="DA126" s="938"/>
      <c r="DB126" s="938"/>
      <c r="DC126" s="938"/>
      <c r="DD126" s="938"/>
      <c r="DE126" s="938"/>
      <c r="DF126" s="938"/>
      <c r="DG126" s="938"/>
      <c r="DH126" s="938"/>
      <c r="DI126" s="938"/>
      <c r="DJ126" s="938"/>
      <c r="DK126" s="938"/>
      <c r="DL126" s="938"/>
      <c r="DM126" s="938"/>
      <c r="DN126" s="938"/>
      <c r="DO126" s="938"/>
      <c r="DP126" s="938"/>
      <c r="DQ126" s="938"/>
      <c r="DR126" s="938"/>
      <c r="DS126" s="938"/>
      <c r="DU126" s="937"/>
      <c r="DV126" s="938"/>
      <c r="DW126" s="938"/>
      <c r="DX126" s="938"/>
      <c r="DY126" s="938"/>
      <c r="DZ126" s="938"/>
      <c r="EA126" s="938"/>
      <c r="EB126" s="938"/>
      <c r="EC126" s="938"/>
      <c r="ED126" s="938"/>
      <c r="EE126" s="938"/>
      <c r="EF126" s="938"/>
    </row>
    <row r="127" spans="1:136">
      <c r="A127" s="979"/>
      <c r="B127" s="920"/>
      <c r="C127" s="1294"/>
      <c r="D127" s="921"/>
      <c r="E127" s="921"/>
      <c r="F127" s="922"/>
      <c r="G127" s="923"/>
      <c r="H127" s="924"/>
      <c r="I127" s="925"/>
      <c r="J127" s="926"/>
      <c r="K127" s="927"/>
      <c r="L127" s="923"/>
      <c r="M127" s="928"/>
      <c r="N127" s="927"/>
      <c r="O127" s="927"/>
      <c r="P127" s="923"/>
      <c r="Q127" s="923"/>
      <c r="R127" s="923"/>
      <c r="S127" s="927"/>
      <c r="T127" s="929"/>
      <c r="U127" s="927"/>
      <c r="V127" s="930"/>
      <c r="W127" s="927"/>
      <c r="X127" s="927"/>
      <c r="Y127" s="927"/>
      <c r="Z127" s="927"/>
      <c r="AA127" s="931"/>
      <c r="AB127" s="923"/>
      <c r="AC127" s="923"/>
      <c r="AD127" s="923"/>
      <c r="AE127" s="932"/>
      <c r="AF127" s="927"/>
      <c r="AG127" s="924"/>
      <c r="AH127" s="923"/>
      <c r="AI127" s="927"/>
      <c r="AJ127" s="927"/>
      <c r="AK127" s="933"/>
      <c r="AL127" s="933"/>
      <c r="AM127" s="930"/>
      <c r="AN127" s="930"/>
      <c r="AO127" s="934"/>
      <c r="AP127" s="934"/>
      <c r="AQ127" s="923"/>
      <c r="AR127" s="923"/>
      <c r="AS127" s="923"/>
      <c r="AT127" s="923"/>
      <c r="AU127" s="923"/>
      <c r="AV127" s="923"/>
      <c r="AW127" s="923"/>
      <c r="AX127" s="923"/>
      <c r="AY127" s="923"/>
      <c r="AZ127" s="923"/>
      <c r="BA127" s="935"/>
      <c r="BB127" s="935"/>
      <c r="BC127" s="935"/>
      <c r="BD127" s="935"/>
      <c r="BE127" s="935"/>
      <c r="BF127" s="946"/>
      <c r="BH127" s="937"/>
      <c r="BI127" s="894"/>
      <c r="BJ127" s="894"/>
      <c r="BK127" s="938"/>
      <c r="BL127" s="938"/>
      <c r="BM127" s="895"/>
      <c r="BN127" s="938"/>
      <c r="BO127" s="700"/>
      <c r="BP127" s="938"/>
      <c r="BQ127" s="938"/>
      <c r="BR127" s="938"/>
      <c r="BS127" s="938"/>
      <c r="BT127" s="938"/>
      <c r="BU127" s="938"/>
      <c r="BV127" s="938"/>
      <c r="BW127" s="938"/>
      <c r="BX127" s="938"/>
      <c r="BY127" s="938"/>
      <c r="BZ127" s="938"/>
      <c r="CA127" s="938"/>
      <c r="CB127" s="938"/>
      <c r="CC127" s="938"/>
      <c r="CD127" s="938"/>
      <c r="CE127" s="938"/>
      <c r="CF127" s="938"/>
      <c r="CG127" s="938"/>
      <c r="CH127" s="938"/>
      <c r="CI127" s="938"/>
      <c r="CJ127" s="938"/>
      <c r="CK127" s="938"/>
      <c r="CL127" s="938"/>
      <c r="CM127" s="938"/>
      <c r="CN127" s="938"/>
      <c r="CO127" s="938"/>
      <c r="CP127" s="938"/>
      <c r="CQ127" s="936"/>
      <c r="CS127" s="980"/>
      <c r="CT127" s="702"/>
      <c r="CU127" s="895"/>
      <c r="CV127" s="938"/>
      <c r="CW127" s="938"/>
      <c r="CX127" s="938"/>
      <c r="CY127" s="938"/>
      <c r="CZ127" s="938"/>
      <c r="DA127" s="938"/>
      <c r="DB127" s="938"/>
      <c r="DC127" s="938"/>
      <c r="DD127" s="938"/>
      <c r="DE127" s="938"/>
      <c r="DF127" s="938"/>
      <c r="DG127" s="938"/>
      <c r="DH127" s="938"/>
      <c r="DI127" s="938"/>
      <c r="DJ127" s="938"/>
      <c r="DK127" s="938"/>
      <c r="DL127" s="938"/>
      <c r="DM127" s="938"/>
      <c r="DN127" s="938"/>
      <c r="DO127" s="938"/>
      <c r="DP127" s="938"/>
      <c r="DQ127" s="938"/>
      <c r="DR127" s="938"/>
      <c r="DS127" s="938"/>
      <c r="DU127" s="937"/>
      <c r="DV127" s="938"/>
      <c r="DW127" s="938"/>
      <c r="DX127" s="938"/>
      <c r="DY127" s="938"/>
      <c r="DZ127" s="938"/>
      <c r="EA127" s="938"/>
      <c r="EB127" s="938"/>
      <c r="EC127" s="938"/>
      <c r="ED127" s="938"/>
      <c r="EE127" s="938"/>
      <c r="EF127" s="938"/>
    </row>
    <row r="128" spans="1:136">
      <c r="A128" s="979"/>
      <c r="B128" s="920"/>
      <c r="C128" s="1294"/>
      <c r="D128" s="921"/>
      <c r="E128" s="921"/>
      <c r="F128" s="922"/>
      <c r="G128" s="923"/>
      <c r="H128" s="924"/>
      <c r="I128" s="925"/>
      <c r="J128" s="926"/>
      <c r="K128" s="927"/>
      <c r="L128" s="923"/>
      <c r="M128" s="928"/>
      <c r="N128" s="927"/>
      <c r="O128" s="927"/>
      <c r="P128" s="923"/>
      <c r="Q128" s="923"/>
      <c r="R128" s="923"/>
      <c r="S128" s="927"/>
      <c r="T128" s="929"/>
      <c r="U128" s="927"/>
      <c r="V128" s="930"/>
      <c r="W128" s="927"/>
      <c r="X128" s="927"/>
      <c r="Y128" s="927"/>
      <c r="Z128" s="927"/>
      <c r="AA128" s="931"/>
      <c r="AB128" s="923"/>
      <c r="AC128" s="923"/>
      <c r="AD128" s="923"/>
      <c r="AE128" s="932"/>
      <c r="AF128" s="927"/>
      <c r="AG128" s="924"/>
      <c r="AH128" s="923"/>
      <c r="AI128" s="927"/>
      <c r="AJ128" s="927"/>
      <c r="AK128" s="933"/>
      <c r="AL128" s="933"/>
      <c r="AM128" s="930"/>
      <c r="AN128" s="930"/>
      <c r="AO128" s="934"/>
      <c r="AP128" s="934"/>
      <c r="AQ128" s="923"/>
      <c r="AR128" s="923"/>
      <c r="AS128" s="923"/>
      <c r="AT128" s="923"/>
      <c r="AU128" s="923"/>
      <c r="AV128" s="923"/>
      <c r="AW128" s="923"/>
      <c r="AX128" s="923"/>
      <c r="AY128" s="923"/>
      <c r="AZ128" s="923"/>
      <c r="BA128" s="935"/>
      <c r="BB128" s="935"/>
      <c r="BC128" s="935"/>
      <c r="BD128" s="935"/>
      <c r="BE128" s="935"/>
      <c r="BF128" s="946"/>
      <c r="BH128" s="937"/>
      <c r="BI128" s="894"/>
      <c r="BJ128" s="894"/>
      <c r="BK128" s="938"/>
      <c r="BL128" s="938"/>
      <c r="BM128" s="895"/>
      <c r="BN128" s="938"/>
      <c r="BO128" s="700"/>
      <c r="BP128" s="938"/>
      <c r="BQ128" s="938"/>
      <c r="BR128" s="938"/>
      <c r="BS128" s="938"/>
      <c r="BT128" s="938"/>
      <c r="BU128" s="938"/>
      <c r="BV128" s="938"/>
      <c r="BW128" s="938"/>
      <c r="BX128" s="938"/>
      <c r="BY128" s="938"/>
      <c r="BZ128" s="938"/>
      <c r="CA128" s="938"/>
      <c r="CB128" s="938"/>
      <c r="CC128" s="938"/>
      <c r="CD128" s="938"/>
      <c r="CE128" s="938"/>
      <c r="CF128" s="938"/>
      <c r="CG128" s="938"/>
      <c r="CH128" s="938"/>
      <c r="CI128" s="938"/>
      <c r="CJ128" s="938"/>
      <c r="CK128" s="938"/>
      <c r="CL128" s="938"/>
      <c r="CM128" s="938"/>
      <c r="CN128" s="938"/>
      <c r="CO128" s="938"/>
      <c r="CP128" s="938"/>
      <c r="CQ128" s="936"/>
      <c r="CS128" s="980"/>
      <c r="CT128" s="702"/>
      <c r="CU128" s="895"/>
      <c r="CV128" s="938"/>
      <c r="CW128" s="938"/>
      <c r="CX128" s="938"/>
      <c r="CY128" s="938"/>
      <c r="CZ128" s="938"/>
      <c r="DA128" s="938"/>
      <c r="DB128" s="938"/>
      <c r="DC128" s="938"/>
      <c r="DD128" s="938"/>
      <c r="DE128" s="938"/>
      <c r="DF128" s="938"/>
      <c r="DG128" s="938"/>
      <c r="DH128" s="938"/>
      <c r="DI128" s="938"/>
      <c r="DJ128" s="938"/>
      <c r="DK128" s="938"/>
      <c r="DL128" s="938"/>
      <c r="DM128" s="938"/>
      <c r="DN128" s="938"/>
      <c r="DO128" s="938"/>
      <c r="DP128" s="938"/>
      <c r="DQ128" s="938"/>
      <c r="DR128" s="938"/>
      <c r="DS128" s="938"/>
      <c r="DU128" s="937"/>
      <c r="DV128" s="938"/>
      <c r="DW128" s="938"/>
      <c r="DX128" s="938"/>
      <c r="DY128" s="938"/>
      <c r="DZ128" s="938"/>
      <c r="EA128" s="938"/>
      <c r="EB128" s="938"/>
      <c r="EC128" s="938"/>
      <c r="ED128" s="938"/>
      <c r="EE128" s="938"/>
      <c r="EF128" s="938"/>
    </row>
    <row r="129" spans="1:136">
      <c r="A129" s="979"/>
      <c r="B129" s="920"/>
      <c r="C129" s="1294"/>
      <c r="D129" s="921"/>
      <c r="E129" s="921"/>
      <c r="F129" s="922"/>
      <c r="G129" s="923"/>
      <c r="H129" s="924"/>
      <c r="I129" s="925"/>
      <c r="J129" s="926"/>
      <c r="K129" s="927"/>
      <c r="L129" s="923"/>
      <c r="M129" s="928"/>
      <c r="N129" s="927"/>
      <c r="O129" s="927"/>
      <c r="P129" s="923"/>
      <c r="Q129" s="923"/>
      <c r="R129" s="923"/>
      <c r="S129" s="927"/>
      <c r="T129" s="929"/>
      <c r="U129" s="927"/>
      <c r="V129" s="930"/>
      <c r="W129" s="927"/>
      <c r="X129" s="927"/>
      <c r="Y129" s="927"/>
      <c r="Z129" s="927"/>
      <c r="AA129" s="931"/>
      <c r="AB129" s="923"/>
      <c r="AC129" s="923"/>
      <c r="AD129" s="923"/>
      <c r="AE129" s="932"/>
      <c r="AF129" s="927"/>
      <c r="AG129" s="924"/>
      <c r="AH129" s="923"/>
      <c r="AI129" s="927"/>
      <c r="AJ129" s="927"/>
      <c r="AK129" s="933"/>
      <c r="AL129" s="933"/>
      <c r="AM129" s="930"/>
      <c r="AN129" s="930"/>
      <c r="AO129" s="934"/>
      <c r="AP129" s="985"/>
      <c r="AQ129" s="923"/>
      <c r="AR129" s="923"/>
      <c r="AS129" s="923"/>
      <c r="AT129" s="923"/>
      <c r="AU129" s="923"/>
      <c r="AV129" s="923"/>
      <c r="AW129" s="923"/>
      <c r="AX129" s="923"/>
      <c r="AY129" s="923"/>
      <c r="AZ129" s="923"/>
      <c r="BA129" s="935"/>
      <c r="BB129" s="935"/>
      <c r="BC129" s="935"/>
      <c r="BD129" s="935"/>
      <c r="BE129" s="935"/>
      <c r="BF129" s="935"/>
      <c r="BH129" s="937"/>
      <c r="BI129" s="894"/>
      <c r="BJ129" s="894"/>
      <c r="BK129" s="938"/>
      <c r="BL129" s="938"/>
      <c r="BM129" s="895"/>
      <c r="BN129" s="938"/>
      <c r="BO129" s="700"/>
      <c r="BP129" s="938"/>
      <c r="BQ129" s="938"/>
      <c r="BR129" s="938"/>
      <c r="BS129" s="938"/>
      <c r="BT129" s="938"/>
      <c r="BU129" s="938"/>
      <c r="BV129" s="938"/>
      <c r="BW129" s="938"/>
      <c r="BX129" s="938"/>
      <c r="BY129" s="938"/>
      <c r="BZ129" s="938"/>
      <c r="CA129" s="938"/>
      <c r="CB129" s="938"/>
      <c r="CC129" s="938"/>
      <c r="CD129" s="938"/>
      <c r="CE129" s="938"/>
      <c r="CF129" s="938"/>
      <c r="CG129" s="938"/>
      <c r="CH129" s="938"/>
      <c r="CI129" s="938"/>
      <c r="CJ129" s="938"/>
      <c r="CK129" s="938"/>
      <c r="CL129" s="938"/>
      <c r="CM129" s="938"/>
      <c r="CN129" s="938"/>
      <c r="CO129" s="938"/>
      <c r="CP129" s="938"/>
      <c r="CQ129" s="936"/>
      <c r="CS129" s="980"/>
      <c r="CT129" s="702"/>
      <c r="CU129" s="895"/>
      <c r="CV129" s="938"/>
      <c r="CW129" s="938"/>
      <c r="CX129" s="938"/>
      <c r="CY129" s="938"/>
      <c r="CZ129" s="938"/>
      <c r="DA129" s="938"/>
      <c r="DB129" s="938"/>
      <c r="DC129" s="938"/>
      <c r="DD129" s="938"/>
      <c r="DE129" s="938"/>
      <c r="DF129" s="938"/>
      <c r="DG129" s="938"/>
      <c r="DH129" s="938"/>
      <c r="DI129" s="938"/>
      <c r="DJ129" s="938"/>
      <c r="DK129" s="938"/>
      <c r="DL129" s="938"/>
      <c r="DM129" s="938"/>
      <c r="DN129" s="938"/>
      <c r="DO129" s="938"/>
      <c r="DP129" s="938"/>
      <c r="DQ129" s="938"/>
      <c r="DR129" s="938"/>
      <c r="DS129" s="938"/>
      <c r="DU129" s="937"/>
      <c r="DV129" s="938"/>
      <c r="DW129" s="938"/>
      <c r="DX129" s="938"/>
      <c r="DY129" s="938"/>
      <c r="DZ129" s="938"/>
      <c r="EA129" s="938"/>
      <c r="EB129" s="938"/>
      <c r="EC129" s="938"/>
      <c r="ED129" s="938"/>
      <c r="EE129" s="938"/>
      <c r="EF129" s="938"/>
    </row>
    <row r="130" spans="1:136" s="919" customFormat="1">
      <c r="A130" s="982" t="s">
        <v>2351</v>
      </c>
      <c r="B130" s="949"/>
      <c r="C130" s="1295"/>
      <c r="D130" s="964"/>
      <c r="E130" s="964"/>
      <c r="F130" s="948"/>
      <c r="G130" s="951"/>
      <c r="H130" s="952"/>
      <c r="I130" s="953"/>
      <c r="J130" s="954"/>
      <c r="K130" s="955"/>
      <c r="L130" s="951"/>
      <c r="M130" s="956"/>
      <c r="N130" s="955"/>
      <c r="O130" s="955"/>
      <c r="P130" s="951"/>
      <c r="Q130" s="951"/>
      <c r="R130" s="951"/>
      <c r="S130" s="955"/>
      <c r="T130" s="957"/>
      <c r="U130" s="955"/>
      <c r="V130" s="958"/>
      <c r="W130" s="955"/>
      <c r="X130" s="955"/>
      <c r="Y130" s="955"/>
      <c r="Z130" s="955"/>
      <c r="AA130" s="959"/>
      <c r="AB130" s="951"/>
      <c r="AC130" s="951"/>
      <c r="AD130" s="951"/>
      <c r="AE130" s="960"/>
      <c r="AF130" s="955"/>
      <c r="AG130" s="952"/>
      <c r="AH130" s="951"/>
      <c r="AI130" s="955"/>
      <c r="AJ130" s="955"/>
      <c r="AK130" s="961"/>
      <c r="AL130" s="961"/>
      <c r="AM130" s="958"/>
      <c r="AN130" s="958"/>
      <c r="AO130" s="962"/>
      <c r="AP130" s="962"/>
      <c r="AQ130" s="951"/>
      <c r="AR130" s="951"/>
      <c r="AS130" s="951"/>
      <c r="AT130" s="951"/>
      <c r="AU130" s="951"/>
      <c r="AV130" s="951"/>
      <c r="AW130" s="951"/>
      <c r="AX130" s="951"/>
      <c r="AY130" s="951">
        <v>-921.54</v>
      </c>
      <c r="AZ130" s="951"/>
      <c r="BA130" s="963"/>
      <c r="BB130" s="963"/>
      <c r="BC130" s="963"/>
      <c r="BD130" s="963"/>
      <c r="BE130" s="963"/>
      <c r="BF130" s="966"/>
      <c r="BH130" s="917"/>
      <c r="BI130" s="903"/>
      <c r="BJ130" s="903"/>
      <c r="BK130" s="901"/>
      <c r="BL130" s="901"/>
      <c r="BM130" s="908"/>
      <c r="BN130" s="901"/>
      <c r="BO130" s="698" t="str">
        <f t="shared" si="207"/>
        <v/>
      </c>
      <c r="BP130" s="901"/>
      <c r="BQ130" s="901"/>
      <c r="BR130" s="901"/>
      <c r="BS130" s="901"/>
      <c r="BT130" s="901"/>
      <c r="BU130" s="901">
        <f t="shared" si="208"/>
        <v>0</v>
      </c>
      <c r="BV130" s="901"/>
      <c r="BW130" s="901" t="str">
        <f t="shared" si="283"/>
        <v/>
      </c>
      <c r="BX130" s="901" t="str">
        <f t="shared" si="284"/>
        <v/>
      </c>
      <c r="BY130" s="901" t="str">
        <f t="shared" si="181"/>
        <v/>
      </c>
      <c r="BZ130" s="901" t="str">
        <f t="shared" si="209"/>
        <v/>
      </c>
      <c r="CA130" s="901"/>
      <c r="CB130" s="901"/>
      <c r="CC130" s="901"/>
      <c r="CD130" s="901"/>
      <c r="CE130" s="901"/>
      <c r="CF130" s="901"/>
      <c r="CG130" s="901"/>
      <c r="CH130" s="901"/>
      <c r="CI130" s="901"/>
      <c r="CJ130" s="901"/>
      <c r="CK130" s="901"/>
      <c r="CL130" s="901"/>
      <c r="CM130" s="901"/>
      <c r="CN130" s="901" t="str">
        <f t="shared" si="193"/>
        <v/>
      </c>
      <c r="CO130" s="901" t="str">
        <f t="shared" si="194"/>
        <v/>
      </c>
      <c r="CP130" s="901"/>
      <c r="CQ130" s="916"/>
      <c r="CS130" s="983"/>
      <c r="CT130" s="849"/>
      <c r="CU130" s="908"/>
      <c r="CV130" s="901"/>
      <c r="CW130" s="901"/>
      <c r="CX130" s="901"/>
      <c r="CY130" s="901"/>
      <c r="CZ130" s="901"/>
      <c r="DA130" s="901"/>
      <c r="DB130" s="901"/>
      <c r="DC130" s="901"/>
      <c r="DD130" s="901"/>
      <c r="DE130" s="901"/>
      <c r="DF130" s="901"/>
      <c r="DG130" s="901"/>
      <c r="DH130" s="901"/>
      <c r="DI130" s="901"/>
      <c r="DJ130" s="901"/>
      <c r="DK130" s="901"/>
      <c r="DL130" s="901"/>
      <c r="DM130" s="901"/>
      <c r="DN130" s="901"/>
      <c r="DO130" s="901" t="str">
        <f t="shared" si="226"/>
        <v/>
      </c>
      <c r="DP130" s="901"/>
      <c r="DQ130" s="901" t="str">
        <f t="shared" si="228"/>
        <v/>
      </c>
      <c r="DR130" s="901" t="str">
        <f t="shared" si="229"/>
        <v/>
      </c>
      <c r="DS130" s="901"/>
      <c r="DU130" s="917"/>
      <c r="DV130" s="917"/>
      <c r="DW130" s="917"/>
      <c r="DX130" s="917"/>
      <c r="DY130" s="917"/>
      <c r="DZ130" s="917"/>
      <c r="EA130" s="917"/>
      <c r="EB130" s="917"/>
      <c r="EC130" s="917"/>
      <c r="ED130" s="917"/>
      <c r="EE130" s="984"/>
      <c r="EF130" s="917"/>
    </row>
    <row r="131" spans="1:136">
      <c r="A131" s="979"/>
      <c r="B131" s="920"/>
      <c r="C131" s="1294"/>
      <c r="D131" s="921"/>
      <c r="E131" s="921"/>
      <c r="F131" s="922"/>
      <c r="G131" s="923"/>
      <c r="H131" s="924"/>
      <c r="I131" s="925"/>
      <c r="J131" s="926"/>
      <c r="K131" s="927"/>
      <c r="L131" s="923"/>
      <c r="M131" s="928"/>
      <c r="N131" s="927"/>
      <c r="O131" s="927"/>
      <c r="P131" s="923"/>
      <c r="Q131" s="923"/>
      <c r="R131" s="923"/>
      <c r="S131" s="927"/>
      <c r="T131" s="929"/>
      <c r="U131" s="927"/>
      <c r="V131" s="930"/>
      <c r="W131" s="927"/>
      <c r="X131" s="927"/>
      <c r="Y131" s="927"/>
      <c r="Z131" s="927"/>
      <c r="AA131" s="931"/>
      <c r="AB131" s="923"/>
      <c r="AC131" s="923"/>
      <c r="AD131" s="923"/>
      <c r="AE131" s="932"/>
      <c r="AF131" s="927"/>
      <c r="AG131" s="924"/>
      <c r="AH131" s="923"/>
      <c r="AI131" s="927"/>
      <c r="AJ131" s="927"/>
      <c r="AK131" s="933"/>
      <c r="AL131" s="933"/>
      <c r="AM131" s="930"/>
      <c r="AN131" s="930"/>
      <c r="AO131" s="934"/>
      <c r="AP131" s="934"/>
      <c r="AQ131" s="923"/>
      <c r="AR131" s="923"/>
      <c r="AS131" s="923"/>
      <c r="AT131" s="923"/>
      <c r="AU131" s="923"/>
      <c r="AV131" s="923"/>
      <c r="AW131" s="923"/>
      <c r="AX131" s="923"/>
      <c r="AY131" s="923"/>
      <c r="AZ131" s="923"/>
      <c r="BA131" s="935"/>
      <c r="BB131" s="935"/>
      <c r="BC131" s="935"/>
      <c r="BD131" s="935"/>
      <c r="BE131" s="935"/>
      <c r="BF131" s="946"/>
      <c r="BH131" s="937"/>
      <c r="BI131" s="894"/>
      <c r="BJ131" s="894"/>
      <c r="BK131" s="938"/>
      <c r="BL131" s="938"/>
      <c r="BM131" s="895"/>
      <c r="BN131" s="938"/>
      <c r="BO131" s="700"/>
      <c r="BP131" s="938"/>
      <c r="BQ131" s="938"/>
      <c r="BR131" s="938"/>
      <c r="BS131" s="938"/>
      <c r="BT131" s="938"/>
      <c r="BU131" s="938"/>
      <c r="BV131" s="938"/>
      <c r="BW131" s="938"/>
      <c r="BX131" s="938"/>
      <c r="BY131" s="938"/>
      <c r="BZ131" s="938"/>
      <c r="CA131" s="938"/>
      <c r="CB131" s="938"/>
      <c r="CC131" s="938"/>
      <c r="CD131" s="938"/>
      <c r="CE131" s="938"/>
      <c r="CF131" s="938"/>
      <c r="CG131" s="938"/>
      <c r="CH131" s="938"/>
      <c r="CI131" s="938"/>
      <c r="CJ131" s="938"/>
      <c r="CK131" s="938"/>
      <c r="CL131" s="938"/>
      <c r="CM131" s="938"/>
      <c r="CN131" s="938"/>
      <c r="CO131" s="938"/>
      <c r="CP131" s="938"/>
      <c r="CQ131" s="936"/>
      <c r="CS131" s="980"/>
      <c r="CT131" s="702"/>
      <c r="CU131" s="895"/>
      <c r="CV131" s="938"/>
      <c r="CW131" s="938"/>
      <c r="CX131" s="938"/>
      <c r="CY131" s="938"/>
      <c r="CZ131" s="938"/>
      <c r="DA131" s="938"/>
      <c r="DB131" s="938"/>
      <c r="DC131" s="938"/>
      <c r="DD131" s="938"/>
      <c r="DE131" s="938"/>
      <c r="DF131" s="938"/>
      <c r="DG131" s="938"/>
      <c r="DH131" s="938"/>
      <c r="DI131" s="938"/>
      <c r="DJ131" s="938"/>
      <c r="DK131" s="938"/>
      <c r="DL131" s="938"/>
      <c r="DM131" s="938"/>
      <c r="DN131" s="938"/>
      <c r="DO131" s="938"/>
      <c r="DP131" s="938"/>
      <c r="DQ131" s="938"/>
      <c r="DR131" s="938"/>
      <c r="DS131" s="938"/>
      <c r="DU131" s="937"/>
      <c r="DV131" s="938"/>
      <c r="DW131" s="938"/>
      <c r="DX131" s="938"/>
      <c r="DY131" s="938"/>
      <c r="DZ131" s="938"/>
      <c r="EA131" s="938"/>
      <c r="EB131" s="938"/>
      <c r="EC131" s="938"/>
      <c r="ED131" s="938"/>
      <c r="EE131" s="938"/>
      <c r="EF131" s="938"/>
    </row>
    <row r="132" spans="1:136">
      <c r="A132" s="979"/>
      <c r="B132" s="920"/>
      <c r="C132" s="1294"/>
      <c r="D132" s="921"/>
      <c r="E132" s="921"/>
      <c r="F132" s="922"/>
      <c r="G132" s="923"/>
      <c r="H132" s="924"/>
      <c r="I132" s="925"/>
      <c r="J132" s="926"/>
      <c r="K132" s="927"/>
      <c r="L132" s="923"/>
      <c r="M132" s="928"/>
      <c r="N132" s="927"/>
      <c r="O132" s="927"/>
      <c r="P132" s="923"/>
      <c r="Q132" s="923"/>
      <c r="R132" s="923"/>
      <c r="S132" s="927"/>
      <c r="T132" s="929"/>
      <c r="U132" s="927"/>
      <c r="V132" s="930"/>
      <c r="W132" s="927"/>
      <c r="X132" s="927"/>
      <c r="Y132" s="927"/>
      <c r="Z132" s="927"/>
      <c r="AA132" s="931"/>
      <c r="AB132" s="923"/>
      <c r="AC132" s="923"/>
      <c r="AD132" s="923"/>
      <c r="AE132" s="932"/>
      <c r="AF132" s="927"/>
      <c r="AG132" s="924"/>
      <c r="AH132" s="923"/>
      <c r="AI132" s="927"/>
      <c r="AJ132" s="927"/>
      <c r="AK132" s="933"/>
      <c r="AL132" s="933"/>
      <c r="AM132" s="930"/>
      <c r="AN132" s="930"/>
      <c r="AO132" s="939"/>
      <c r="AP132" s="934"/>
      <c r="AQ132" s="923"/>
      <c r="AR132" s="923"/>
      <c r="AS132" s="923"/>
      <c r="AT132" s="923"/>
      <c r="AU132" s="923"/>
      <c r="AV132" s="923"/>
      <c r="AW132" s="923"/>
      <c r="AX132" s="923"/>
      <c r="AY132" s="923"/>
      <c r="AZ132" s="923"/>
      <c r="BA132" s="935"/>
      <c r="BB132" s="935"/>
      <c r="BC132" s="935"/>
      <c r="BD132" s="935"/>
      <c r="BE132" s="935"/>
      <c r="BF132" s="946"/>
      <c r="BH132" s="937"/>
      <c r="BI132" s="894"/>
      <c r="BJ132" s="894"/>
      <c r="BK132" s="938"/>
      <c r="BL132" s="938"/>
      <c r="BM132" s="895"/>
      <c r="BN132" s="938"/>
      <c r="BO132" s="700"/>
      <c r="BP132" s="938"/>
      <c r="BQ132" s="938"/>
      <c r="BR132" s="938"/>
      <c r="BS132" s="938"/>
      <c r="BT132" s="938"/>
      <c r="BU132" s="938"/>
      <c r="BV132" s="938"/>
      <c r="BW132" s="938"/>
      <c r="BX132" s="938"/>
      <c r="BY132" s="938"/>
      <c r="BZ132" s="938"/>
      <c r="CA132" s="938"/>
      <c r="CB132" s="938"/>
      <c r="CC132" s="938"/>
      <c r="CD132" s="938"/>
      <c r="CE132" s="938"/>
      <c r="CF132" s="938"/>
      <c r="CG132" s="938"/>
      <c r="CH132" s="938"/>
      <c r="CI132" s="938"/>
      <c r="CJ132" s="938"/>
      <c r="CK132" s="938"/>
      <c r="CL132" s="938"/>
      <c r="CM132" s="938"/>
      <c r="CN132" s="938"/>
      <c r="CO132" s="938"/>
      <c r="CP132" s="938"/>
      <c r="CQ132" s="936"/>
      <c r="CS132" s="980"/>
      <c r="CT132" s="702"/>
      <c r="CU132" s="895"/>
      <c r="CV132" s="938"/>
      <c r="CW132" s="938"/>
      <c r="CX132" s="938"/>
      <c r="CY132" s="938"/>
      <c r="CZ132" s="938"/>
      <c r="DA132" s="938"/>
      <c r="DB132" s="938"/>
      <c r="DC132" s="938"/>
      <c r="DD132" s="938"/>
      <c r="DE132" s="938"/>
      <c r="DF132" s="938"/>
      <c r="DG132" s="938"/>
      <c r="DH132" s="938"/>
      <c r="DI132" s="938"/>
      <c r="DJ132" s="938"/>
      <c r="DK132" s="938"/>
      <c r="DL132" s="938"/>
      <c r="DM132" s="938"/>
      <c r="DN132" s="938"/>
      <c r="DO132" s="938"/>
      <c r="DP132" s="938"/>
      <c r="DQ132" s="938"/>
      <c r="DR132" s="938"/>
      <c r="DS132" s="938"/>
      <c r="DU132" s="937"/>
      <c r="DV132" s="938"/>
      <c r="DW132" s="938"/>
      <c r="DX132" s="938"/>
      <c r="DY132" s="938"/>
      <c r="DZ132" s="938"/>
      <c r="EA132" s="938"/>
      <c r="EB132" s="938"/>
      <c r="EC132" s="938"/>
      <c r="ED132" s="938"/>
      <c r="EE132" s="938"/>
      <c r="EF132" s="938"/>
    </row>
    <row r="133" spans="1:136">
      <c r="A133" s="979"/>
      <c r="B133" s="920"/>
      <c r="C133" s="1294"/>
      <c r="D133" s="921"/>
      <c r="E133" s="921"/>
      <c r="F133" s="922"/>
      <c r="G133" s="923"/>
      <c r="H133" s="924"/>
      <c r="I133" s="925"/>
      <c r="J133" s="926"/>
      <c r="K133" s="927"/>
      <c r="L133" s="923"/>
      <c r="M133" s="928"/>
      <c r="N133" s="927"/>
      <c r="O133" s="927"/>
      <c r="P133" s="923"/>
      <c r="Q133" s="923"/>
      <c r="R133" s="923"/>
      <c r="S133" s="927"/>
      <c r="T133" s="929"/>
      <c r="U133" s="927"/>
      <c r="V133" s="930"/>
      <c r="W133" s="927"/>
      <c r="X133" s="927"/>
      <c r="Y133" s="927"/>
      <c r="Z133" s="927"/>
      <c r="AA133" s="931"/>
      <c r="AB133" s="923"/>
      <c r="AC133" s="923"/>
      <c r="AD133" s="923"/>
      <c r="AE133" s="932"/>
      <c r="AF133" s="927"/>
      <c r="AG133" s="924"/>
      <c r="AH133" s="923"/>
      <c r="AI133" s="927"/>
      <c r="AJ133" s="927"/>
      <c r="AK133" s="933"/>
      <c r="AL133" s="933"/>
      <c r="AM133" s="930"/>
      <c r="AN133" s="930"/>
      <c r="AO133" s="934"/>
      <c r="AP133" s="934"/>
      <c r="AQ133" s="923"/>
      <c r="AR133" s="923"/>
      <c r="AS133" s="923"/>
      <c r="AT133" s="923"/>
      <c r="AU133" s="923"/>
      <c r="AV133" s="923"/>
      <c r="AW133" s="923"/>
      <c r="AX133" s="923"/>
      <c r="AY133" s="923"/>
      <c r="AZ133" s="923"/>
      <c r="BA133" s="935"/>
      <c r="BB133" s="935"/>
      <c r="BC133" s="935"/>
      <c r="BD133" s="935"/>
      <c r="BE133" s="935"/>
      <c r="BF133" s="946"/>
      <c r="BH133" s="937"/>
      <c r="BI133" s="894"/>
      <c r="BJ133" s="894"/>
      <c r="BK133" s="938"/>
      <c r="BL133" s="938"/>
      <c r="BM133" s="895"/>
      <c r="BN133" s="938"/>
      <c r="BO133" s="700"/>
      <c r="BP133" s="938"/>
      <c r="BQ133" s="938"/>
      <c r="BR133" s="938"/>
      <c r="BS133" s="938"/>
      <c r="BT133" s="938"/>
      <c r="BU133" s="938"/>
      <c r="BV133" s="938"/>
      <c r="BW133" s="938"/>
      <c r="BX133" s="938"/>
      <c r="BY133" s="938"/>
      <c r="BZ133" s="938"/>
      <c r="CA133" s="938"/>
      <c r="CB133" s="938"/>
      <c r="CC133" s="938"/>
      <c r="CD133" s="938"/>
      <c r="CE133" s="938"/>
      <c r="CF133" s="938"/>
      <c r="CG133" s="938"/>
      <c r="CH133" s="938"/>
      <c r="CI133" s="938"/>
      <c r="CJ133" s="938"/>
      <c r="CK133" s="938"/>
      <c r="CL133" s="938"/>
      <c r="CM133" s="938"/>
      <c r="CN133" s="938"/>
      <c r="CO133" s="938"/>
      <c r="CP133" s="938"/>
      <c r="CQ133" s="936"/>
      <c r="CS133" s="980"/>
      <c r="CT133" s="702"/>
      <c r="CU133" s="895"/>
      <c r="CV133" s="938"/>
      <c r="CW133" s="938"/>
      <c r="CX133" s="938"/>
      <c r="CY133" s="938"/>
      <c r="CZ133" s="938"/>
      <c r="DA133" s="938"/>
      <c r="DB133" s="938"/>
      <c r="DC133" s="938"/>
      <c r="DD133" s="938"/>
      <c r="DE133" s="938"/>
      <c r="DF133" s="938"/>
      <c r="DG133" s="938"/>
      <c r="DH133" s="938"/>
      <c r="DI133" s="938"/>
      <c r="DJ133" s="938"/>
      <c r="DK133" s="938"/>
      <c r="DL133" s="938"/>
      <c r="DM133" s="938"/>
      <c r="DN133" s="938"/>
      <c r="DO133" s="938"/>
      <c r="DP133" s="938"/>
      <c r="DQ133" s="938"/>
      <c r="DR133" s="938"/>
      <c r="DS133" s="938"/>
      <c r="DU133" s="937"/>
      <c r="DV133" s="938"/>
      <c r="DW133" s="938"/>
      <c r="DX133" s="938"/>
      <c r="DY133" s="938"/>
      <c r="DZ133" s="938"/>
      <c r="EA133" s="938"/>
      <c r="EB133" s="938"/>
      <c r="EC133" s="938"/>
      <c r="ED133" s="938"/>
      <c r="EE133" s="938"/>
      <c r="EF133" s="938"/>
    </row>
    <row r="134" spans="1:136">
      <c r="A134" s="979"/>
      <c r="B134" s="920"/>
      <c r="C134" s="1294"/>
      <c r="D134" s="921"/>
      <c r="E134" s="921"/>
      <c r="F134" s="922"/>
      <c r="G134" s="923"/>
      <c r="H134" s="924"/>
      <c r="I134" s="925"/>
      <c r="J134" s="926"/>
      <c r="K134" s="927"/>
      <c r="L134" s="923"/>
      <c r="M134" s="928"/>
      <c r="N134" s="927"/>
      <c r="O134" s="927"/>
      <c r="P134" s="923"/>
      <c r="Q134" s="923"/>
      <c r="R134" s="923"/>
      <c r="S134" s="927"/>
      <c r="T134" s="929"/>
      <c r="U134" s="927"/>
      <c r="V134" s="930"/>
      <c r="W134" s="927"/>
      <c r="X134" s="927"/>
      <c r="Y134" s="927"/>
      <c r="Z134" s="927"/>
      <c r="AA134" s="931"/>
      <c r="AB134" s="923"/>
      <c r="AC134" s="923"/>
      <c r="AD134" s="923"/>
      <c r="AE134" s="932"/>
      <c r="AF134" s="927"/>
      <c r="AG134" s="924"/>
      <c r="AH134" s="923"/>
      <c r="AI134" s="927"/>
      <c r="AJ134" s="927"/>
      <c r="AK134" s="933"/>
      <c r="AL134" s="933"/>
      <c r="AM134" s="930"/>
      <c r="AN134" s="930"/>
      <c r="AO134" s="934"/>
      <c r="AP134" s="934"/>
      <c r="AQ134" s="923"/>
      <c r="AR134" s="923"/>
      <c r="AS134" s="923"/>
      <c r="AT134" s="923"/>
      <c r="AU134" s="923"/>
      <c r="AV134" s="923"/>
      <c r="AW134" s="923"/>
      <c r="AX134" s="923"/>
      <c r="AY134" s="923"/>
      <c r="AZ134" s="923"/>
      <c r="BA134" s="935"/>
      <c r="BB134" s="935"/>
      <c r="BC134" s="935"/>
      <c r="BD134" s="935"/>
      <c r="BE134" s="935"/>
      <c r="BF134" s="946"/>
      <c r="BH134" s="937"/>
      <c r="BI134" s="894"/>
      <c r="BJ134" s="894"/>
      <c r="BK134" s="938"/>
      <c r="BL134" s="938"/>
      <c r="BM134" s="895"/>
      <c r="BN134" s="938"/>
      <c r="BO134" s="700"/>
      <c r="BP134" s="938"/>
      <c r="BQ134" s="938"/>
      <c r="BR134" s="938"/>
      <c r="BS134" s="938"/>
      <c r="BT134" s="938"/>
      <c r="BU134" s="938"/>
      <c r="BV134" s="938"/>
      <c r="BW134" s="938"/>
      <c r="BX134" s="938"/>
      <c r="BY134" s="938"/>
      <c r="BZ134" s="938"/>
      <c r="CA134" s="938"/>
      <c r="CB134" s="938"/>
      <c r="CC134" s="938"/>
      <c r="CD134" s="938"/>
      <c r="CE134" s="938"/>
      <c r="CF134" s="938"/>
      <c r="CG134" s="938"/>
      <c r="CH134" s="938"/>
      <c r="CI134" s="938"/>
      <c r="CJ134" s="938"/>
      <c r="CK134" s="938"/>
      <c r="CL134" s="938"/>
      <c r="CM134" s="938"/>
      <c r="CN134" s="938"/>
      <c r="CO134" s="938"/>
      <c r="CP134" s="938"/>
      <c r="CQ134" s="936"/>
      <c r="CS134" s="980"/>
      <c r="CT134" s="702"/>
      <c r="CU134" s="895"/>
      <c r="CV134" s="938"/>
      <c r="CW134" s="938"/>
      <c r="CX134" s="938"/>
      <c r="CY134" s="938"/>
      <c r="CZ134" s="938"/>
      <c r="DA134" s="938"/>
      <c r="DB134" s="938"/>
      <c r="DC134" s="938"/>
      <c r="DD134" s="938"/>
      <c r="DE134" s="938"/>
      <c r="DF134" s="938"/>
      <c r="DG134" s="938"/>
      <c r="DH134" s="938"/>
      <c r="DI134" s="938"/>
      <c r="DJ134" s="938"/>
      <c r="DK134" s="938"/>
      <c r="DL134" s="938"/>
      <c r="DM134" s="938"/>
      <c r="DN134" s="938"/>
      <c r="DO134" s="938"/>
      <c r="DP134" s="938"/>
      <c r="DQ134" s="938"/>
      <c r="DR134" s="938"/>
      <c r="DS134" s="938"/>
      <c r="DU134" s="937"/>
      <c r="DV134" s="938"/>
      <c r="DW134" s="938"/>
      <c r="DX134" s="938"/>
      <c r="DY134" s="938"/>
      <c r="DZ134" s="938"/>
      <c r="EA134" s="938"/>
      <c r="EB134" s="938"/>
      <c r="EC134" s="938"/>
      <c r="ED134" s="938"/>
      <c r="EE134" s="938"/>
      <c r="EF134" s="938"/>
    </row>
    <row r="135" spans="1:136">
      <c r="A135" s="979"/>
      <c r="B135" s="920"/>
      <c r="C135" s="1294"/>
      <c r="D135" s="921"/>
      <c r="E135" s="921"/>
      <c r="F135" s="922"/>
      <c r="G135" s="923"/>
      <c r="H135" s="924"/>
      <c r="I135" s="925"/>
      <c r="J135" s="926"/>
      <c r="K135" s="927"/>
      <c r="L135" s="923"/>
      <c r="M135" s="928"/>
      <c r="N135" s="927"/>
      <c r="O135" s="927"/>
      <c r="P135" s="923"/>
      <c r="Q135" s="923"/>
      <c r="R135" s="923"/>
      <c r="S135" s="927"/>
      <c r="T135" s="929"/>
      <c r="U135" s="927"/>
      <c r="V135" s="930"/>
      <c r="W135" s="927"/>
      <c r="X135" s="927"/>
      <c r="Y135" s="927"/>
      <c r="Z135" s="927"/>
      <c r="AA135" s="931"/>
      <c r="AB135" s="923"/>
      <c r="AC135" s="923"/>
      <c r="AD135" s="923"/>
      <c r="AE135" s="932"/>
      <c r="AF135" s="927"/>
      <c r="AG135" s="924"/>
      <c r="AH135" s="923"/>
      <c r="AI135" s="927"/>
      <c r="AJ135" s="927"/>
      <c r="AK135" s="933"/>
      <c r="AL135" s="933"/>
      <c r="AM135" s="930"/>
      <c r="AN135" s="930"/>
      <c r="AO135" s="934"/>
      <c r="AP135" s="934"/>
      <c r="AQ135" s="923"/>
      <c r="AR135" s="923"/>
      <c r="AS135" s="923"/>
      <c r="AT135" s="923"/>
      <c r="AU135" s="923"/>
      <c r="AV135" s="923"/>
      <c r="AW135" s="923"/>
      <c r="AX135" s="923"/>
      <c r="AY135" s="923"/>
      <c r="AZ135" s="923"/>
      <c r="BA135" s="935"/>
      <c r="BB135" s="935"/>
      <c r="BC135" s="935"/>
      <c r="BD135" s="935"/>
      <c r="BE135" s="935"/>
      <c r="BF135" s="946"/>
      <c r="BH135" s="937"/>
      <c r="BI135" s="894"/>
      <c r="BJ135" s="894"/>
      <c r="BK135" s="938"/>
      <c r="BL135" s="938"/>
      <c r="BM135" s="895"/>
      <c r="BN135" s="938"/>
      <c r="BO135" s="700"/>
      <c r="BP135" s="938"/>
      <c r="BQ135" s="938"/>
      <c r="BR135" s="938"/>
      <c r="BS135" s="938"/>
      <c r="BT135" s="938"/>
      <c r="BU135" s="938"/>
      <c r="BV135" s="938"/>
      <c r="BW135" s="938"/>
      <c r="BX135" s="938"/>
      <c r="BY135" s="938"/>
      <c r="BZ135" s="938"/>
      <c r="CA135" s="938"/>
      <c r="CB135" s="938"/>
      <c r="CC135" s="938"/>
      <c r="CD135" s="938"/>
      <c r="CE135" s="938"/>
      <c r="CF135" s="938"/>
      <c r="CG135" s="938"/>
      <c r="CH135" s="938"/>
      <c r="CI135" s="938"/>
      <c r="CJ135" s="938"/>
      <c r="CK135" s="938"/>
      <c r="CL135" s="938"/>
      <c r="CM135" s="938"/>
      <c r="CN135" s="938"/>
      <c r="CO135" s="938"/>
      <c r="CP135" s="938"/>
      <c r="CQ135" s="936"/>
      <c r="CS135" s="980"/>
      <c r="CT135" s="702"/>
      <c r="CU135" s="895"/>
      <c r="CV135" s="938"/>
      <c r="CW135" s="938"/>
      <c r="CX135" s="938"/>
      <c r="CY135" s="938"/>
      <c r="CZ135" s="938"/>
      <c r="DA135" s="938"/>
      <c r="DB135" s="938"/>
      <c r="DC135" s="938"/>
      <c r="DD135" s="938"/>
      <c r="DE135" s="938"/>
      <c r="DF135" s="938"/>
      <c r="DG135" s="938"/>
      <c r="DH135" s="938"/>
      <c r="DI135" s="938"/>
      <c r="DJ135" s="938"/>
      <c r="DK135" s="938"/>
      <c r="DL135" s="938"/>
      <c r="DM135" s="938"/>
      <c r="DN135" s="938"/>
      <c r="DO135" s="938"/>
      <c r="DP135" s="938"/>
      <c r="DQ135" s="938"/>
      <c r="DR135" s="938"/>
      <c r="DS135" s="938"/>
      <c r="DU135" s="937"/>
      <c r="DV135" s="938"/>
      <c r="DW135" s="938"/>
      <c r="DX135" s="938"/>
      <c r="DY135" s="938"/>
      <c r="DZ135" s="938"/>
      <c r="EA135" s="938"/>
      <c r="EB135" s="938"/>
      <c r="EC135" s="938"/>
      <c r="ED135" s="938"/>
      <c r="EE135" s="938"/>
      <c r="EF135" s="938"/>
    </row>
    <row r="136" spans="1:136">
      <c r="A136" s="979"/>
      <c r="B136" s="920"/>
      <c r="C136" s="1294"/>
      <c r="D136" s="921"/>
      <c r="E136" s="921"/>
      <c r="F136" s="922"/>
      <c r="G136" s="923"/>
      <c r="H136" s="924"/>
      <c r="I136" s="925"/>
      <c r="J136" s="926"/>
      <c r="K136" s="927"/>
      <c r="L136" s="923"/>
      <c r="M136" s="928"/>
      <c r="N136" s="927"/>
      <c r="O136" s="927"/>
      <c r="P136" s="923"/>
      <c r="Q136" s="923"/>
      <c r="R136" s="923"/>
      <c r="S136" s="927"/>
      <c r="T136" s="929"/>
      <c r="U136" s="927"/>
      <c r="V136" s="930"/>
      <c r="W136" s="927"/>
      <c r="X136" s="927"/>
      <c r="Y136" s="927"/>
      <c r="Z136" s="927"/>
      <c r="AA136" s="931"/>
      <c r="AB136" s="923"/>
      <c r="AC136" s="923"/>
      <c r="AD136" s="923"/>
      <c r="AE136" s="932"/>
      <c r="AF136" s="927"/>
      <c r="AG136" s="924"/>
      <c r="AH136" s="923"/>
      <c r="AI136" s="927"/>
      <c r="AJ136" s="927"/>
      <c r="AK136" s="933"/>
      <c r="AL136" s="933"/>
      <c r="AM136" s="930"/>
      <c r="AN136" s="930"/>
      <c r="AO136" s="934"/>
      <c r="AP136" s="947"/>
      <c r="AQ136" s="923"/>
      <c r="AR136" s="923"/>
      <c r="AS136" s="923"/>
      <c r="AT136" s="923"/>
      <c r="AU136" s="923"/>
      <c r="AV136" s="923"/>
      <c r="AW136" s="923"/>
      <c r="AX136" s="923"/>
      <c r="AY136" s="923"/>
      <c r="AZ136" s="923"/>
      <c r="BA136" s="935"/>
      <c r="BB136" s="935"/>
      <c r="BC136" s="935"/>
      <c r="BD136" s="935"/>
      <c r="BE136" s="935"/>
      <c r="BF136" s="946"/>
      <c r="BH136" s="937"/>
      <c r="BI136" s="894"/>
      <c r="BJ136" s="894"/>
      <c r="BK136" s="938"/>
      <c r="BL136" s="938"/>
      <c r="BM136" s="895"/>
      <c r="BN136" s="938"/>
      <c r="BO136" s="700"/>
      <c r="BP136" s="938"/>
      <c r="BQ136" s="938"/>
      <c r="BR136" s="938"/>
      <c r="BS136" s="938"/>
      <c r="BT136" s="938"/>
      <c r="BU136" s="938"/>
      <c r="BV136" s="938"/>
      <c r="BW136" s="938"/>
      <c r="BX136" s="938"/>
      <c r="BY136" s="938"/>
      <c r="BZ136" s="938"/>
      <c r="CA136" s="938"/>
      <c r="CB136" s="938"/>
      <c r="CC136" s="938"/>
      <c r="CD136" s="938"/>
      <c r="CE136" s="938"/>
      <c r="CF136" s="938"/>
      <c r="CG136" s="938"/>
      <c r="CH136" s="938"/>
      <c r="CI136" s="938"/>
      <c r="CJ136" s="938"/>
      <c r="CK136" s="938"/>
      <c r="CL136" s="938"/>
      <c r="CM136" s="938"/>
      <c r="CN136" s="938"/>
      <c r="CO136" s="938"/>
      <c r="CP136" s="938"/>
      <c r="CQ136" s="936"/>
      <c r="CS136" s="980"/>
      <c r="CT136" s="702"/>
      <c r="CU136" s="895"/>
      <c r="CV136" s="938"/>
      <c r="CW136" s="938"/>
      <c r="CX136" s="938"/>
      <c r="CY136" s="938"/>
      <c r="CZ136" s="938"/>
      <c r="DA136" s="938"/>
      <c r="DB136" s="938"/>
      <c r="DC136" s="938"/>
      <c r="DD136" s="938"/>
      <c r="DE136" s="938"/>
      <c r="DF136" s="938"/>
      <c r="DG136" s="938"/>
      <c r="DH136" s="938"/>
      <c r="DI136" s="938"/>
      <c r="DJ136" s="938"/>
      <c r="DK136" s="938"/>
      <c r="DL136" s="938"/>
      <c r="DM136" s="938"/>
      <c r="DN136" s="938"/>
      <c r="DO136" s="938"/>
      <c r="DP136" s="938"/>
      <c r="DQ136" s="938"/>
      <c r="DR136" s="938"/>
      <c r="DS136" s="938"/>
      <c r="DU136" s="937"/>
      <c r="DV136" s="938"/>
      <c r="DW136" s="938"/>
      <c r="DX136" s="938"/>
      <c r="DY136" s="938"/>
      <c r="DZ136" s="938"/>
      <c r="EA136" s="938"/>
      <c r="EB136" s="938"/>
      <c r="EC136" s="938"/>
      <c r="ED136" s="938"/>
      <c r="EE136" s="938"/>
      <c r="EF136" s="938"/>
    </row>
    <row r="137" spans="1:136" s="919" customFormat="1">
      <c r="A137" s="982" t="s">
        <v>2352</v>
      </c>
      <c r="B137" s="949"/>
      <c r="C137" s="1295"/>
      <c r="D137" s="964"/>
      <c r="E137" s="964"/>
      <c r="F137" s="948"/>
      <c r="G137" s="951"/>
      <c r="H137" s="952"/>
      <c r="I137" s="953"/>
      <c r="J137" s="954"/>
      <c r="K137" s="955"/>
      <c r="L137" s="951"/>
      <c r="M137" s="956"/>
      <c r="N137" s="955"/>
      <c r="O137" s="955"/>
      <c r="P137" s="951"/>
      <c r="Q137" s="951"/>
      <c r="R137" s="951"/>
      <c r="S137" s="955"/>
      <c r="T137" s="957"/>
      <c r="U137" s="955"/>
      <c r="V137" s="958"/>
      <c r="W137" s="955"/>
      <c r="X137" s="955"/>
      <c r="Y137" s="955"/>
      <c r="Z137" s="955"/>
      <c r="AA137" s="959"/>
      <c r="AB137" s="951"/>
      <c r="AC137" s="951"/>
      <c r="AD137" s="951"/>
      <c r="AE137" s="960"/>
      <c r="AF137" s="955"/>
      <c r="AG137" s="952"/>
      <c r="AH137" s="951"/>
      <c r="AI137" s="955"/>
      <c r="AJ137" s="955"/>
      <c r="AK137" s="961"/>
      <c r="AL137" s="961"/>
      <c r="AM137" s="958"/>
      <c r="AN137" s="958"/>
      <c r="AO137" s="962"/>
      <c r="AP137" s="959"/>
      <c r="AQ137" s="951"/>
      <c r="AR137" s="951"/>
      <c r="AS137" s="951"/>
      <c r="AT137" s="951"/>
      <c r="AU137" s="951"/>
      <c r="AV137" s="951"/>
      <c r="AW137" s="951"/>
      <c r="AX137" s="951"/>
      <c r="AY137" s="951">
        <v>-963.3</v>
      </c>
      <c r="AZ137" s="951"/>
      <c r="BA137" s="963"/>
      <c r="BB137" s="963"/>
      <c r="BC137" s="963"/>
      <c r="BD137" s="963"/>
      <c r="BE137" s="963"/>
      <c r="BF137" s="966"/>
      <c r="BH137" s="917"/>
      <c r="BI137" s="903"/>
      <c r="BJ137" s="903"/>
      <c r="BK137" s="901"/>
      <c r="BL137" s="901"/>
      <c r="BM137" s="908"/>
      <c r="BN137" s="901"/>
      <c r="BO137" s="698" t="str">
        <f t="shared" si="207"/>
        <v/>
      </c>
      <c r="BP137" s="901"/>
      <c r="BQ137" s="901"/>
      <c r="BR137" s="901"/>
      <c r="BS137" s="901"/>
      <c r="BT137" s="901"/>
      <c r="BU137" s="901">
        <f t="shared" si="208"/>
        <v>0</v>
      </c>
      <c r="BV137" s="901"/>
      <c r="BW137" s="901" t="str">
        <f t="shared" si="283"/>
        <v/>
      </c>
      <c r="BX137" s="901" t="str">
        <f t="shared" si="284"/>
        <v/>
      </c>
      <c r="BY137" s="901" t="str">
        <f t="shared" si="181"/>
        <v/>
      </c>
      <c r="BZ137" s="901" t="str">
        <f t="shared" si="209"/>
        <v/>
      </c>
      <c r="CA137" s="901"/>
      <c r="CB137" s="901"/>
      <c r="CC137" s="901"/>
      <c r="CD137" s="901"/>
      <c r="CE137" s="901"/>
      <c r="CF137" s="901"/>
      <c r="CG137" s="901"/>
      <c r="CH137" s="901"/>
      <c r="CI137" s="901"/>
      <c r="CJ137" s="901"/>
      <c r="CK137" s="901"/>
      <c r="CL137" s="901"/>
      <c r="CM137" s="901"/>
      <c r="CN137" s="901" t="str">
        <f t="shared" si="193"/>
        <v/>
      </c>
      <c r="CO137" s="901" t="str">
        <f t="shared" si="194"/>
        <v/>
      </c>
      <c r="CP137" s="901"/>
      <c r="CQ137" s="916"/>
      <c r="CS137" s="983"/>
      <c r="CT137" s="849"/>
      <c r="CU137" s="908"/>
      <c r="CV137" s="901"/>
      <c r="CW137" s="901"/>
      <c r="CX137" s="901"/>
      <c r="CY137" s="901"/>
      <c r="CZ137" s="901"/>
      <c r="DA137" s="901"/>
      <c r="DB137" s="901"/>
      <c r="DC137" s="901"/>
      <c r="DD137" s="901"/>
      <c r="DE137" s="901"/>
      <c r="DF137" s="901"/>
      <c r="DG137" s="901"/>
      <c r="DH137" s="901"/>
      <c r="DI137" s="901"/>
      <c r="DJ137" s="901"/>
      <c r="DK137" s="901"/>
      <c r="DL137" s="901"/>
      <c r="DM137" s="901"/>
      <c r="DN137" s="901"/>
      <c r="DO137" s="901" t="str">
        <f t="shared" si="226"/>
        <v/>
      </c>
      <c r="DP137" s="901"/>
      <c r="DQ137" s="901" t="str">
        <f t="shared" si="228"/>
        <v/>
      </c>
      <c r="DR137" s="901" t="str">
        <f t="shared" si="229"/>
        <v/>
      </c>
      <c r="DS137" s="901"/>
      <c r="DU137" s="917"/>
      <c r="DV137" s="917"/>
      <c r="DW137" s="917"/>
      <c r="DX137" s="917"/>
      <c r="DY137" s="917"/>
      <c r="DZ137" s="917"/>
      <c r="EA137" s="917"/>
      <c r="EB137" s="917"/>
      <c r="EC137" s="917"/>
      <c r="ED137" s="917"/>
      <c r="EE137" s="984"/>
      <c r="EF137" s="917"/>
    </row>
    <row r="138" spans="1:136">
      <c r="A138" s="979"/>
      <c r="B138" s="920"/>
      <c r="C138" s="1294"/>
      <c r="D138" s="921"/>
      <c r="E138" s="921"/>
      <c r="F138" s="922"/>
      <c r="G138" s="923"/>
      <c r="H138" s="924"/>
      <c r="I138" s="925"/>
      <c r="J138" s="926"/>
      <c r="K138" s="927"/>
      <c r="L138" s="923"/>
      <c r="M138" s="928"/>
      <c r="N138" s="927"/>
      <c r="O138" s="927"/>
      <c r="P138" s="923"/>
      <c r="Q138" s="923"/>
      <c r="R138" s="923"/>
      <c r="S138" s="927"/>
      <c r="T138" s="929"/>
      <c r="U138" s="927"/>
      <c r="V138" s="930"/>
      <c r="W138" s="927"/>
      <c r="X138" s="927"/>
      <c r="Y138" s="927"/>
      <c r="Z138" s="927"/>
      <c r="AA138" s="931"/>
      <c r="AB138" s="923"/>
      <c r="AC138" s="923"/>
      <c r="AD138" s="923"/>
      <c r="AE138" s="932"/>
      <c r="AF138" s="927"/>
      <c r="AG138" s="924"/>
      <c r="AH138" s="923"/>
      <c r="AI138" s="927"/>
      <c r="AJ138" s="927"/>
      <c r="AK138" s="933"/>
      <c r="AL138" s="933"/>
      <c r="AM138" s="930"/>
      <c r="AN138" s="930"/>
      <c r="AO138" s="934"/>
      <c r="AP138" s="934"/>
      <c r="AQ138" s="923"/>
      <c r="AR138" s="923"/>
      <c r="AS138" s="923"/>
      <c r="AT138" s="923"/>
      <c r="AU138" s="923"/>
      <c r="AV138" s="923"/>
      <c r="AW138" s="923"/>
      <c r="AX138" s="923"/>
      <c r="AY138" s="923"/>
      <c r="AZ138" s="923"/>
      <c r="BA138" s="935"/>
      <c r="BB138" s="935"/>
      <c r="BC138" s="935"/>
      <c r="BD138" s="935"/>
      <c r="BE138" s="935"/>
      <c r="BF138" s="946"/>
      <c r="BH138" s="937"/>
      <c r="BI138" s="894"/>
      <c r="BJ138" s="894"/>
      <c r="BK138" s="938"/>
      <c r="BL138" s="938"/>
      <c r="BM138" s="895"/>
      <c r="BN138" s="938"/>
      <c r="BO138" s="700"/>
      <c r="BP138" s="938"/>
      <c r="BQ138" s="938"/>
      <c r="BR138" s="938"/>
      <c r="BS138" s="938"/>
      <c r="BT138" s="938"/>
      <c r="BU138" s="938"/>
      <c r="BV138" s="938"/>
      <c r="BW138" s="938"/>
      <c r="BX138" s="938"/>
      <c r="BY138" s="938"/>
      <c r="BZ138" s="938"/>
      <c r="CA138" s="938"/>
      <c r="CB138" s="938"/>
      <c r="CC138" s="938"/>
      <c r="CD138" s="938"/>
      <c r="CE138" s="938"/>
      <c r="CF138" s="938"/>
      <c r="CG138" s="938"/>
      <c r="CH138" s="938"/>
      <c r="CI138" s="938"/>
      <c r="CJ138" s="938"/>
      <c r="CK138" s="938"/>
      <c r="CL138" s="938"/>
      <c r="CM138" s="938"/>
      <c r="CN138" s="938"/>
      <c r="CO138" s="938"/>
      <c r="CP138" s="938"/>
      <c r="CQ138" s="936"/>
      <c r="CS138" s="980"/>
      <c r="CT138" s="702"/>
      <c r="CU138" s="895"/>
      <c r="CV138" s="938"/>
      <c r="CW138" s="938"/>
      <c r="CX138" s="938"/>
      <c r="CY138" s="938"/>
      <c r="CZ138" s="938"/>
      <c r="DA138" s="938"/>
      <c r="DB138" s="938"/>
      <c r="DC138" s="938"/>
      <c r="DD138" s="938"/>
      <c r="DE138" s="938"/>
      <c r="DF138" s="938"/>
      <c r="DG138" s="938"/>
      <c r="DH138" s="938"/>
      <c r="DI138" s="938"/>
      <c r="DJ138" s="938"/>
      <c r="DK138" s="938"/>
      <c r="DL138" s="938"/>
      <c r="DM138" s="938"/>
      <c r="DN138" s="938"/>
      <c r="DO138" s="938"/>
      <c r="DP138" s="938"/>
      <c r="DQ138" s="938"/>
      <c r="DR138" s="938"/>
      <c r="DS138" s="938"/>
      <c r="DU138" s="937"/>
      <c r="DV138" s="938"/>
      <c r="DW138" s="938"/>
      <c r="DX138" s="938"/>
      <c r="DY138" s="938"/>
      <c r="DZ138" s="938"/>
      <c r="EA138" s="938"/>
      <c r="EB138" s="938"/>
      <c r="EC138" s="938"/>
      <c r="ED138" s="938"/>
      <c r="EE138" s="938"/>
      <c r="EF138" s="938"/>
    </row>
    <row r="139" spans="1:136">
      <c r="A139" s="979"/>
      <c r="B139" s="920"/>
      <c r="C139" s="1294"/>
      <c r="D139" s="921"/>
      <c r="E139" s="921"/>
      <c r="F139" s="922"/>
      <c r="G139" s="923"/>
      <c r="H139" s="924"/>
      <c r="I139" s="925"/>
      <c r="J139" s="926"/>
      <c r="K139" s="927"/>
      <c r="L139" s="923"/>
      <c r="M139" s="928"/>
      <c r="N139" s="927"/>
      <c r="O139" s="927"/>
      <c r="P139" s="923"/>
      <c r="Q139" s="923"/>
      <c r="R139" s="923"/>
      <c r="S139" s="927"/>
      <c r="T139" s="929"/>
      <c r="U139" s="927"/>
      <c r="V139" s="930"/>
      <c r="W139" s="927"/>
      <c r="X139" s="927"/>
      <c r="Y139" s="927"/>
      <c r="Z139" s="927"/>
      <c r="AA139" s="931"/>
      <c r="AB139" s="923"/>
      <c r="AC139" s="923"/>
      <c r="AD139" s="923"/>
      <c r="AE139" s="932"/>
      <c r="AF139" s="927"/>
      <c r="AG139" s="924"/>
      <c r="AH139" s="923"/>
      <c r="AI139" s="927"/>
      <c r="AJ139" s="927"/>
      <c r="AK139" s="933"/>
      <c r="AL139" s="933"/>
      <c r="AM139" s="930"/>
      <c r="AN139" s="930"/>
      <c r="AO139" s="934"/>
      <c r="AP139" s="934"/>
      <c r="AQ139" s="923"/>
      <c r="AR139" s="923"/>
      <c r="AS139" s="923"/>
      <c r="AT139" s="923"/>
      <c r="AU139" s="923"/>
      <c r="AV139" s="923"/>
      <c r="AW139" s="923"/>
      <c r="AX139" s="923"/>
      <c r="AY139" s="923"/>
      <c r="AZ139" s="923"/>
      <c r="BA139" s="935"/>
      <c r="BB139" s="935"/>
      <c r="BC139" s="935"/>
      <c r="BD139" s="935"/>
      <c r="BE139" s="935"/>
      <c r="BF139" s="946"/>
      <c r="BH139" s="937"/>
      <c r="BI139" s="894"/>
      <c r="BJ139" s="894"/>
      <c r="BK139" s="938"/>
      <c r="BL139" s="938"/>
      <c r="BM139" s="895"/>
      <c r="BN139" s="938"/>
      <c r="BO139" s="700"/>
      <c r="BP139" s="938"/>
      <c r="BQ139" s="938"/>
      <c r="BR139" s="938"/>
      <c r="BS139" s="938"/>
      <c r="BT139" s="938"/>
      <c r="BU139" s="938"/>
      <c r="BV139" s="938"/>
      <c r="BW139" s="938"/>
      <c r="BX139" s="938"/>
      <c r="BY139" s="938"/>
      <c r="BZ139" s="938"/>
      <c r="CA139" s="938"/>
      <c r="CB139" s="938"/>
      <c r="CC139" s="938"/>
      <c r="CD139" s="938"/>
      <c r="CE139" s="938"/>
      <c r="CF139" s="938"/>
      <c r="CG139" s="938"/>
      <c r="CH139" s="938"/>
      <c r="CI139" s="938"/>
      <c r="CJ139" s="938"/>
      <c r="CK139" s="938"/>
      <c r="CL139" s="938"/>
      <c r="CM139" s="938"/>
      <c r="CN139" s="938"/>
      <c r="CO139" s="938"/>
      <c r="CP139" s="938"/>
      <c r="CQ139" s="936"/>
      <c r="CS139" s="980"/>
      <c r="CT139" s="702"/>
      <c r="CU139" s="895"/>
      <c r="CV139" s="938"/>
      <c r="CW139" s="938"/>
      <c r="CX139" s="938"/>
      <c r="CY139" s="938"/>
      <c r="CZ139" s="938"/>
      <c r="DA139" s="938"/>
      <c r="DB139" s="938"/>
      <c r="DC139" s="938"/>
      <c r="DD139" s="938"/>
      <c r="DE139" s="938"/>
      <c r="DF139" s="938"/>
      <c r="DG139" s="938"/>
      <c r="DH139" s="938"/>
      <c r="DI139" s="938"/>
      <c r="DJ139" s="938"/>
      <c r="DK139" s="938"/>
      <c r="DL139" s="938"/>
      <c r="DM139" s="938"/>
      <c r="DN139" s="938"/>
      <c r="DO139" s="938"/>
      <c r="DP139" s="938"/>
      <c r="DQ139" s="938"/>
      <c r="DR139" s="938"/>
      <c r="DS139" s="938"/>
      <c r="DU139" s="937"/>
      <c r="DV139" s="938"/>
      <c r="DW139" s="938"/>
      <c r="DX139" s="938"/>
      <c r="DY139" s="938"/>
      <c r="DZ139" s="938"/>
      <c r="EA139" s="938"/>
      <c r="EB139" s="938"/>
      <c r="EC139" s="938"/>
      <c r="ED139" s="938"/>
      <c r="EE139" s="938"/>
      <c r="EF139" s="938"/>
    </row>
    <row r="140" spans="1:136">
      <c r="A140" s="979"/>
      <c r="B140" s="920"/>
      <c r="C140" s="1294"/>
      <c r="D140" s="921"/>
      <c r="E140" s="921"/>
      <c r="F140" s="922"/>
      <c r="G140" s="923"/>
      <c r="H140" s="924"/>
      <c r="I140" s="925"/>
      <c r="J140" s="926"/>
      <c r="K140" s="927"/>
      <c r="L140" s="923"/>
      <c r="M140" s="928"/>
      <c r="N140" s="927"/>
      <c r="O140" s="927"/>
      <c r="P140" s="923"/>
      <c r="Q140" s="923"/>
      <c r="R140" s="923"/>
      <c r="S140" s="927"/>
      <c r="T140" s="929"/>
      <c r="U140" s="927"/>
      <c r="V140" s="930"/>
      <c r="W140" s="927"/>
      <c r="X140" s="927"/>
      <c r="Y140" s="927"/>
      <c r="Z140" s="927"/>
      <c r="AA140" s="931"/>
      <c r="AB140" s="923"/>
      <c r="AC140" s="923"/>
      <c r="AD140" s="923"/>
      <c r="AE140" s="932"/>
      <c r="AF140" s="927"/>
      <c r="AG140" s="924"/>
      <c r="AH140" s="923"/>
      <c r="AI140" s="927"/>
      <c r="AJ140" s="927"/>
      <c r="AK140" s="933"/>
      <c r="AL140" s="933"/>
      <c r="AM140" s="930"/>
      <c r="AN140" s="930"/>
      <c r="AO140" s="934"/>
      <c r="AP140" s="976"/>
      <c r="AQ140" s="923"/>
      <c r="AR140" s="923"/>
      <c r="AS140" s="923"/>
      <c r="AT140" s="923"/>
      <c r="AU140" s="923"/>
      <c r="AV140" s="923"/>
      <c r="AW140" s="923"/>
      <c r="AX140" s="923"/>
      <c r="AY140" s="923"/>
      <c r="AZ140" s="923"/>
      <c r="BA140" s="935"/>
      <c r="BB140" s="935"/>
      <c r="BC140" s="935"/>
      <c r="BD140" s="935"/>
      <c r="BE140" s="935"/>
      <c r="BF140" s="946"/>
      <c r="BH140" s="937"/>
      <c r="BI140" s="894"/>
      <c r="BJ140" s="894"/>
      <c r="BK140" s="938"/>
      <c r="BL140" s="938"/>
      <c r="BM140" s="895"/>
      <c r="BN140" s="938"/>
      <c r="BO140" s="700"/>
      <c r="BP140" s="938"/>
      <c r="BQ140" s="938"/>
      <c r="BR140" s="938"/>
      <c r="BS140" s="938"/>
      <c r="BT140" s="938"/>
      <c r="BU140" s="938"/>
      <c r="BV140" s="938"/>
      <c r="BW140" s="938"/>
      <c r="BX140" s="938"/>
      <c r="BY140" s="938"/>
      <c r="BZ140" s="938"/>
      <c r="CA140" s="938"/>
      <c r="CB140" s="938"/>
      <c r="CC140" s="938"/>
      <c r="CD140" s="938"/>
      <c r="CE140" s="938"/>
      <c r="CF140" s="938"/>
      <c r="CG140" s="938"/>
      <c r="CH140" s="938"/>
      <c r="CI140" s="938"/>
      <c r="CJ140" s="938"/>
      <c r="CK140" s="938"/>
      <c r="CL140" s="938"/>
      <c r="CM140" s="938"/>
      <c r="CN140" s="938"/>
      <c r="CO140" s="938"/>
      <c r="CP140" s="938"/>
      <c r="CQ140" s="936"/>
      <c r="CS140" s="980"/>
      <c r="CT140" s="702"/>
      <c r="CU140" s="895"/>
      <c r="CV140" s="938"/>
      <c r="CW140" s="938"/>
      <c r="CX140" s="938"/>
      <c r="CY140" s="938"/>
      <c r="CZ140" s="938"/>
      <c r="DA140" s="938"/>
      <c r="DB140" s="938"/>
      <c r="DC140" s="938"/>
      <c r="DD140" s="938"/>
      <c r="DE140" s="938"/>
      <c r="DF140" s="938"/>
      <c r="DG140" s="938"/>
      <c r="DH140" s="938"/>
      <c r="DI140" s="938"/>
      <c r="DJ140" s="938"/>
      <c r="DK140" s="938"/>
      <c r="DL140" s="938"/>
      <c r="DM140" s="938"/>
      <c r="DN140" s="938"/>
      <c r="DO140" s="938"/>
      <c r="DP140" s="938"/>
      <c r="DQ140" s="938"/>
      <c r="DR140" s="938"/>
      <c r="DS140" s="938"/>
      <c r="DU140" s="937"/>
      <c r="DV140" s="938"/>
      <c r="DW140" s="938"/>
      <c r="DX140" s="938"/>
      <c r="DY140" s="938"/>
      <c r="DZ140" s="938"/>
      <c r="EA140" s="938"/>
      <c r="EB140" s="938"/>
      <c r="EC140" s="938"/>
      <c r="ED140" s="938"/>
      <c r="EE140" s="938"/>
      <c r="EF140" s="938"/>
    </row>
    <row r="141" spans="1:136" s="919" customFormat="1">
      <c r="A141" s="982" t="s">
        <v>2353</v>
      </c>
      <c r="B141" s="949"/>
      <c r="C141" s="1295"/>
      <c r="D141" s="964"/>
      <c r="E141" s="964"/>
      <c r="F141" s="948"/>
      <c r="G141" s="951"/>
      <c r="H141" s="952"/>
      <c r="I141" s="953"/>
      <c r="J141" s="954"/>
      <c r="K141" s="955"/>
      <c r="L141" s="951"/>
      <c r="M141" s="956"/>
      <c r="N141" s="955"/>
      <c r="O141" s="955"/>
      <c r="P141" s="951"/>
      <c r="Q141" s="951"/>
      <c r="R141" s="951"/>
      <c r="S141" s="955"/>
      <c r="T141" s="957"/>
      <c r="U141" s="955"/>
      <c r="V141" s="958"/>
      <c r="W141" s="955"/>
      <c r="X141" s="955"/>
      <c r="Y141" s="955"/>
      <c r="Z141" s="955"/>
      <c r="AA141" s="959"/>
      <c r="AB141" s="951"/>
      <c r="AC141" s="951"/>
      <c r="AD141" s="951"/>
      <c r="AE141" s="960"/>
      <c r="AF141" s="955"/>
      <c r="AG141" s="952"/>
      <c r="AH141" s="951"/>
      <c r="AI141" s="955"/>
      <c r="AJ141" s="955"/>
      <c r="AK141" s="961"/>
      <c r="AL141" s="961"/>
      <c r="AM141" s="958"/>
      <c r="AN141" s="958"/>
      <c r="AO141" s="962"/>
      <c r="AP141" s="962"/>
      <c r="AQ141" s="951"/>
      <c r="AR141" s="951"/>
      <c r="AS141" s="951"/>
      <c r="AT141" s="951"/>
      <c r="AU141" s="951"/>
      <c r="AV141" s="951"/>
      <c r="AW141" s="951"/>
      <c r="AX141" s="951"/>
      <c r="AY141" s="951">
        <v>-947.65999999999985</v>
      </c>
      <c r="AZ141" s="951"/>
      <c r="BA141" s="963"/>
      <c r="BB141" s="963"/>
      <c r="BC141" s="963"/>
      <c r="BD141" s="963"/>
      <c r="BE141" s="963"/>
      <c r="BF141" s="966"/>
      <c r="BH141" s="917"/>
      <c r="BI141" s="903"/>
      <c r="BJ141" s="903"/>
      <c r="BK141" s="901"/>
      <c r="BL141" s="901"/>
      <c r="BM141" s="908"/>
      <c r="BN141" s="901"/>
      <c r="BO141" s="698" t="str">
        <f t="shared" ref="BO141:BO150" si="285">IF(M141=6,0.5,IF(M141=8,0.6,IF(M141=10,0.65,IF(M141=12,0.7,IF(M141=14,0.75,IF(M141=16,0.8,IF(M141=18,0.85,"")))))))</f>
        <v/>
      </c>
      <c r="BP141" s="901"/>
      <c r="BQ141" s="901"/>
      <c r="BR141" s="901"/>
      <c r="BS141" s="901"/>
      <c r="BT141" s="901"/>
      <c r="BU141" s="901">
        <f t="shared" ref="BU141:BU150" si="286">IF(AND(BR141&gt;=2, BR141&lt;4),(BR141*BL141),0)*0.78</f>
        <v>0</v>
      </c>
      <c r="BV141" s="901"/>
      <c r="BW141" s="901" t="str">
        <f t="shared" ref="BW141:BW159" si="287">IF(BK141="","",ROUND( BS141*$BN$1,2))</f>
        <v/>
      </c>
      <c r="BX141" s="901" t="str">
        <f t="shared" ref="BX141:BX159" si="288">IF(BK141="","",ROUND(BS141*$BN$2,2))</f>
        <v/>
      </c>
      <c r="BY141" s="901" t="str">
        <f t="shared" ref="BY141:BY159" si="289">IF(BK141="","",ROUND(BS141*$BN$3,2))</f>
        <v/>
      </c>
      <c r="BZ141" s="901" t="str">
        <f t="shared" ref="BZ141:BZ159" si="290">IF(BL141="","",ROUND(BS141*$BN$4,2))</f>
        <v/>
      </c>
      <c r="CA141" s="901"/>
      <c r="CB141" s="901"/>
      <c r="CC141" s="901"/>
      <c r="CD141" s="901"/>
      <c r="CE141" s="901"/>
      <c r="CF141" s="901"/>
      <c r="CG141" s="901"/>
      <c r="CH141" s="901"/>
      <c r="CI141" s="901"/>
      <c r="CJ141" s="901"/>
      <c r="CK141" s="901"/>
      <c r="CL141" s="901"/>
      <c r="CM141" s="901"/>
      <c r="CN141" s="901" t="str">
        <f t="shared" ref="CN141:CN159" si="291">IF(BK141="","",ROUND(CK141*$BR$2,2))</f>
        <v/>
      </c>
      <c r="CO141" s="901" t="str">
        <f t="shared" ref="CO141:CO159" si="292">IF(BK141="","",ROUND(CK141*$BR$1,2))</f>
        <v/>
      </c>
      <c r="CP141" s="901"/>
      <c r="CQ141" s="916"/>
      <c r="CS141" s="983"/>
      <c r="CT141" s="849"/>
      <c r="CU141" s="908"/>
      <c r="CV141" s="901"/>
      <c r="CW141" s="901"/>
      <c r="CX141" s="901"/>
      <c r="CY141" s="901"/>
      <c r="CZ141" s="901"/>
      <c r="DA141" s="901"/>
      <c r="DB141" s="901"/>
      <c r="DC141" s="901"/>
      <c r="DD141" s="901"/>
      <c r="DE141" s="901"/>
      <c r="DF141" s="901"/>
      <c r="DG141" s="901"/>
      <c r="DH141" s="901"/>
      <c r="DI141" s="901"/>
      <c r="DJ141" s="901"/>
      <c r="DK141" s="901"/>
      <c r="DL141" s="901"/>
      <c r="DM141" s="901"/>
      <c r="DN141" s="901"/>
      <c r="DO141" s="901" t="str">
        <f t="shared" ref="DO141:DO150" si="293">IF(BK141="","",0.1)</f>
        <v/>
      </c>
      <c r="DP141" s="901"/>
      <c r="DQ141" s="901" t="str">
        <f t="shared" ref="DQ141:DQ159" si="294">IF(BK141="","",ROUND(DN141*0.2,2))</f>
        <v/>
      </c>
      <c r="DR141" s="901" t="str">
        <f t="shared" ref="DR141:DR159" si="295">IF(BK141="","",ROUND(DN141*0.8,2))</f>
        <v/>
      </c>
      <c r="DS141" s="901"/>
      <c r="DU141" s="917"/>
      <c r="DV141" s="917"/>
      <c r="DW141" s="917"/>
      <c r="DX141" s="917"/>
      <c r="DY141" s="917"/>
      <c r="DZ141" s="917"/>
      <c r="EA141" s="917"/>
      <c r="EB141" s="917"/>
      <c r="EC141" s="917"/>
      <c r="ED141" s="917"/>
      <c r="EE141" s="984"/>
      <c r="EF141" s="917"/>
    </row>
    <row r="142" spans="1:136">
      <c r="A142" s="979"/>
      <c r="B142" s="920"/>
      <c r="C142" s="1294"/>
      <c r="D142" s="921"/>
      <c r="E142" s="921"/>
      <c r="F142" s="922"/>
      <c r="G142" s="923"/>
      <c r="H142" s="924"/>
      <c r="I142" s="925"/>
      <c r="J142" s="926"/>
      <c r="K142" s="927"/>
      <c r="L142" s="923"/>
      <c r="M142" s="928"/>
      <c r="N142" s="927"/>
      <c r="O142" s="927"/>
      <c r="P142" s="923"/>
      <c r="Q142" s="923"/>
      <c r="R142" s="923"/>
      <c r="S142" s="927"/>
      <c r="T142" s="929"/>
      <c r="U142" s="927"/>
      <c r="V142" s="930"/>
      <c r="W142" s="927"/>
      <c r="X142" s="927"/>
      <c r="Y142" s="927"/>
      <c r="Z142" s="927"/>
      <c r="AA142" s="931"/>
      <c r="AB142" s="923"/>
      <c r="AC142" s="923"/>
      <c r="AD142" s="923"/>
      <c r="AE142" s="932"/>
      <c r="AF142" s="927"/>
      <c r="AG142" s="924"/>
      <c r="AH142" s="923"/>
      <c r="AI142" s="927"/>
      <c r="AJ142" s="927"/>
      <c r="AK142" s="933"/>
      <c r="AL142" s="933"/>
      <c r="AM142" s="930"/>
      <c r="AN142" s="930"/>
      <c r="AO142" s="934"/>
      <c r="AP142" s="934"/>
      <c r="AQ142" s="923"/>
      <c r="AR142" s="923"/>
      <c r="AS142" s="923"/>
      <c r="AT142" s="923"/>
      <c r="AU142" s="923"/>
      <c r="AV142" s="923"/>
      <c r="AW142" s="923"/>
      <c r="AX142" s="923"/>
      <c r="AY142" s="923"/>
      <c r="AZ142" s="923"/>
      <c r="BA142" s="935"/>
      <c r="BB142" s="935"/>
      <c r="BC142" s="935"/>
      <c r="BD142" s="935"/>
      <c r="BE142" s="935"/>
      <c r="BF142" s="946"/>
      <c r="BH142" s="937"/>
      <c r="BI142" s="894"/>
      <c r="BJ142" s="894"/>
      <c r="BK142" s="938"/>
      <c r="BL142" s="938"/>
      <c r="BM142" s="895"/>
      <c r="BN142" s="938"/>
      <c r="BO142" s="700"/>
      <c r="BP142" s="938"/>
      <c r="BQ142" s="938"/>
      <c r="BR142" s="938"/>
      <c r="BS142" s="938"/>
      <c r="BT142" s="938"/>
      <c r="BU142" s="938"/>
      <c r="BV142" s="938"/>
      <c r="BW142" s="938"/>
      <c r="BX142" s="938"/>
      <c r="BY142" s="938"/>
      <c r="BZ142" s="938"/>
      <c r="CA142" s="938"/>
      <c r="CB142" s="938"/>
      <c r="CC142" s="938"/>
      <c r="CD142" s="938"/>
      <c r="CE142" s="938"/>
      <c r="CF142" s="938"/>
      <c r="CG142" s="938"/>
      <c r="CH142" s="938"/>
      <c r="CI142" s="938"/>
      <c r="CJ142" s="938"/>
      <c r="CK142" s="938"/>
      <c r="CL142" s="938"/>
      <c r="CM142" s="938"/>
      <c r="CN142" s="938"/>
      <c r="CO142" s="938"/>
      <c r="CP142" s="938"/>
      <c r="CQ142" s="936"/>
      <c r="CS142" s="980"/>
      <c r="CT142" s="702"/>
      <c r="CU142" s="895"/>
      <c r="CV142" s="938"/>
      <c r="CW142" s="938"/>
      <c r="CX142" s="938"/>
      <c r="CY142" s="938"/>
      <c r="CZ142" s="938"/>
      <c r="DA142" s="938"/>
      <c r="DB142" s="938"/>
      <c r="DC142" s="938"/>
      <c r="DD142" s="938"/>
      <c r="DE142" s="938"/>
      <c r="DF142" s="938"/>
      <c r="DG142" s="938"/>
      <c r="DH142" s="938"/>
      <c r="DI142" s="938"/>
      <c r="DJ142" s="938"/>
      <c r="DK142" s="938"/>
      <c r="DL142" s="938"/>
      <c r="DM142" s="938"/>
      <c r="DN142" s="938"/>
      <c r="DO142" s="938"/>
      <c r="DP142" s="938"/>
      <c r="DQ142" s="938"/>
      <c r="DR142" s="938"/>
      <c r="DS142" s="938"/>
      <c r="DU142" s="937"/>
      <c r="DV142" s="938"/>
      <c r="DW142" s="938"/>
      <c r="DX142" s="938"/>
      <c r="DY142" s="938"/>
      <c r="DZ142" s="938"/>
      <c r="EA142" s="938"/>
      <c r="EB142" s="938"/>
      <c r="EC142" s="938"/>
      <c r="ED142" s="938"/>
      <c r="EE142" s="938"/>
      <c r="EF142" s="938"/>
    </row>
    <row r="143" spans="1:136">
      <c r="A143" s="979"/>
      <c r="B143" s="920"/>
      <c r="C143" s="1294"/>
      <c r="D143" s="921"/>
      <c r="E143" s="921"/>
      <c r="F143" s="922"/>
      <c r="G143" s="923"/>
      <c r="H143" s="924"/>
      <c r="I143" s="925"/>
      <c r="J143" s="926"/>
      <c r="K143" s="927"/>
      <c r="L143" s="923"/>
      <c r="M143" s="928"/>
      <c r="N143" s="927"/>
      <c r="O143" s="927"/>
      <c r="P143" s="923"/>
      <c r="Q143" s="923"/>
      <c r="R143" s="923"/>
      <c r="S143" s="927"/>
      <c r="T143" s="929"/>
      <c r="U143" s="927"/>
      <c r="V143" s="930"/>
      <c r="W143" s="927"/>
      <c r="X143" s="927"/>
      <c r="Y143" s="927"/>
      <c r="Z143" s="927"/>
      <c r="AA143" s="931"/>
      <c r="AB143" s="923"/>
      <c r="AC143" s="923"/>
      <c r="AD143" s="923"/>
      <c r="AE143" s="932"/>
      <c r="AF143" s="927"/>
      <c r="AG143" s="924"/>
      <c r="AH143" s="923"/>
      <c r="AI143" s="927"/>
      <c r="AJ143" s="927"/>
      <c r="AK143" s="933"/>
      <c r="AL143" s="933"/>
      <c r="AM143" s="930"/>
      <c r="AN143" s="930"/>
      <c r="AO143" s="934"/>
      <c r="AP143" s="977"/>
      <c r="AQ143" s="923"/>
      <c r="AR143" s="923"/>
      <c r="AS143" s="923"/>
      <c r="AT143" s="923"/>
      <c r="AU143" s="923"/>
      <c r="AV143" s="923"/>
      <c r="AW143" s="923"/>
      <c r="AX143" s="923"/>
      <c r="AY143" s="923"/>
      <c r="AZ143" s="923"/>
      <c r="BA143" s="935"/>
      <c r="BB143" s="935"/>
      <c r="BC143" s="935"/>
      <c r="BD143" s="935"/>
      <c r="BE143" s="935"/>
      <c r="BF143" s="946"/>
      <c r="BH143" s="937"/>
      <c r="BI143" s="894"/>
      <c r="BJ143" s="894"/>
      <c r="BK143" s="938"/>
      <c r="BL143" s="938"/>
      <c r="BM143" s="895"/>
      <c r="BN143" s="938"/>
      <c r="BO143" s="700"/>
      <c r="BP143" s="938"/>
      <c r="BQ143" s="938"/>
      <c r="BR143" s="938"/>
      <c r="BS143" s="938"/>
      <c r="BT143" s="938"/>
      <c r="BU143" s="938"/>
      <c r="BV143" s="938"/>
      <c r="BW143" s="938"/>
      <c r="BX143" s="938"/>
      <c r="BY143" s="938"/>
      <c r="BZ143" s="938"/>
      <c r="CA143" s="938"/>
      <c r="CB143" s="938"/>
      <c r="CC143" s="938"/>
      <c r="CD143" s="938"/>
      <c r="CE143" s="938"/>
      <c r="CF143" s="938"/>
      <c r="CG143" s="938"/>
      <c r="CH143" s="938"/>
      <c r="CI143" s="938"/>
      <c r="CJ143" s="938"/>
      <c r="CK143" s="938"/>
      <c r="CL143" s="938"/>
      <c r="CM143" s="938"/>
      <c r="CN143" s="938"/>
      <c r="CO143" s="938"/>
      <c r="CP143" s="938"/>
      <c r="CQ143" s="936"/>
      <c r="CS143" s="980"/>
      <c r="CT143" s="702"/>
      <c r="CU143" s="895"/>
      <c r="CV143" s="938"/>
      <c r="CW143" s="938"/>
      <c r="CX143" s="938"/>
      <c r="CY143" s="938"/>
      <c r="CZ143" s="938"/>
      <c r="DA143" s="938"/>
      <c r="DB143" s="938"/>
      <c r="DC143" s="938"/>
      <c r="DD143" s="938"/>
      <c r="DE143" s="938"/>
      <c r="DF143" s="938"/>
      <c r="DG143" s="938"/>
      <c r="DH143" s="938"/>
      <c r="DI143" s="938"/>
      <c r="DJ143" s="938"/>
      <c r="DK143" s="938"/>
      <c r="DL143" s="938"/>
      <c r="DM143" s="938"/>
      <c r="DN143" s="938"/>
      <c r="DO143" s="938"/>
      <c r="DP143" s="938"/>
      <c r="DQ143" s="938"/>
      <c r="DR143" s="938"/>
      <c r="DS143" s="938"/>
      <c r="DU143" s="937"/>
      <c r="DV143" s="938"/>
      <c r="DW143" s="938"/>
      <c r="DX143" s="938"/>
      <c r="DY143" s="938"/>
      <c r="DZ143" s="938"/>
      <c r="EA143" s="938"/>
      <c r="EB143" s="938"/>
      <c r="EC143" s="938"/>
      <c r="ED143" s="938"/>
      <c r="EE143" s="938"/>
      <c r="EF143" s="938"/>
    </row>
    <row r="144" spans="1:136" s="919" customFormat="1">
      <c r="A144" s="982" t="s">
        <v>2354</v>
      </c>
      <c r="B144" s="949"/>
      <c r="C144" s="1295"/>
      <c r="D144" s="964"/>
      <c r="E144" s="964"/>
      <c r="F144" s="948"/>
      <c r="G144" s="951"/>
      <c r="H144" s="952"/>
      <c r="I144" s="953"/>
      <c r="J144" s="954"/>
      <c r="K144" s="955"/>
      <c r="L144" s="951"/>
      <c r="M144" s="956"/>
      <c r="N144" s="955"/>
      <c r="O144" s="955"/>
      <c r="P144" s="951"/>
      <c r="Q144" s="951"/>
      <c r="R144" s="951"/>
      <c r="S144" s="955"/>
      <c r="T144" s="957"/>
      <c r="U144" s="955"/>
      <c r="V144" s="958"/>
      <c r="W144" s="955"/>
      <c r="X144" s="955"/>
      <c r="Y144" s="955"/>
      <c r="Z144" s="955"/>
      <c r="AA144" s="959"/>
      <c r="AB144" s="951"/>
      <c r="AC144" s="951"/>
      <c r="AD144" s="951"/>
      <c r="AE144" s="960"/>
      <c r="AF144" s="955"/>
      <c r="AG144" s="952"/>
      <c r="AH144" s="951"/>
      <c r="AI144" s="955"/>
      <c r="AJ144" s="955"/>
      <c r="AK144" s="961"/>
      <c r="AL144" s="961"/>
      <c r="AM144" s="958"/>
      <c r="AN144" s="958"/>
      <c r="AO144" s="962"/>
      <c r="AP144" s="962"/>
      <c r="AQ144" s="951"/>
      <c r="AR144" s="951"/>
      <c r="AS144" s="951"/>
      <c r="AT144" s="951"/>
      <c r="AU144" s="951"/>
      <c r="AV144" s="951"/>
      <c r="AW144" s="951"/>
      <c r="AX144" s="951"/>
      <c r="AY144" s="951">
        <v>-921</v>
      </c>
      <c r="AZ144" s="951"/>
      <c r="BA144" s="963"/>
      <c r="BB144" s="963"/>
      <c r="BC144" s="963"/>
      <c r="BD144" s="963"/>
      <c r="BE144" s="963"/>
      <c r="BF144" s="966"/>
      <c r="BH144" s="917"/>
      <c r="BI144" s="903"/>
      <c r="BJ144" s="903"/>
      <c r="BK144" s="901"/>
      <c r="BL144" s="901"/>
      <c r="BM144" s="908"/>
      <c r="BN144" s="901"/>
      <c r="BO144" s="698" t="str">
        <f t="shared" si="285"/>
        <v/>
      </c>
      <c r="BP144" s="901"/>
      <c r="BQ144" s="901"/>
      <c r="BR144" s="901"/>
      <c r="BS144" s="901"/>
      <c r="BT144" s="901"/>
      <c r="BU144" s="901">
        <f t="shared" si="286"/>
        <v>0</v>
      </c>
      <c r="BV144" s="901"/>
      <c r="BW144" s="901" t="str">
        <f t="shared" si="287"/>
        <v/>
      </c>
      <c r="BX144" s="901" t="str">
        <f t="shared" si="288"/>
        <v/>
      </c>
      <c r="BY144" s="901" t="str">
        <f t="shared" si="289"/>
        <v/>
      </c>
      <c r="BZ144" s="901" t="str">
        <f t="shared" si="290"/>
        <v/>
      </c>
      <c r="CA144" s="901"/>
      <c r="CB144" s="901"/>
      <c r="CC144" s="901"/>
      <c r="CD144" s="901"/>
      <c r="CE144" s="901"/>
      <c r="CF144" s="901"/>
      <c r="CG144" s="901"/>
      <c r="CH144" s="901"/>
      <c r="CI144" s="901"/>
      <c r="CJ144" s="901"/>
      <c r="CK144" s="901"/>
      <c r="CL144" s="901"/>
      <c r="CM144" s="901"/>
      <c r="CN144" s="901" t="str">
        <f t="shared" si="291"/>
        <v/>
      </c>
      <c r="CO144" s="901" t="str">
        <f t="shared" si="292"/>
        <v/>
      </c>
      <c r="CP144" s="901"/>
      <c r="CQ144" s="916"/>
      <c r="CS144" s="983"/>
      <c r="CT144" s="849"/>
      <c r="CU144" s="908"/>
      <c r="CV144" s="901"/>
      <c r="CW144" s="901"/>
      <c r="CX144" s="901"/>
      <c r="CY144" s="901"/>
      <c r="CZ144" s="901"/>
      <c r="DA144" s="901"/>
      <c r="DB144" s="901"/>
      <c r="DC144" s="901"/>
      <c r="DD144" s="901"/>
      <c r="DE144" s="901"/>
      <c r="DF144" s="901"/>
      <c r="DG144" s="901"/>
      <c r="DH144" s="901"/>
      <c r="DI144" s="901"/>
      <c r="DJ144" s="901"/>
      <c r="DK144" s="901"/>
      <c r="DL144" s="901"/>
      <c r="DM144" s="901"/>
      <c r="DN144" s="901"/>
      <c r="DO144" s="901" t="str">
        <f t="shared" si="293"/>
        <v/>
      </c>
      <c r="DP144" s="901"/>
      <c r="DQ144" s="901" t="str">
        <f t="shared" si="294"/>
        <v/>
      </c>
      <c r="DR144" s="901" t="str">
        <f t="shared" si="295"/>
        <v/>
      </c>
      <c r="DS144" s="901"/>
      <c r="DU144" s="917"/>
      <c r="DV144" s="917"/>
      <c r="DW144" s="917"/>
      <c r="DX144" s="917"/>
      <c r="DY144" s="917"/>
      <c r="DZ144" s="917"/>
      <c r="EA144" s="917"/>
      <c r="EB144" s="917"/>
      <c r="EC144" s="917"/>
      <c r="ED144" s="917"/>
      <c r="EE144" s="984"/>
      <c r="EF144" s="917"/>
    </row>
    <row r="145" spans="1:136">
      <c r="A145" s="979"/>
      <c r="B145" s="920"/>
      <c r="C145" s="1294"/>
      <c r="D145" s="921"/>
      <c r="E145" s="921"/>
      <c r="F145" s="922"/>
      <c r="G145" s="923"/>
      <c r="H145" s="924"/>
      <c r="I145" s="925"/>
      <c r="J145" s="926"/>
      <c r="K145" s="927"/>
      <c r="L145" s="923"/>
      <c r="M145" s="928"/>
      <c r="N145" s="927"/>
      <c r="O145" s="927"/>
      <c r="P145" s="923"/>
      <c r="Q145" s="923"/>
      <c r="R145" s="923"/>
      <c r="S145" s="927"/>
      <c r="T145" s="929"/>
      <c r="U145" s="927"/>
      <c r="V145" s="930"/>
      <c r="W145" s="927"/>
      <c r="X145" s="927"/>
      <c r="Y145" s="927"/>
      <c r="Z145" s="927"/>
      <c r="AA145" s="931"/>
      <c r="AB145" s="923"/>
      <c r="AC145" s="923"/>
      <c r="AD145" s="923"/>
      <c r="AE145" s="932"/>
      <c r="AF145" s="927"/>
      <c r="AG145" s="924"/>
      <c r="AH145" s="923"/>
      <c r="AI145" s="927"/>
      <c r="AJ145" s="927"/>
      <c r="AK145" s="933"/>
      <c r="AL145" s="933"/>
      <c r="AM145" s="930"/>
      <c r="AN145" s="930"/>
      <c r="AO145" s="934"/>
      <c r="AP145" s="934"/>
      <c r="AQ145" s="923"/>
      <c r="AR145" s="923"/>
      <c r="AS145" s="923"/>
      <c r="AT145" s="923"/>
      <c r="AU145" s="923"/>
      <c r="AV145" s="923"/>
      <c r="AW145" s="923"/>
      <c r="AX145" s="923"/>
      <c r="AY145" s="923"/>
      <c r="AZ145" s="923"/>
      <c r="BA145" s="935"/>
      <c r="BB145" s="935"/>
      <c r="BC145" s="935"/>
      <c r="BD145" s="935"/>
      <c r="BE145" s="935"/>
      <c r="BF145" s="946"/>
      <c r="BH145" s="937"/>
      <c r="BI145" s="894"/>
      <c r="BJ145" s="894"/>
      <c r="BK145" s="938"/>
      <c r="BL145" s="938"/>
      <c r="BM145" s="895"/>
      <c r="BN145" s="938"/>
      <c r="BO145" s="700"/>
      <c r="BP145" s="938"/>
      <c r="BQ145" s="938"/>
      <c r="BR145" s="938"/>
      <c r="BS145" s="938"/>
      <c r="BT145" s="938"/>
      <c r="BU145" s="938"/>
      <c r="BV145" s="938"/>
      <c r="BW145" s="938"/>
      <c r="BX145" s="938"/>
      <c r="BY145" s="938"/>
      <c r="BZ145" s="938"/>
      <c r="CA145" s="938"/>
      <c r="CB145" s="938"/>
      <c r="CC145" s="938"/>
      <c r="CD145" s="938"/>
      <c r="CE145" s="938"/>
      <c r="CF145" s="938"/>
      <c r="CG145" s="938"/>
      <c r="CH145" s="938"/>
      <c r="CI145" s="938"/>
      <c r="CJ145" s="938"/>
      <c r="CK145" s="938"/>
      <c r="CL145" s="938"/>
      <c r="CM145" s="938"/>
      <c r="CN145" s="938"/>
      <c r="CO145" s="938"/>
      <c r="CP145" s="938"/>
      <c r="CQ145" s="936"/>
      <c r="CS145" s="980"/>
      <c r="CT145" s="702"/>
      <c r="CU145" s="895"/>
      <c r="CV145" s="938"/>
      <c r="CW145" s="938"/>
      <c r="CX145" s="938"/>
      <c r="CY145" s="938"/>
      <c r="CZ145" s="938"/>
      <c r="DA145" s="938"/>
      <c r="DB145" s="938"/>
      <c r="DC145" s="938"/>
      <c r="DD145" s="938"/>
      <c r="DE145" s="938"/>
      <c r="DF145" s="938"/>
      <c r="DG145" s="938"/>
      <c r="DH145" s="938"/>
      <c r="DI145" s="938"/>
      <c r="DJ145" s="938"/>
      <c r="DK145" s="938"/>
      <c r="DL145" s="938"/>
      <c r="DM145" s="938"/>
      <c r="DN145" s="938"/>
      <c r="DO145" s="938"/>
      <c r="DP145" s="938"/>
      <c r="DQ145" s="938"/>
      <c r="DR145" s="938"/>
      <c r="DS145" s="938"/>
      <c r="DU145" s="937"/>
      <c r="DV145" s="938"/>
      <c r="DW145" s="938"/>
      <c r="DX145" s="938"/>
      <c r="DY145" s="938"/>
      <c r="DZ145" s="938"/>
      <c r="EA145" s="938"/>
      <c r="EB145" s="938"/>
      <c r="EC145" s="938"/>
      <c r="ED145" s="938"/>
      <c r="EE145" s="938"/>
      <c r="EF145" s="938"/>
    </row>
    <row r="146" spans="1:136">
      <c r="A146" s="979"/>
      <c r="B146" s="920"/>
      <c r="C146" s="1294"/>
      <c r="D146" s="921"/>
      <c r="E146" s="921"/>
      <c r="F146" s="922"/>
      <c r="G146" s="923"/>
      <c r="H146" s="924"/>
      <c r="I146" s="925"/>
      <c r="J146" s="926"/>
      <c r="K146" s="927"/>
      <c r="L146" s="923"/>
      <c r="M146" s="928"/>
      <c r="N146" s="927"/>
      <c r="O146" s="927"/>
      <c r="P146" s="923"/>
      <c r="Q146" s="923"/>
      <c r="R146" s="923"/>
      <c r="S146" s="927"/>
      <c r="T146" s="929"/>
      <c r="U146" s="927"/>
      <c r="V146" s="930"/>
      <c r="W146" s="927"/>
      <c r="X146" s="927"/>
      <c r="Y146" s="927"/>
      <c r="Z146" s="927"/>
      <c r="AA146" s="931"/>
      <c r="AB146" s="923"/>
      <c r="AC146" s="923"/>
      <c r="AD146" s="923"/>
      <c r="AE146" s="932"/>
      <c r="AF146" s="927"/>
      <c r="AG146" s="924"/>
      <c r="AH146" s="923"/>
      <c r="AI146" s="927"/>
      <c r="AJ146" s="927"/>
      <c r="AK146" s="933"/>
      <c r="AL146" s="933"/>
      <c r="AM146" s="930"/>
      <c r="AN146" s="930"/>
      <c r="AO146" s="988"/>
      <c r="AP146" s="939"/>
      <c r="AQ146" s="923"/>
      <c r="AR146" s="923"/>
      <c r="AS146" s="923"/>
      <c r="AT146" s="923"/>
      <c r="AU146" s="923"/>
      <c r="AV146" s="923"/>
      <c r="AW146" s="923"/>
      <c r="AX146" s="923"/>
      <c r="AY146" s="923"/>
      <c r="AZ146" s="923"/>
      <c r="BA146" s="935"/>
      <c r="BB146" s="935"/>
      <c r="BC146" s="935"/>
      <c r="BD146" s="935"/>
      <c r="BE146" s="935"/>
      <c r="BF146" s="946"/>
      <c r="BH146" s="937"/>
      <c r="BI146" s="894"/>
      <c r="BJ146" s="894"/>
      <c r="BK146" s="938"/>
      <c r="BL146" s="938"/>
      <c r="BM146" s="895"/>
      <c r="BN146" s="938"/>
      <c r="BO146" s="700"/>
      <c r="BP146" s="938"/>
      <c r="BQ146" s="938"/>
      <c r="BR146" s="938"/>
      <c r="BS146" s="938"/>
      <c r="BT146" s="938"/>
      <c r="BU146" s="938"/>
      <c r="BV146" s="938"/>
      <c r="BW146" s="938"/>
      <c r="BX146" s="938"/>
      <c r="BY146" s="938"/>
      <c r="BZ146" s="938"/>
      <c r="CA146" s="938"/>
      <c r="CB146" s="938"/>
      <c r="CC146" s="938"/>
      <c r="CD146" s="938"/>
      <c r="CE146" s="938"/>
      <c r="CF146" s="938"/>
      <c r="CG146" s="938"/>
      <c r="CH146" s="938"/>
      <c r="CI146" s="938"/>
      <c r="CJ146" s="938"/>
      <c r="CK146" s="938"/>
      <c r="CL146" s="938"/>
      <c r="CM146" s="938"/>
      <c r="CN146" s="938"/>
      <c r="CO146" s="938"/>
      <c r="CP146" s="938"/>
      <c r="CQ146" s="936"/>
      <c r="CS146" s="980"/>
      <c r="CT146" s="702"/>
      <c r="CU146" s="895"/>
      <c r="CV146" s="938"/>
      <c r="CW146" s="938"/>
      <c r="CX146" s="938"/>
      <c r="CY146" s="938"/>
      <c r="CZ146" s="938"/>
      <c r="DA146" s="938"/>
      <c r="DB146" s="938"/>
      <c r="DC146" s="938"/>
      <c r="DD146" s="938"/>
      <c r="DE146" s="938"/>
      <c r="DF146" s="938"/>
      <c r="DG146" s="938"/>
      <c r="DH146" s="938"/>
      <c r="DI146" s="938"/>
      <c r="DJ146" s="938"/>
      <c r="DK146" s="938"/>
      <c r="DL146" s="938"/>
      <c r="DM146" s="938"/>
      <c r="DN146" s="938"/>
      <c r="DO146" s="938"/>
      <c r="DP146" s="938"/>
      <c r="DQ146" s="938"/>
      <c r="DR146" s="938"/>
      <c r="DS146" s="938"/>
      <c r="DU146" s="937"/>
      <c r="DV146" s="938"/>
      <c r="DW146" s="938"/>
      <c r="DX146" s="938"/>
      <c r="DY146" s="938"/>
      <c r="DZ146" s="938"/>
      <c r="EA146" s="938"/>
      <c r="EB146" s="938"/>
      <c r="EC146" s="938"/>
      <c r="ED146" s="938"/>
      <c r="EE146" s="938"/>
      <c r="EF146" s="938"/>
    </row>
    <row r="147" spans="1:136" s="919" customFormat="1">
      <c r="A147" s="982" t="s">
        <v>2355</v>
      </c>
      <c r="B147" s="949"/>
      <c r="C147" s="1295"/>
      <c r="D147" s="964"/>
      <c r="E147" s="964"/>
      <c r="F147" s="948"/>
      <c r="G147" s="951"/>
      <c r="H147" s="952"/>
      <c r="I147" s="953"/>
      <c r="J147" s="954"/>
      <c r="K147" s="955"/>
      <c r="L147" s="951"/>
      <c r="M147" s="956"/>
      <c r="N147" s="955"/>
      <c r="O147" s="955"/>
      <c r="P147" s="951"/>
      <c r="Q147" s="951"/>
      <c r="R147" s="951"/>
      <c r="S147" s="955"/>
      <c r="T147" s="957"/>
      <c r="U147" s="955"/>
      <c r="V147" s="958"/>
      <c r="W147" s="955"/>
      <c r="X147" s="955"/>
      <c r="Y147" s="955"/>
      <c r="Z147" s="955"/>
      <c r="AA147" s="959"/>
      <c r="AB147" s="951"/>
      <c r="AC147" s="951"/>
      <c r="AD147" s="951"/>
      <c r="AE147" s="960"/>
      <c r="AF147" s="955"/>
      <c r="AG147" s="952"/>
      <c r="AH147" s="951"/>
      <c r="AI147" s="955"/>
      <c r="AJ147" s="955"/>
      <c r="AK147" s="961"/>
      <c r="AL147" s="961"/>
      <c r="AM147" s="958"/>
      <c r="AN147" s="958"/>
      <c r="AO147" s="962"/>
      <c r="AP147" s="962"/>
      <c r="AQ147" s="951"/>
      <c r="AR147" s="951"/>
      <c r="AS147" s="951"/>
      <c r="AT147" s="951"/>
      <c r="AU147" s="951"/>
      <c r="AV147" s="951"/>
      <c r="AW147" s="951"/>
      <c r="AX147" s="951"/>
      <c r="AY147" s="951">
        <v>-919.39</v>
      </c>
      <c r="AZ147" s="951"/>
      <c r="BA147" s="963"/>
      <c r="BB147" s="963"/>
      <c r="BC147" s="963"/>
      <c r="BD147" s="963"/>
      <c r="BE147" s="963"/>
      <c r="BF147" s="966"/>
      <c r="BH147" s="917"/>
      <c r="BI147" s="903"/>
      <c r="BJ147" s="903"/>
      <c r="BK147" s="901"/>
      <c r="BL147" s="901"/>
      <c r="BM147" s="908"/>
      <c r="BN147" s="901"/>
      <c r="BO147" s="698" t="str">
        <f t="shared" si="285"/>
        <v/>
      </c>
      <c r="BP147" s="901"/>
      <c r="BQ147" s="901"/>
      <c r="BR147" s="901"/>
      <c r="BS147" s="901"/>
      <c r="BT147" s="901"/>
      <c r="BU147" s="901">
        <f t="shared" si="286"/>
        <v>0</v>
      </c>
      <c r="BV147" s="901"/>
      <c r="BW147" s="901" t="str">
        <f t="shared" si="287"/>
        <v/>
      </c>
      <c r="BX147" s="901" t="str">
        <f t="shared" si="288"/>
        <v/>
      </c>
      <c r="BY147" s="901" t="str">
        <f t="shared" si="289"/>
        <v/>
      </c>
      <c r="BZ147" s="901" t="str">
        <f t="shared" si="290"/>
        <v/>
      </c>
      <c r="CA147" s="901"/>
      <c r="CB147" s="901"/>
      <c r="CC147" s="901"/>
      <c r="CD147" s="901"/>
      <c r="CE147" s="901"/>
      <c r="CF147" s="901"/>
      <c r="CG147" s="901"/>
      <c r="CH147" s="901">
        <v>0.3</v>
      </c>
      <c r="CI147" s="901"/>
      <c r="CJ147" s="901"/>
      <c r="CK147" s="901"/>
      <c r="CL147" s="901"/>
      <c r="CM147" s="901"/>
      <c r="CN147" s="901" t="str">
        <f t="shared" si="291"/>
        <v/>
      </c>
      <c r="CO147" s="901" t="str">
        <f t="shared" si="292"/>
        <v/>
      </c>
      <c r="CP147" s="901"/>
      <c r="CQ147" s="916"/>
      <c r="CS147" s="983"/>
      <c r="CT147" s="849"/>
      <c r="CU147" s="908"/>
      <c r="CV147" s="901"/>
      <c r="CW147" s="901"/>
      <c r="CX147" s="901"/>
      <c r="CY147" s="901"/>
      <c r="CZ147" s="901"/>
      <c r="DA147" s="901"/>
      <c r="DB147" s="901"/>
      <c r="DC147" s="901"/>
      <c r="DD147" s="901"/>
      <c r="DE147" s="901"/>
      <c r="DF147" s="901"/>
      <c r="DG147" s="901"/>
      <c r="DH147" s="901"/>
      <c r="DI147" s="901"/>
      <c r="DJ147" s="901"/>
      <c r="DK147" s="901"/>
      <c r="DL147" s="901"/>
      <c r="DM147" s="901"/>
      <c r="DN147" s="901"/>
      <c r="DO147" s="901" t="str">
        <f t="shared" si="293"/>
        <v/>
      </c>
      <c r="DP147" s="901"/>
      <c r="DQ147" s="901" t="str">
        <f t="shared" si="294"/>
        <v/>
      </c>
      <c r="DR147" s="901" t="str">
        <f t="shared" si="295"/>
        <v/>
      </c>
      <c r="DS147" s="901"/>
      <c r="DU147" s="917"/>
      <c r="DV147" s="917"/>
      <c r="DW147" s="917"/>
      <c r="DX147" s="917"/>
      <c r="DY147" s="917"/>
      <c r="DZ147" s="917"/>
      <c r="EA147" s="917"/>
      <c r="EB147" s="917"/>
      <c r="EC147" s="917"/>
      <c r="ED147" s="917"/>
      <c r="EE147" s="984"/>
      <c r="EF147" s="917"/>
    </row>
    <row r="148" spans="1:136">
      <c r="A148" s="979"/>
      <c r="B148" s="920"/>
      <c r="C148" s="1294"/>
      <c r="D148" s="921"/>
      <c r="E148" s="921"/>
      <c r="F148" s="922"/>
      <c r="G148" s="923"/>
      <c r="H148" s="924"/>
      <c r="I148" s="925"/>
      <c r="J148" s="926"/>
      <c r="K148" s="927"/>
      <c r="L148" s="923"/>
      <c r="M148" s="928"/>
      <c r="N148" s="927"/>
      <c r="O148" s="927"/>
      <c r="P148" s="923"/>
      <c r="Q148" s="923"/>
      <c r="R148" s="923"/>
      <c r="S148" s="927"/>
      <c r="T148" s="929"/>
      <c r="U148" s="927"/>
      <c r="V148" s="930"/>
      <c r="W148" s="927"/>
      <c r="X148" s="927"/>
      <c r="Y148" s="927"/>
      <c r="Z148" s="927"/>
      <c r="AA148" s="931"/>
      <c r="AB148" s="923"/>
      <c r="AC148" s="923"/>
      <c r="AD148" s="923"/>
      <c r="AE148" s="932"/>
      <c r="AF148" s="927"/>
      <c r="AG148" s="924"/>
      <c r="AH148" s="923"/>
      <c r="AI148" s="927"/>
      <c r="AJ148" s="927"/>
      <c r="AK148" s="933"/>
      <c r="AL148" s="933"/>
      <c r="AM148" s="930"/>
      <c r="AN148" s="930"/>
      <c r="AO148" s="934"/>
      <c r="AP148" s="934"/>
      <c r="AQ148" s="923"/>
      <c r="AR148" s="923"/>
      <c r="AS148" s="923"/>
      <c r="AT148" s="923"/>
      <c r="AU148" s="923"/>
      <c r="AV148" s="923"/>
      <c r="AW148" s="923"/>
      <c r="AX148" s="923"/>
      <c r="AY148" s="923"/>
      <c r="AZ148" s="923"/>
      <c r="BA148" s="935"/>
      <c r="BB148" s="935"/>
      <c r="BC148" s="935"/>
      <c r="BD148" s="935"/>
      <c r="BE148" s="935"/>
      <c r="BF148" s="946"/>
      <c r="BH148" s="937"/>
      <c r="BI148" s="894"/>
      <c r="BJ148" s="894"/>
      <c r="BK148" s="938"/>
      <c r="BL148" s="938"/>
      <c r="BM148" s="895"/>
      <c r="BN148" s="938"/>
      <c r="BO148" s="700"/>
      <c r="BP148" s="938"/>
      <c r="BQ148" s="938"/>
      <c r="BR148" s="938"/>
      <c r="BS148" s="938"/>
      <c r="BT148" s="938"/>
      <c r="BU148" s="938"/>
      <c r="BV148" s="938"/>
      <c r="BW148" s="938"/>
      <c r="BX148" s="938"/>
      <c r="BY148" s="938"/>
      <c r="BZ148" s="938"/>
      <c r="CA148" s="938"/>
      <c r="CB148" s="938"/>
      <c r="CC148" s="938"/>
      <c r="CD148" s="938"/>
      <c r="CE148" s="938"/>
      <c r="CF148" s="938"/>
      <c r="CG148" s="938"/>
      <c r="CH148" s="938"/>
      <c r="CI148" s="938"/>
      <c r="CJ148" s="938"/>
      <c r="CK148" s="938"/>
      <c r="CL148" s="938"/>
      <c r="CM148" s="938"/>
      <c r="CN148" s="938"/>
      <c r="CO148" s="938"/>
      <c r="CP148" s="938"/>
      <c r="CQ148" s="936"/>
      <c r="CS148" s="980"/>
      <c r="CT148" s="702"/>
      <c r="CU148" s="895"/>
      <c r="CV148" s="938"/>
      <c r="CW148" s="938"/>
      <c r="CX148" s="938"/>
      <c r="CY148" s="938"/>
      <c r="CZ148" s="938"/>
      <c r="DA148" s="938"/>
      <c r="DB148" s="938"/>
      <c r="DC148" s="938"/>
      <c r="DD148" s="938"/>
      <c r="DE148" s="938"/>
      <c r="DF148" s="938"/>
      <c r="DG148" s="938"/>
      <c r="DH148" s="938"/>
      <c r="DI148" s="938"/>
      <c r="DJ148" s="938"/>
      <c r="DK148" s="938"/>
      <c r="DL148" s="938"/>
      <c r="DM148" s="938"/>
      <c r="DN148" s="938"/>
      <c r="DO148" s="938"/>
      <c r="DP148" s="938"/>
      <c r="DQ148" s="938"/>
      <c r="DR148" s="938"/>
      <c r="DS148" s="938"/>
      <c r="DU148" s="937"/>
      <c r="DV148" s="938"/>
      <c r="DW148" s="938"/>
      <c r="DX148" s="938"/>
      <c r="DY148" s="938"/>
      <c r="DZ148" s="938"/>
      <c r="EA148" s="938"/>
      <c r="EB148" s="938"/>
      <c r="EC148" s="938"/>
      <c r="ED148" s="938"/>
      <c r="EE148" s="938"/>
      <c r="EF148" s="938"/>
    </row>
    <row r="149" spans="1:136">
      <c r="A149" s="979"/>
      <c r="B149" s="920"/>
      <c r="C149" s="1294"/>
      <c r="D149" s="921"/>
      <c r="E149" s="921"/>
      <c r="F149" s="922"/>
      <c r="G149" s="923"/>
      <c r="H149" s="924"/>
      <c r="I149" s="925"/>
      <c r="J149" s="926"/>
      <c r="K149" s="927"/>
      <c r="L149" s="923"/>
      <c r="M149" s="928"/>
      <c r="N149" s="927"/>
      <c r="O149" s="927"/>
      <c r="P149" s="923"/>
      <c r="Q149" s="923"/>
      <c r="R149" s="923"/>
      <c r="S149" s="927"/>
      <c r="T149" s="929"/>
      <c r="U149" s="927"/>
      <c r="V149" s="930"/>
      <c r="W149" s="927"/>
      <c r="X149" s="927"/>
      <c r="Y149" s="927"/>
      <c r="Z149" s="927"/>
      <c r="AA149" s="931"/>
      <c r="AB149" s="923"/>
      <c r="AC149" s="923"/>
      <c r="AD149" s="923"/>
      <c r="AE149" s="932"/>
      <c r="AF149" s="927"/>
      <c r="AG149" s="924"/>
      <c r="AH149" s="923"/>
      <c r="AI149" s="927"/>
      <c r="AJ149" s="927"/>
      <c r="AK149" s="933"/>
      <c r="AL149" s="933"/>
      <c r="AM149" s="930"/>
      <c r="AN149" s="930"/>
      <c r="AO149" s="934"/>
      <c r="AP149" s="988"/>
      <c r="AQ149" s="923"/>
      <c r="AR149" s="923"/>
      <c r="AS149" s="923"/>
      <c r="AT149" s="923"/>
      <c r="AU149" s="923"/>
      <c r="AV149" s="923"/>
      <c r="AW149" s="923"/>
      <c r="AX149" s="923"/>
      <c r="AY149" s="923"/>
      <c r="AZ149" s="923"/>
      <c r="BA149" s="935"/>
      <c r="BB149" s="935"/>
      <c r="BC149" s="935"/>
      <c r="BD149" s="935"/>
      <c r="BE149" s="935"/>
      <c r="BF149" s="946"/>
      <c r="BH149" s="937"/>
      <c r="BI149" s="894"/>
      <c r="BJ149" s="894"/>
      <c r="BK149" s="938"/>
      <c r="BL149" s="938"/>
      <c r="BM149" s="895"/>
      <c r="BN149" s="938"/>
      <c r="BO149" s="700"/>
      <c r="BP149" s="938"/>
      <c r="BQ149" s="938"/>
      <c r="BR149" s="938"/>
      <c r="BS149" s="938"/>
      <c r="BT149" s="938"/>
      <c r="BU149" s="938"/>
      <c r="BV149" s="938"/>
      <c r="BW149" s="938"/>
      <c r="BX149" s="938"/>
      <c r="BY149" s="938"/>
      <c r="BZ149" s="938"/>
      <c r="CA149" s="938"/>
      <c r="CB149" s="938"/>
      <c r="CC149" s="938"/>
      <c r="CD149" s="938"/>
      <c r="CE149" s="938"/>
      <c r="CF149" s="938"/>
      <c r="CG149" s="938"/>
      <c r="CH149" s="938"/>
      <c r="CI149" s="938"/>
      <c r="CJ149" s="938"/>
      <c r="CK149" s="938"/>
      <c r="CL149" s="938"/>
      <c r="CM149" s="938"/>
      <c r="CN149" s="938"/>
      <c r="CO149" s="938"/>
      <c r="CP149" s="938"/>
      <c r="CQ149" s="936"/>
      <c r="CS149" s="980"/>
      <c r="CT149" s="702"/>
      <c r="CU149" s="895"/>
      <c r="CV149" s="938"/>
      <c r="CW149" s="938"/>
      <c r="CX149" s="938"/>
      <c r="CY149" s="938"/>
      <c r="CZ149" s="938"/>
      <c r="DA149" s="938"/>
      <c r="DB149" s="938"/>
      <c r="DC149" s="938"/>
      <c r="DD149" s="938"/>
      <c r="DE149" s="938"/>
      <c r="DF149" s="938"/>
      <c r="DG149" s="938"/>
      <c r="DH149" s="938"/>
      <c r="DI149" s="938"/>
      <c r="DJ149" s="938"/>
      <c r="DK149" s="938"/>
      <c r="DL149" s="938"/>
      <c r="DM149" s="938"/>
      <c r="DN149" s="938"/>
      <c r="DO149" s="938"/>
      <c r="DP149" s="938"/>
      <c r="DQ149" s="938"/>
      <c r="DR149" s="938"/>
      <c r="DS149" s="938"/>
      <c r="DU149" s="937"/>
      <c r="DV149" s="938"/>
      <c r="DW149" s="938"/>
      <c r="DX149" s="938"/>
      <c r="DY149" s="938"/>
      <c r="DZ149" s="938"/>
      <c r="EA149" s="938"/>
      <c r="EB149" s="938"/>
      <c r="EC149" s="938"/>
      <c r="ED149" s="938"/>
      <c r="EE149" s="938"/>
      <c r="EF149" s="938"/>
    </row>
    <row r="150" spans="1:136" s="919" customFormat="1">
      <c r="A150" s="982" t="s">
        <v>2356</v>
      </c>
      <c r="B150" s="949"/>
      <c r="C150" s="1295"/>
      <c r="D150" s="964"/>
      <c r="E150" s="964"/>
      <c r="F150" s="948"/>
      <c r="G150" s="951"/>
      <c r="H150" s="952"/>
      <c r="I150" s="953"/>
      <c r="J150" s="954"/>
      <c r="K150" s="955"/>
      <c r="L150" s="951"/>
      <c r="M150" s="956"/>
      <c r="N150" s="955"/>
      <c r="O150" s="955"/>
      <c r="P150" s="951"/>
      <c r="Q150" s="951"/>
      <c r="R150" s="951"/>
      <c r="S150" s="955"/>
      <c r="T150" s="957"/>
      <c r="U150" s="955"/>
      <c r="V150" s="958"/>
      <c r="W150" s="955"/>
      <c r="X150" s="955"/>
      <c r="Y150" s="955"/>
      <c r="Z150" s="955"/>
      <c r="AA150" s="959"/>
      <c r="AB150" s="951"/>
      <c r="AC150" s="951"/>
      <c r="AD150" s="951"/>
      <c r="AE150" s="960"/>
      <c r="AF150" s="955"/>
      <c r="AG150" s="952"/>
      <c r="AH150" s="951"/>
      <c r="AI150" s="955"/>
      <c r="AJ150" s="955"/>
      <c r="AK150" s="961"/>
      <c r="AL150" s="961"/>
      <c r="AM150" s="958"/>
      <c r="AN150" s="958"/>
      <c r="AO150" s="962"/>
      <c r="AP150" s="962"/>
      <c r="AQ150" s="951"/>
      <c r="AR150" s="951"/>
      <c r="AS150" s="951"/>
      <c r="AT150" s="951"/>
      <c r="AU150" s="951"/>
      <c r="AV150" s="951"/>
      <c r="AW150" s="951"/>
      <c r="AX150" s="951"/>
      <c r="AY150" s="951">
        <v>-946.50999999999988</v>
      </c>
      <c r="AZ150" s="951"/>
      <c r="BA150" s="963"/>
      <c r="BB150" s="963"/>
      <c r="BC150" s="963"/>
      <c r="BD150" s="963"/>
      <c r="BE150" s="963"/>
      <c r="BF150" s="966"/>
      <c r="BH150" s="917"/>
      <c r="BI150" s="903"/>
      <c r="BJ150" s="903"/>
      <c r="BK150" s="901"/>
      <c r="BL150" s="901"/>
      <c r="BM150" s="908"/>
      <c r="BN150" s="901"/>
      <c r="BO150" s="698" t="str">
        <f t="shared" si="285"/>
        <v/>
      </c>
      <c r="BP150" s="901"/>
      <c r="BQ150" s="901"/>
      <c r="BR150" s="901"/>
      <c r="BS150" s="901"/>
      <c r="BT150" s="901"/>
      <c r="BU150" s="901">
        <f t="shared" si="286"/>
        <v>0</v>
      </c>
      <c r="BV150" s="901"/>
      <c r="BW150" s="901" t="str">
        <f t="shared" si="287"/>
        <v/>
      </c>
      <c r="BX150" s="901" t="str">
        <f t="shared" si="288"/>
        <v/>
      </c>
      <c r="BY150" s="901" t="str">
        <f t="shared" si="289"/>
        <v/>
      </c>
      <c r="BZ150" s="901" t="str">
        <f t="shared" si="290"/>
        <v/>
      </c>
      <c r="CA150" s="901"/>
      <c r="CB150" s="901"/>
      <c r="CC150" s="901"/>
      <c r="CD150" s="901"/>
      <c r="CE150" s="901"/>
      <c r="CF150" s="901"/>
      <c r="CG150" s="901"/>
      <c r="CH150" s="901"/>
      <c r="CI150" s="901"/>
      <c r="CJ150" s="901"/>
      <c r="CK150" s="901"/>
      <c r="CL150" s="901"/>
      <c r="CM150" s="901"/>
      <c r="CN150" s="901" t="str">
        <f t="shared" si="291"/>
        <v/>
      </c>
      <c r="CO150" s="901" t="str">
        <f t="shared" si="292"/>
        <v/>
      </c>
      <c r="CP150" s="901"/>
      <c r="CQ150" s="916"/>
      <c r="CS150" s="983"/>
      <c r="CT150" s="849"/>
      <c r="CU150" s="908"/>
      <c r="CV150" s="901"/>
      <c r="CW150" s="901"/>
      <c r="CX150" s="901"/>
      <c r="CY150" s="901"/>
      <c r="CZ150" s="901"/>
      <c r="DA150" s="901"/>
      <c r="DB150" s="901"/>
      <c r="DC150" s="901"/>
      <c r="DD150" s="901"/>
      <c r="DE150" s="901"/>
      <c r="DF150" s="901"/>
      <c r="DG150" s="901"/>
      <c r="DH150" s="901"/>
      <c r="DI150" s="901"/>
      <c r="DJ150" s="901"/>
      <c r="DK150" s="901"/>
      <c r="DL150" s="901"/>
      <c r="DM150" s="901"/>
      <c r="DN150" s="901"/>
      <c r="DO150" s="901" t="str">
        <f t="shared" si="293"/>
        <v/>
      </c>
      <c r="DP150" s="901"/>
      <c r="DQ150" s="901" t="str">
        <f t="shared" si="294"/>
        <v/>
      </c>
      <c r="DR150" s="901" t="str">
        <f t="shared" si="295"/>
        <v/>
      </c>
      <c r="DS150" s="901"/>
      <c r="DU150" s="917"/>
      <c r="DV150" s="917"/>
      <c r="DW150" s="917"/>
      <c r="DX150" s="917"/>
      <c r="DY150" s="917"/>
      <c r="DZ150" s="917"/>
      <c r="EA150" s="917"/>
      <c r="EB150" s="917"/>
      <c r="EC150" s="917"/>
      <c r="ED150" s="917"/>
      <c r="EE150" s="984"/>
      <c r="EF150" s="917"/>
    </row>
    <row r="151" spans="1:136">
      <c r="A151" s="979"/>
      <c r="B151" s="920"/>
      <c r="C151" s="1294"/>
      <c r="D151" s="921"/>
      <c r="E151" s="921"/>
      <c r="F151" s="922"/>
      <c r="G151" s="923"/>
      <c r="H151" s="924"/>
      <c r="I151" s="925"/>
      <c r="J151" s="926"/>
      <c r="K151" s="927"/>
      <c r="L151" s="923"/>
      <c r="M151" s="928"/>
      <c r="N151" s="927"/>
      <c r="O151" s="927"/>
      <c r="P151" s="923"/>
      <c r="Q151" s="923"/>
      <c r="R151" s="923"/>
      <c r="S151" s="927"/>
      <c r="T151" s="929"/>
      <c r="U151" s="927"/>
      <c r="V151" s="930"/>
      <c r="W151" s="927"/>
      <c r="X151" s="927"/>
      <c r="Y151" s="927"/>
      <c r="Z151" s="927"/>
      <c r="AA151" s="931"/>
      <c r="AB151" s="923"/>
      <c r="AC151" s="923"/>
      <c r="AD151" s="923"/>
      <c r="AE151" s="932"/>
      <c r="AF151" s="927"/>
      <c r="AG151" s="924"/>
      <c r="AH151" s="923"/>
      <c r="AI151" s="927"/>
      <c r="AJ151" s="927"/>
      <c r="AK151" s="933"/>
      <c r="AL151" s="933"/>
      <c r="AM151" s="930"/>
      <c r="AN151" s="930"/>
      <c r="AO151" s="934"/>
      <c r="AP151" s="934"/>
      <c r="AQ151" s="923"/>
      <c r="AR151" s="923"/>
      <c r="AS151" s="923"/>
      <c r="AT151" s="923"/>
      <c r="AU151" s="923"/>
      <c r="AV151" s="923"/>
      <c r="AW151" s="923"/>
      <c r="AX151" s="923"/>
      <c r="AY151" s="923"/>
      <c r="AZ151" s="923"/>
      <c r="BA151" s="935"/>
      <c r="BB151" s="935"/>
      <c r="BC151" s="935"/>
      <c r="BD151" s="935"/>
      <c r="BE151" s="935"/>
      <c r="BF151" s="946"/>
      <c r="BH151" s="937"/>
      <c r="BI151" s="894"/>
      <c r="BJ151" s="894"/>
      <c r="BK151" s="938"/>
      <c r="BL151" s="938"/>
      <c r="BM151" s="895"/>
      <c r="BN151" s="938"/>
      <c r="BO151" s="700"/>
      <c r="BP151" s="938"/>
      <c r="BQ151" s="938"/>
      <c r="BR151" s="938"/>
      <c r="BS151" s="938"/>
      <c r="BT151" s="938"/>
      <c r="BU151" s="938"/>
      <c r="BV151" s="938"/>
      <c r="BW151" s="938"/>
      <c r="BX151" s="938"/>
      <c r="BY151" s="938"/>
      <c r="BZ151" s="938"/>
      <c r="CA151" s="938"/>
      <c r="CB151" s="938"/>
      <c r="CC151" s="938"/>
      <c r="CD151" s="938"/>
      <c r="CE151" s="938"/>
      <c r="CF151" s="938"/>
      <c r="CG151" s="938"/>
      <c r="CH151" s="938"/>
      <c r="CI151" s="938"/>
      <c r="CJ151" s="938"/>
      <c r="CK151" s="938"/>
      <c r="CL151" s="938"/>
      <c r="CM151" s="938"/>
      <c r="CN151" s="938"/>
      <c r="CO151" s="938"/>
      <c r="CP151" s="938"/>
      <c r="CQ151" s="936"/>
      <c r="CS151" s="980"/>
      <c r="CT151" s="702"/>
      <c r="CU151" s="895"/>
      <c r="CV151" s="938"/>
      <c r="CW151" s="938"/>
      <c r="CX151" s="938"/>
      <c r="CY151" s="938"/>
      <c r="CZ151" s="938"/>
      <c r="DA151" s="938"/>
      <c r="DB151" s="938"/>
      <c r="DC151" s="938"/>
      <c r="DD151" s="938"/>
      <c r="DE151" s="938"/>
      <c r="DF151" s="938"/>
      <c r="DG151" s="938"/>
      <c r="DH151" s="938"/>
      <c r="DI151" s="938"/>
      <c r="DJ151" s="938"/>
      <c r="DK151" s="938"/>
      <c r="DL151" s="938"/>
      <c r="DM151" s="938"/>
      <c r="DN151" s="938"/>
      <c r="DO151" s="938"/>
      <c r="DP151" s="938"/>
      <c r="DQ151" s="938"/>
      <c r="DR151" s="938"/>
      <c r="DS151" s="938"/>
      <c r="DU151" s="937"/>
      <c r="DV151" s="938"/>
      <c r="DW151" s="938"/>
      <c r="DX151" s="938"/>
      <c r="DY151" s="938"/>
      <c r="DZ151" s="938"/>
      <c r="EA151" s="938"/>
      <c r="EB151" s="938"/>
      <c r="EC151" s="938"/>
      <c r="ED151" s="938"/>
      <c r="EE151" s="938"/>
      <c r="EF151" s="938"/>
    </row>
    <row r="152" spans="1:136">
      <c r="A152" s="979"/>
      <c r="B152" s="920"/>
      <c r="C152" s="1294"/>
      <c r="D152" s="921"/>
      <c r="E152" s="921"/>
      <c r="F152" s="922"/>
      <c r="G152" s="923"/>
      <c r="H152" s="924"/>
      <c r="I152" s="925"/>
      <c r="J152" s="926"/>
      <c r="K152" s="927"/>
      <c r="L152" s="923"/>
      <c r="M152" s="928"/>
      <c r="N152" s="927"/>
      <c r="O152" s="927"/>
      <c r="P152" s="923"/>
      <c r="Q152" s="923"/>
      <c r="R152" s="923"/>
      <c r="S152" s="927"/>
      <c r="T152" s="929"/>
      <c r="U152" s="927"/>
      <c r="V152" s="930"/>
      <c r="W152" s="927"/>
      <c r="X152" s="927"/>
      <c r="Y152" s="927"/>
      <c r="Z152" s="927"/>
      <c r="AA152" s="931"/>
      <c r="AB152" s="923"/>
      <c r="AC152" s="923"/>
      <c r="AD152" s="923"/>
      <c r="AE152" s="932"/>
      <c r="AF152" s="927"/>
      <c r="AG152" s="924"/>
      <c r="AH152" s="923"/>
      <c r="AI152" s="927"/>
      <c r="AJ152" s="927"/>
      <c r="AK152" s="933"/>
      <c r="AL152" s="933"/>
      <c r="AM152" s="930"/>
      <c r="AN152" s="930"/>
      <c r="AO152" s="934"/>
      <c r="AP152" s="934"/>
      <c r="AQ152" s="923"/>
      <c r="AR152" s="923"/>
      <c r="AS152" s="923"/>
      <c r="AT152" s="923"/>
      <c r="AU152" s="923"/>
      <c r="AV152" s="923"/>
      <c r="AW152" s="923"/>
      <c r="AX152" s="923"/>
      <c r="AY152" s="923"/>
      <c r="AZ152" s="923"/>
      <c r="BA152" s="935"/>
      <c r="BB152" s="935"/>
      <c r="BC152" s="935"/>
      <c r="BD152" s="935"/>
      <c r="BE152" s="935"/>
      <c r="BF152" s="946"/>
      <c r="BH152" s="937"/>
      <c r="BI152" s="894"/>
      <c r="BJ152" s="894"/>
      <c r="BK152" s="938"/>
      <c r="BL152" s="938"/>
      <c r="BM152" s="895"/>
      <c r="BN152" s="938"/>
      <c r="BO152" s="700"/>
      <c r="BP152" s="938"/>
      <c r="BQ152" s="938"/>
      <c r="BR152" s="938"/>
      <c r="BS152" s="938"/>
      <c r="BT152" s="938"/>
      <c r="BU152" s="938"/>
      <c r="BV152" s="938"/>
      <c r="BW152" s="938"/>
      <c r="BX152" s="938"/>
      <c r="BY152" s="938"/>
      <c r="BZ152" s="938"/>
      <c r="CA152" s="938"/>
      <c r="CB152" s="938"/>
      <c r="CC152" s="938"/>
      <c r="CD152" s="938"/>
      <c r="CE152" s="938"/>
      <c r="CF152" s="938"/>
      <c r="CG152" s="938"/>
      <c r="CH152" s="938"/>
      <c r="CI152" s="938"/>
      <c r="CJ152" s="938"/>
      <c r="CK152" s="938"/>
      <c r="CL152" s="938"/>
      <c r="CM152" s="938"/>
      <c r="CN152" s="938"/>
      <c r="CO152" s="938"/>
      <c r="CP152" s="938"/>
      <c r="CQ152" s="936"/>
      <c r="CS152" s="980"/>
      <c r="CT152" s="702"/>
      <c r="CU152" s="895"/>
      <c r="CV152" s="938"/>
      <c r="CW152" s="938"/>
      <c r="CX152" s="938"/>
      <c r="CY152" s="938"/>
      <c r="CZ152" s="938"/>
      <c r="DA152" s="938"/>
      <c r="DB152" s="938"/>
      <c r="DC152" s="938"/>
      <c r="DD152" s="938"/>
      <c r="DE152" s="938"/>
      <c r="DF152" s="938"/>
      <c r="DG152" s="938"/>
      <c r="DH152" s="938"/>
      <c r="DI152" s="938"/>
      <c r="DJ152" s="938"/>
      <c r="DK152" s="938"/>
      <c r="DL152" s="938"/>
      <c r="DM152" s="938"/>
      <c r="DN152" s="938"/>
      <c r="DO152" s="938"/>
      <c r="DP152" s="938"/>
      <c r="DQ152" s="938"/>
      <c r="DR152" s="938"/>
      <c r="DS152" s="938"/>
      <c r="DU152" s="937"/>
      <c r="DV152" s="938"/>
      <c r="DW152" s="938"/>
      <c r="DX152" s="938"/>
      <c r="DY152" s="938"/>
      <c r="DZ152" s="938"/>
      <c r="EA152" s="938"/>
      <c r="EB152" s="938"/>
      <c r="EC152" s="938"/>
      <c r="ED152" s="938"/>
      <c r="EE152" s="938"/>
      <c r="EF152" s="938"/>
    </row>
    <row r="153" spans="1:136">
      <c r="A153" s="979"/>
      <c r="B153" s="920"/>
      <c r="C153" s="1294"/>
      <c r="D153" s="921"/>
      <c r="E153" s="921"/>
      <c r="F153" s="922"/>
      <c r="G153" s="923"/>
      <c r="H153" s="924"/>
      <c r="I153" s="925"/>
      <c r="J153" s="926"/>
      <c r="K153" s="927"/>
      <c r="L153" s="923"/>
      <c r="M153" s="928"/>
      <c r="N153" s="927"/>
      <c r="O153" s="927"/>
      <c r="P153" s="923"/>
      <c r="Q153" s="923"/>
      <c r="R153" s="923"/>
      <c r="S153" s="927"/>
      <c r="T153" s="929"/>
      <c r="U153" s="927"/>
      <c r="V153" s="930"/>
      <c r="W153" s="927"/>
      <c r="X153" s="927"/>
      <c r="Y153" s="927"/>
      <c r="Z153" s="927"/>
      <c r="AA153" s="931"/>
      <c r="AB153" s="923"/>
      <c r="AC153" s="923"/>
      <c r="AD153" s="923"/>
      <c r="AE153" s="932"/>
      <c r="AF153" s="927"/>
      <c r="AG153" s="924"/>
      <c r="AH153" s="923"/>
      <c r="AI153" s="927"/>
      <c r="AJ153" s="927"/>
      <c r="AK153" s="933"/>
      <c r="AL153" s="933"/>
      <c r="AM153" s="930"/>
      <c r="AN153" s="930"/>
      <c r="AO153" s="934"/>
      <c r="AP153" s="934"/>
      <c r="AQ153" s="923"/>
      <c r="AR153" s="923"/>
      <c r="AS153" s="923"/>
      <c r="AT153" s="923"/>
      <c r="AU153" s="923"/>
      <c r="AV153" s="923"/>
      <c r="AW153" s="923"/>
      <c r="AX153" s="923"/>
      <c r="AY153" s="923"/>
      <c r="AZ153" s="923"/>
      <c r="BA153" s="935"/>
      <c r="BB153" s="935"/>
      <c r="BC153" s="935"/>
      <c r="BD153" s="935"/>
      <c r="BE153" s="935"/>
      <c r="BF153" s="946"/>
      <c r="BH153" s="937"/>
      <c r="BI153" s="894"/>
      <c r="BJ153" s="894"/>
      <c r="BK153" s="938"/>
      <c r="BL153" s="938"/>
      <c r="BM153" s="895"/>
      <c r="BN153" s="938"/>
      <c r="BO153" s="700"/>
      <c r="BP153" s="938"/>
      <c r="BQ153" s="938"/>
      <c r="BR153" s="938"/>
      <c r="BS153" s="938"/>
      <c r="BT153" s="938"/>
      <c r="BU153" s="938"/>
      <c r="BV153" s="938"/>
      <c r="BW153" s="938"/>
      <c r="BX153" s="938"/>
      <c r="BY153" s="938"/>
      <c r="BZ153" s="938"/>
      <c r="CA153" s="938"/>
      <c r="CB153" s="938"/>
      <c r="CC153" s="938"/>
      <c r="CD153" s="938"/>
      <c r="CE153" s="938"/>
      <c r="CF153" s="938"/>
      <c r="CG153" s="938"/>
      <c r="CH153" s="938"/>
      <c r="CI153" s="938"/>
      <c r="CJ153" s="938"/>
      <c r="CK153" s="938"/>
      <c r="CL153" s="938"/>
      <c r="CM153" s="938"/>
      <c r="CN153" s="938"/>
      <c r="CO153" s="938"/>
      <c r="CP153" s="938"/>
      <c r="CQ153" s="936"/>
      <c r="CS153" s="980"/>
      <c r="CT153" s="702"/>
      <c r="CU153" s="895"/>
      <c r="CV153" s="938"/>
      <c r="CW153" s="938"/>
      <c r="CX153" s="938"/>
      <c r="CY153" s="938"/>
      <c r="CZ153" s="938"/>
      <c r="DA153" s="938"/>
      <c r="DB153" s="938"/>
      <c r="DC153" s="938"/>
      <c r="DD153" s="938"/>
      <c r="DE153" s="938"/>
      <c r="DF153" s="938"/>
      <c r="DG153" s="938"/>
      <c r="DH153" s="938"/>
      <c r="DI153" s="938"/>
      <c r="DJ153" s="938"/>
      <c r="DK153" s="938"/>
      <c r="DL153" s="938"/>
      <c r="DM153" s="938"/>
      <c r="DN153" s="938"/>
      <c r="DO153" s="938"/>
      <c r="DP153" s="938"/>
      <c r="DQ153" s="938"/>
      <c r="DR153" s="938"/>
      <c r="DS153" s="938"/>
      <c r="DU153" s="937"/>
      <c r="DV153" s="938"/>
      <c r="DW153" s="938"/>
      <c r="DX153" s="938"/>
      <c r="DY153" s="938"/>
      <c r="DZ153" s="938"/>
      <c r="EA153" s="938"/>
      <c r="EB153" s="938"/>
      <c r="EC153" s="938"/>
      <c r="ED153" s="938"/>
      <c r="EE153" s="938"/>
      <c r="EF153" s="938"/>
    </row>
    <row r="154" spans="1:136">
      <c r="A154" s="979"/>
      <c r="B154" s="920"/>
      <c r="C154" s="1294"/>
      <c r="D154" s="921"/>
      <c r="E154" s="921"/>
      <c r="F154" s="922"/>
      <c r="G154" s="923"/>
      <c r="H154" s="924"/>
      <c r="I154" s="925"/>
      <c r="J154" s="926"/>
      <c r="K154" s="927"/>
      <c r="L154" s="923"/>
      <c r="M154" s="928"/>
      <c r="N154" s="927"/>
      <c r="O154" s="927"/>
      <c r="P154" s="923"/>
      <c r="Q154" s="923"/>
      <c r="R154" s="923"/>
      <c r="S154" s="927"/>
      <c r="T154" s="929"/>
      <c r="U154" s="927"/>
      <c r="V154" s="930"/>
      <c r="W154" s="927"/>
      <c r="X154" s="927"/>
      <c r="Y154" s="927"/>
      <c r="Z154" s="927"/>
      <c r="AA154" s="931"/>
      <c r="AB154" s="923"/>
      <c r="AC154" s="923"/>
      <c r="AD154" s="923"/>
      <c r="AE154" s="932"/>
      <c r="AF154" s="927"/>
      <c r="AG154" s="924"/>
      <c r="AH154" s="923"/>
      <c r="AI154" s="927"/>
      <c r="AJ154" s="927"/>
      <c r="AK154" s="933"/>
      <c r="AL154" s="933"/>
      <c r="AM154" s="930"/>
      <c r="AN154" s="930"/>
      <c r="AO154" s="934"/>
      <c r="AP154" s="934"/>
      <c r="AQ154" s="923"/>
      <c r="AR154" s="923"/>
      <c r="AS154" s="923"/>
      <c r="AT154" s="923"/>
      <c r="AU154" s="923"/>
      <c r="AV154" s="923"/>
      <c r="AW154" s="923"/>
      <c r="AX154" s="923"/>
      <c r="AY154" s="923"/>
      <c r="AZ154" s="923"/>
      <c r="BA154" s="935"/>
      <c r="BB154" s="935"/>
      <c r="BC154" s="935"/>
      <c r="BD154" s="935"/>
      <c r="BE154" s="935"/>
      <c r="BF154" s="946"/>
      <c r="BH154" s="937"/>
      <c r="BI154" s="894"/>
      <c r="BJ154" s="894"/>
      <c r="BK154" s="938"/>
      <c r="BL154" s="938"/>
      <c r="BM154" s="895"/>
      <c r="BN154" s="938"/>
      <c r="BO154" s="700"/>
      <c r="BP154" s="938"/>
      <c r="BQ154" s="938"/>
      <c r="BR154" s="938"/>
      <c r="BS154" s="938"/>
      <c r="BT154" s="938"/>
      <c r="BU154" s="938"/>
      <c r="BV154" s="938"/>
      <c r="BW154" s="938"/>
      <c r="BX154" s="938"/>
      <c r="BY154" s="938"/>
      <c r="BZ154" s="938"/>
      <c r="CA154" s="938"/>
      <c r="CB154" s="938"/>
      <c r="CC154" s="938"/>
      <c r="CD154" s="938"/>
      <c r="CE154" s="938"/>
      <c r="CF154" s="938"/>
      <c r="CG154" s="938"/>
      <c r="CH154" s="938"/>
      <c r="CI154" s="938"/>
      <c r="CJ154" s="938"/>
      <c r="CK154" s="938"/>
      <c r="CL154" s="938"/>
      <c r="CM154" s="938"/>
      <c r="CN154" s="938"/>
      <c r="CO154" s="938"/>
      <c r="CP154" s="938"/>
      <c r="CQ154" s="936"/>
      <c r="CS154" s="980"/>
      <c r="CT154" s="702"/>
      <c r="CU154" s="895"/>
      <c r="CV154" s="938"/>
      <c r="CW154" s="938"/>
      <c r="CX154" s="938"/>
      <c r="CY154" s="938"/>
      <c r="CZ154" s="938"/>
      <c r="DA154" s="938"/>
      <c r="DB154" s="938"/>
      <c r="DC154" s="938"/>
      <c r="DD154" s="938"/>
      <c r="DE154" s="938"/>
      <c r="DF154" s="938"/>
      <c r="DG154" s="938"/>
      <c r="DH154" s="938"/>
      <c r="DI154" s="938"/>
      <c r="DJ154" s="938"/>
      <c r="DK154" s="938"/>
      <c r="DL154" s="938"/>
      <c r="DM154" s="938"/>
      <c r="DN154" s="938"/>
      <c r="DO154" s="938"/>
      <c r="DP154" s="938"/>
      <c r="DQ154" s="938"/>
      <c r="DR154" s="938"/>
      <c r="DS154" s="938"/>
      <c r="DU154" s="937"/>
      <c r="DV154" s="938"/>
      <c r="DW154" s="938"/>
      <c r="DX154" s="938"/>
      <c r="DY154" s="938"/>
      <c r="DZ154" s="938"/>
      <c r="EA154" s="938"/>
      <c r="EB154" s="938"/>
      <c r="EC154" s="938"/>
      <c r="ED154" s="938"/>
      <c r="EE154" s="938"/>
      <c r="EF154" s="938"/>
    </row>
    <row r="155" spans="1:136">
      <c r="A155" s="979"/>
      <c r="B155" s="920"/>
      <c r="C155" s="1294"/>
      <c r="D155" s="921"/>
      <c r="E155" s="921"/>
      <c r="F155" s="922"/>
      <c r="G155" s="923"/>
      <c r="H155" s="924"/>
      <c r="I155" s="925"/>
      <c r="J155" s="926"/>
      <c r="K155" s="927"/>
      <c r="L155" s="923"/>
      <c r="M155" s="928"/>
      <c r="N155" s="927"/>
      <c r="O155" s="927"/>
      <c r="P155" s="923"/>
      <c r="Q155" s="923"/>
      <c r="R155" s="923"/>
      <c r="S155" s="927"/>
      <c r="T155" s="929"/>
      <c r="U155" s="927"/>
      <c r="V155" s="930"/>
      <c r="W155" s="927"/>
      <c r="X155" s="927"/>
      <c r="Y155" s="927"/>
      <c r="Z155" s="927"/>
      <c r="AA155" s="931"/>
      <c r="AB155" s="923"/>
      <c r="AC155" s="923"/>
      <c r="AD155" s="923"/>
      <c r="AE155" s="932"/>
      <c r="AF155" s="927"/>
      <c r="AG155" s="924"/>
      <c r="AH155" s="923"/>
      <c r="AI155" s="927"/>
      <c r="AJ155" s="927"/>
      <c r="AK155" s="933"/>
      <c r="AL155" s="933"/>
      <c r="AM155" s="930"/>
      <c r="AN155" s="930"/>
      <c r="AO155" s="934"/>
      <c r="AP155" s="934"/>
      <c r="AQ155" s="923"/>
      <c r="AR155" s="923"/>
      <c r="AS155" s="923"/>
      <c r="AT155" s="923"/>
      <c r="AU155" s="923"/>
      <c r="AV155" s="923"/>
      <c r="AW155" s="923"/>
      <c r="AX155" s="923"/>
      <c r="AY155" s="923"/>
      <c r="AZ155" s="923"/>
      <c r="BA155" s="935"/>
      <c r="BB155" s="935"/>
      <c r="BC155" s="935"/>
      <c r="BD155" s="935"/>
      <c r="BE155" s="935"/>
      <c r="BF155" s="946"/>
      <c r="BH155" s="937"/>
      <c r="BI155" s="894"/>
      <c r="BJ155" s="894"/>
      <c r="BK155" s="938"/>
      <c r="BL155" s="938"/>
      <c r="BM155" s="895"/>
      <c r="BN155" s="938"/>
      <c r="BO155" s="700"/>
      <c r="BP155" s="938"/>
      <c r="BQ155" s="938"/>
      <c r="BR155" s="938"/>
      <c r="BS155" s="938"/>
      <c r="BT155" s="938"/>
      <c r="BU155" s="938"/>
      <c r="BV155" s="938"/>
      <c r="BW155" s="938"/>
      <c r="BX155" s="938"/>
      <c r="BY155" s="938"/>
      <c r="BZ155" s="938"/>
      <c r="CA155" s="938"/>
      <c r="CB155" s="938"/>
      <c r="CC155" s="938"/>
      <c r="CD155" s="938"/>
      <c r="CE155" s="938"/>
      <c r="CF155" s="938"/>
      <c r="CG155" s="938"/>
      <c r="CH155" s="938"/>
      <c r="CI155" s="938"/>
      <c r="CJ155" s="938"/>
      <c r="CK155" s="938"/>
      <c r="CL155" s="938"/>
      <c r="CM155" s="938"/>
      <c r="CN155" s="938"/>
      <c r="CO155" s="938"/>
      <c r="CP155" s="938"/>
      <c r="CQ155" s="936"/>
      <c r="CS155" s="980"/>
      <c r="CT155" s="702"/>
      <c r="CU155" s="895"/>
      <c r="CV155" s="938"/>
      <c r="CW155" s="938"/>
      <c r="CX155" s="938"/>
      <c r="CY155" s="938"/>
      <c r="CZ155" s="938"/>
      <c r="DA155" s="938"/>
      <c r="DB155" s="938"/>
      <c r="DC155" s="938"/>
      <c r="DD155" s="938"/>
      <c r="DE155" s="938"/>
      <c r="DF155" s="938"/>
      <c r="DG155" s="938"/>
      <c r="DH155" s="938"/>
      <c r="DI155" s="938"/>
      <c r="DJ155" s="938"/>
      <c r="DK155" s="938"/>
      <c r="DL155" s="938"/>
      <c r="DM155" s="938"/>
      <c r="DN155" s="938"/>
      <c r="DO155" s="938"/>
      <c r="DP155" s="938"/>
      <c r="DQ155" s="938"/>
      <c r="DR155" s="938"/>
      <c r="DS155" s="938"/>
      <c r="DU155" s="937"/>
      <c r="DV155" s="938"/>
      <c r="DW155" s="938"/>
      <c r="DX155" s="938"/>
      <c r="DY155" s="938"/>
      <c r="DZ155" s="938"/>
      <c r="EA155" s="938"/>
      <c r="EB155" s="938"/>
      <c r="EC155" s="938"/>
      <c r="ED155" s="938"/>
      <c r="EE155" s="938"/>
      <c r="EF155" s="938"/>
    </row>
    <row r="156" spans="1:136">
      <c r="A156" s="979"/>
      <c r="B156" s="920"/>
      <c r="C156" s="1294"/>
      <c r="D156" s="921"/>
      <c r="E156" s="921"/>
      <c r="F156" s="922"/>
      <c r="G156" s="923"/>
      <c r="H156" s="924"/>
      <c r="I156" s="925"/>
      <c r="J156" s="926"/>
      <c r="K156" s="927"/>
      <c r="L156" s="923"/>
      <c r="M156" s="928"/>
      <c r="N156" s="927"/>
      <c r="O156" s="927"/>
      <c r="P156" s="923"/>
      <c r="Q156" s="923"/>
      <c r="R156" s="923"/>
      <c r="S156" s="927"/>
      <c r="T156" s="929"/>
      <c r="U156" s="927"/>
      <c r="V156" s="930"/>
      <c r="W156" s="927"/>
      <c r="X156" s="927"/>
      <c r="Y156" s="927"/>
      <c r="Z156" s="927"/>
      <c r="AA156" s="931"/>
      <c r="AB156" s="923"/>
      <c r="AC156" s="923"/>
      <c r="AD156" s="923"/>
      <c r="AE156" s="932"/>
      <c r="AF156" s="927"/>
      <c r="AG156" s="924"/>
      <c r="AH156" s="923"/>
      <c r="AI156" s="927"/>
      <c r="AJ156" s="927"/>
      <c r="AK156" s="933"/>
      <c r="AL156" s="933"/>
      <c r="AM156" s="930"/>
      <c r="AN156" s="930"/>
      <c r="AO156" s="934"/>
      <c r="AP156" s="945"/>
      <c r="AQ156" s="923"/>
      <c r="AR156" s="923"/>
      <c r="AS156" s="923"/>
      <c r="AT156" s="923"/>
      <c r="AU156" s="923"/>
      <c r="AV156" s="923"/>
      <c r="AW156" s="923"/>
      <c r="AX156" s="923"/>
      <c r="AY156" s="923"/>
      <c r="AZ156" s="923"/>
      <c r="BA156" s="935"/>
      <c r="BB156" s="935"/>
      <c r="BC156" s="935"/>
      <c r="BD156" s="935"/>
      <c r="BE156" s="935"/>
      <c r="BF156" s="946"/>
      <c r="BH156" s="937"/>
      <c r="BI156" s="894"/>
      <c r="BJ156" s="894"/>
      <c r="BK156" s="938"/>
      <c r="BL156" s="938"/>
      <c r="BM156" s="895"/>
      <c r="BN156" s="938"/>
      <c r="BO156" s="700"/>
      <c r="BP156" s="938"/>
      <c r="BQ156" s="938"/>
      <c r="BR156" s="938"/>
      <c r="BS156" s="938"/>
      <c r="BT156" s="938"/>
      <c r="BU156" s="938"/>
      <c r="BV156" s="938"/>
      <c r="BW156" s="938"/>
      <c r="BX156" s="938"/>
      <c r="BY156" s="938"/>
      <c r="BZ156" s="938"/>
      <c r="CA156" s="938"/>
      <c r="CB156" s="938"/>
      <c r="CC156" s="938"/>
      <c r="CD156" s="938"/>
      <c r="CE156" s="938"/>
      <c r="CF156" s="938"/>
      <c r="CG156" s="938"/>
      <c r="CH156" s="938"/>
      <c r="CI156" s="938"/>
      <c r="CJ156" s="938"/>
      <c r="CK156" s="938"/>
      <c r="CL156" s="938"/>
      <c r="CM156" s="938"/>
      <c r="CN156" s="938"/>
      <c r="CO156" s="938"/>
      <c r="CP156" s="938"/>
      <c r="CQ156" s="936"/>
      <c r="CS156" s="980"/>
      <c r="CT156" s="702"/>
      <c r="CU156" s="895"/>
      <c r="CV156" s="938"/>
      <c r="CW156" s="938"/>
      <c r="CX156" s="938"/>
      <c r="CY156" s="938"/>
      <c r="CZ156" s="938"/>
      <c r="DA156" s="938"/>
      <c r="DB156" s="938"/>
      <c r="DC156" s="938"/>
      <c r="DD156" s="938"/>
      <c r="DE156" s="938"/>
      <c r="DF156" s="938"/>
      <c r="DG156" s="938"/>
      <c r="DH156" s="938"/>
      <c r="DI156" s="938"/>
      <c r="DJ156" s="938"/>
      <c r="DK156" s="938"/>
      <c r="DL156" s="938"/>
      <c r="DM156" s="938"/>
      <c r="DN156" s="938"/>
      <c r="DO156" s="938"/>
      <c r="DP156" s="938"/>
      <c r="DQ156" s="938"/>
      <c r="DR156" s="938"/>
      <c r="DS156" s="938"/>
      <c r="DU156" s="937"/>
      <c r="DV156" s="938"/>
      <c r="DW156" s="938"/>
      <c r="DX156" s="938"/>
      <c r="DY156" s="938"/>
      <c r="DZ156" s="938"/>
      <c r="EA156" s="938"/>
      <c r="EB156" s="938"/>
      <c r="EC156" s="938"/>
      <c r="ED156" s="938"/>
      <c r="EE156" s="938"/>
      <c r="EF156" s="938"/>
    </row>
    <row r="157" spans="1:136" ht="16.5">
      <c r="A157" s="989"/>
      <c r="B157" s="989"/>
      <c r="C157" s="936"/>
      <c r="D157" s="990"/>
      <c r="E157" s="990"/>
      <c r="F157" s="853"/>
      <c r="G157" s="936"/>
      <c r="H157" s="991"/>
      <c r="I157" s="992"/>
      <c r="J157" s="993"/>
      <c r="K157" s="994"/>
      <c r="L157" s="936"/>
      <c r="M157" s="995"/>
      <c r="N157" s="994"/>
      <c r="O157" s="994"/>
      <c r="P157" s="936"/>
      <c r="Q157" s="936"/>
      <c r="R157" s="936"/>
      <c r="S157" s="994"/>
      <c r="T157" s="994"/>
      <c r="U157" s="994"/>
      <c r="V157" s="996"/>
      <c r="W157" s="994"/>
      <c r="X157" s="994"/>
      <c r="Y157" s="994"/>
      <c r="Z157" s="994"/>
      <c r="AA157" s="994"/>
      <c r="AB157" s="936"/>
      <c r="AC157" s="936"/>
      <c r="AD157" s="936"/>
      <c r="AE157" s="997"/>
      <c r="AF157" s="994"/>
      <c r="AG157" s="991"/>
      <c r="AH157" s="936"/>
      <c r="AI157" s="994"/>
      <c r="AJ157" s="994"/>
      <c r="AK157" s="998"/>
      <c r="AL157" s="998"/>
      <c r="AM157" s="999"/>
      <c r="AN157" s="999"/>
      <c r="AO157" s="1000"/>
      <c r="AP157" s="1000"/>
      <c r="AQ157" s="936"/>
      <c r="AR157" s="936"/>
      <c r="AS157" s="936"/>
      <c r="AT157" s="936"/>
      <c r="AU157" s="936"/>
      <c r="AV157" s="936"/>
      <c r="AW157" s="936"/>
      <c r="AX157" s="936"/>
      <c r="AY157" s="936"/>
      <c r="AZ157" s="936"/>
      <c r="BA157" s="997"/>
      <c r="BB157" s="997"/>
      <c r="BC157" s="997"/>
      <c r="BD157" s="997"/>
      <c r="BE157" s="997"/>
      <c r="BF157" s="997"/>
      <c r="BH157" s="937"/>
      <c r="BI157" s="894"/>
      <c r="BJ157" s="894"/>
      <c r="BK157" s="938"/>
      <c r="BL157" s="938"/>
      <c r="BM157" s="895"/>
      <c r="BN157" s="938"/>
      <c r="BO157" s="700"/>
      <c r="BP157" s="938"/>
      <c r="BQ157" s="938"/>
      <c r="BR157" s="938"/>
      <c r="BS157" s="938"/>
      <c r="BT157" s="938"/>
      <c r="BU157" s="938"/>
      <c r="BV157" s="938"/>
      <c r="BW157" s="938" t="str">
        <f t="shared" si="287"/>
        <v/>
      </c>
      <c r="BX157" s="938" t="str">
        <f t="shared" si="288"/>
        <v/>
      </c>
      <c r="BY157" s="938" t="str">
        <f t="shared" si="289"/>
        <v/>
      </c>
      <c r="BZ157" s="938" t="str">
        <f t="shared" si="290"/>
        <v/>
      </c>
      <c r="CA157" s="938"/>
      <c r="CB157" s="938"/>
      <c r="CC157" s="938"/>
      <c r="CD157" s="938"/>
      <c r="CE157" s="938"/>
      <c r="CF157" s="938"/>
      <c r="CG157" s="938"/>
      <c r="CH157" s="938"/>
      <c r="CI157" s="938"/>
      <c r="CJ157" s="938"/>
      <c r="CK157" s="938"/>
      <c r="CL157" s="938"/>
      <c r="CM157" s="938"/>
      <c r="CN157" s="938" t="str">
        <f t="shared" si="291"/>
        <v/>
      </c>
      <c r="CO157" s="938" t="str">
        <f t="shared" si="292"/>
        <v/>
      </c>
      <c r="CP157" s="938"/>
      <c r="CQ157" s="936"/>
      <c r="CS157" s="980"/>
      <c r="CT157" s="702"/>
      <c r="CU157" s="895"/>
      <c r="CV157" s="938"/>
      <c r="CW157" s="938"/>
      <c r="CX157" s="938"/>
      <c r="CY157" s="938"/>
      <c r="CZ157" s="938"/>
      <c r="DA157" s="938"/>
      <c r="DB157" s="938"/>
      <c r="DC157" s="938"/>
      <c r="DD157" s="938"/>
      <c r="DE157" s="938"/>
      <c r="DF157" s="938"/>
      <c r="DG157" s="938"/>
      <c r="DH157" s="938"/>
      <c r="DI157" s="938"/>
      <c r="DJ157" s="938"/>
      <c r="DK157" s="938"/>
      <c r="DL157" s="938"/>
      <c r="DM157" s="938"/>
      <c r="DN157" s="938"/>
      <c r="DO157" s="938"/>
      <c r="DP157" s="938"/>
      <c r="DQ157" s="938" t="str">
        <f t="shared" si="294"/>
        <v/>
      </c>
      <c r="DR157" s="938" t="str">
        <f t="shared" si="295"/>
        <v/>
      </c>
      <c r="DS157" s="938"/>
      <c r="DU157" s="937"/>
      <c r="DV157" s="937"/>
      <c r="DW157" s="937"/>
      <c r="DX157" s="937"/>
      <c r="DY157" s="937"/>
      <c r="DZ157" s="937"/>
      <c r="EA157" s="937"/>
      <c r="EB157" s="937"/>
      <c r="EC157" s="937"/>
      <c r="ED157" s="937"/>
      <c r="EE157" s="981"/>
      <c r="EF157" s="937"/>
    </row>
    <row r="158" spans="1:136" ht="16.5">
      <c r="A158" s="989"/>
      <c r="B158" s="989"/>
      <c r="C158" s="936"/>
      <c r="D158" s="990"/>
      <c r="E158" s="990"/>
      <c r="F158" s="853"/>
      <c r="G158" s="936"/>
      <c r="H158" s="991"/>
      <c r="I158" s="992"/>
      <c r="J158" s="993"/>
      <c r="K158" s="994"/>
      <c r="L158" s="936"/>
      <c r="M158" s="995"/>
      <c r="N158" s="994"/>
      <c r="O158" s="994"/>
      <c r="P158" s="936"/>
      <c r="Q158" s="936"/>
      <c r="R158" s="936"/>
      <c r="S158" s="994"/>
      <c r="T158" s="994"/>
      <c r="U158" s="994"/>
      <c r="V158" s="996"/>
      <c r="W158" s="994"/>
      <c r="X158" s="994"/>
      <c r="Y158" s="994"/>
      <c r="Z158" s="994"/>
      <c r="AA158" s="994"/>
      <c r="AB158" s="936"/>
      <c r="AC158" s="936"/>
      <c r="AD158" s="936"/>
      <c r="AE158" s="997"/>
      <c r="AF158" s="994"/>
      <c r="AG158" s="991"/>
      <c r="AH158" s="936"/>
      <c r="AI158" s="994"/>
      <c r="AJ158" s="994"/>
      <c r="AK158" s="998"/>
      <c r="AL158" s="998"/>
      <c r="AM158" s="999"/>
      <c r="AN158" s="999"/>
      <c r="AO158" s="1000"/>
      <c r="AP158" s="1000"/>
      <c r="AQ158" s="936"/>
      <c r="AR158" s="936"/>
      <c r="AS158" s="936"/>
      <c r="AT158" s="936"/>
      <c r="AU158" s="936"/>
      <c r="AV158" s="936"/>
      <c r="AW158" s="936"/>
      <c r="AX158" s="936"/>
      <c r="AY158" s="936"/>
      <c r="AZ158" s="936"/>
      <c r="BA158" s="997"/>
      <c r="BB158" s="997"/>
      <c r="BC158" s="997"/>
      <c r="BD158" s="997"/>
      <c r="BE158" s="997"/>
      <c r="BF158" s="997"/>
      <c r="BH158" s="937"/>
      <c r="BI158" s="894"/>
      <c r="BJ158" s="894"/>
      <c r="BK158" s="938"/>
      <c r="BL158" s="938"/>
      <c r="BM158" s="895"/>
      <c r="BN158" s="938"/>
      <c r="BO158" s="700"/>
      <c r="BP158" s="938"/>
      <c r="BQ158" s="938"/>
      <c r="BR158" s="938"/>
      <c r="BS158" s="938"/>
      <c r="BT158" s="938"/>
      <c r="BU158" s="938"/>
      <c r="BV158" s="938"/>
      <c r="BW158" s="938" t="str">
        <f t="shared" si="287"/>
        <v/>
      </c>
      <c r="BX158" s="938" t="str">
        <f t="shared" si="288"/>
        <v/>
      </c>
      <c r="BY158" s="938" t="str">
        <f t="shared" si="289"/>
        <v/>
      </c>
      <c r="BZ158" s="938" t="str">
        <f t="shared" si="290"/>
        <v/>
      </c>
      <c r="CA158" s="938"/>
      <c r="CB158" s="938"/>
      <c r="CC158" s="938"/>
      <c r="CD158" s="938"/>
      <c r="CE158" s="938"/>
      <c r="CF158" s="938"/>
      <c r="CG158" s="938"/>
      <c r="CH158" s="938"/>
      <c r="CI158" s="938"/>
      <c r="CJ158" s="938"/>
      <c r="CK158" s="938"/>
      <c r="CL158" s="938"/>
      <c r="CM158" s="938"/>
      <c r="CN158" s="938" t="str">
        <f t="shared" si="291"/>
        <v/>
      </c>
      <c r="CO158" s="938" t="str">
        <f t="shared" si="292"/>
        <v/>
      </c>
      <c r="CP158" s="938"/>
      <c r="CQ158" s="936"/>
      <c r="CS158" s="980"/>
      <c r="CT158" s="702"/>
      <c r="CU158" s="895"/>
      <c r="CV158" s="938"/>
      <c r="CW158" s="938"/>
      <c r="CX158" s="938"/>
      <c r="CY158" s="938"/>
      <c r="CZ158" s="938"/>
      <c r="DA158" s="938"/>
      <c r="DB158" s="938"/>
      <c r="DC158" s="938"/>
      <c r="DD158" s="938"/>
      <c r="DE158" s="938"/>
      <c r="DF158" s="938"/>
      <c r="DG158" s="938"/>
      <c r="DH158" s="938"/>
      <c r="DI158" s="938"/>
      <c r="DJ158" s="938"/>
      <c r="DK158" s="938"/>
      <c r="DL158" s="938"/>
      <c r="DM158" s="938"/>
      <c r="DN158" s="938"/>
      <c r="DO158" s="938"/>
      <c r="DP158" s="938"/>
      <c r="DQ158" s="938" t="str">
        <f t="shared" si="294"/>
        <v/>
      </c>
      <c r="DR158" s="938" t="str">
        <f t="shared" si="295"/>
        <v/>
      </c>
      <c r="DS158" s="938"/>
      <c r="DU158" s="937"/>
      <c r="DV158" s="937"/>
      <c r="DW158" s="937"/>
      <c r="DX158" s="937"/>
      <c r="DY158" s="937"/>
      <c r="DZ158" s="937"/>
      <c r="EA158" s="937"/>
      <c r="EB158" s="937"/>
      <c r="EC158" s="937"/>
      <c r="ED158" s="937"/>
      <c r="EE158" s="981"/>
      <c r="EF158" s="937"/>
    </row>
    <row r="159" spans="1:136" ht="16.5">
      <c r="A159" s="989"/>
      <c r="B159" s="989"/>
      <c r="C159" s="936"/>
      <c r="D159" s="990"/>
      <c r="E159" s="990"/>
      <c r="F159" s="853"/>
      <c r="G159" s="936"/>
      <c r="H159" s="991"/>
      <c r="I159" s="992"/>
      <c r="J159" s="993"/>
      <c r="K159" s="994"/>
      <c r="L159" s="936"/>
      <c r="M159" s="995"/>
      <c r="N159" s="994"/>
      <c r="O159" s="994"/>
      <c r="P159" s="936"/>
      <c r="Q159" s="936"/>
      <c r="R159" s="936"/>
      <c r="S159" s="994"/>
      <c r="T159" s="994"/>
      <c r="U159" s="994"/>
      <c r="V159" s="996"/>
      <c r="W159" s="994"/>
      <c r="X159" s="994"/>
      <c r="Y159" s="994"/>
      <c r="Z159" s="994"/>
      <c r="AA159" s="994"/>
      <c r="AB159" s="936"/>
      <c r="AC159" s="936"/>
      <c r="AD159" s="936"/>
      <c r="AE159" s="997"/>
      <c r="AF159" s="994"/>
      <c r="AG159" s="991"/>
      <c r="AH159" s="936"/>
      <c r="AI159" s="994"/>
      <c r="AJ159" s="994"/>
      <c r="AK159" s="998"/>
      <c r="AL159" s="998"/>
      <c r="AM159" s="999"/>
      <c r="AN159" s="999"/>
      <c r="AO159" s="1000"/>
      <c r="AP159" s="1000"/>
      <c r="AQ159" s="936"/>
      <c r="AR159" s="936"/>
      <c r="AS159" s="936"/>
      <c r="AT159" s="936"/>
      <c r="AU159" s="936"/>
      <c r="AV159" s="936"/>
      <c r="AW159" s="936"/>
      <c r="AX159" s="936"/>
      <c r="AY159" s="936"/>
      <c r="AZ159" s="936"/>
      <c r="BA159" s="997"/>
      <c r="BB159" s="997"/>
      <c r="BC159" s="997"/>
      <c r="BD159" s="997"/>
      <c r="BE159" s="997"/>
      <c r="BF159" s="997"/>
      <c r="BH159" s="937"/>
      <c r="BI159" s="894"/>
      <c r="BJ159" s="894"/>
      <c r="BK159" s="938"/>
      <c r="BL159" s="938"/>
      <c r="BM159" s="895"/>
      <c r="BN159" s="938"/>
      <c r="BO159" s="700"/>
      <c r="BP159" s="938"/>
      <c r="BQ159" s="938"/>
      <c r="BR159" s="938"/>
      <c r="BS159" s="938"/>
      <c r="BT159" s="938"/>
      <c r="BU159" s="938"/>
      <c r="BV159" s="938"/>
      <c r="BW159" s="938" t="str">
        <f t="shared" si="287"/>
        <v/>
      </c>
      <c r="BX159" s="938" t="str">
        <f t="shared" si="288"/>
        <v/>
      </c>
      <c r="BY159" s="938" t="str">
        <f t="shared" si="289"/>
        <v/>
      </c>
      <c r="BZ159" s="938" t="str">
        <f t="shared" si="290"/>
        <v/>
      </c>
      <c r="CA159" s="938"/>
      <c r="CB159" s="938"/>
      <c r="CC159" s="938"/>
      <c r="CD159" s="938"/>
      <c r="CE159" s="938"/>
      <c r="CF159" s="938"/>
      <c r="CG159" s="938"/>
      <c r="CH159" s="938"/>
      <c r="CI159" s="938"/>
      <c r="CJ159" s="938"/>
      <c r="CK159" s="938"/>
      <c r="CL159" s="938"/>
      <c r="CM159" s="938"/>
      <c r="CN159" s="938" t="str">
        <f t="shared" si="291"/>
        <v/>
      </c>
      <c r="CO159" s="938" t="str">
        <f t="shared" si="292"/>
        <v/>
      </c>
      <c r="CP159" s="938"/>
      <c r="CQ159" s="936"/>
      <c r="CS159" s="980"/>
      <c r="CT159" s="702"/>
      <c r="CU159" s="895"/>
      <c r="CV159" s="938"/>
      <c r="CW159" s="938"/>
      <c r="CX159" s="938"/>
      <c r="CY159" s="938"/>
      <c r="CZ159" s="938"/>
      <c r="DA159" s="938"/>
      <c r="DB159" s="938"/>
      <c r="DC159" s="938"/>
      <c r="DD159" s="938"/>
      <c r="DE159" s="938"/>
      <c r="DF159" s="938"/>
      <c r="DG159" s="938"/>
      <c r="DH159" s="938"/>
      <c r="DI159" s="938"/>
      <c r="DJ159" s="938"/>
      <c r="DK159" s="938"/>
      <c r="DL159" s="938"/>
      <c r="DM159" s="938"/>
      <c r="DN159" s="938"/>
      <c r="DO159" s="938"/>
      <c r="DP159" s="938"/>
      <c r="DQ159" s="938" t="str">
        <f t="shared" si="294"/>
        <v/>
      </c>
      <c r="DR159" s="938" t="str">
        <f t="shared" si="295"/>
        <v/>
      </c>
      <c r="DS159" s="938"/>
      <c r="DU159" s="937"/>
      <c r="DV159" s="937"/>
      <c r="DW159" s="937"/>
      <c r="DX159" s="937"/>
      <c r="DY159" s="937"/>
      <c r="DZ159" s="937"/>
      <c r="EA159" s="937"/>
      <c r="EB159" s="937"/>
      <c r="EC159" s="937"/>
      <c r="ED159" s="937"/>
      <c r="EE159" s="981"/>
      <c r="EF159" s="937"/>
    </row>
    <row r="160" spans="1:136" s="1001" customFormat="1" ht="15">
      <c r="J160" s="1002"/>
      <c r="AA160" s="850"/>
      <c r="AE160" s="1003"/>
      <c r="AO160" s="1004"/>
      <c r="AP160" s="1004"/>
      <c r="BH160" s="1005" t="s">
        <v>2251</v>
      </c>
      <c r="BI160" s="1006"/>
      <c r="BJ160" s="1006"/>
      <c r="BK160" s="1007">
        <f>ROUND(SUM(BK12:BK156),2)</f>
        <v>4483.93</v>
      </c>
      <c r="BL160" s="1007">
        <f t="shared" ref="BL160:BN160" si="296">ROUND(SUM(BL12:BL156),2)</f>
        <v>4349.53</v>
      </c>
      <c r="BM160" s="1007"/>
      <c r="BN160" s="1007">
        <f t="shared" si="296"/>
        <v>4383.13</v>
      </c>
      <c r="BO160" s="1005"/>
      <c r="BP160" s="1005"/>
      <c r="BQ160" s="1005"/>
      <c r="BR160" s="1005"/>
      <c r="BS160" s="1007">
        <f t="shared" ref="BS160:CO160" si="297">ROUND(SUM(BS12:BS156),2)</f>
        <v>4583.03</v>
      </c>
      <c r="BT160" s="1007">
        <f t="shared" si="297"/>
        <v>5166.08</v>
      </c>
      <c r="BU160" s="1007">
        <f>ROUND(SUM(BU12:BU156),2)</f>
        <v>1503.97</v>
      </c>
      <c r="BV160" s="1007">
        <f t="shared" si="297"/>
        <v>0</v>
      </c>
      <c r="BW160" s="1007">
        <f t="shared" si="297"/>
        <v>0</v>
      </c>
      <c r="BX160" s="1007">
        <f t="shared" si="297"/>
        <v>3666.45</v>
      </c>
      <c r="BY160" s="1007">
        <f t="shared" si="297"/>
        <v>779.12</v>
      </c>
      <c r="BZ160" s="1007">
        <f t="shared" si="297"/>
        <v>137.49</v>
      </c>
      <c r="CA160" s="1007">
        <f t="shared" si="297"/>
        <v>183.23</v>
      </c>
      <c r="CB160" s="1007">
        <f t="shared" si="297"/>
        <v>2699.89</v>
      </c>
      <c r="CC160" s="1007"/>
      <c r="CD160" s="1007">
        <f t="shared" si="297"/>
        <v>0</v>
      </c>
      <c r="CE160" s="1007">
        <f t="shared" si="297"/>
        <v>0</v>
      </c>
      <c r="CF160" s="1007">
        <f t="shared" si="297"/>
        <v>0</v>
      </c>
      <c r="CG160" s="1007">
        <f t="shared" si="297"/>
        <v>0</v>
      </c>
      <c r="CH160" s="1007"/>
      <c r="CI160" s="1007">
        <f t="shared" si="297"/>
        <v>0</v>
      </c>
      <c r="CJ160" s="1007">
        <f t="shared" si="297"/>
        <v>0</v>
      </c>
      <c r="CK160" s="1007">
        <f t="shared" si="297"/>
        <v>4129.7700000000004</v>
      </c>
      <c r="CL160" s="1007">
        <f t="shared" si="297"/>
        <v>8.3000000000000007</v>
      </c>
      <c r="CM160" s="1007">
        <f t="shared" si="297"/>
        <v>270.02999999999997</v>
      </c>
      <c r="CN160" s="1007">
        <f t="shared" si="297"/>
        <v>1199.71</v>
      </c>
      <c r="CO160" s="1007">
        <f t="shared" si="297"/>
        <v>2930.07</v>
      </c>
      <c r="CP160" s="1007">
        <f>ROUND(SUM(CP12:CP156),2)</f>
        <v>1652.96</v>
      </c>
      <c r="CS160" s="1008" t="s">
        <v>2251</v>
      </c>
      <c r="CT160" s="1009"/>
      <c r="CU160" s="1007">
        <f>ROUND(SUM(CU12:CU156),2)</f>
        <v>161</v>
      </c>
      <c r="CV160" s="1007">
        <f>ROUND(SUM(CV12:CV156),2)</f>
        <v>1455.1</v>
      </c>
      <c r="CW160" s="1007">
        <f>ROUND(SUM(CW12:CW156),2)</f>
        <v>3656.65</v>
      </c>
      <c r="CX160" s="1005"/>
      <c r="CY160" s="1005"/>
      <c r="CZ160" s="1007">
        <f>ROUND(SUM(CZ12:CZ156),2)</f>
        <v>3134.9</v>
      </c>
      <c r="DA160" s="1007">
        <f t="shared" ref="DA160:DS160" si="298">ROUND(SUM(DA12:DA156),2)</f>
        <v>1283.3900000000001</v>
      </c>
      <c r="DB160" s="1007">
        <f t="shared" si="298"/>
        <v>283.29000000000002</v>
      </c>
      <c r="DC160" s="1007">
        <f t="shared" si="298"/>
        <v>0</v>
      </c>
      <c r="DD160" s="1007">
        <f t="shared" si="298"/>
        <v>66.69</v>
      </c>
      <c r="DE160" s="1007">
        <f t="shared" si="298"/>
        <v>2220.59</v>
      </c>
      <c r="DF160" s="1005"/>
      <c r="DG160" s="1007">
        <f t="shared" si="298"/>
        <v>0</v>
      </c>
      <c r="DH160" s="1007">
        <f t="shared" si="298"/>
        <v>0</v>
      </c>
      <c r="DI160" s="1005"/>
      <c r="DJ160" s="1007">
        <f t="shared" si="298"/>
        <v>0</v>
      </c>
      <c r="DK160" s="1005"/>
      <c r="DL160" s="1007">
        <f t="shared" si="298"/>
        <v>0</v>
      </c>
      <c r="DM160" s="1007">
        <f t="shared" si="298"/>
        <v>0</v>
      </c>
      <c r="DN160" s="1007">
        <f t="shared" si="298"/>
        <v>2846.19</v>
      </c>
      <c r="DO160" s="1007">
        <f t="shared" si="298"/>
        <v>8.4</v>
      </c>
      <c r="DP160" s="1007">
        <f t="shared" si="298"/>
        <v>222.06</v>
      </c>
      <c r="DQ160" s="1007">
        <f t="shared" si="298"/>
        <v>569.19000000000005</v>
      </c>
      <c r="DR160" s="1007">
        <f t="shared" si="298"/>
        <v>2277</v>
      </c>
      <c r="DS160" s="1007">
        <f t="shared" si="298"/>
        <v>791.21</v>
      </c>
      <c r="DU160" s="1007">
        <f>+COUNTA(DU12:DU159)</f>
        <v>84</v>
      </c>
      <c r="DV160" s="1005"/>
      <c r="DW160" s="1005"/>
      <c r="DX160" s="1005"/>
      <c r="DY160" s="1005"/>
      <c r="DZ160" s="1005"/>
      <c r="EA160" s="1005"/>
      <c r="EB160" s="1010">
        <f>ROUND(SUM(EB12:EB156),2)</f>
        <v>394.7</v>
      </c>
      <c r="EC160" s="1010">
        <f t="shared" ref="EC160:EF160" si="299">ROUND(SUM(EC12:EC156),2)</f>
        <v>84.7</v>
      </c>
      <c r="ED160" s="1010">
        <f t="shared" si="299"/>
        <v>46.59</v>
      </c>
      <c r="EE160" s="1010">
        <f t="shared" si="299"/>
        <v>38.119999999999997</v>
      </c>
      <c r="EF160" s="1010">
        <f t="shared" si="299"/>
        <v>46.59</v>
      </c>
    </row>
    <row r="162" spans="1:120" ht="15">
      <c r="A162" s="1011" t="s">
        <v>2252</v>
      </c>
      <c r="B162" s="1012"/>
      <c r="C162" s="1012"/>
      <c r="D162" s="1013"/>
      <c r="E162" s="1014">
        <v>0.85</v>
      </c>
      <c r="BI162" s="1016" t="s">
        <v>2253</v>
      </c>
      <c r="BJ162" s="1017"/>
      <c r="BK162" s="1012"/>
      <c r="BL162" s="1013"/>
      <c r="BN162" s="1029" t="s">
        <v>2383</v>
      </c>
      <c r="CP162" s="850">
        <v>5169</v>
      </c>
    </row>
    <row r="163" spans="1:120">
      <c r="A163" s="1011"/>
      <c r="B163" s="1012"/>
      <c r="C163" s="1012"/>
      <c r="D163" s="1013"/>
      <c r="E163" s="1014"/>
      <c r="BI163" s="1011" t="s">
        <v>2378</v>
      </c>
      <c r="BJ163" s="1013"/>
      <c r="BK163" s="981">
        <f>SUMIF($BM$11:$BM$156,6,$BN$11:$BN$156)</f>
        <v>0</v>
      </c>
      <c r="BL163" s="1018" t="s">
        <v>1654</v>
      </c>
      <c r="BN163" s="1024" t="s">
        <v>2384</v>
      </c>
      <c r="BO163" s="1012"/>
      <c r="BP163" s="1013"/>
      <c r="BQ163" s="1025">
        <f>+BW160</f>
        <v>0</v>
      </c>
      <c r="BR163" s="1013" t="s">
        <v>352</v>
      </c>
      <c r="CP163" s="850">
        <f>+CP162</f>
        <v>5169</v>
      </c>
    </row>
    <row r="164" spans="1:120">
      <c r="A164" s="1011" t="s">
        <v>2254</v>
      </c>
      <c r="B164" s="1012"/>
      <c r="C164" s="1012"/>
      <c r="D164" s="1013"/>
      <c r="E164" s="981">
        <v>0.45</v>
      </c>
      <c r="BI164" s="1011" t="s">
        <v>2255</v>
      </c>
      <c r="BJ164" s="1013"/>
      <c r="BK164" s="981">
        <f>SUMIF($BM$11:$BM$156,8,$BN$11:$BN$156)</f>
        <v>3281.7499999999995</v>
      </c>
      <c r="BL164" s="1018" t="s">
        <v>1654</v>
      </c>
      <c r="BN164" s="1024" t="s">
        <v>2385</v>
      </c>
      <c r="BO164" s="1012"/>
      <c r="BP164" s="1013"/>
      <c r="BQ164" s="1025">
        <f>+CZ160</f>
        <v>3134.9</v>
      </c>
      <c r="BR164" s="1013" t="s">
        <v>352</v>
      </c>
      <c r="DP164" s="858"/>
    </row>
    <row r="165" spans="1:120" ht="15">
      <c r="A165" s="1011" t="s">
        <v>2256</v>
      </c>
      <c r="B165" s="1012"/>
      <c r="C165" s="1012"/>
      <c r="D165" s="1013"/>
      <c r="E165" s="981">
        <v>3</v>
      </c>
      <c r="BI165" s="937" t="s">
        <v>2257</v>
      </c>
      <c r="BJ165" s="1013"/>
      <c r="BK165" s="981">
        <f>SUMIF($BM$11:$BM$156,10,$BN$11:$BN$156)</f>
        <v>259.95</v>
      </c>
      <c r="BL165" s="1018" t="s">
        <v>1654</v>
      </c>
      <c r="BN165" s="1024" t="s">
        <v>2386</v>
      </c>
      <c r="BO165" s="1012"/>
      <c r="BP165" s="1013"/>
      <c r="BQ165" s="1025">
        <f>+EC160</f>
        <v>84.7</v>
      </c>
      <c r="BR165" s="1013" t="s">
        <v>352</v>
      </c>
      <c r="DC165" s="1019"/>
      <c r="DP165" s="858"/>
    </row>
    <row r="166" spans="1:120" ht="15">
      <c r="A166" s="1011" t="s">
        <v>2258</v>
      </c>
      <c r="B166" s="1012"/>
      <c r="C166" s="1012"/>
      <c r="D166" s="1013"/>
      <c r="E166" s="981">
        <v>1</v>
      </c>
      <c r="BI166" s="937" t="s">
        <v>2259</v>
      </c>
      <c r="BJ166" s="1013"/>
      <c r="BK166" s="981">
        <f>SUMIF($BM$11:$BM$156,12,$BN$11:$BN$156)</f>
        <v>639.9</v>
      </c>
      <c r="BL166" s="1018" t="s">
        <v>1654</v>
      </c>
      <c r="BP166" s="1026" t="s">
        <v>2263</v>
      </c>
      <c r="BQ166" s="1027">
        <f>SUM(BQ163:BQ165)</f>
        <v>3219.6</v>
      </c>
      <c r="BR166" s="1028" t="s">
        <v>352</v>
      </c>
      <c r="DP166" s="858"/>
    </row>
    <row r="167" spans="1:120">
      <c r="A167" s="1011" t="s">
        <v>2260</v>
      </c>
      <c r="B167" s="1012"/>
      <c r="C167" s="1012"/>
      <c r="D167" s="1013"/>
      <c r="E167" s="981">
        <v>5</v>
      </c>
      <c r="BI167" s="937" t="s">
        <v>2261</v>
      </c>
      <c r="BJ167" s="1013"/>
      <c r="BK167" s="981">
        <f>SUMIF($BM$11:$BM$156,14,$BN$11:$BN$156)</f>
        <v>201.53</v>
      </c>
      <c r="BL167" s="1018" t="s">
        <v>1654</v>
      </c>
    </row>
    <row r="168" spans="1:120" ht="15">
      <c r="A168" s="1011" t="s">
        <v>2262</v>
      </c>
      <c r="B168" s="1012"/>
      <c r="C168" s="1012"/>
      <c r="D168" s="1013"/>
      <c r="E168" s="981">
        <v>5</v>
      </c>
      <c r="BI168" s="937" t="s">
        <v>2263</v>
      </c>
      <c r="BJ168" s="1013"/>
      <c r="BK168" s="1020">
        <f>SUM(BK163:BK167)</f>
        <v>4383.1299999999992</v>
      </c>
      <c r="BL168" s="1018" t="s">
        <v>1654</v>
      </c>
      <c r="BN168" s="1029" t="s">
        <v>2387</v>
      </c>
    </row>
    <row r="169" spans="1:120">
      <c r="E169" s="858"/>
      <c r="BI169" s="850"/>
      <c r="BJ169" s="850"/>
      <c r="BK169" s="1021"/>
      <c r="BL169" s="854"/>
      <c r="BN169" s="1024" t="s">
        <v>2388</v>
      </c>
      <c r="BO169" s="1012"/>
      <c r="BP169" s="1013"/>
      <c r="BQ169" s="1025">
        <f>+BX160</f>
        <v>3666.45</v>
      </c>
      <c r="BR169" s="1013" t="s">
        <v>352</v>
      </c>
    </row>
    <row r="170" spans="1:120" ht="15">
      <c r="E170" s="858"/>
      <c r="BI170" s="1001" t="s">
        <v>2382</v>
      </c>
      <c r="BJ170" s="850"/>
      <c r="BK170" s="1021"/>
      <c r="BL170" s="854"/>
      <c r="BN170" s="1024" t="s">
        <v>2389</v>
      </c>
      <c r="BO170" s="1012"/>
      <c r="BP170" s="1013"/>
      <c r="BQ170" s="1025">
        <v>0</v>
      </c>
      <c r="BR170" s="1013" t="s">
        <v>352</v>
      </c>
    </row>
    <row r="171" spans="1:120">
      <c r="E171" s="858"/>
      <c r="BI171" s="1011" t="s">
        <v>2379</v>
      </c>
      <c r="BJ171" s="1013"/>
      <c r="BK171" s="1020">
        <f>+CW160</f>
        <v>3656.65</v>
      </c>
      <c r="BL171" s="1018" t="s">
        <v>1654</v>
      </c>
      <c r="BN171" s="1024" t="s">
        <v>2390</v>
      </c>
      <c r="BO171" s="1012"/>
      <c r="BP171" s="1013"/>
      <c r="BQ171" s="1025">
        <v>0</v>
      </c>
      <c r="BR171" s="1013" t="s">
        <v>352</v>
      </c>
    </row>
    <row r="172" spans="1:120" ht="15">
      <c r="E172" s="858"/>
      <c r="BI172" s="850"/>
      <c r="BJ172" s="850"/>
      <c r="BK172" s="1021"/>
      <c r="BL172" s="854"/>
      <c r="BP172" s="1026" t="s">
        <v>2263</v>
      </c>
      <c r="BQ172" s="1027">
        <f>SUM(BQ169:BQ171)</f>
        <v>3666.45</v>
      </c>
      <c r="BR172" s="1028" t="s">
        <v>352</v>
      </c>
    </row>
    <row r="173" spans="1:120" ht="15">
      <c r="E173" s="858"/>
      <c r="BI173" s="1001" t="s">
        <v>2381</v>
      </c>
      <c r="BJ173" s="850"/>
      <c r="BK173" s="1021"/>
      <c r="BL173" s="854"/>
    </row>
    <row r="174" spans="1:120" ht="15">
      <c r="BI174" s="1011" t="s">
        <v>2264</v>
      </c>
      <c r="BJ174" s="1013"/>
      <c r="BK174" s="937">
        <f>ROUNDDOWN(CU160*0.7,0)</f>
        <v>112</v>
      </c>
      <c r="BL174" s="1018" t="s">
        <v>622</v>
      </c>
      <c r="BN174" s="1029" t="s">
        <v>2391</v>
      </c>
    </row>
    <row r="175" spans="1:120">
      <c r="BI175" s="1011" t="s">
        <v>2265</v>
      </c>
      <c r="BJ175" s="1013"/>
      <c r="BK175" s="937">
        <f>ROUND(CU160*0.3,0)</f>
        <v>48</v>
      </c>
      <c r="BL175" s="1018" t="s">
        <v>622</v>
      </c>
      <c r="BN175" s="1024" t="s">
        <v>2392</v>
      </c>
      <c r="BO175" s="1012"/>
      <c r="BP175" s="1013"/>
      <c r="BQ175" s="1025">
        <f>+BY160</f>
        <v>779.12</v>
      </c>
      <c r="BR175" s="1013" t="s">
        <v>352</v>
      </c>
    </row>
    <row r="176" spans="1:120">
      <c r="BI176" s="850"/>
      <c r="BJ176" s="937" t="s">
        <v>2263</v>
      </c>
      <c r="BK176" s="937">
        <f>SUM(BK174:BK175)</f>
        <v>160</v>
      </c>
      <c r="BL176" s="1018" t="s">
        <v>622</v>
      </c>
      <c r="BN176" s="1024" t="s">
        <v>2393</v>
      </c>
      <c r="BO176" s="1012"/>
      <c r="BP176" s="1013"/>
      <c r="BQ176" s="1025">
        <v>0</v>
      </c>
      <c r="BR176" s="1013" t="s">
        <v>352</v>
      </c>
    </row>
    <row r="177" spans="61:70">
      <c r="BI177" s="850"/>
      <c r="BJ177" s="850"/>
      <c r="BL177" s="854"/>
      <c r="BN177" s="1024" t="s">
        <v>2394</v>
      </c>
      <c r="BO177" s="1012"/>
      <c r="BP177" s="1013"/>
      <c r="BQ177" s="1025">
        <v>0</v>
      </c>
      <c r="BR177" s="1013" t="s">
        <v>352</v>
      </c>
    </row>
    <row r="178" spans="61:70" ht="15">
      <c r="BI178" s="1001" t="s">
        <v>2380</v>
      </c>
      <c r="BJ178" s="850"/>
      <c r="BM178" s="1021"/>
      <c r="BP178" s="1026" t="s">
        <v>2263</v>
      </c>
      <c r="BQ178" s="1027">
        <f>SUM(BQ175:BQ177)</f>
        <v>779.12</v>
      </c>
      <c r="BR178" s="1028" t="s">
        <v>352</v>
      </c>
    </row>
    <row r="179" spans="61:70">
      <c r="BI179" s="1011" t="s">
        <v>2358</v>
      </c>
      <c r="BJ179" s="1012"/>
      <c r="BK179" s="1013"/>
      <c r="BL179" s="937">
        <f>SUMIF($CS$11:$CS$156,6,$CU$11:$CU$156)</f>
        <v>0</v>
      </c>
      <c r="BM179" s="1021"/>
      <c r="BQ179" s="1022"/>
    </row>
    <row r="180" spans="61:70" ht="15">
      <c r="BI180" s="1011" t="s">
        <v>2266</v>
      </c>
      <c r="BJ180" s="1012"/>
      <c r="BK180" s="1013"/>
      <c r="BL180" s="937">
        <f>SUMIF($CS$11:$CS$156,8,$CU$11:$CU$156)</f>
        <v>136</v>
      </c>
      <c r="BM180" s="1021"/>
      <c r="BN180" s="1029" t="s">
        <v>2395</v>
      </c>
      <c r="BQ180" s="1022"/>
    </row>
    <row r="181" spans="61:70">
      <c r="BI181" s="1011" t="s">
        <v>2267</v>
      </c>
      <c r="BJ181" s="1012"/>
      <c r="BK181" s="1013"/>
      <c r="BL181" s="937">
        <f>SUMIF($CS$11:$CS$156,10,$CU$11:$CU$156)</f>
        <v>8</v>
      </c>
      <c r="BN181" s="1024" t="s">
        <v>2396</v>
      </c>
      <c r="BO181" s="1012"/>
      <c r="BP181" s="1013"/>
      <c r="BQ181" s="1025">
        <f>+CO160</f>
        <v>2930.07</v>
      </c>
      <c r="BR181" s="1013" t="s">
        <v>352</v>
      </c>
    </row>
    <row r="182" spans="61:70">
      <c r="BI182" s="1011" t="s">
        <v>2268</v>
      </c>
      <c r="BJ182" s="1012"/>
      <c r="BK182" s="1013"/>
      <c r="BL182" s="937">
        <f>SUMIF($CS$11:$CS$156,12,$CU$11:$CU$156)</f>
        <v>17</v>
      </c>
      <c r="BN182" s="1024" t="s">
        <v>2397</v>
      </c>
      <c r="BO182" s="1012"/>
      <c r="BP182" s="1013"/>
      <c r="BQ182" s="1025">
        <f>+DR160</f>
        <v>2277</v>
      </c>
      <c r="BR182" s="1013" t="s">
        <v>352</v>
      </c>
    </row>
    <row r="183" spans="61:70">
      <c r="BI183" s="1011" t="s">
        <v>2269</v>
      </c>
      <c r="BJ183" s="1012"/>
      <c r="BK183" s="1013"/>
      <c r="BL183" s="937">
        <f>SUMIF($CS$11:$CS$156,14,$CU$11:$CU$156)</f>
        <v>0</v>
      </c>
      <c r="BN183" s="1024" t="s">
        <v>2398</v>
      </c>
      <c r="BO183" s="1012"/>
      <c r="BP183" s="1013"/>
      <c r="BQ183" s="1025">
        <f>+EE160</f>
        <v>38.119999999999997</v>
      </c>
      <c r="BR183" s="1013" t="s">
        <v>352</v>
      </c>
    </row>
    <row r="184" spans="61:70" ht="15">
      <c r="BI184" s="850"/>
      <c r="BJ184" s="850"/>
      <c r="BK184" s="937" t="s">
        <v>2263</v>
      </c>
      <c r="BL184" s="937">
        <f>SUM(BL179:BL183)</f>
        <v>161</v>
      </c>
      <c r="BP184" s="1026" t="s">
        <v>2263</v>
      </c>
      <c r="BQ184" s="1027">
        <f>SUM(BQ181:BQ183)</f>
        <v>5245.19</v>
      </c>
      <c r="BR184" s="1028" t="s">
        <v>352</v>
      </c>
    </row>
    <row r="185" spans="61:70">
      <c r="BI185" s="850"/>
      <c r="BJ185" s="850"/>
    </row>
    <row r="186" spans="61:70" ht="15">
      <c r="BI186" s="1001" t="s">
        <v>2318</v>
      </c>
      <c r="BJ186" s="850"/>
      <c r="BN186" s="1029" t="s">
        <v>2399</v>
      </c>
      <c r="BQ186" s="1022"/>
    </row>
    <row r="187" spans="61:70">
      <c r="BI187" s="1011" t="s">
        <v>2319</v>
      </c>
      <c r="BJ187" s="1012"/>
      <c r="BK187" s="1013"/>
      <c r="BL187" s="981">
        <f>SUMIF($CF$11:$CF$42,0.15,$CB$11:$CB$42)</f>
        <v>0</v>
      </c>
      <c r="BN187" s="1024" t="s">
        <v>2396</v>
      </c>
      <c r="BO187" s="1012"/>
      <c r="BP187" s="1013"/>
      <c r="BQ187" s="1025">
        <f>+CN160</f>
        <v>1199.71</v>
      </c>
      <c r="BR187" s="1013" t="s">
        <v>352</v>
      </c>
    </row>
    <row r="188" spans="61:70">
      <c r="BI188" s="1011" t="s">
        <v>2320</v>
      </c>
      <c r="BJ188" s="1012"/>
      <c r="BK188" s="1013"/>
      <c r="BL188" s="981">
        <f>SUMIF($CF$11:$CF$42,0.2,$CB$11:$CB$42)</f>
        <v>0</v>
      </c>
      <c r="BN188" s="1024" t="s">
        <v>2397</v>
      </c>
      <c r="BO188" s="1012"/>
      <c r="BP188" s="1013"/>
      <c r="BQ188" s="1025">
        <f>+DQ160</f>
        <v>569.19000000000005</v>
      </c>
      <c r="BR188" s="1013" t="s">
        <v>352</v>
      </c>
    </row>
    <row r="189" spans="61:70">
      <c r="BI189" s="850"/>
      <c r="BJ189" s="850"/>
      <c r="BN189" s="1024" t="s">
        <v>2398</v>
      </c>
      <c r="BO189" s="1012"/>
      <c r="BP189" s="1013"/>
      <c r="BQ189" s="1025">
        <f>+ED160</f>
        <v>46.59</v>
      </c>
      <c r="BR189" s="1013" t="s">
        <v>352</v>
      </c>
    </row>
    <row r="190" spans="61:70" ht="15">
      <c r="BI190" s="1001" t="s">
        <v>2321</v>
      </c>
      <c r="BJ190" s="850"/>
      <c r="BP190" s="1026" t="s">
        <v>2263</v>
      </c>
      <c r="BQ190" s="1027">
        <f>SUM(BQ187:BQ189)</f>
        <v>1815.49</v>
      </c>
      <c r="BR190" s="1028" t="s">
        <v>352</v>
      </c>
    </row>
    <row r="191" spans="61:70">
      <c r="BI191" s="1011" t="s">
        <v>2319</v>
      </c>
      <c r="BJ191" s="1012"/>
      <c r="BK191" s="1013"/>
      <c r="BL191" s="981">
        <f>SUMIF($DI$11:$DI$42,0.15,$DH$11:$DH$42)</f>
        <v>0</v>
      </c>
    </row>
    <row r="192" spans="61:70" ht="15">
      <c r="BI192" s="1011" t="s">
        <v>2320</v>
      </c>
      <c r="BJ192" s="1012"/>
      <c r="BK192" s="1013"/>
      <c r="BL192" s="981">
        <f>SUMIF($DI$11:$DI$42,0.2,$DH$11:$DH$42)</f>
        <v>0</v>
      </c>
      <c r="BN192" s="1029" t="s">
        <v>2400</v>
      </c>
      <c r="BQ192" s="1022"/>
    </row>
    <row r="193" spans="61:70">
      <c r="BI193" s="850"/>
      <c r="BJ193" s="850"/>
      <c r="BK193" s="854"/>
      <c r="BL193" s="854"/>
      <c r="BN193" s="1024" t="s">
        <v>2396</v>
      </c>
      <c r="BO193" s="1012"/>
      <c r="BP193" s="1013"/>
      <c r="BQ193" s="1025">
        <f>+CM160</f>
        <v>270.02999999999997</v>
      </c>
      <c r="BR193" s="1013" t="s">
        <v>352</v>
      </c>
    </row>
    <row r="194" spans="61:70" ht="15">
      <c r="BI194" s="1003" t="s">
        <v>2359</v>
      </c>
      <c r="BN194" s="1024" t="s">
        <v>2397</v>
      </c>
      <c r="BO194" s="1012"/>
      <c r="BP194" s="1013"/>
      <c r="BQ194" s="1025">
        <f>+DP160</f>
        <v>222.06</v>
      </c>
      <c r="BR194" s="1013" t="s">
        <v>352</v>
      </c>
    </row>
    <row r="195" spans="61:70">
      <c r="BI195" s="1011" t="s">
        <v>2360</v>
      </c>
      <c r="BJ195" s="1012"/>
      <c r="BK195" s="1013"/>
      <c r="BL195" s="981">
        <v>0</v>
      </c>
      <c r="BN195" s="1024" t="s">
        <v>2398</v>
      </c>
      <c r="BO195" s="1012"/>
      <c r="BP195" s="1013"/>
      <c r="BQ195" s="1025">
        <v>0</v>
      </c>
      <c r="BR195" s="1013" t="s">
        <v>352</v>
      </c>
    </row>
    <row r="196" spans="61:70" ht="15">
      <c r="BI196" s="1011" t="s">
        <v>2361</v>
      </c>
      <c r="BJ196" s="1012"/>
      <c r="BK196" s="1013"/>
      <c r="BL196" s="981">
        <f>35+20+55+30</f>
        <v>140</v>
      </c>
      <c r="BP196" s="1026" t="s">
        <v>2263</v>
      </c>
      <c r="BQ196" s="1027">
        <f>SUM(BQ193:BQ195)</f>
        <v>492.09</v>
      </c>
      <c r="BR196" s="1028" t="s">
        <v>352</v>
      </c>
    </row>
    <row r="197" spans="61:70">
      <c r="BI197" s="1011" t="s">
        <v>2362</v>
      </c>
      <c r="BJ197" s="1012"/>
      <c r="BK197" s="1013"/>
      <c r="BL197" s="981">
        <v>0</v>
      </c>
    </row>
    <row r="198" spans="61:70" ht="15">
      <c r="BI198" s="1011" t="s">
        <v>2363</v>
      </c>
      <c r="BJ198" s="1012"/>
      <c r="BK198" s="1013"/>
      <c r="BL198" s="981">
        <f>5+5</f>
        <v>10</v>
      </c>
      <c r="BN198" s="1029" t="s">
        <v>2272</v>
      </c>
      <c r="BQ198" s="1022"/>
    </row>
    <row r="199" spans="61:70">
      <c r="BI199" s="1011" t="s">
        <v>2364</v>
      </c>
      <c r="BJ199" s="1012"/>
      <c r="BK199" s="1013"/>
      <c r="BL199" s="981">
        <f>105.898+98.026+20.056</f>
        <v>223.98</v>
      </c>
      <c r="BN199" s="1024" t="s">
        <v>2401</v>
      </c>
      <c r="BO199" s="1012"/>
      <c r="BP199" s="1013"/>
      <c r="BQ199" s="1025">
        <f>+BT160</f>
        <v>5166.08</v>
      </c>
      <c r="BR199" s="1013" t="s">
        <v>205</v>
      </c>
    </row>
    <row r="200" spans="61:70">
      <c r="BN200" s="1024" t="s">
        <v>2402</v>
      </c>
      <c r="BO200" s="1012"/>
      <c r="BP200" s="1013"/>
      <c r="BQ200" s="1025">
        <f>+BU160</f>
        <v>1503.97</v>
      </c>
      <c r="BR200" s="1013" t="s">
        <v>205</v>
      </c>
    </row>
    <row r="201" spans="61:70" ht="15">
      <c r="BI201" s="1003" t="s">
        <v>2368</v>
      </c>
      <c r="BN201" s="1024" t="s">
        <v>2403</v>
      </c>
      <c r="BO201" s="1012"/>
      <c r="BP201" s="1013"/>
      <c r="BQ201" s="1025">
        <v>0</v>
      </c>
      <c r="BR201" s="1013" t="s">
        <v>205</v>
      </c>
    </row>
    <row r="202" spans="61:70" ht="15">
      <c r="BI202" s="1011" t="s">
        <v>2369</v>
      </c>
      <c r="BJ202" s="1012"/>
      <c r="BK202" s="1013"/>
      <c r="BL202" s="981"/>
      <c r="BP202" s="1026" t="s">
        <v>2263</v>
      </c>
      <c r="BQ202" s="1027">
        <f>SUM(BQ199:BQ201)</f>
        <v>6670.05</v>
      </c>
      <c r="BR202" s="1028" t="s">
        <v>205</v>
      </c>
    </row>
    <row r="203" spans="61:70">
      <c r="BI203" s="1011" t="s">
        <v>2370</v>
      </c>
      <c r="BJ203" s="1012"/>
      <c r="BK203" s="1013"/>
      <c r="BL203" s="981"/>
    </row>
    <row r="204" spans="61:70" ht="15">
      <c r="BI204" s="1011" t="s">
        <v>2371</v>
      </c>
      <c r="BJ204" s="1012"/>
      <c r="BK204" s="1013"/>
      <c r="BL204" s="981"/>
      <c r="BN204" s="1029" t="s">
        <v>2404</v>
      </c>
      <c r="BQ204" s="1022"/>
    </row>
    <row r="205" spans="61:70">
      <c r="BI205" s="1011" t="s">
        <v>2372</v>
      </c>
      <c r="BJ205" s="1012"/>
      <c r="BK205" s="1013"/>
      <c r="BL205" s="981">
        <v>23.83</v>
      </c>
      <c r="BN205" s="1024" t="s">
        <v>2405</v>
      </c>
      <c r="BO205" s="1012"/>
      <c r="BP205" s="1013"/>
      <c r="BQ205" s="1025">
        <f>+CP160</f>
        <v>1652.96</v>
      </c>
      <c r="BR205" s="1013" t="s">
        <v>352</v>
      </c>
    </row>
    <row r="206" spans="61:70">
      <c r="BI206" s="1011" t="s">
        <v>2373</v>
      </c>
      <c r="BJ206" s="1012"/>
      <c r="BK206" s="1013"/>
      <c r="BL206" s="981"/>
      <c r="BN206" s="1024" t="s">
        <v>2406</v>
      </c>
      <c r="BO206" s="1012"/>
      <c r="BP206" s="1013"/>
      <c r="BQ206" s="1025">
        <f>+DS160</f>
        <v>791.21</v>
      </c>
      <c r="BR206" s="1013" t="s">
        <v>352</v>
      </c>
    </row>
    <row r="207" spans="61:70">
      <c r="BK207" s="937" t="s">
        <v>2263</v>
      </c>
      <c r="BL207" s="981">
        <f>SUM(BL202:BL206)</f>
        <v>23.83</v>
      </c>
      <c r="BN207" s="1024" t="s">
        <v>2407</v>
      </c>
      <c r="BO207" s="1012"/>
      <c r="BP207" s="1013"/>
      <c r="BQ207" s="1025">
        <f>+EF160</f>
        <v>46.59</v>
      </c>
      <c r="BR207" s="1013" t="s">
        <v>352</v>
      </c>
    </row>
    <row r="208" spans="61:70" ht="15">
      <c r="BN208" s="1306" t="s">
        <v>2614</v>
      </c>
      <c r="BO208" s="1307"/>
      <c r="BP208" s="1028"/>
      <c r="BQ208" s="1027">
        <f>SUM(BQ205:BQ207)</f>
        <v>2490.7600000000002</v>
      </c>
      <c r="BR208" s="1028" t="s">
        <v>352</v>
      </c>
    </row>
    <row r="209" spans="60:70" ht="15">
      <c r="BI209" s="1001" t="s">
        <v>1728</v>
      </c>
      <c r="BJ209" s="850"/>
      <c r="BN209" s="1024" t="s">
        <v>2613</v>
      </c>
      <c r="BO209" s="1012"/>
      <c r="BP209" s="1013"/>
      <c r="BQ209" s="1025">
        <v>5</v>
      </c>
      <c r="BR209" s="1013" t="s">
        <v>2615</v>
      </c>
    </row>
    <row r="210" spans="60:70" ht="15">
      <c r="BI210" s="1011" t="s">
        <v>2374</v>
      </c>
      <c r="BJ210" s="1012"/>
      <c r="BK210" s="1013"/>
      <c r="BL210" s="981">
        <f>COUNTIF($DV$12:$DV$156,"&lt;=2")</f>
        <v>67</v>
      </c>
      <c r="BP210" s="1305" t="s">
        <v>2263</v>
      </c>
      <c r="BQ210" s="1027">
        <f>+ROUND(BQ208*BQ209,2)</f>
        <v>12453.8</v>
      </c>
      <c r="BR210" s="1028" t="s">
        <v>1699</v>
      </c>
    </row>
    <row r="211" spans="60:70">
      <c r="BI211" s="1011" t="s">
        <v>2375</v>
      </c>
      <c r="BJ211" s="1012"/>
      <c r="BK211" s="1013"/>
      <c r="BL211" s="981">
        <f>COUNTIFS($DV$12:$DV$156,"&gt;2",$DV$12:$DV$156,"&lt;=3")</f>
        <v>15</v>
      </c>
    </row>
    <row r="212" spans="60:70">
      <c r="BI212" s="1011" t="s">
        <v>2376</v>
      </c>
      <c r="BJ212" s="1012"/>
      <c r="BK212" s="1013"/>
      <c r="BL212" s="981">
        <f>COUNTIFS($DV$12:$DV$156,"&gt;3",$DV$12:$DV$156,"&lt;=4")</f>
        <v>2</v>
      </c>
    </row>
    <row r="213" spans="60:70">
      <c r="BI213" s="1011" t="s">
        <v>2377</v>
      </c>
      <c r="BJ213" s="1012"/>
      <c r="BK213" s="1013"/>
      <c r="BL213" s="981">
        <f>COUNTIF($DV$12:$DV$156,"&gt;4")</f>
        <v>0</v>
      </c>
    </row>
    <row r="214" spans="60:70">
      <c r="BK214" s="937" t="s">
        <v>2263</v>
      </c>
      <c r="BL214" s="981">
        <f>SUM(BL210:BL213)</f>
        <v>84</v>
      </c>
    </row>
    <row r="215" spans="60:70">
      <c r="BH215" s="103"/>
    </row>
    <row r="216" spans="60:70">
      <c r="BH216" s="103"/>
    </row>
    <row r="217" spans="60:70">
      <c r="BH217" s="103"/>
    </row>
    <row r="218" spans="60:70">
      <c r="BH218" s="103"/>
    </row>
    <row r="219" spans="60:70">
      <c r="BH219" s="103"/>
    </row>
    <row r="220" spans="60:70">
      <c r="BH220" s="103"/>
    </row>
    <row r="221" spans="60:70">
      <c r="BH221" s="103"/>
    </row>
    <row r="243" spans="5:6">
      <c r="E243" s="1850"/>
      <c r="F243" s="1850"/>
    </row>
  </sheetData>
  <mergeCells count="40">
    <mergeCell ref="BH8:CP8"/>
    <mergeCell ref="CS8:DS8"/>
    <mergeCell ref="DU8:EF8"/>
    <mergeCell ref="BD9:BE9"/>
    <mergeCell ref="CS9:CT9"/>
    <mergeCell ref="AU8:AV8"/>
    <mergeCell ref="AW8:AX8"/>
    <mergeCell ref="X8:X9"/>
    <mergeCell ref="Y8:Y9"/>
    <mergeCell ref="Z8:Z9"/>
    <mergeCell ref="AA8:AA9"/>
    <mergeCell ref="AB8:AB9"/>
    <mergeCell ref="AC8:AC9"/>
    <mergeCell ref="AK8:AL8"/>
    <mergeCell ref="AM8:AN8"/>
    <mergeCell ref="AO8:AP8"/>
    <mergeCell ref="E243:F243"/>
    <mergeCell ref="AQ8:AR8"/>
    <mergeCell ref="R8:R9"/>
    <mergeCell ref="S8:S9"/>
    <mergeCell ref="T8:T9"/>
    <mergeCell ref="U8:U9"/>
    <mergeCell ref="V8:V9"/>
    <mergeCell ref="W8:W9"/>
    <mergeCell ref="A2:BF3"/>
    <mergeCell ref="DC3:DD3"/>
    <mergeCell ref="A8:B8"/>
    <mergeCell ref="C8:C9"/>
    <mergeCell ref="D8:E8"/>
    <mergeCell ref="G8:G9"/>
    <mergeCell ref="H8:H9"/>
    <mergeCell ref="K8:L8"/>
    <mergeCell ref="P8:P9"/>
    <mergeCell ref="Q8:Q9"/>
    <mergeCell ref="AY8:AY9"/>
    <mergeCell ref="AZ8:BF8"/>
    <mergeCell ref="AD8:AD9"/>
    <mergeCell ref="AE8:AE9"/>
    <mergeCell ref="AF8:AJ8"/>
    <mergeCell ref="AS8:AT8"/>
  </mergeCells>
  <phoneticPr fontId="22" type="noConversion"/>
  <conditionalFormatting sqref="V12:V45 V47:V156">
    <cfRule type="cellIs" dxfId="8" priority="5" operator="lessThan">
      <formula>0.45</formula>
    </cfRule>
  </conditionalFormatting>
  <conditionalFormatting sqref="AE12:AE156">
    <cfRule type="cellIs" dxfId="7" priority="2" operator="equal">
      <formula>"Crítico"</formula>
    </cfRule>
  </conditionalFormatting>
  <conditionalFormatting sqref="AU12:AV45 AU47:AV156">
    <cfRule type="cellIs" dxfId="6" priority="4" operator="lessThan">
      <formula>1.2</formula>
    </cfRule>
  </conditionalFormatting>
  <conditionalFormatting sqref="DU1:DU1048576">
    <cfRule type="duplicateValues" dxfId="5" priority="1"/>
  </conditionalFormatting>
  <conditionalFormatting sqref="DU12:DU102">
    <cfRule type="duplicateValues" dxfId="4" priority="3"/>
  </conditionalFormatting>
  <printOptions horizontalCentered="1"/>
  <pageMargins left="0.39370078740157483" right="0.39370078740157483" top="0.74803149606299213" bottom="0.74803149606299213" header="0.31496062992125984" footer="0.31496062992125984"/>
  <pageSetup paperSize="119" scale="54" orientation="landscape" r:id="rId1"/>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9">
    <tabColor theme="2" tint="-9.9978637043366805E-2"/>
  </sheetPr>
  <dimension ref="A1:K74"/>
  <sheetViews>
    <sheetView view="pageBreakPreview" topLeftCell="A35" zoomScale="85" zoomScaleNormal="100" zoomScaleSheetLayoutView="85" workbookViewId="0">
      <selection activeCell="F41" sqref="F41"/>
    </sheetView>
  </sheetViews>
  <sheetFormatPr baseColWidth="10" defaultColWidth="11.42578125" defaultRowHeight="12.75"/>
  <cols>
    <col min="1" max="1" width="11.42578125" style="1308"/>
    <col min="2" max="2" width="47.7109375" style="1308" customWidth="1"/>
    <col min="3" max="4" width="11.42578125" style="1308"/>
    <col min="5" max="5" width="21" style="1308" customWidth="1"/>
    <col min="6" max="6" width="19.28515625" style="1308" customWidth="1"/>
    <col min="7" max="7" width="19.85546875" style="1308" customWidth="1"/>
    <col min="8" max="8" width="4.42578125" style="1308" customWidth="1"/>
    <col min="9" max="9" width="13.140625" style="1308" bestFit="1" customWidth="1"/>
    <col min="10" max="10" width="4.7109375" style="1308" bestFit="1" customWidth="1"/>
    <col min="11" max="11" width="19.42578125" style="1308" customWidth="1"/>
    <col min="12" max="16384" width="11.42578125" style="1308"/>
  </cols>
  <sheetData>
    <row r="1" spans="1:9">
      <c r="A1" s="1785"/>
      <c r="B1" s="1786"/>
      <c r="C1" s="1791" t="str">
        <f>+PRESUPUESTO!A9</f>
        <v>“CONSTRUCCIÓN DE LA PRIMERA FASE DEL ALCANTARILLADO SANITARIO PARA LA RECOLECCIÓN DE LAS AGUAS RESIDUALES DEL CENTRO POBLADO CACHIMBAL DEL MUNICIPIO DE GUADALUPE, DEPARTAMENTO DEL HUILA”</v>
      </c>
      <c r="D1" s="1792"/>
      <c r="E1" s="1792"/>
      <c r="F1" s="1792"/>
      <c r="G1" s="1793"/>
    </row>
    <row r="2" spans="1:9">
      <c r="A2" s="1787"/>
      <c r="B2" s="1788"/>
      <c r="C2" s="1794"/>
      <c r="D2" s="1795"/>
      <c r="E2" s="1795"/>
      <c r="F2" s="1795"/>
      <c r="G2" s="1796"/>
    </row>
    <row r="3" spans="1:9">
      <c r="A3" s="1787"/>
      <c r="B3" s="1788"/>
      <c r="C3" s="1794"/>
      <c r="D3" s="1795"/>
      <c r="E3" s="1795"/>
      <c r="F3" s="1795"/>
      <c r="G3" s="1796"/>
    </row>
    <row r="4" spans="1:9">
      <c r="A4" s="1787"/>
      <c r="B4" s="1788"/>
      <c r="C4" s="1794"/>
      <c r="D4" s="1795"/>
      <c r="E4" s="1795"/>
      <c r="F4" s="1795"/>
      <c r="G4" s="1796"/>
    </row>
    <row r="5" spans="1:9" ht="13.5" thickBot="1">
      <c r="A5" s="1787"/>
      <c r="B5" s="1788"/>
      <c r="C5" s="1797"/>
      <c r="D5" s="1798"/>
      <c r="E5" s="1798"/>
      <c r="F5" s="1798"/>
      <c r="G5" s="1799"/>
    </row>
    <row r="6" spans="1:9">
      <c r="A6" s="1787"/>
      <c r="B6" s="1788"/>
      <c r="C6" s="1800" t="s">
        <v>2616</v>
      </c>
      <c r="D6" s="1801"/>
      <c r="E6" s="1801"/>
      <c r="F6" s="1801"/>
      <c r="G6" s="1802"/>
    </row>
    <row r="7" spans="1:9">
      <c r="A7" s="1787"/>
      <c r="B7" s="1788"/>
      <c r="C7" s="1803"/>
      <c r="D7" s="1804"/>
      <c r="E7" s="1804"/>
      <c r="F7" s="1804"/>
      <c r="G7" s="1805"/>
    </row>
    <row r="8" spans="1:9" ht="13.5" thickBot="1">
      <c r="A8" s="1789"/>
      <c r="B8" s="1790"/>
      <c r="C8" s="1806"/>
      <c r="D8" s="1807"/>
      <c r="E8" s="1807"/>
      <c r="F8" s="1807"/>
      <c r="G8" s="1808"/>
    </row>
    <row r="9" spans="1:9" ht="16.5">
      <c r="A9" s="1353"/>
      <c r="B9" s="1354"/>
      <c r="C9" s="1355"/>
      <c r="D9" s="1356"/>
      <c r="E9" s="1809"/>
      <c r="F9" s="1810"/>
      <c r="G9" s="1811"/>
    </row>
    <row r="10" spans="1:9" ht="16.5">
      <c r="A10" s="1357"/>
      <c r="B10" s="1358" t="s">
        <v>1883</v>
      </c>
      <c r="C10" s="1359"/>
      <c r="D10" s="1359"/>
      <c r="E10" s="1359"/>
      <c r="F10" s="1360"/>
      <c r="G10" s="1361">
        <f>'PTOOC PLIEGOS'!F81/1.3</f>
        <v>2872877520</v>
      </c>
    </row>
    <row r="11" spans="1:9" ht="16.5">
      <c r="A11" s="1362"/>
      <c r="B11" s="1363"/>
      <c r="C11" s="1364"/>
      <c r="D11" s="1364"/>
      <c r="E11" s="1364"/>
      <c r="F11" s="1364"/>
      <c r="G11" s="1365"/>
    </row>
    <row r="12" spans="1:9" ht="16.5">
      <c r="A12" s="1366"/>
      <c r="B12" s="1358" t="s">
        <v>1918</v>
      </c>
      <c r="C12" s="1367"/>
      <c r="D12" s="1367"/>
      <c r="E12" s="1367"/>
      <c r="F12" s="1347"/>
      <c r="G12" s="1368"/>
    </row>
    <row r="13" spans="1:9" ht="16.5">
      <c r="A13" s="1369" t="s">
        <v>538</v>
      </c>
      <c r="B13" s="1370" t="s">
        <v>514</v>
      </c>
      <c r="C13" s="1371" t="s">
        <v>515</v>
      </c>
      <c r="D13" s="1371" t="s">
        <v>7</v>
      </c>
      <c r="E13" s="1371" t="s">
        <v>1769</v>
      </c>
      <c r="F13" s="1372" t="s">
        <v>1770</v>
      </c>
      <c r="G13" s="1373" t="s">
        <v>533</v>
      </c>
      <c r="I13" s="1374">
        <f>+F59</f>
        <v>0.25000000013923324</v>
      </c>
    </row>
    <row r="14" spans="1:9" ht="16.5">
      <c r="A14" s="1366">
        <v>1</v>
      </c>
      <c r="B14" s="1358" t="s">
        <v>2016</v>
      </c>
      <c r="C14" s="1347"/>
      <c r="D14" s="1347"/>
      <c r="E14" s="1347"/>
      <c r="F14" s="1347"/>
      <c r="G14" s="1368"/>
    </row>
    <row r="15" spans="1:9" ht="16.5">
      <c r="A15" s="1375" t="s">
        <v>1771</v>
      </c>
      <c r="B15" s="1376" t="s">
        <v>1772</v>
      </c>
      <c r="C15" s="1377" t="s">
        <v>1773</v>
      </c>
      <c r="D15" s="1378">
        <v>6</v>
      </c>
      <c r="E15" s="1379">
        <v>0.7</v>
      </c>
      <c r="F15" s="1380">
        <v>6400000</v>
      </c>
      <c r="G15" s="1381">
        <f t="shared" ref="G15:G18" si="0">D15*E15*F15</f>
        <v>26879999.999999996</v>
      </c>
      <c r="H15" s="1382"/>
    </row>
    <row r="16" spans="1:9" ht="21.75" customHeight="1">
      <c r="A16" s="1375" t="s">
        <v>1774</v>
      </c>
      <c r="B16" s="1376" t="s">
        <v>1775</v>
      </c>
      <c r="C16" s="1377" t="s">
        <v>1773</v>
      </c>
      <c r="D16" s="1378">
        <v>6</v>
      </c>
      <c r="E16" s="1379">
        <v>1</v>
      </c>
      <c r="F16" s="1380">
        <v>4950000</v>
      </c>
      <c r="G16" s="1381">
        <f t="shared" si="0"/>
        <v>29700000</v>
      </c>
      <c r="H16" s="1382"/>
    </row>
    <row r="17" spans="1:11" ht="44.25" customHeight="1">
      <c r="A17" s="1375" t="s">
        <v>1776</v>
      </c>
      <c r="B17" s="1376" t="s">
        <v>2623</v>
      </c>
      <c r="C17" s="1377" t="s">
        <v>1773</v>
      </c>
      <c r="D17" s="1378">
        <v>4</v>
      </c>
      <c r="E17" s="1379">
        <v>0.4</v>
      </c>
      <c r="F17" s="1380">
        <v>5500000</v>
      </c>
      <c r="G17" s="1381">
        <f t="shared" si="0"/>
        <v>8800000</v>
      </c>
      <c r="H17" s="1382"/>
    </row>
    <row r="18" spans="1:11" ht="33">
      <c r="A18" s="1375" t="s">
        <v>1922</v>
      </c>
      <c r="B18" s="1376" t="s">
        <v>2718</v>
      </c>
      <c r="C18" s="1377" t="s">
        <v>1773</v>
      </c>
      <c r="D18" s="1378">
        <v>6</v>
      </c>
      <c r="E18" s="1379">
        <v>1</v>
      </c>
      <c r="F18" s="1380">
        <v>3500000</v>
      </c>
      <c r="G18" s="1381">
        <f t="shared" si="0"/>
        <v>21000000</v>
      </c>
      <c r="H18" s="1382"/>
      <c r="I18" s="1382"/>
    </row>
    <row r="19" spans="1:11" ht="16.5">
      <c r="A19" s="1375" t="s">
        <v>2020</v>
      </c>
      <c r="B19" s="1383" t="s">
        <v>2716</v>
      </c>
      <c r="C19" s="1377" t="s">
        <v>1773</v>
      </c>
      <c r="D19" s="1378">
        <v>4</v>
      </c>
      <c r="E19" s="1379">
        <v>0.4</v>
      </c>
      <c r="F19" s="1380">
        <v>5500000</v>
      </c>
      <c r="G19" s="1381">
        <f>D19*E19*F19</f>
        <v>8800000</v>
      </c>
      <c r="H19" s="1382"/>
    </row>
    <row r="20" spans="1:11" ht="16.5">
      <c r="A20" s="1375" t="s">
        <v>2021</v>
      </c>
      <c r="B20" s="1383" t="s">
        <v>2717</v>
      </c>
      <c r="C20" s="1377" t="s">
        <v>1773</v>
      </c>
      <c r="D20" s="1378">
        <v>5</v>
      </c>
      <c r="E20" s="1379">
        <v>1</v>
      </c>
      <c r="F20" s="1380">
        <v>3500000</v>
      </c>
      <c r="G20" s="1381">
        <f>D20*E20*F20</f>
        <v>17500000</v>
      </c>
      <c r="H20" s="1382"/>
    </row>
    <row r="21" spans="1:11" ht="16.5">
      <c r="A21" s="1384"/>
      <c r="B21" s="1358" t="s">
        <v>2015</v>
      </c>
      <c r="C21" s="1385"/>
      <c r="D21" s="1386"/>
      <c r="E21" s="1386"/>
      <c r="F21" s="1387"/>
      <c r="G21" s="1388">
        <f>SUM(G15:G20)</f>
        <v>112680000</v>
      </c>
      <c r="I21" s="591"/>
      <c r="J21" s="1389"/>
      <c r="K21" s="1390"/>
    </row>
    <row r="22" spans="1:11" ht="16.5">
      <c r="A22" s="1375"/>
      <c r="B22" s="1391"/>
      <c r="C22" s="1364"/>
      <c r="D22" s="1392"/>
      <c r="E22" s="1364"/>
      <c r="F22" s="1364"/>
      <c r="G22" s="1365"/>
      <c r="I22" s="592"/>
      <c r="J22" s="1389"/>
      <c r="K22" s="1390"/>
    </row>
    <row r="23" spans="1:11" ht="16.5">
      <c r="A23" s="1366">
        <v>2</v>
      </c>
      <c r="B23" s="1358" t="s">
        <v>2014</v>
      </c>
      <c r="C23" s="1347"/>
      <c r="D23" s="1393"/>
      <c r="E23" s="1347"/>
      <c r="F23" s="1347"/>
      <c r="G23" s="1394"/>
      <c r="I23" s="592"/>
      <c r="J23" s="1389"/>
      <c r="K23" s="1390"/>
    </row>
    <row r="24" spans="1:11" ht="16.5">
      <c r="A24" s="1375" t="s">
        <v>1777</v>
      </c>
      <c r="B24" s="1376" t="s">
        <v>1778</v>
      </c>
      <c r="C24" s="1377" t="s">
        <v>1773</v>
      </c>
      <c r="D24" s="1378">
        <f>D16</f>
        <v>6</v>
      </c>
      <c r="E24" s="1378"/>
      <c r="F24" s="1380">
        <v>85000</v>
      </c>
      <c r="G24" s="1381">
        <f>D24*F24</f>
        <v>510000</v>
      </c>
      <c r="K24" s="1390"/>
    </row>
    <row r="25" spans="1:11" ht="16.5">
      <c r="A25" s="1375" t="s">
        <v>1779</v>
      </c>
      <c r="B25" s="1376" t="s">
        <v>559</v>
      </c>
      <c r="C25" s="1377" t="s">
        <v>1773</v>
      </c>
      <c r="D25" s="1378">
        <f>D16</f>
        <v>6</v>
      </c>
      <c r="E25" s="1378"/>
      <c r="F25" s="1380">
        <v>65000</v>
      </c>
      <c r="G25" s="1381">
        <f>D25*F25</f>
        <v>390000</v>
      </c>
      <c r="K25" s="1395"/>
    </row>
    <row r="26" spans="1:11" ht="16.5">
      <c r="A26" s="1375" t="s">
        <v>1780</v>
      </c>
      <c r="B26" s="1396" t="s">
        <v>1781</v>
      </c>
      <c r="C26" s="1377" t="s">
        <v>1773</v>
      </c>
      <c r="D26" s="1378">
        <f>D17</f>
        <v>4</v>
      </c>
      <c r="E26" s="1378"/>
      <c r="F26" s="1380">
        <v>98000</v>
      </c>
      <c r="G26" s="1381">
        <f>D26*F26</f>
        <v>392000</v>
      </c>
    </row>
    <row r="27" spans="1:11" ht="16.5">
      <c r="A27" s="1384"/>
      <c r="B27" s="1358" t="s">
        <v>2013</v>
      </c>
      <c r="C27" s="1385"/>
      <c r="D27" s="1386"/>
      <c r="E27" s="1386"/>
      <c r="F27" s="1387"/>
      <c r="G27" s="1388">
        <f>SUM(G24:G26)</f>
        <v>1292000</v>
      </c>
      <c r="K27" s="1733"/>
    </row>
    <row r="28" spans="1:11" ht="16.5">
      <c r="A28" s="1375"/>
      <c r="B28" s="1391"/>
      <c r="C28" s="1364"/>
      <c r="D28" s="1392"/>
      <c r="E28" s="1364"/>
      <c r="F28" s="1364"/>
      <c r="G28" s="1365"/>
      <c r="K28" s="1733"/>
    </row>
    <row r="29" spans="1:11" ht="33">
      <c r="A29" s="1369">
        <v>3</v>
      </c>
      <c r="B29" s="1358" t="s">
        <v>2012</v>
      </c>
      <c r="C29" s="1347"/>
      <c r="D29" s="1393"/>
      <c r="E29" s="1347"/>
      <c r="F29" s="1347"/>
      <c r="G29" s="1368"/>
      <c r="K29" s="1733"/>
    </row>
    <row r="30" spans="1:11" ht="33">
      <c r="A30" s="1375" t="s">
        <v>1782</v>
      </c>
      <c r="B30" s="1396" t="s">
        <v>1783</v>
      </c>
      <c r="C30" s="1377" t="s">
        <v>622</v>
      </c>
      <c r="D30" s="1378">
        <v>1</v>
      </c>
      <c r="E30" s="1378"/>
      <c r="F30" s="1380">
        <v>2850000</v>
      </c>
      <c r="G30" s="1381">
        <f>D30*F30</f>
        <v>2850000</v>
      </c>
    </row>
    <row r="31" spans="1:11" ht="16.5">
      <c r="A31" s="1375" t="s">
        <v>1784</v>
      </c>
      <c r="B31" s="1376" t="s">
        <v>1785</v>
      </c>
      <c r="C31" s="1377" t="s">
        <v>1773</v>
      </c>
      <c r="D31" s="1378">
        <f>D16</f>
        <v>6</v>
      </c>
      <c r="E31" s="1378"/>
      <c r="F31" s="1380">
        <v>850000</v>
      </c>
      <c r="G31" s="1381">
        <f>D31*F31</f>
        <v>5100000</v>
      </c>
    </row>
    <row r="32" spans="1:11" ht="16.5">
      <c r="A32" s="1357"/>
      <c r="B32" s="1358" t="s">
        <v>2011</v>
      </c>
      <c r="C32" s="1385"/>
      <c r="D32" s="1386"/>
      <c r="E32" s="1386"/>
      <c r="F32" s="1397"/>
      <c r="G32" s="1388">
        <f>SUM(G30:G31)</f>
        <v>7950000</v>
      </c>
    </row>
    <row r="33" spans="1:8" ht="16.5">
      <c r="A33" s="1362"/>
      <c r="B33" s="1363"/>
      <c r="C33" s="1364"/>
      <c r="D33" s="1392"/>
      <c r="E33" s="1364"/>
      <c r="F33" s="1364"/>
      <c r="G33" s="1365"/>
    </row>
    <row r="34" spans="1:8" ht="16.5">
      <c r="A34" s="1369">
        <v>4</v>
      </c>
      <c r="B34" s="1358" t="s">
        <v>2010</v>
      </c>
      <c r="C34" s="1347"/>
      <c r="D34" s="1393"/>
      <c r="E34" s="1347"/>
      <c r="F34" s="1347"/>
      <c r="G34" s="1368"/>
    </row>
    <row r="35" spans="1:8" ht="49.5">
      <c r="A35" s="1375" t="s">
        <v>1786</v>
      </c>
      <c r="B35" s="1376" t="s">
        <v>2693</v>
      </c>
      <c r="C35" s="1377" t="s">
        <v>622</v>
      </c>
      <c r="D35" s="1378">
        <v>2</v>
      </c>
      <c r="E35" s="1378"/>
      <c r="F35" s="1380">
        <v>15720090.5</v>
      </c>
      <c r="G35" s="1381">
        <f t="shared" ref="G35:G40" si="1">D35*F35</f>
        <v>31440181</v>
      </c>
    </row>
    <row r="36" spans="1:8" ht="33">
      <c r="A36" s="1375" t="s">
        <v>1788</v>
      </c>
      <c r="B36" s="1376" t="s">
        <v>1789</v>
      </c>
      <c r="C36" s="1377" t="s">
        <v>622</v>
      </c>
      <c r="D36" s="1378">
        <v>35</v>
      </c>
      <c r="E36" s="1378"/>
      <c r="F36" s="1380">
        <v>125000</v>
      </c>
      <c r="G36" s="1381">
        <f>D36*F36</f>
        <v>4375000</v>
      </c>
    </row>
    <row r="37" spans="1:8" ht="16.5">
      <c r="A37" s="1375" t="s">
        <v>1919</v>
      </c>
      <c r="B37" s="1376" t="s">
        <v>2019</v>
      </c>
      <c r="C37" s="1377" t="s">
        <v>622</v>
      </c>
      <c r="D37" s="1378">
        <v>3</v>
      </c>
      <c r="E37" s="1378"/>
      <c r="F37" s="1380">
        <v>500000</v>
      </c>
      <c r="G37" s="1381">
        <f>D37*F37</f>
        <v>1500000</v>
      </c>
    </row>
    <row r="38" spans="1:8" ht="16.5">
      <c r="A38" s="1375" t="s">
        <v>1920</v>
      </c>
      <c r="B38" s="1376" t="s">
        <v>1790</v>
      </c>
      <c r="C38" s="1377" t="s">
        <v>1773</v>
      </c>
      <c r="D38" s="1378">
        <f>D16</f>
        <v>6</v>
      </c>
      <c r="E38" s="1378"/>
      <c r="F38" s="1380">
        <v>120000</v>
      </c>
      <c r="G38" s="1381">
        <f t="shared" si="1"/>
        <v>720000</v>
      </c>
    </row>
    <row r="39" spans="1:8" ht="16.5">
      <c r="A39" s="1375" t="s">
        <v>1791</v>
      </c>
      <c r="B39" s="1396" t="s">
        <v>1792</v>
      </c>
      <c r="C39" s="1377" t="s">
        <v>1637</v>
      </c>
      <c r="D39" s="1378">
        <v>1</v>
      </c>
      <c r="E39" s="1378"/>
      <c r="F39" s="1380">
        <v>950000</v>
      </c>
      <c r="G39" s="1381">
        <f t="shared" si="1"/>
        <v>950000</v>
      </c>
    </row>
    <row r="40" spans="1:8" ht="18">
      <c r="A40" s="1375" t="s">
        <v>1921</v>
      </c>
      <c r="B40" s="1376" t="s">
        <v>2624</v>
      </c>
      <c r="C40" s="1377" t="s">
        <v>622</v>
      </c>
      <c r="D40" s="1378">
        <v>1</v>
      </c>
      <c r="E40" s="1378"/>
      <c r="F40" s="1380">
        <v>1148898</v>
      </c>
      <c r="G40" s="1381">
        <f t="shared" si="1"/>
        <v>1148898</v>
      </c>
    </row>
    <row r="41" spans="1:8" ht="16.5">
      <c r="A41" s="1375"/>
      <c r="B41" s="1376"/>
      <c r="C41" s="1377"/>
      <c r="D41" s="1378"/>
      <c r="E41" s="1378"/>
      <c r="F41" s="1380"/>
      <c r="G41" s="1381"/>
    </row>
    <row r="42" spans="1:8" ht="16.5">
      <c r="A42" s="1357"/>
      <c r="B42" s="1358" t="s">
        <v>2008</v>
      </c>
      <c r="C42" s="1347"/>
      <c r="D42" s="1347"/>
      <c r="E42" s="1347"/>
      <c r="F42" s="1398"/>
      <c r="G42" s="1388">
        <f>SUM(G35:G41)</f>
        <v>40134079</v>
      </c>
    </row>
    <row r="43" spans="1:8" ht="16.5">
      <c r="A43" s="1362"/>
      <c r="B43" s="1363"/>
      <c r="C43" s="1364"/>
      <c r="D43" s="1364"/>
      <c r="E43" s="1364"/>
      <c r="F43" s="1399"/>
      <c r="G43" s="1365"/>
    </row>
    <row r="44" spans="1:8" ht="23.25" customHeight="1">
      <c r="A44" s="1369">
        <v>5</v>
      </c>
      <c r="B44" s="1358" t="s">
        <v>2009</v>
      </c>
      <c r="C44" s="1347"/>
      <c r="D44" s="1347"/>
      <c r="E44" s="1347"/>
      <c r="F44" s="1400"/>
      <c r="G44" s="1368"/>
    </row>
    <row r="45" spans="1:8" ht="16.5" hidden="1">
      <c r="A45" s="1362"/>
      <c r="B45" s="1401"/>
      <c r="C45" s="1402"/>
      <c r="D45" s="1377"/>
      <c r="E45" s="1403"/>
      <c r="F45" s="1380">
        <f>+PRESUPUESTO!F89</f>
        <v>3734740776</v>
      </c>
      <c r="G45" s="1381"/>
      <c r="H45" s="1382"/>
    </row>
    <row r="46" spans="1:8" ht="16.5">
      <c r="A46" s="1404">
        <v>5.0999999999999996</v>
      </c>
      <c r="B46" s="1405" t="s">
        <v>2617</v>
      </c>
      <c r="C46" s="1380"/>
      <c r="D46" s="1380"/>
      <c r="E46" s="1403"/>
      <c r="F46" s="1403">
        <v>0.02</v>
      </c>
      <c r="G46" s="1406">
        <f t="shared" ref="G46:G47" si="2">ROUND($F$45*F46,0)</f>
        <v>74694816</v>
      </c>
    </row>
    <row r="47" spans="1:8" ht="16.5">
      <c r="A47" s="1404">
        <v>5.2</v>
      </c>
      <c r="B47" s="1405" t="s">
        <v>2618</v>
      </c>
      <c r="C47" s="1380"/>
      <c r="D47" s="1380"/>
      <c r="E47" s="1403"/>
      <c r="F47" s="1403">
        <v>1.4999999999999999E-2</v>
      </c>
      <c r="G47" s="1406">
        <f t="shared" si="2"/>
        <v>56021112</v>
      </c>
    </row>
    <row r="48" spans="1:8" ht="16.5">
      <c r="A48" s="1404">
        <v>5.3</v>
      </c>
      <c r="B48" s="1405" t="s">
        <v>2619</v>
      </c>
      <c r="C48" s="1380"/>
      <c r="D48" s="1380"/>
      <c r="E48" s="1403"/>
      <c r="F48" s="1403">
        <v>5.0000000000000001E-3</v>
      </c>
      <c r="G48" s="1406">
        <f>ROUND($F$45*F48,0)</f>
        <v>18673704</v>
      </c>
    </row>
    <row r="49" spans="1:9" ht="16.5">
      <c r="A49" s="1404">
        <v>5.4</v>
      </c>
      <c r="B49" s="1405" t="s">
        <v>2620</v>
      </c>
      <c r="C49" s="1380"/>
      <c r="D49" s="1380"/>
      <c r="E49" s="1403"/>
      <c r="F49" s="1403"/>
      <c r="G49" s="1406">
        <v>5500</v>
      </c>
    </row>
    <row r="50" spans="1:9" ht="16.5">
      <c r="A50" s="1404">
        <v>5.5</v>
      </c>
      <c r="B50" s="1405" t="s">
        <v>2621</v>
      </c>
      <c r="C50" s="1380"/>
      <c r="D50" s="1380"/>
      <c r="E50" s="1403"/>
      <c r="F50" s="1403"/>
      <c r="G50" s="1406">
        <v>256000</v>
      </c>
    </row>
    <row r="51" spans="1:9" ht="16.5">
      <c r="A51" s="1404">
        <v>5.6</v>
      </c>
      <c r="B51" s="1407" t="s">
        <v>2018</v>
      </c>
      <c r="C51" s="1380"/>
      <c r="D51" s="1380"/>
      <c r="E51" s="1403"/>
      <c r="F51" s="1403">
        <v>0.05</v>
      </c>
      <c r="G51" s="1406">
        <f>+$F$45*F51</f>
        <v>186737038.80000001</v>
      </c>
    </row>
    <row r="52" spans="1:9" ht="16.5">
      <c r="A52" s="1404">
        <v>5.7</v>
      </c>
      <c r="B52" s="1407" t="s">
        <v>2006</v>
      </c>
      <c r="C52" s="1380"/>
      <c r="D52" s="1380"/>
      <c r="E52" s="1403"/>
      <c r="F52" s="1403">
        <v>5.0000000000000001E-3</v>
      </c>
      <c r="G52" s="1406">
        <f>+$F$45*F52</f>
        <v>18673703.879999999</v>
      </c>
    </row>
    <row r="53" spans="1:9" ht="16.5">
      <c r="A53" s="1357"/>
      <c r="B53" s="1358" t="s">
        <v>2007</v>
      </c>
      <c r="C53" s="1347"/>
      <c r="D53" s="1408"/>
      <c r="E53" s="1347"/>
      <c r="F53" s="1398"/>
      <c r="G53" s="1388">
        <f>SUM(G46:G52)</f>
        <v>355061874.68000001</v>
      </c>
    </row>
    <row r="54" spans="1:9" ht="16.5">
      <c r="A54" s="1362"/>
      <c r="B54" s="1363"/>
      <c r="C54" s="1364"/>
      <c r="D54" s="1409"/>
      <c r="E54" s="1364"/>
      <c r="F54" s="1399"/>
      <c r="G54" s="1365"/>
    </row>
    <row r="55" spans="1:9" ht="16.5">
      <c r="A55" s="1357"/>
      <c r="B55" s="1410" t="s">
        <v>1793</v>
      </c>
      <c r="C55" s="1347"/>
      <c r="D55" s="1408"/>
      <c r="E55" s="1347"/>
      <c r="F55" s="1411">
        <f>+(G55*100%)/G10</f>
        <v>0.18000000013923323</v>
      </c>
      <c r="G55" s="1412">
        <f>ROUND(SUM(G27+G32+G53+G42+G21),0)</f>
        <v>517117954</v>
      </c>
      <c r="I55" s="1395"/>
    </row>
    <row r="56" spans="1:9" ht="16.5">
      <c r="A56" s="1357"/>
      <c r="B56" s="1410" t="s">
        <v>1794</v>
      </c>
      <c r="C56" s="1347"/>
      <c r="D56" s="1408"/>
      <c r="E56" s="1347"/>
      <c r="F56" s="1411">
        <v>0.02</v>
      </c>
      <c r="G56" s="1412">
        <f>ROUND((F56*G10),0)</f>
        <v>57457550</v>
      </c>
      <c r="I56" s="1395"/>
    </row>
    <row r="57" spans="1:9" ht="16.5">
      <c r="A57" s="1357"/>
      <c r="B57" s="1410" t="s">
        <v>1795</v>
      </c>
      <c r="C57" s="1347"/>
      <c r="D57" s="1408"/>
      <c r="E57" s="1347"/>
      <c r="F57" s="1411">
        <v>0.05</v>
      </c>
      <c r="G57" s="1412">
        <f>ROUND((F57*G10),0)</f>
        <v>143643876</v>
      </c>
    </row>
    <row r="58" spans="1:9" ht="16.5">
      <c r="A58" s="1362"/>
      <c r="B58" s="1363"/>
      <c r="C58" s="1364"/>
      <c r="D58" s="1364"/>
      <c r="E58" s="1364"/>
      <c r="F58" s="1413"/>
      <c r="G58" s="1365"/>
    </row>
    <row r="59" spans="1:9" ht="16.5">
      <c r="A59" s="1357"/>
      <c r="B59" s="1414" t="s">
        <v>2622</v>
      </c>
      <c r="C59" s="1347"/>
      <c r="D59" s="1347"/>
      <c r="E59" s="1347"/>
      <c r="F59" s="1411">
        <f>SUM(F55:F58)</f>
        <v>0.25000000013923324</v>
      </c>
      <c r="G59" s="1415">
        <f>SUM(G55:G58)</f>
        <v>718219380</v>
      </c>
    </row>
    <row r="60" spans="1:9" ht="14.25" thickBot="1">
      <c r="A60" s="1416"/>
      <c r="B60" s="1417"/>
      <c r="C60" s="1418"/>
      <c r="D60" s="1418"/>
      <c r="E60" s="1418"/>
      <c r="F60" s="1419"/>
      <c r="G60" s="1420"/>
    </row>
    <row r="61" spans="1:9" ht="13.5">
      <c r="A61" s="1352"/>
      <c r="B61" s="1421"/>
      <c r="C61" s="1421"/>
      <c r="D61" s="1421"/>
      <c r="E61" s="1421"/>
      <c r="F61" s="1421"/>
      <c r="G61" s="1422"/>
      <c r="I61" s="1727"/>
    </row>
    <row r="62" spans="1:9" ht="13.5">
      <c r="A62" s="1423"/>
      <c r="B62" s="1424"/>
      <c r="C62" s="1424"/>
      <c r="D62" s="1424"/>
      <c r="E62" s="1424"/>
      <c r="F62" s="1424"/>
      <c r="G62" s="1425">
        <f>G59-718219380</f>
        <v>0</v>
      </c>
    </row>
    <row r="63" spans="1:9" ht="13.5">
      <c r="A63" s="1423"/>
      <c r="B63" s="1424"/>
      <c r="C63" s="1424"/>
      <c r="D63" s="1424"/>
      <c r="E63" s="1424"/>
      <c r="F63" s="1424"/>
      <c r="G63" s="1425"/>
    </row>
    <row r="64" spans="1:9" ht="13.5">
      <c r="A64" s="1423"/>
      <c r="B64" s="1424"/>
      <c r="C64" s="1424"/>
      <c r="D64" s="1424"/>
      <c r="E64" s="1424"/>
      <c r="F64" s="1424"/>
      <c r="G64" s="1425"/>
    </row>
    <row r="65" spans="1:7" ht="13.5">
      <c r="A65" s="1423"/>
      <c r="B65" s="1424"/>
      <c r="C65" s="1424"/>
      <c r="D65" s="1424"/>
      <c r="E65" s="1424"/>
      <c r="F65" s="1424"/>
      <c r="G65" s="1425"/>
    </row>
    <row r="66" spans="1:7" ht="13.5">
      <c r="A66" s="1426"/>
      <c r="B66" s="1427"/>
      <c r="C66" s="1424"/>
      <c r="D66" s="1424"/>
      <c r="E66" s="1424"/>
      <c r="F66" s="1424"/>
      <c r="G66" s="1425"/>
    </row>
    <row r="67" spans="1:7" ht="16.5">
      <c r="A67" s="1428" t="str">
        <f>PRESUPUESTO!A101</f>
        <v>Ing. JHON FREDY GARCIA MENDEZ</v>
      </c>
      <c r="B67" s="1424"/>
      <c r="C67" s="1424"/>
      <c r="D67" s="1424"/>
      <c r="E67" s="1424"/>
      <c r="F67" s="1424"/>
      <c r="G67" s="1425"/>
    </row>
    <row r="68" spans="1:7" ht="16.5">
      <c r="A68" s="1429" t="str">
        <f>PRESUPUESTO!A102</f>
        <v>Esp. EN AGUAS Y SANEAMIENTO AMBIENTAL</v>
      </c>
      <c r="B68" s="1424"/>
      <c r="C68" s="1424"/>
      <c r="D68" s="1424"/>
      <c r="E68" s="1424"/>
      <c r="F68" s="1424"/>
      <c r="G68" s="1425"/>
    </row>
    <row r="69" spans="1:7" ht="17.25" thickBot="1">
      <c r="A69" s="1430" t="str">
        <f>PRESUPUESTO!A103</f>
        <v>M.P.  70268-326294 TLM.</v>
      </c>
      <c r="B69" s="1431"/>
      <c r="C69" s="1431"/>
      <c r="D69" s="1431"/>
      <c r="E69" s="1431"/>
      <c r="F69" s="1431"/>
      <c r="G69" s="1432"/>
    </row>
    <row r="70" spans="1:7">
      <c r="G70" s="1382"/>
    </row>
    <row r="71" spans="1:7">
      <c r="E71" s="1433"/>
      <c r="F71" s="1434"/>
    </row>
    <row r="72" spans="1:7">
      <c r="E72" s="1433"/>
      <c r="F72" s="1434"/>
    </row>
    <row r="73" spans="1:7">
      <c r="E73" s="1433"/>
      <c r="F73" s="1434"/>
    </row>
    <row r="74" spans="1:7">
      <c r="F74" s="1434"/>
    </row>
  </sheetData>
  <mergeCells count="4">
    <mergeCell ref="A1:B8"/>
    <mergeCell ref="C1:G5"/>
    <mergeCell ref="C6:G8"/>
    <mergeCell ref="E9:G9"/>
  </mergeCells>
  <phoneticPr fontId="22" type="noConversion"/>
  <printOptions horizontalCentered="1"/>
  <pageMargins left="0.70866141732283472" right="0.70866141732283472" top="0.74803149606299213" bottom="0.74803149606299213" header="0.31496062992125984" footer="0.31496062992125984"/>
  <pageSetup scale="57"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7DDCF4-3869-4EBB-99AA-CA74B8C425AE}">
  <dimension ref="A1:D43"/>
  <sheetViews>
    <sheetView view="pageBreakPreview" topLeftCell="A16" zoomScaleNormal="100" zoomScaleSheetLayoutView="100" workbookViewId="0">
      <selection activeCell="A33" sqref="A33"/>
    </sheetView>
  </sheetViews>
  <sheetFormatPr baseColWidth="10" defaultColWidth="11.42578125" defaultRowHeight="12.75"/>
  <cols>
    <col min="1" max="1" width="12.42578125" style="1308" customWidth="1"/>
    <col min="2" max="2" width="42.7109375" style="1308" customWidth="1"/>
    <col min="3" max="3" width="16.5703125" style="1308" customWidth="1"/>
    <col min="4" max="4" width="14" style="1308" customWidth="1"/>
    <col min="5" max="7" width="11.42578125" style="1308"/>
    <col min="8" max="8" width="0" style="1308" hidden="1" customWidth="1"/>
    <col min="9" max="16384" width="11.42578125" style="1308"/>
  </cols>
  <sheetData>
    <row r="1" spans="1:4" ht="12.75" customHeight="1">
      <c r="A1" s="1862"/>
      <c r="B1" s="1863" t="str">
        <f>+PRESUPUESTO!A9</f>
        <v>“CONSTRUCCIÓN DE LA PRIMERA FASE DEL ALCANTARILLADO SANITARIO PARA LA RECOLECCIÓN DE LAS AGUAS RESIDUALES DEL CENTRO POBLADO CACHIMBAL DEL MUNICIPIO DE GUADALUPE, DEPARTAMENTO DEL HUILA”</v>
      </c>
      <c r="C1" s="1864"/>
      <c r="D1" s="1862"/>
    </row>
    <row r="2" spans="1:4">
      <c r="A2" s="1862"/>
      <c r="B2" s="1865"/>
      <c r="C2" s="1866"/>
      <c r="D2" s="1862"/>
    </row>
    <row r="3" spans="1:4">
      <c r="A3" s="1862"/>
      <c r="B3" s="1865"/>
      <c r="C3" s="1866"/>
      <c r="D3" s="1862"/>
    </row>
    <row r="4" spans="1:4">
      <c r="A4" s="1862"/>
      <c r="B4" s="1865"/>
      <c r="C4" s="1866"/>
      <c r="D4" s="1862"/>
    </row>
    <row r="5" spans="1:4">
      <c r="A5" s="1862"/>
      <c r="B5" s="1865"/>
      <c r="C5" s="1866"/>
      <c r="D5" s="1862"/>
    </row>
    <row r="6" spans="1:4">
      <c r="A6" s="1862"/>
      <c r="B6" s="1865"/>
      <c r="C6" s="1866"/>
      <c r="D6" s="1862"/>
    </row>
    <row r="7" spans="1:4">
      <c r="A7" s="1869" t="s">
        <v>2357</v>
      </c>
      <c r="B7" s="1865"/>
      <c r="C7" s="1866"/>
      <c r="D7" s="1871" t="s">
        <v>2670</v>
      </c>
    </row>
    <row r="8" spans="1:4">
      <c r="A8" s="1870"/>
      <c r="B8" s="1867"/>
      <c r="C8" s="1868"/>
      <c r="D8" s="1872"/>
    </row>
    <row r="9" spans="1:4" s="1521" customFormat="1">
      <c r="A9" s="1861" t="s">
        <v>2650</v>
      </c>
      <c r="B9" s="1861"/>
      <c r="C9" s="1861"/>
      <c r="D9" s="1861"/>
    </row>
    <row r="10" spans="1:4" s="1521" customFormat="1">
      <c r="A10" s="1530"/>
      <c r="B10" s="1531"/>
      <c r="C10" s="1531"/>
      <c r="D10" s="1532"/>
    </row>
    <row r="11" spans="1:4" s="1521" customFormat="1">
      <c r="A11" s="1536"/>
      <c r="B11" s="1536" t="s">
        <v>2668</v>
      </c>
      <c r="C11" s="1537"/>
      <c r="D11" s="1538">
        <f>+PRESUPUESTO!F78</f>
        <v>692368643</v>
      </c>
    </row>
    <row r="12" spans="1:4" s="1521" customFormat="1">
      <c r="A12" s="1533"/>
      <c r="B12" s="1534"/>
      <c r="C12" s="1534"/>
      <c r="D12" s="1535"/>
    </row>
    <row r="13" spans="1:4" s="1523" customFormat="1">
      <c r="A13" s="1522" t="s">
        <v>538</v>
      </c>
      <c r="B13" s="1522" t="s">
        <v>2651</v>
      </c>
      <c r="C13" s="1522" t="s">
        <v>1817</v>
      </c>
      <c r="D13" s="1522" t="s">
        <v>2669</v>
      </c>
    </row>
    <row r="14" spans="1:4" s="1523" customFormat="1">
      <c r="A14" s="1522">
        <v>1</v>
      </c>
      <c r="B14" s="1539" t="s">
        <v>2658</v>
      </c>
      <c r="C14" s="1522"/>
      <c r="D14" s="1522"/>
    </row>
    <row r="15" spans="1:4">
      <c r="A15" s="1524">
        <v>1.1000000000000001</v>
      </c>
      <c r="B15" s="1405" t="s">
        <v>2652</v>
      </c>
      <c r="C15" s="1525">
        <v>0.02</v>
      </c>
      <c r="D15" s="1390">
        <f t="shared" ref="D15:D20" si="0">+C15*$D$11</f>
        <v>13847372.859999999</v>
      </c>
    </row>
    <row r="16" spans="1:4">
      <c r="A16" s="1524">
        <v>1.2</v>
      </c>
      <c r="B16" s="1405" t="s">
        <v>2005</v>
      </c>
      <c r="C16" s="1525">
        <v>1.4999999999999999E-2</v>
      </c>
      <c r="D16" s="1390">
        <f t="shared" si="0"/>
        <v>10385529.645</v>
      </c>
    </row>
    <row r="17" spans="1:4">
      <c r="A17" s="1524">
        <v>1.3</v>
      </c>
      <c r="B17" s="1405" t="s">
        <v>2653</v>
      </c>
      <c r="C17" s="1525">
        <v>5.0000000000000001E-3</v>
      </c>
      <c r="D17" s="1390">
        <f t="shared" si="0"/>
        <v>3461843.2149999999</v>
      </c>
    </row>
    <row r="18" spans="1:4">
      <c r="A18" s="1524">
        <v>1.4</v>
      </c>
      <c r="B18" s="1405" t="s">
        <v>2654</v>
      </c>
      <c r="C18" s="1525">
        <v>1.4999999999999999E-2</v>
      </c>
      <c r="D18" s="1390">
        <f t="shared" si="0"/>
        <v>10385529.645</v>
      </c>
    </row>
    <row r="19" spans="1:4">
      <c r="A19" s="1524">
        <v>1.5</v>
      </c>
      <c r="B19" s="1405" t="s">
        <v>2655</v>
      </c>
      <c r="C19" s="1525">
        <v>0.01</v>
      </c>
      <c r="D19" s="1390">
        <f t="shared" si="0"/>
        <v>6923686.4299999997</v>
      </c>
    </row>
    <row r="20" spans="1:4">
      <c r="A20" s="1524">
        <v>1.6</v>
      </c>
      <c r="B20" s="1405" t="s">
        <v>2657</v>
      </c>
      <c r="C20" s="1525">
        <v>1.7000000000000001E-2</v>
      </c>
      <c r="D20" s="1390">
        <f t="shared" si="0"/>
        <v>11770266.931000002</v>
      </c>
    </row>
    <row r="21" spans="1:4">
      <c r="A21" s="1524"/>
      <c r="B21" s="1526" t="s">
        <v>2656</v>
      </c>
      <c r="C21" s="1527">
        <f>SUM(C15:C20)</f>
        <v>8.2000000000000003E-2</v>
      </c>
      <c r="D21" s="1529">
        <f>SUM(D15:D20)</f>
        <v>56774228.725999996</v>
      </c>
    </row>
    <row r="22" spans="1:4">
      <c r="A22" s="1524"/>
      <c r="B22" s="1405"/>
      <c r="C22" s="1525"/>
      <c r="D22" s="1390"/>
    </row>
    <row r="23" spans="1:4" s="1521" customFormat="1">
      <c r="A23" s="1522">
        <v>2</v>
      </c>
      <c r="B23" s="1526" t="s">
        <v>2659</v>
      </c>
      <c r="C23" s="1527"/>
      <c r="D23" s="1529"/>
    </row>
    <row r="24" spans="1:4">
      <c r="A24" s="1524">
        <v>2.1</v>
      </c>
      <c r="B24" s="1405" t="s">
        <v>2660</v>
      </c>
      <c r="C24" s="1525">
        <v>1E-3</v>
      </c>
      <c r="D24" s="1390">
        <f>+C24*$D$11</f>
        <v>692368.64300000004</v>
      </c>
    </row>
    <row r="25" spans="1:4">
      <c r="A25" s="1524">
        <v>2.2000000000000002</v>
      </c>
      <c r="B25" s="1405" t="s">
        <v>2661</v>
      </c>
      <c r="C25" s="1525">
        <v>2E-3</v>
      </c>
      <c r="D25" s="1390">
        <f>+C25*$D$11</f>
        <v>1384737.2860000001</v>
      </c>
    </row>
    <row r="26" spans="1:4">
      <c r="A26" s="1524">
        <v>2.2999999999999998</v>
      </c>
      <c r="B26" s="1405" t="s">
        <v>2662</v>
      </c>
      <c r="C26" s="1525">
        <v>5.0000000000000001E-3</v>
      </c>
      <c r="D26" s="1390">
        <f>+C26*$D$11</f>
        <v>3461843.2149999999</v>
      </c>
    </row>
    <row r="27" spans="1:4">
      <c r="A27" s="1524">
        <v>2.4</v>
      </c>
      <c r="B27" s="1405" t="s">
        <v>2663</v>
      </c>
      <c r="C27" s="1525">
        <v>5.0000000000000001E-3</v>
      </c>
      <c r="D27" s="1390">
        <f>+C27*$D$11</f>
        <v>3461843.2149999999</v>
      </c>
    </row>
    <row r="28" spans="1:4" s="1521" customFormat="1">
      <c r="A28" s="1522"/>
      <c r="B28" s="1526" t="s">
        <v>2008</v>
      </c>
      <c r="C28" s="1527">
        <f>SUM(C24:C27)</f>
        <v>1.3000000000000001E-2</v>
      </c>
      <c r="D28" s="1529">
        <f>SUM(D24:D27)</f>
        <v>9000792.3589999992</v>
      </c>
    </row>
    <row r="29" spans="1:4">
      <c r="A29" s="1524"/>
      <c r="B29" s="1405"/>
      <c r="C29" s="1389"/>
      <c r="D29" s="1390"/>
    </row>
    <row r="30" spans="1:4" s="1521" customFormat="1">
      <c r="A30" s="1522">
        <v>3</v>
      </c>
      <c r="B30" s="1526" t="s">
        <v>2667</v>
      </c>
      <c r="C30" s="1528"/>
      <c r="D30" s="1529"/>
    </row>
    <row r="31" spans="1:4">
      <c r="A31" s="1524">
        <v>3.1</v>
      </c>
      <c r="B31" s="1405" t="s">
        <v>2664</v>
      </c>
      <c r="C31" s="1525">
        <v>5.0000000000000001E-3</v>
      </c>
      <c r="D31" s="1390">
        <f>+C31*$D$11</f>
        <v>3461843.2149999999</v>
      </c>
    </row>
    <row r="32" spans="1:4" s="1521" customFormat="1">
      <c r="A32" s="1522"/>
      <c r="B32" s="1526" t="s">
        <v>2666</v>
      </c>
      <c r="C32" s="1527">
        <f>+C31</f>
        <v>5.0000000000000001E-3</v>
      </c>
      <c r="D32" s="1529">
        <f>SUM(D31)</f>
        <v>3461843.2149999999</v>
      </c>
    </row>
    <row r="33" spans="1:4">
      <c r="A33" s="1405"/>
      <c r="B33" s="1405"/>
      <c r="C33" s="1389"/>
      <c r="D33" s="1390"/>
    </row>
    <row r="34" spans="1:4" s="1521" customFormat="1">
      <c r="A34" s="1526"/>
      <c r="B34" s="1526" t="s">
        <v>2665</v>
      </c>
      <c r="C34" s="1527">
        <f>+C21+C28+C32</f>
        <v>0.1</v>
      </c>
      <c r="D34" s="1529">
        <f>ROUND(D21+D28+D32,0)</f>
        <v>69236864</v>
      </c>
    </row>
    <row r="35" spans="1:4">
      <c r="C35" s="1433"/>
    </row>
    <row r="36" spans="1:4">
      <c r="C36" s="1433"/>
    </row>
    <row r="37" spans="1:4">
      <c r="C37" s="1433"/>
    </row>
    <row r="38" spans="1:4">
      <c r="C38" s="1433"/>
    </row>
    <row r="39" spans="1:4">
      <c r="C39" s="1433"/>
    </row>
    <row r="40" spans="1:4">
      <c r="A40" s="1308" t="str">
        <f>+PRESUPUESTO!A100</f>
        <v>______________________________________________</v>
      </c>
      <c r="C40" s="1433"/>
    </row>
    <row r="41" spans="1:4">
      <c r="A41" s="1521" t="str">
        <f>+PRESUPUESTO!A101</f>
        <v>Ing. JHON FREDY GARCIA MENDEZ</v>
      </c>
    </row>
    <row r="42" spans="1:4">
      <c r="A42" s="1308" t="str">
        <f>+PRESUPUESTO!A102</f>
        <v>Esp. EN AGUAS Y SANEAMIENTO AMBIENTAL</v>
      </c>
    </row>
    <row r="43" spans="1:4">
      <c r="A43" s="1308" t="str">
        <f>+PRESUPUESTO!A103</f>
        <v>M.P.  70268-326294 TLM.</v>
      </c>
    </row>
  </sheetData>
  <mergeCells count="6">
    <mergeCell ref="A9:D9"/>
    <mergeCell ref="A1:A6"/>
    <mergeCell ref="D1:D6"/>
    <mergeCell ref="B1:C8"/>
    <mergeCell ref="A7:A8"/>
    <mergeCell ref="D7:D8"/>
  </mergeCells>
  <printOptions horizontalCentered="1"/>
  <pageMargins left="0.70866141732283472" right="0.70866141732283472" top="0.74803149606299213" bottom="0.74803149606299213" header="0.31496062992125984" footer="0.31496062992125984"/>
  <pageSetup paperSize="9" orientation="portrait" r:id="rId1"/>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10">
    <tabColor theme="2" tint="-9.9978637043366805E-2"/>
  </sheetPr>
  <dimension ref="A1:F31"/>
  <sheetViews>
    <sheetView view="pageBreakPreview" topLeftCell="A18" zoomScale="80" zoomScaleNormal="100" zoomScaleSheetLayoutView="80" workbookViewId="0">
      <selection activeCell="H27" sqref="H27"/>
    </sheetView>
  </sheetViews>
  <sheetFormatPr baseColWidth="10" defaultColWidth="11.42578125" defaultRowHeight="12.75"/>
  <cols>
    <col min="1" max="1" width="27.42578125" style="1308" customWidth="1"/>
    <col min="2" max="2" width="61.5703125" style="1308" customWidth="1"/>
    <col min="3" max="4" width="11.42578125" style="1308"/>
    <col min="5" max="5" width="16.42578125" style="1308" customWidth="1"/>
    <col min="6" max="6" width="18.28515625" style="1308" customWidth="1"/>
    <col min="7" max="16384" width="11.42578125" style="1308"/>
  </cols>
  <sheetData>
    <row r="1" spans="1:6">
      <c r="A1" s="1545"/>
      <c r="B1" s="1545"/>
      <c r="C1" s="1545"/>
      <c r="D1" s="1545"/>
      <c r="E1" s="1545"/>
      <c r="F1" s="1545"/>
    </row>
    <row r="2" spans="1:6" ht="18">
      <c r="A2" s="1876" t="s">
        <v>1884</v>
      </c>
      <c r="B2" s="1876"/>
      <c r="C2" s="1876"/>
      <c r="D2" s="1876"/>
      <c r="E2" s="1876"/>
      <c r="F2" s="1876"/>
    </row>
    <row r="3" spans="1:6" ht="21" customHeight="1">
      <c r="A3" s="1546" t="s">
        <v>1885</v>
      </c>
      <c r="B3" s="1877" t="s">
        <v>1886</v>
      </c>
      <c r="C3" s="1877"/>
      <c r="D3" s="1877"/>
      <c r="E3" s="1877"/>
      <c r="F3" s="1877"/>
    </row>
    <row r="4" spans="1:6" ht="45" customHeight="1">
      <c r="A4" s="1546" t="s">
        <v>1887</v>
      </c>
      <c r="B4" s="1878" t="str">
        <f>+AIU!C1</f>
        <v>“CONSTRUCCIÓN DE LA PRIMERA FASE DEL ALCANTARILLADO SANITARIO PARA LA RECOLECCIÓN DE LAS AGUAS RESIDUALES DEL CENTRO POBLADO CACHIMBAL DEL MUNICIPIO DE GUADALUPE, DEPARTAMENTO DEL HUILA”</v>
      </c>
      <c r="C4" s="1879"/>
      <c r="D4" s="1879"/>
      <c r="E4" s="1879"/>
      <c r="F4" s="1879"/>
    </row>
    <row r="5" spans="1:6" ht="16.5">
      <c r="A5" s="1546" t="s">
        <v>1888</v>
      </c>
      <c r="B5" s="1880">
        <v>7</v>
      </c>
      <c r="C5" s="1880"/>
      <c r="D5" s="1880"/>
      <c r="E5" s="1880"/>
      <c r="F5" s="1880"/>
    </row>
    <row r="6" spans="1:6" ht="16.5">
      <c r="A6" s="1546" t="s">
        <v>1889</v>
      </c>
      <c r="B6" s="1880">
        <v>1</v>
      </c>
      <c r="C6" s="1880"/>
      <c r="D6" s="1880"/>
      <c r="E6" s="1880"/>
      <c r="F6" s="1880"/>
    </row>
    <row r="7" spans="1:6" ht="18">
      <c r="A7" s="1540"/>
      <c r="B7" s="1881"/>
      <c r="C7" s="1881"/>
      <c r="D7" s="1881"/>
      <c r="E7" s="1881"/>
      <c r="F7" s="1881"/>
    </row>
    <row r="8" spans="1:6" ht="18">
      <c r="A8" s="1873" t="s">
        <v>1890</v>
      </c>
      <c r="B8" s="1873"/>
      <c r="C8" s="1873"/>
      <c r="D8" s="1873"/>
      <c r="E8" s="1873"/>
      <c r="F8" s="1873"/>
    </row>
    <row r="9" spans="1:6" ht="15.75">
      <c r="A9" s="1548" t="s">
        <v>1891</v>
      </c>
      <c r="B9" s="1548" t="s">
        <v>1892</v>
      </c>
      <c r="C9" s="1548" t="s">
        <v>2505</v>
      </c>
      <c r="D9" s="1548" t="s">
        <v>539</v>
      </c>
      <c r="E9" s="1549" t="s">
        <v>1893</v>
      </c>
      <c r="F9" s="1548" t="s">
        <v>1894</v>
      </c>
    </row>
    <row r="10" spans="1:6" ht="49.5">
      <c r="A10" s="1550" t="s">
        <v>1895</v>
      </c>
      <c r="B10" s="1551" t="s">
        <v>1896</v>
      </c>
      <c r="C10" s="1547" t="s">
        <v>622</v>
      </c>
      <c r="D10" s="1552">
        <v>2</v>
      </c>
      <c r="E10" s="1553">
        <v>1420000</v>
      </c>
      <c r="F10" s="1554">
        <f>D10*E10</f>
        <v>2840000</v>
      </c>
    </row>
    <row r="11" spans="1:6" ht="49.5">
      <c r="A11" s="1550" t="s">
        <v>1897</v>
      </c>
      <c r="B11" s="1555" t="s">
        <v>1898</v>
      </c>
      <c r="C11" s="1547" t="s">
        <v>622</v>
      </c>
      <c r="D11" s="1552">
        <v>3</v>
      </c>
      <c r="E11" s="1553">
        <v>500000</v>
      </c>
      <c r="F11" s="1554">
        <f t="shared" ref="F11:F18" si="0">D11*E11</f>
        <v>1500000</v>
      </c>
    </row>
    <row r="12" spans="1:6" ht="115.5">
      <c r="A12" s="1556" t="s">
        <v>1899</v>
      </c>
      <c r="B12" s="1557" t="s">
        <v>1900</v>
      </c>
      <c r="C12" s="1547" t="s">
        <v>622</v>
      </c>
      <c r="D12" s="1552">
        <v>2</v>
      </c>
      <c r="E12" s="1558">
        <v>1995500</v>
      </c>
      <c r="F12" s="1554">
        <f t="shared" si="0"/>
        <v>3991000</v>
      </c>
    </row>
    <row r="13" spans="1:6" ht="97.9" customHeight="1">
      <c r="A13" s="1556" t="s">
        <v>1901</v>
      </c>
      <c r="B13" s="1559" t="s">
        <v>1902</v>
      </c>
      <c r="C13" s="1547" t="s">
        <v>622</v>
      </c>
      <c r="D13" s="1552">
        <v>2</v>
      </c>
      <c r="E13" s="1558">
        <v>300000</v>
      </c>
      <c r="F13" s="1554">
        <f t="shared" si="0"/>
        <v>600000</v>
      </c>
    </row>
    <row r="14" spans="1:6" ht="44.45" customHeight="1">
      <c r="A14" s="1556" t="s">
        <v>1903</v>
      </c>
      <c r="B14" s="1559" t="s">
        <v>1904</v>
      </c>
      <c r="C14" s="1547" t="s">
        <v>622</v>
      </c>
      <c r="D14" s="1552">
        <v>4</v>
      </c>
      <c r="E14" s="1558">
        <v>380000</v>
      </c>
      <c r="F14" s="1554">
        <f t="shared" si="0"/>
        <v>1520000</v>
      </c>
    </row>
    <row r="15" spans="1:6" ht="49.5">
      <c r="A15" s="1556" t="s">
        <v>1905</v>
      </c>
      <c r="B15" s="1557" t="s">
        <v>1906</v>
      </c>
      <c r="C15" s="1547" t="s">
        <v>622</v>
      </c>
      <c r="D15" s="1552">
        <v>2</v>
      </c>
      <c r="E15" s="1558">
        <v>200000</v>
      </c>
      <c r="F15" s="1554">
        <f t="shared" si="0"/>
        <v>400000</v>
      </c>
    </row>
    <row r="16" spans="1:6" ht="33">
      <c r="A16" s="1556" t="s">
        <v>1907</v>
      </c>
      <c r="B16" s="1551" t="s">
        <v>1908</v>
      </c>
      <c r="C16" s="1547" t="s">
        <v>1855</v>
      </c>
      <c r="D16" s="1552">
        <v>7</v>
      </c>
      <c r="E16" s="1558">
        <v>300000</v>
      </c>
      <c r="F16" s="1554">
        <f t="shared" si="0"/>
        <v>2100000</v>
      </c>
    </row>
    <row r="17" spans="1:6" ht="49.5">
      <c r="A17" s="1550" t="s">
        <v>1909</v>
      </c>
      <c r="B17" s="1557" t="s">
        <v>1910</v>
      </c>
      <c r="C17" s="1547" t="s">
        <v>622</v>
      </c>
      <c r="D17" s="1552">
        <v>1</v>
      </c>
      <c r="E17" s="1558">
        <v>395000</v>
      </c>
      <c r="F17" s="1554">
        <f t="shared" si="0"/>
        <v>395000</v>
      </c>
    </row>
    <row r="18" spans="1:6" ht="264">
      <c r="A18" s="1550" t="s">
        <v>1911</v>
      </c>
      <c r="B18" s="1557" t="s">
        <v>1912</v>
      </c>
      <c r="C18" s="1547" t="s">
        <v>622</v>
      </c>
      <c r="D18" s="1560">
        <v>1</v>
      </c>
      <c r="E18" s="1558">
        <v>850000</v>
      </c>
      <c r="F18" s="1554">
        <f t="shared" si="0"/>
        <v>850000</v>
      </c>
    </row>
    <row r="19" spans="1:6" ht="16.5">
      <c r="A19" s="1874" t="s">
        <v>1913</v>
      </c>
      <c r="B19" s="1874"/>
      <c r="C19" s="1874"/>
      <c r="D19" s="1874"/>
      <c r="E19" s="1874"/>
      <c r="F19" s="1561">
        <f>ROUND((SUM(F10:F18)),0)</f>
        <v>14196000</v>
      </c>
    </row>
    <row r="20" spans="1:6" ht="15.75">
      <c r="A20" s="1562"/>
      <c r="B20" s="1562"/>
      <c r="C20" s="1562"/>
      <c r="D20" s="1562"/>
      <c r="E20" s="1562"/>
      <c r="F20" s="1562"/>
    </row>
    <row r="21" spans="1:6" ht="16.5">
      <c r="A21" s="1541" t="s">
        <v>514</v>
      </c>
      <c r="B21" s="1541" t="s">
        <v>1797</v>
      </c>
      <c r="C21" s="1542" t="s">
        <v>1855</v>
      </c>
      <c r="D21" s="1541" t="s">
        <v>1914</v>
      </c>
      <c r="E21" s="1541" t="s">
        <v>1</v>
      </c>
      <c r="F21" s="1541" t="s">
        <v>1799</v>
      </c>
    </row>
    <row r="22" spans="1:6" ht="16.5">
      <c r="A22" s="676" t="s">
        <v>1915</v>
      </c>
      <c r="B22" s="690">
        <v>1</v>
      </c>
      <c r="C22" s="1563">
        <v>7</v>
      </c>
      <c r="D22" s="1564">
        <v>0.3</v>
      </c>
      <c r="E22" s="1553">
        <v>2500000</v>
      </c>
      <c r="F22" s="1565">
        <f>B22*C22*E22*D22</f>
        <v>5250000</v>
      </c>
    </row>
    <row r="23" spans="1:6" ht="16.5">
      <c r="A23" s="1543" t="s">
        <v>1916</v>
      </c>
      <c r="B23" s="1543"/>
      <c r="C23" s="1543"/>
      <c r="D23" s="1543"/>
      <c r="E23" s="1543"/>
      <c r="F23" s="1544">
        <f>ROUND((SUM(F22:F22)),0)</f>
        <v>5250000</v>
      </c>
    </row>
    <row r="24" spans="1:6" ht="15.75">
      <c r="A24" s="1562"/>
      <c r="B24" s="1562"/>
      <c r="C24" s="1562"/>
      <c r="D24" s="1562"/>
      <c r="E24" s="1562"/>
      <c r="F24" s="1562"/>
    </row>
    <row r="25" spans="1:6" ht="23.25">
      <c r="A25" s="1875" t="s">
        <v>1917</v>
      </c>
      <c r="B25" s="1875"/>
      <c r="C25" s="1875"/>
      <c r="D25" s="1875"/>
      <c r="E25" s="1566"/>
      <c r="F25" s="1574">
        <f>ROUND(F19+F23,0)</f>
        <v>19446000</v>
      </c>
    </row>
    <row r="26" spans="1:6">
      <c r="A26" s="1545"/>
      <c r="B26" s="1545"/>
      <c r="C26" s="1545"/>
      <c r="D26" s="1545"/>
      <c r="E26" s="1545"/>
      <c r="F26" s="1545"/>
    </row>
    <row r="27" spans="1:6" ht="46.15" customHeight="1">
      <c r="A27" s="1545" t="str">
        <f>+PRESUPUESTO!A100</f>
        <v>______________________________________________</v>
      </c>
      <c r="B27" s="1545"/>
      <c r="C27" s="1545"/>
      <c r="D27" s="1545"/>
      <c r="E27" s="1545"/>
      <c r="F27" s="1567"/>
    </row>
    <row r="28" spans="1:6" ht="16.5">
      <c r="A28" s="1575" t="str">
        <f>+PRESUPUESTO!A101</f>
        <v>Ing. JHON FREDY GARCIA MENDEZ</v>
      </c>
      <c r="B28" s="1568"/>
      <c r="C28" s="1569"/>
      <c r="D28" s="1569"/>
      <c r="E28" s="1570"/>
      <c r="F28" s="1571"/>
    </row>
    <row r="29" spans="1:6" ht="16.5">
      <c r="A29" s="1545" t="str">
        <f>+PRESUPUESTO!A102</f>
        <v>Esp. EN AGUAS Y SANEAMIENTO AMBIENTAL</v>
      </c>
      <c r="B29" s="1572"/>
      <c r="C29" s="1569"/>
      <c r="D29" s="1569"/>
      <c r="E29" s="1570"/>
      <c r="F29" s="1571"/>
    </row>
    <row r="30" spans="1:6" ht="16.5">
      <c r="A30" s="1545" t="str">
        <f>+PRESUPUESTO!A103</f>
        <v>M.P.  70268-326294 TLM.</v>
      </c>
      <c r="B30" s="1573"/>
      <c r="C30" s="1569"/>
      <c r="D30" s="1569"/>
      <c r="E30" s="1570"/>
      <c r="F30" s="1571"/>
    </row>
    <row r="31" spans="1:6">
      <c r="A31" s="1545" t="str">
        <f>+PRESUPUESTO!A104</f>
        <v>CONSULTOR</v>
      </c>
    </row>
  </sheetData>
  <mergeCells count="9">
    <mergeCell ref="A8:F8"/>
    <mergeCell ref="A19:E19"/>
    <mergeCell ref="A25:D25"/>
    <mergeCell ref="A2:F2"/>
    <mergeCell ref="B3:F3"/>
    <mergeCell ref="B4:F4"/>
    <mergeCell ref="B5:F5"/>
    <mergeCell ref="B6:F6"/>
    <mergeCell ref="B7:F7"/>
  </mergeCells>
  <pageMargins left="0.7" right="0.7" top="0.75" bottom="0.75" header="0.3" footer="0.3"/>
  <pageSetup scale="60" orientation="portrait" r:id="rId1"/>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11">
    <tabColor theme="2" tint="-9.9978637043366805E-2"/>
  </sheetPr>
  <dimension ref="A1:F33"/>
  <sheetViews>
    <sheetView view="pageBreakPreview" topLeftCell="A12" zoomScale="80" zoomScaleNormal="100" zoomScaleSheetLayoutView="80" workbookViewId="0"/>
  </sheetViews>
  <sheetFormatPr baseColWidth="10" defaultRowHeight="12.75"/>
  <cols>
    <col min="2" max="2" width="67.7109375" customWidth="1"/>
    <col min="4" max="4" width="13.28515625" customWidth="1"/>
    <col min="5" max="5" width="13.7109375" customWidth="1"/>
    <col min="6" max="6" width="19.28515625" customWidth="1"/>
  </cols>
  <sheetData>
    <row r="1" spans="1:6" ht="13.5" thickBot="1">
      <c r="A1" s="95"/>
      <c r="B1" s="95"/>
      <c r="C1" s="95"/>
      <c r="D1" s="95"/>
      <c r="E1" s="95"/>
      <c r="F1" s="95"/>
    </row>
    <row r="2" spans="1:6">
      <c r="A2" s="1882" t="str">
        <f>+PAGA!B4</f>
        <v>“CONSTRUCCIÓN DE LA PRIMERA FASE DEL ALCANTARILLADO SANITARIO PARA LA RECOLECCIÓN DE LAS AGUAS RESIDUALES DEL CENTRO POBLADO CACHIMBAL DEL MUNICIPIO DE GUADALUPE, DEPARTAMENTO DEL HUILA”</v>
      </c>
      <c r="B2" s="1883"/>
      <c r="C2" s="1883"/>
      <c r="D2" s="1883"/>
      <c r="E2" s="1883"/>
      <c r="F2" s="1884"/>
    </row>
    <row r="3" spans="1:6" ht="27" customHeight="1" thickBot="1">
      <c r="A3" s="1885"/>
      <c r="B3" s="1886"/>
      <c r="C3" s="1886"/>
      <c r="D3" s="1886"/>
      <c r="E3" s="1886"/>
      <c r="F3" s="1887"/>
    </row>
    <row r="4" spans="1:6">
      <c r="A4" s="1888" t="s">
        <v>1796</v>
      </c>
      <c r="B4" s="1889"/>
      <c r="C4" s="1889"/>
      <c r="D4" s="1889"/>
      <c r="E4" s="1889"/>
      <c r="F4" s="1890"/>
    </row>
    <row r="5" spans="1:6" ht="13.5" thickBot="1">
      <c r="A5" s="1891"/>
      <c r="B5" s="1892"/>
      <c r="C5" s="1892"/>
      <c r="D5" s="1892"/>
      <c r="E5" s="1892"/>
      <c r="F5" s="1893"/>
    </row>
    <row r="6" spans="1:6" ht="17.25" thickBot="1">
      <c r="A6" s="624"/>
      <c r="B6" s="624"/>
      <c r="C6" s="624"/>
      <c r="D6" s="624"/>
      <c r="E6" s="624"/>
      <c r="F6" s="624"/>
    </row>
    <row r="7" spans="1:6" ht="17.25" thickBot="1">
      <c r="A7" s="625" t="s">
        <v>538</v>
      </c>
      <c r="B7" s="625" t="s">
        <v>521</v>
      </c>
      <c r="C7" s="625" t="s">
        <v>622</v>
      </c>
      <c r="D7" s="625" t="s">
        <v>1797</v>
      </c>
      <c r="E7" s="626" t="s">
        <v>1798</v>
      </c>
      <c r="F7" s="627" t="s">
        <v>1799</v>
      </c>
    </row>
    <row r="8" spans="1:6" ht="16.5">
      <c r="A8" s="628"/>
      <c r="B8" s="629"/>
      <c r="C8" s="630"/>
      <c r="D8" s="631"/>
      <c r="E8" s="632"/>
      <c r="F8" s="633"/>
    </row>
    <row r="9" spans="1:6" ht="16.5">
      <c r="A9" s="634"/>
      <c r="B9" s="635" t="s">
        <v>1800</v>
      </c>
      <c r="C9" s="636"/>
      <c r="D9" s="636"/>
      <c r="E9" s="636"/>
      <c r="F9" s="637"/>
    </row>
    <row r="10" spans="1:6" ht="17.25" thickBot="1">
      <c r="A10" s="638"/>
      <c r="B10" s="639"/>
      <c r="C10" s="640"/>
      <c r="D10" s="641"/>
      <c r="E10" s="642"/>
      <c r="F10" s="643"/>
    </row>
    <row r="11" spans="1:6" ht="17.25" thickBot="1">
      <c r="A11" s="644"/>
      <c r="B11" s="645" t="s">
        <v>1801</v>
      </c>
      <c r="C11" s="646"/>
      <c r="D11" s="647"/>
      <c r="E11" s="648"/>
      <c r="F11" s="649"/>
    </row>
    <row r="12" spans="1:6" ht="16.5">
      <c r="A12" s="691">
        <v>1</v>
      </c>
      <c r="B12" s="650" t="s">
        <v>1802</v>
      </c>
      <c r="C12" s="651" t="s">
        <v>622</v>
      </c>
      <c r="D12" s="678">
        <v>50</v>
      </c>
      <c r="E12" s="679">
        <v>52500</v>
      </c>
      <c r="F12" s="680">
        <f t="shared" ref="F12:F17" si="0">D12*E12</f>
        <v>2625000</v>
      </c>
    </row>
    <row r="13" spans="1:6" ht="16.5">
      <c r="A13" s="691">
        <v>2</v>
      </c>
      <c r="B13" s="650" t="s">
        <v>1803</v>
      </c>
      <c r="C13" s="651" t="s">
        <v>622</v>
      </c>
      <c r="D13" s="678">
        <v>18</v>
      </c>
      <c r="E13" s="679">
        <v>475000</v>
      </c>
      <c r="F13" s="680">
        <f t="shared" si="0"/>
        <v>8550000</v>
      </c>
    </row>
    <row r="14" spans="1:6" ht="16.5">
      <c r="A14" s="691">
        <v>3</v>
      </c>
      <c r="B14" s="650" t="s">
        <v>2284</v>
      </c>
      <c r="C14" s="651" t="s">
        <v>622</v>
      </c>
      <c r="D14" s="678">
        <v>30</v>
      </c>
      <c r="E14" s="679">
        <v>16500</v>
      </c>
      <c r="F14" s="680">
        <f t="shared" si="0"/>
        <v>495000</v>
      </c>
    </row>
    <row r="15" spans="1:6" ht="42" customHeight="1">
      <c r="A15" s="691">
        <v>4</v>
      </c>
      <c r="B15" s="677" t="s">
        <v>2285</v>
      </c>
      <c r="C15" s="651" t="s">
        <v>622</v>
      </c>
      <c r="D15" s="678">
        <v>35</v>
      </c>
      <c r="E15" s="679">
        <v>185000</v>
      </c>
      <c r="F15" s="680">
        <f t="shared" si="0"/>
        <v>6475000</v>
      </c>
    </row>
    <row r="16" spans="1:6" ht="16.5">
      <c r="A16" s="691"/>
      <c r="B16" s="636" t="s">
        <v>1804</v>
      </c>
      <c r="C16" s="681"/>
      <c r="D16" s="678"/>
      <c r="E16" s="679"/>
      <c r="F16" s="682"/>
    </row>
    <row r="17" spans="1:6" ht="17.25" thickBot="1">
      <c r="A17" s="692">
        <v>5</v>
      </c>
      <c r="B17" s="652" t="s">
        <v>1805</v>
      </c>
      <c r="C17" s="653" t="s">
        <v>1806</v>
      </c>
      <c r="D17" s="683">
        <v>30</v>
      </c>
      <c r="E17" s="684">
        <v>55600</v>
      </c>
      <c r="F17" s="685">
        <f t="shared" si="0"/>
        <v>1668000</v>
      </c>
    </row>
    <row r="18" spans="1:6" ht="33.75" thickBot="1">
      <c r="A18" s="693"/>
      <c r="B18" s="645" t="s">
        <v>1807</v>
      </c>
      <c r="C18" s="646"/>
      <c r="D18" s="647"/>
      <c r="E18" s="654"/>
      <c r="F18" s="655">
        <f>ROUND(SUM(F12:F17),0)</f>
        <v>19813000</v>
      </c>
    </row>
    <row r="19" spans="1:6" ht="17.25" thickBot="1">
      <c r="A19" s="694"/>
      <c r="B19" s="657"/>
      <c r="C19" s="658"/>
      <c r="D19" s="659"/>
      <c r="E19" s="656"/>
      <c r="F19" s="660"/>
    </row>
    <row r="20" spans="1:6" ht="17.25" thickBot="1">
      <c r="A20" s="661" t="s">
        <v>1808</v>
      </c>
      <c r="B20" s="661" t="s">
        <v>514</v>
      </c>
      <c r="C20" s="661" t="s">
        <v>7</v>
      </c>
      <c r="D20" s="661" t="s">
        <v>1809</v>
      </c>
      <c r="E20" s="662" t="s">
        <v>1</v>
      </c>
      <c r="F20" s="661" t="s">
        <v>1810</v>
      </c>
    </row>
    <row r="21" spans="1:6" ht="17.25" thickBot="1">
      <c r="A21" s="695"/>
      <c r="B21" s="645" t="s">
        <v>1811</v>
      </c>
      <c r="C21" s="663"/>
      <c r="D21" s="663"/>
      <c r="E21" s="663"/>
      <c r="F21" s="664"/>
    </row>
    <row r="22" spans="1:6" ht="17.25" thickBot="1">
      <c r="A22" s="696" t="s">
        <v>2004</v>
      </c>
      <c r="B22" s="665" t="s">
        <v>1812</v>
      </c>
      <c r="C22" s="666">
        <v>1</v>
      </c>
      <c r="D22" s="667">
        <v>8</v>
      </c>
      <c r="E22" s="668">
        <v>1575000</v>
      </c>
      <c r="F22" s="669">
        <f>E22*D22*C22</f>
        <v>12600000</v>
      </c>
    </row>
    <row r="23" spans="1:6" ht="17.25" thickBot="1">
      <c r="A23" s="670" t="s">
        <v>1813</v>
      </c>
      <c r="B23" s="671"/>
      <c r="C23" s="671"/>
      <c r="D23" s="671"/>
      <c r="E23" s="671"/>
      <c r="F23" s="655">
        <f>ROUND(SUM(F22:F22),0)</f>
        <v>12600000</v>
      </c>
    </row>
    <row r="24" spans="1:6" ht="17.25" thickBot="1">
      <c r="A24" s="656"/>
      <c r="B24" s="657"/>
      <c r="C24" s="658"/>
      <c r="D24" s="659"/>
      <c r="E24" s="656"/>
      <c r="F24" s="660"/>
    </row>
    <row r="25" spans="1:6" ht="17.25" thickBot="1">
      <c r="A25" s="1894" t="s">
        <v>1814</v>
      </c>
      <c r="B25" s="1894"/>
      <c r="C25" s="1894"/>
      <c r="D25" s="1894"/>
      <c r="E25" s="1894"/>
      <c r="F25" s="686">
        <f>ROUND(F18+F23,0)</f>
        <v>32413000</v>
      </c>
    </row>
    <row r="26" spans="1:6">
      <c r="A26" s="95"/>
      <c r="B26" s="95"/>
      <c r="C26" s="95"/>
      <c r="D26" s="95"/>
      <c r="E26" s="95"/>
      <c r="F26" s="1346"/>
    </row>
    <row r="27" spans="1:6" ht="15.75">
      <c r="A27" s="672"/>
      <c r="B27" s="673"/>
      <c r="C27" s="674"/>
      <c r="D27" s="95"/>
      <c r="E27" s="95"/>
      <c r="F27" s="1297"/>
    </row>
    <row r="28" spans="1:6" ht="15.75">
      <c r="A28" s="675"/>
      <c r="B28" s="673"/>
      <c r="C28" s="674"/>
      <c r="D28" s="95"/>
      <c r="E28" s="95"/>
      <c r="F28" s="1297"/>
    </row>
    <row r="29" spans="1:6">
      <c r="A29" s="1895"/>
      <c r="B29" s="1896"/>
    </row>
    <row r="30" spans="1:6" ht="15.75">
      <c r="A30" s="1252" t="str">
        <f>+PRESUPUESTO!A101</f>
        <v>Ing. JHON FREDY GARCIA MENDEZ</v>
      </c>
      <c r="B30" s="1249"/>
    </row>
    <row r="31" spans="1:6" ht="15.75">
      <c r="A31" s="1248" t="str">
        <f>+PRESUPUESTO!A102</f>
        <v>Esp. EN AGUAS Y SANEAMIENTO AMBIENTAL</v>
      </c>
      <c r="B31" s="1250"/>
    </row>
    <row r="32" spans="1:6" ht="15.75">
      <c r="A32" s="1248" t="str">
        <f>+PRESUPUESTO!A103</f>
        <v>M.P.  70268-326294 TLM.</v>
      </c>
      <c r="B32" s="1251"/>
    </row>
    <row r="33" spans="1:2" ht="15">
      <c r="A33" s="1248" t="str">
        <f>+PRESUPUESTO!A104</f>
        <v>CONSULTOR</v>
      </c>
      <c r="B33" s="828"/>
    </row>
  </sheetData>
  <mergeCells count="4">
    <mergeCell ref="A2:F3"/>
    <mergeCell ref="A4:F5"/>
    <mergeCell ref="A25:E25"/>
    <mergeCell ref="A29:B29"/>
  </mergeCells>
  <conditionalFormatting sqref="A9:B9">
    <cfRule type="cellIs" dxfId="3" priority="1" operator="equal">
      <formula>"ESCRIBA AQUÍ EL NOMBRE DEL CAPITULO"</formula>
    </cfRule>
  </conditionalFormatting>
  <pageMargins left="0.7" right="0.7" top="0.75" bottom="0.75" header="0.3" footer="0.3"/>
  <pageSetup scale="67"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14">
    <tabColor theme="7" tint="0.79998168889431442"/>
  </sheetPr>
  <dimension ref="A1:I58"/>
  <sheetViews>
    <sheetView view="pageBreakPreview" topLeftCell="A33" zoomScaleNormal="100" zoomScaleSheetLayoutView="100" workbookViewId="0">
      <selection sqref="A1:I2"/>
    </sheetView>
  </sheetViews>
  <sheetFormatPr baseColWidth="10" defaultColWidth="11.42578125" defaultRowHeight="12.75"/>
  <cols>
    <col min="1" max="1" width="4.85546875" style="1308" customWidth="1"/>
    <col min="2" max="16384" width="11.42578125" style="1308"/>
  </cols>
  <sheetData>
    <row r="1" spans="1:9" ht="21.75" customHeight="1">
      <c r="A1" s="1906" t="s">
        <v>1815</v>
      </c>
      <c r="B1" s="1907"/>
      <c r="C1" s="1907"/>
      <c r="D1" s="1907"/>
      <c r="E1" s="1907"/>
      <c r="F1" s="1907"/>
      <c r="G1" s="1907"/>
      <c r="H1" s="1907"/>
      <c r="I1" s="1908"/>
    </row>
    <row r="2" spans="1:9" ht="21.75" customHeight="1" thickBot="1">
      <c r="A2" s="1909"/>
      <c r="B2" s="1910"/>
      <c r="C2" s="1910"/>
      <c r="D2" s="1910"/>
      <c r="E2" s="1910"/>
      <c r="F2" s="1910"/>
      <c r="G2" s="1910"/>
      <c r="H2" s="1910"/>
      <c r="I2" s="1911"/>
    </row>
    <row r="3" spans="1:9">
      <c r="A3" s="1918"/>
      <c r="B3" s="1919"/>
      <c r="C3" s="1919"/>
      <c r="D3" s="1919"/>
      <c r="E3" s="1919"/>
      <c r="F3" s="1919"/>
      <c r="G3" s="1919"/>
      <c r="H3" s="1919"/>
      <c r="I3" s="1309"/>
    </row>
    <row r="4" spans="1:9" ht="15.75">
      <c r="A4" s="1310"/>
      <c r="B4" s="1912" t="s">
        <v>1816</v>
      </c>
      <c r="C4" s="1913"/>
      <c r="D4" s="1913"/>
      <c r="E4" s="1913"/>
      <c r="F4" s="1913"/>
      <c r="G4" s="1913"/>
      <c r="H4" s="1311"/>
      <c r="I4" s="1312" t="s">
        <v>1817</v>
      </c>
    </row>
    <row r="5" spans="1:9" ht="15.75">
      <c r="A5" s="1342" t="s">
        <v>1818</v>
      </c>
      <c r="B5" s="1920" t="s">
        <v>1998</v>
      </c>
      <c r="C5" s="1921"/>
      <c r="D5" s="1921"/>
      <c r="E5" s="1921"/>
      <c r="F5" s="1921"/>
      <c r="G5" s="1921"/>
      <c r="H5" s="1921"/>
      <c r="I5" s="1922"/>
    </row>
    <row r="6" spans="1:9" ht="15.75">
      <c r="A6" s="1343"/>
      <c r="B6" s="1313"/>
      <c r="C6" s="1314"/>
      <c r="D6" s="1314"/>
      <c r="E6" s="1314"/>
      <c r="F6" s="1315"/>
      <c r="G6" s="1314"/>
      <c r="H6" s="1316"/>
      <c r="I6" s="1317"/>
    </row>
    <row r="7" spans="1:9" ht="15.75">
      <c r="A7" s="1343"/>
      <c r="B7" s="1899" t="s">
        <v>1819</v>
      </c>
      <c r="C7" s="1900"/>
      <c r="D7" s="1900"/>
      <c r="E7" s="1900"/>
      <c r="F7" s="1900"/>
      <c r="G7" s="1900"/>
      <c r="H7" s="1901"/>
      <c r="I7" s="1321">
        <v>1</v>
      </c>
    </row>
    <row r="8" spans="1:9" ht="15.75">
      <c r="A8" s="1343"/>
      <c r="B8" s="1318" t="s">
        <v>13</v>
      </c>
      <c r="C8" s="1319"/>
      <c r="D8" s="1319"/>
      <c r="E8" s="1319"/>
      <c r="F8" s="1319"/>
      <c r="G8" s="1319"/>
      <c r="H8" s="1320"/>
      <c r="I8" s="1321">
        <v>0.01</v>
      </c>
    </row>
    <row r="9" spans="1:9" ht="15.75">
      <c r="A9" s="1343"/>
      <c r="B9" s="1899" t="s">
        <v>1820</v>
      </c>
      <c r="C9" s="1900"/>
      <c r="D9" s="1900"/>
      <c r="E9" s="1322">
        <v>1</v>
      </c>
      <c r="F9" s="1323" t="s">
        <v>1821</v>
      </c>
      <c r="G9" s="1324"/>
      <c r="H9" s="1325"/>
      <c r="I9" s="1321">
        <f>1/12</f>
        <v>8.3333333333333329E-2</v>
      </c>
    </row>
    <row r="10" spans="1:9" ht="15.75">
      <c r="A10" s="1343"/>
      <c r="B10" s="1899" t="s">
        <v>1822</v>
      </c>
      <c r="C10" s="1900"/>
      <c r="D10" s="1900"/>
      <c r="E10" s="1322">
        <v>1</v>
      </c>
      <c r="F10" s="1323" t="s">
        <v>1821</v>
      </c>
      <c r="G10" s="1324"/>
      <c r="H10" s="1325"/>
      <c r="I10" s="1321">
        <f>1/12</f>
        <v>8.3333333333333329E-2</v>
      </c>
    </row>
    <row r="11" spans="1:9" ht="15.75">
      <c r="A11" s="1343"/>
      <c r="B11" s="1899" t="s">
        <v>1823</v>
      </c>
      <c r="C11" s="1900"/>
      <c r="D11" s="1900"/>
      <c r="E11" s="1322">
        <v>0.01</v>
      </c>
      <c r="F11" s="1323" t="s">
        <v>1824</v>
      </c>
      <c r="G11" s="1324"/>
      <c r="H11" s="1325"/>
      <c r="I11" s="1321">
        <v>8.3000000000000001E-3</v>
      </c>
    </row>
    <row r="12" spans="1:9" ht="15.75">
      <c r="A12" s="1343"/>
      <c r="B12" s="1899" t="s">
        <v>1825</v>
      </c>
      <c r="C12" s="1900"/>
      <c r="D12" s="1900"/>
      <c r="E12" s="1900"/>
      <c r="F12" s="1900"/>
      <c r="G12" s="1900"/>
      <c r="H12" s="1901"/>
      <c r="I12" s="1321">
        <f>+I10/2</f>
        <v>4.1666666666666664E-2</v>
      </c>
    </row>
    <row r="13" spans="1:9" ht="15.75">
      <c r="A13" s="1343"/>
      <c r="B13" s="1899" t="s">
        <v>1996</v>
      </c>
      <c r="C13" s="1900"/>
      <c r="D13" s="1900"/>
      <c r="E13" s="1900"/>
      <c r="F13" s="1900"/>
      <c r="G13" s="1900"/>
      <c r="H13" s="1901"/>
      <c r="I13" s="1321">
        <v>0.125</v>
      </c>
    </row>
    <row r="14" spans="1:9" ht="15.75">
      <c r="A14" s="1343"/>
      <c r="B14" s="1899" t="s">
        <v>32</v>
      </c>
      <c r="C14" s="1900"/>
      <c r="D14" s="1900"/>
      <c r="E14" s="1900"/>
      <c r="F14" s="1900"/>
      <c r="G14" s="1900"/>
      <c r="H14" s="1901"/>
      <c r="I14" s="1321">
        <v>0.16</v>
      </c>
    </row>
    <row r="15" spans="1:9" ht="15.75">
      <c r="A15" s="1343"/>
      <c r="B15" s="1899" t="s">
        <v>1826</v>
      </c>
      <c r="C15" s="1900"/>
      <c r="D15" s="1900"/>
      <c r="E15" s="1900"/>
      <c r="F15" s="1900"/>
      <c r="G15" s="1900"/>
      <c r="H15" s="1901"/>
      <c r="I15" s="1321">
        <v>0.04</v>
      </c>
    </row>
    <row r="16" spans="1:9" ht="15.75">
      <c r="A16" s="1343"/>
      <c r="B16" s="1899" t="s">
        <v>1827</v>
      </c>
      <c r="C16" s="1900"/>
      <c r="D16" s="1900"/>
      <c r="E16" s="1900"/>
      <c r="F16" s="1900"/>
      <c r="G16" s="1900"/>
      <c r="H16" s="1901"/>
      <c r="I16" s="1321">
        <v>6.9599999999999995E-2</v>
      </c>
    </row>
    <row r="17" spans="1:9" ht="15.75">
      <c r="A17" s="1343"/>
      <c r="B17" s="1899" t="s">
        <v>2003</v>
      </c>
      <c r="C17" s="1900"/>
      <c r="D17" s="1900"/>
      <c r="E17" s="1900"/>
      <c r="F17" s="1900"/>
      <c r="G17" s="1900"/>
      <c r="H17" s="1901"/>
      <c r="I17" s="1321">
        <v>0.02</v>
      </c>
    </row>
    <row r="18" spans="1:9" ht="15.75">
      <c r="A18" s="1343"/>
      <c r="B18" s="1899" t="s">
        <v>1828</v>
      </c>
      <c r="C18" s="1900"/>
      <c r="D18" s="1900"/>
      <c r="E18" s="1900"/>
      <c r="F18" s="1900"/>
      <c r="G18" s="1900"/>
      <c r="H18" s="1901"/>
      <c r="I18" s="1321">
        <v>0.03</v>
      </c>
    </row>
    <row r="19" spans="1:9" ht="15.75">
      <c r="A19" s="1343"/>
      <c r="B19" s="1899" t="s">
        <v>12</v>
      </c>
      <c r="C19" s="1900"/>
      <c r="D19" s="1900"/>
      <c r="E19" s="1900"/>
      <c r="F19" s="1900"/>
      <c r="G19" s="1900"/>
      <c r="H19" s="1901"/>
      <c r="I19" s="1321">
        <v>0.03</v>
      </c>
    </row>
    <row r="20" spans="1:9" ht="38.25" customHeight="1">
      <c r="A20" s="1343"/>
      <c r="B20" s="1917" t="s">
        <v>1997</v>
      </c>
      <c r="C20" s="1900"/>
      <c r="D20" s="1900"/>
      <c r="E20" s="1900"/>
      <c r="F20" s="1900"/>
      <c r="G20" s="1900"/>
      <c r="H20" s="1901"/>
      <c r="I20" s="1326">
        <v>0.04</v>
      </c>
    </row>
    <row r="21" spans="1:9" ht="15.75">
      <c r="A21" s="1343"/>
      <c r="B21" s="1327"/>
      <c r="C21" s="1324"/>
      <c r="D21" s="1324"/>
      <c r="E21" s="1324"/>
      <c r="F21" s="1914" t="s">
        <v>1829</v>
      </c>
      <c r="G21" s="1900"/>
      <c r="H21" s="1901"/>
      <c r="I21" s="1328">
        <f>ROUND(SUM(I7:I20),4)</f>
        <v>1.7412000000000001</v>
      </c>
    </row>
    <row r="22" spans="1:9" ht="15.75">
      <c r="A22" s="1344"/>
      <c r="B22" s="1324"/>
      <c r="C22" s="1324"/>
      <c r="D22" s="1324"/>
      <c r="E22" s="1324"/>
      <c r="F22" s="1330"/>
      <c r="G22" s="1324"/>
      <c r="H22" s="1322"/>
      <c r="I22" s="1331"/>
    </row>
    <row r="23" spans="1:9" ht="15.75">
      <c r="A23" s="1342" t="s">
        <v>1830</v>
      </c>
      <c r="B23" s="1915" t="s">
        <v>1999</v>
      </c>
      <c r="C23" s="1900"/>
      <c r="D23" s="1900"/>
      <c r="E23" s="1900"/>
      <c r="F23" s="1900"/>
      <c r="G23" s="1900"/>
      <c r="H23" s="1900"/>
      <c r="I23" s="1916"/>
    </row>
    <row r="24" spans="1:9" ht="15.75">
      <c r="A24" s="1343"/>
      <c r="B24" s="1327"/>
      <c r="C24" s="1324"/>
      <c r="D24" s="1324"/>
      <c r="E24" s="1324"/>
      <c r="F24" s="1330"/>
      <c r="G24" s="1324"/>
      <c r="H24" s="1322"/>
      <c r="I24" s="1331"/>
    </row>
    <row r="25" spans="1:9" ht="15.75">
      <c r="A25" s="1343"/>
      <c r="B25" s="1899" t="s">
        <v>1831</v>
      </c>
      <c r="C25" s="1900"/>
      <c r="D25" s="1900"/>
      <c r="E25" s="1900"/>
      <c r="F25" s="1900"/>
      <c r="G25" s="1900"/>
      <c r="H25" s="1901"/>
      <c r="I25" s="1321">
        <v>0.06</v>
      </c>
    </row>
    <row r="26" spans="1:9" ht="15.75">
      <c r="A26" s="1343"/>
      <c r="B26" s="1899" t="s">
        <v>1832</v>
      </c>
      <c r="C26" s="1900"/>
      <c r="D26" s="1900"/>
      <c r="E26" s="1900"/>
      <c r="F26" s="1900"/>
      <c r="G26" s="1900"/>
      <c r="H26" s="1901"/>
      <c r="I26" s="1321">
        <v>5.0000000000000001E-3</v>
      </c>
    </row>
    <row r="27" spans="1:9" ht="15.75">
      <c r="A27" s="1343"/>
      <c r="B27" s="1327"/>
      <c r="C27" s="1324"/>
      <c r="D27" s="1324"/>
      <c r="E27" s="1324"/>
      <c r="F27" s="1914" t="s">
        <v>1829</v>
      </c>
      <c r="G27" s="1900"/>
      <c r="H27" s="1901"/>
      <c r="I27" s="1328">
        <f>SUM(I25:I26)</f>
        <v>6.5000000000000002E-2</v>
      </c>
    </row>
    <row r="28" spans="1:9" ht="15.75">
      <c r="A28" s="1344"/>
      <c r="B28" s="1324"/>
      <c r="C28" s="1324"/>
      <c r="D28" s="1324"/>
      <c r="E28" s="1324"/>
      <c r="F28" s="1330"/>
      <c r="G28" s="1324"/>
      <c r="H28" s="1322"/>
      <c r="I28" s="1331"/>
    </row>
    <row r="29" spans="1:9" ht="15.75">
      <c r="A29" s="1342" t="s">
        <v>1833</v>
      </c>
      <c r="B29" s="1915" t="s">
        <v>2000</v>
      </c>
      <c r="C29" s="1900"/>
      <c r="D29" s="1900"/>
      <c r="E29" s="1900"/>
      <c r="F29" s="1900"/>
      <c r="G29" s="1900"/>
      <c r="H29" s="1900"/>
      <c r="I29" s="1916"/>
    </row>
    <row r="30" spans="1:9" ht="15.75">
      <c r="A30" s="1343"/>
      <c r="B30" s="1899" t="s">
        <v>1834</v>
      </c>
      <c r="C30" s="1900"/>
      <c r="D30" s="1900"/>
      <c r="E30" s="1900"/>
      <c r="F30" s="1900"/>
      <c r="G30" s="1900"/>
      <c r="H30" s="1901"/>
      <c r="I30" s="1321">
        <v>0.15</v>
      </c>
    </row>
    <row r="31" spans="1:9" ht="15.75">
      <c r="A31" s="1343"/>
      <c r="B31" s="1899" t="s">
        <v>1835</v>
      </c>
      <c r="C31" s="1900"/>
      <c r="D31" s="1900"/>
      <c r="E31" s="1900"/>
      <c r="F31" s="1900"/>
      <c r="G31" s="1900"/>
      <c r="H31" s="1901"/>
      <c r="I31" s="1321">
        <v>3.5000000000000003E-2</v>
      </c>
    </row>
    <row r="32" spans="1:9" ht="15.75">
      <c r="A32" s="1343"/>
      <c r="B32" s="1899" t="s">
        <v>1836</v>
      </c>
      <c r="C32" s="1900"/>
      <c r="D32" s="1900"/>
      <c r="E32" s="1900"/>
      <c r="F32" s="1900"/>
      <c r="G32" s="1900"/>
      <c r="H32" s="1901"/>
      <c r="I32" s="1321">
        <v>0.01</v>
      </c>
    </row>
    <row r="33" spans="1:9" ht="15.75">
      <c r="A33" s="1343"/>
      <c r="B33" s="1899" t="s">
        <v>1837</v>
      </c>
      <c r="C33" s="1900"/>
      <c r="D33" s="1900"/>
      <c r="E33" s="1900"/>
      <c r="F33" s="1900"/>
      <c r="G33" s="1900"/>
      <c r="H33" s="1901"/>
      <c r="I33" s="1321">
        <v>5.0000000000000001E-3</v>
      </c>
    </row>
    <row r="34" spans="1:9" ht="15.75">
      <c r="A34" s="1343"/>
      <c r="B34" s="1899" t="s">
        <v>1838</v>
      </c>
      <c r="C34" s="1900"/>
      <c r="D34" s="1900"/>
      <c r="E34" s="1900"/>
      <c r="F34" s="1900"/>
      <c r="G34" s="1900"/>
      <c r="H34" s="1901"/>
      <c r="I34" s="1321">
        <v>0.05</v>
      </c>
    </row>
    <row r="35" spans="1:9" ht="15.75">
      <c r="A35" s="1343"/>
      <c r="B35" s="1899" t="s">
        <v>1839</v>
      </c>
      <c r="C35" s="1900"/>
      <c r="D35" s="1900"/>
      <c r="E35" s="1900"/>
      <c r="F35" s="1900"/>
      <c r="G35" s="1900"/>
      <c r="H35" s="1901"/>
      <c r="I35" s="1321">
        <v>0.01</v>
      </c>
    </row>
    <row r="36" spans="1:9" ht="15.75">
      <c r="A36" s="1343"/>
      <c r="B36" s="1899" t="s">
        <v>1840</v>
      </c>
      <c r="C36" s="1900"/>
      <c r="D36" s="1900"/>
      <c r="E36" s="1900"/>
      <c r="F36" s="1900"/>
      <c r="G36" s="1900"/>
      <c r="H36" s="1901"/>
      <c r="I36" s="1321">
        <v>0.05</v>
      </c>
    </row>
    <row r="37" spans="1:9" ht="15.75">
      <c r="A37" s="1343"/>
      <c r="B37" s="1899" t="s">
        <v>1841</v>
      </c>
      <c r="C37" s="1900"/>
      <c r="D37" s="1900"/>
      <c r="E37" s="1900"/>
      <c r="F37" s="1900"/>
      <c r="G37" s="1900"/>
      <c r="H37" s="1901"/>
      <c r="I37" s="1321">
        <v>5.0000000000000001E-3</v>
      </c>
    </row>
    <row r="38" spans="1:9" ht="15.75">
      <c r="A38" s="1343"/>
      <c r="B38" s="1899" t="s">
        <v>1842</v>
      </c>
      <c r="C38" s="1900"/>
      <c r="D38" s="1900"/>
      <c r="E38" s="1900"/>
      <c r="F38" s="1900"/>
      <c r="G38" s="1900"/>
      <c r="H38" s="1901"/>
      <c r="I38" s="1321">
        <v>0.01</v>
      </c>
    </row>
    <row r="39" spans="1:9" ht="15.75">
      <c r="A39" s="1343"/>
      <c r="B39" s="1327"/>
      <c r="C39" s="1324"/>
      <c r="D39" s="1324"/>
      <c r="E39" s="1324"/>
      <c r="F39" s="1914" t="s">
        <v>1829</v>
      </c>
      <c r="G39" s="1900"/>
      <c r="H39" s="1901"/>
      <c r="I39" s="1328">
        <f>SUM(I30:I38)</f>
        <v>0.32500000000000001</v>
      </c>
    </row>
    <row r="40" spans="1:9" ht="15.75">
      <c r="A40" s="1344"/>
      <c r="B40" s="1324"/>
      <c r="C40" s="1324"/>
      <c r="D40" s="1324"/>
      <c r="E40" s="1324"/>
      <c r="F40" s="1330"/>
      <c r="G40" s="1324"/>
      <c r="H40" s="1322"/>
      <c r="I40" s="1331"/>
    </row>
    <row r="41" spans="1:9" ht="15.75">
      <c r="A41" s="1342" t="s">
        <v>1843</v>
      </c>
      <c r="B41" s="1915" t="s">
        <v>2001</v>
      </c>
      <c r="C41" s="1900"/>
      <c r="D41" s="1900"/>
      <c r="E41" s="1900"/>
      <c r="F41" s="1900"/>
      <c r="G41" s="1900"/>
      <c r="H41" s="1900"/>
      <c r="I41" s="1916"/>
    </row>
    <row r="42" spans="1:9" ht="15.75">
      <c r="A42" s="1343"/>
      <c r="B42" s="1327"/>
      <c r="C42" s="1324"/>
      <c r="D42" s="1324"/>
      <c r="E42" s="1324"/>
      <c r="F42" s="1330"/>
      <c r="G42" s="1324"/>
      <c r="H42" s="1322"/>
      <c r="I42" s="1331"/>
    </row>
    <row r="43" spans="1:9" ht="15.75">
      <c r="A43" s="1343"/>
      <c r="B43" s="1899" t="s">
        <v>1844</v>
      </c>
      <c r="C43" s="1900"/>
      <c r="D43" s="1900"/>
      <c r="E43" s="1900"/>
      <c r="F43" s="1900"/>
      <c r="G43" s="1900"/>
      <c r="H43" s="1901"/>
    </row>
    <row r="44" spans="1:9" ht="15.75">
      <c r="A44" s="1343"/>
      <c r="B44" s="1318" t="s">
        <v>1845</v>
      </c>
      <c r="C44" s="1319"/>
      <c r="D44" s="1319"/>
      <c r="E44" s="1319"/>
      <c r="F44" s="1319"/>
      <c r="G44" s="1319"/>
      <c r="H44" s="1320"/>
      <c r="I44" s="1332">
        <v>5.3E-3</v>
      </c>
    </row>
    <row r="45" spans="1:9" ht="15.75">
      <c r="A45" s="1343"/>
      <c r="B45" s="1318" t="s">
        <v>1846</v>
      </c>
      <c r="C45" s="1319"/>
      <c r="D45" s="1319"/>
      <c r="E45" s="1319"/>
      <c r="F45" s="1319"/>
      <c r="G45" s="1319"/>
      <c r="H45" s="1320"/>
      <c r="I45" s="1332">
        <v>9.8999999999999991E-3</v>
      </c>
    </row>
    <row r="46" spans="1:9" ht="15.75">
      <c r="A46" s="1343"/>
      <c r="B46" s="1318" t="s">
        <v>1847</v>
      </c>
      <c r="C46" s="1319"/>
      <c r="D46" s="1319"/>
      <c r="E46" s="1319"/>
      <c r="F46" s="1319"/>
      <c r="G46" s="1319"/>
      <c r="H46" s="1320"/>
      <c r="I46" s="1332">
        <v>2.6499999999999999E-2</v>
      </c>
    </row>
    <row r="47" spans="1:9" ht="15.75">
      <c r="A47" s="1344"/>
      <c r="B47" s="1899" t="s">
        <v>1848</v>
      </c>
      <c r="C47" s="1900"/>
      <c r="D47" s="1900"/>
      <c r="E47" s="1900"/>
      <c r="F47" s="1900" t="s">
        <v>1829</v>
      </c>
      <c r="G47" s="1900"/>
      <c r="H47" s="1901"/>
      <c r="I47" s="1328">
        <f>ROUND(SUM(I44:I46),4)</f>
        <v>4.1700000000000001E-2</v>
      </c>
    </row>
    <row r="48" spans="1:9" ht="15.75">
      <c r="A48" s="1345"/>
      <c r="B48" s="1333"/>
      <c r="C48" s="1324"/>
      <c r="D48" s="1324"/>
      <c r="E48" s="1324"/>
      <c r="F48" s="1330"/>
      <c r="G48" s="1324"/>
      <c r="H48" s="1322"/>
      <c r="I48" s="1331"/>
    </row>
    <row r="49" spans="1:9" ht="45" customHeight="1">
      <c r="A49" s="1336" t="s">
        <v>1849</v>
      </c>
      <c r="B49" s="1897" t="s">
        <v>2002</v>
      </c>
      <c r="C49" s="1898"/>
      <c r="D49" s="1898"/>
      <c r="E49" s="1898"/>
      <c r="F49" s="1898"/>
      <c r="G49" s="1898"/>
      <c r="H49" s="1334" t="s">
        <v>1829</v>
      </c>
      <c r="I49" s="1335">
        <v>0.19</v>
      </c>
    </row>
    <row r="50" spans="1:9" ht="15.75">
      <c r="A50" s="1329"/>
      <c r="B50" s="1324"/>
      <c r="C50" s="1324"/>
      <c r="D50" s="1324"/>
      <c r="E50" s="1324"/>
      <c r="F50" s="1330"/>
      <c r="G50" s="1324"/>
      <c r="H50" s="1322"/>
      <c r="I50" s="1331"/>
    </row>
    <row r="51" spans="1:9" ht="15.75">
      <c r="A51" s="1329"/>
      <c r="B51" s="1324"/>
      <c r="C51" s="1324"/>
      <c r="D51" s="1324"/>
      <c r="E51" s="1324"/>
      <c r="F51" s="1330"/>
      <c r="G51" s="1324"/>
      <c r="H51" s="1322"/>
      <c r="I51" s="1331"/>
    </row>
    <row r="52" spans="1:9" ht="15.75">
      <c r="A52" s="1902" t="s">
        <v>1850</v>
      </c>
      <c r="B52" s="1903"/>
      <c r="C52" s="1903"/>
      <c r="D52" s="1903"/>
      <c r="E52" s="1903"/>
      <c r="F52" s="1903"/>
      <c r="G52" s="1903"/>
      <c r="H52" s="1903"/>
      <c r="I52" s="1337">
        <f>ROUND(SUM(I49,I47,I39,I27,I21),2)</f>
        <v>2.36</v>
      </c>
    </row>
    <row r="53" spans="1:9" ht="16.5" thickBot="1">
      <c r="A53" s="1904"/>
      <c r="B53" s="1905"/>
      <c r="C53" s="1905"/>
      <c r="D53" s="1905"/>
      <c r="E53" s="1905"/>
      <c r="F53" s="1905"/>
      <c r="G53" s="1905"/>
      <c r="H53" s="1905"/>
      <c r="I53" s="1338">
        <f>+I52</f>
        <v>2.36</v>
      </c>
    </row>
    <row r="54" spans="1:9" ht="38.450000000000003" customHeight="1">
      <c r="A54" s="1339"/>
      <c r="B54" s="1340"/>
      <c r="C54" s="1340"/>
      <c r="D54" s="1340"/>
      <c r="E54" s="1340"/>
    </row>
    <row r="55" spans="1:9" ht="15.75">
      <c r="A55" s="1341" t="str">
        <f>+PRESUPUESTO!A101</f>
        <v>Ing. JHON FREDY GARCIA MENDEZ</v>
      </c>
    </row>
    <row r="56" spans="1:9" ht="15.75">
      <c r="A56" s="1568" t="str">
        <f>+PRESUPUESTO!A102</f>
        <v>Esp. EN AGUAS Y SANEAMIENTO AMBIENTAL</v>
      </c>
    </row>
    <row r="57" spans="1:9" ht="15.75">
      <c r="A57" s="1568" t="str">
        <f>+PRESUPUESTO!A103</f>
        <v>M.P.  70268-326294 TLM.</v>
      </c>
    </row>
    <row r="58" spans="1:9" ht="15.75">
      <c r="A58" s="1568" t="str">
        <f>+PRESUPUESTO!A104</f>
        <v>CONSULTOR</v>
      </c>
    </row>
  </sheetData>
  <mergeCells count="38">
    <mergeCell ref="A3:H3"/>
    <mergeCell ref="B5:I5"/>
    <mergeCell ref="B7:H7"/>
    <mergeCell ref="B9:D9"/>
    <mergeCell ref="B10:D10"/>
    <mergeCell ref="B11:D11"/>
    <mergeCell ref="B12:H12"/>
    <mergeCell ref="B13:H13"/>
    <mergeCell ref="B15:H15"/>
    <mergeCell ref="B16:H16"/>
    <mergeCell ref="B41:I41"/>
    <mergeCell ref="B17:H17"/>
    <mergeCell ref="B18:H18"/>
    <mergeCell ref="B19:H19"/>
    <mergeCell ref="B20:H20"/>
    <mergeCell ref="F21:H21"/>
    <mergeCell ref="B35:H35"/>
    <mergeCell ref="F27:H27"/>
    <mergeCell ref="B29:I29"/>
    <mergeCell ref="B30:H30"/>
    <mergeCell ref="B31:H31"/>
    <mergeCell ref="B32:H32"/>
    <mergeCell ref="B49:G49"/>
    <mergeCell ref="B14:H14"/>
    <mergeCell ref="B47:H47"/>
    <mergeCell ref="A52:H53"/>
    <mergeCell ref="A1:I2"/>
    <mergeCell ref="B4:G4"/>
    <mergeCell ref="B36:H36"/>
    <mergeCell ref="B37:H37"/>
    <mergeCell ref="B38:H38"/>
    <mergeCell ref="F39:H39"/>
    <mergeCell ref="B23:I23"/>
    <mergeCell ref="B25:H25"/>
    <mergeCell ref="B26:H26"/>
    <mergeCell ref="B43:H43"/>
    <mergeCell ref="B33:H33"/>
    <mergeCell ref="B34:H34"/>
  </mergeCells>
  <printOptions horizontalCentered="1"/>
  <pageMargins left="0.70866141732283472" right="0.70866141732283472" top="0.74803149606299213" bottom="0.74803149606299213" header="0.31496062992125984" footer="0.31496062992125984"/>
  <pageSetup scale="70"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15">
    <tabColor theme="7" tint="0.79998168889431442"/>
  </sheetPr>
  <dimension ref="A1:N64"/>
  <sheetViews>
    <sheetView view="pageBreakPreview" topLeftCell="A30" zoomScale="80" zoomScaleNormal="100" zoomScaleSheetLayoutView="80" workbookViewId="0">
      <selection activeCell="J10" sqref="J10"/>
    </sheetView>
  </sheetViews>
  <sheetFormatPr baseColWidth="10" defaultColWidth="11.5703125" defaultRowHeight="14.25"/>
  <cols>
    <col min="1" max="1" width="18.140625" style="1166" customWidth="1"/>
    <col min="2" max="10" width="11.7109375" style="1166" bestFit="1" customWidth="1"/>
    <col min="11" max="11" width="11.5703125" style="1166"/>
    <col min="12" max="12" width="17.28515625" style="1166" customWidth="1"/>
    <col min="13" max="13" width="11.5703125" style="1166"/>
    <col min="14" max="14" width="18.5703125" style="1166" bestFit="1" customWidth="1"/>
    <col min="15" max="16384" width="11.5703125" style="1166"/>
  </cols>
  <sheetData>
    <row r="1" spans="1:12" ht="15.75" thickBot="1">
      <c r="A1" s="1975"/>
      <c r="B1" s="1975"/>
      <c r="C1" s="1975"/>
      <c r="D1" s="1975"/>
      <c r="E1" s="1975"/>
      <c r="F1" s="1975"/>
      <c r="G1" s="1975"/>
      <c r="H1" s="1975"/>
      <c r="I1" s="1975"/>
      <c r="J1" s="1975"/>
      <c r="K1" s="1975"/>
      <c r="L1" s="1975"/>
    </row>
    <row r="2" spans="1:12" ht="15.75" thickBot="1">
      <c r="A2" s="1976" t="s">
        <v>1851</v>
      </c>
      <c r="B2" s="1977"/>
      <c r="C2" s="1977"/>
      <c r="D2" s="1977"/>
      <c r="E2" s="1977"/>
      <c r="F2" s="1977"/>
      <c r="G2" s="1977"/>
      <c r="H2" s="1977"/>
      <c r="I2" s="1977"/>
      <c r="J2" s="1977"/>
      <c r="K2" s="1977"/>
      <c r="L2" s="1978"/>
    </row>
    <row r="3" spans="1:12" ht="15">
      <c r="A3" s="1970"/>
      <c r="B3" s="1970"/>
      <c r="C3" s="1970"/>
      <c r="D3" s="1970"/>
      <c r="E3" s="1970"/>
      <c r="F3" s="1970"/>
      <c r="G3" s="1970"/>
      <c r="H3" s="1970"/>
      <c r="I3" s="1970"/>
      <c r="J3" s="1970"/>
      <c r="K3" s="1970"/>
      <c r="L3" s="1970"/>
    </row>
    <row r="4" spans="1:12" ht="15.75" thickBot="1">
      <c r="A4" s="1167"/>
      <c r="B4" s="1167"/>
      <c r="C4" s="1167"/>
      <c r="D4" s="1167"/>
      <c r="E4" s="1167"/>
      <c r="F4" s="1167"/>
      <c r="G4" s="1167"/>
      <c r="H4" s="1167"/>
      <c r="I4" s="1167"/>
      <c r="J4" s="1167"/>
      <c r="K4" s="1167"/>
      <c r="L4" s="1167"/>
    </row>
    <row r="5" spans="1:12" ht="15.75" thickBot="1">
      <c r="A5" s="1979" t="s">
        <v>1852</v>
      </c>
      <c r="B5" s="1980"/>
      <c r="C5" s="1980"/>
      <c r="D5" s="1980"/>
      <c r="E5" s="1980"/>
      <c r="F5" s="1980"/>
      <c r="G5" s="1980"/>
      <c r="H5" s="1980"/>
      <c r="I5" s="1980"/>
      <c r="J5" s="1980"/>
      <c r="K5" s="1980"/>
      <c r="L5" s="1981"/>
    </row>
    <row r="6" spans="1:12" ht="15">
      <c r="A6" s="1982" t="s">
        <v>1853</v>
      </c>
      <c r="B6" s="1984" t="s">
        <v>1854</v>
      </c>
      <c r="C6" s="1985"/>
      <c r="D6" s="1985"/>
      <c r="E6" s="1985"/>
      <c r="F6" s="1985"/>
      <c r="G6" s="1985"/>
      <c r="H6" s="1985"/>
      <c r="I6" s="1985"/>
      <c r="J6" s="1985"/>
      <c r="K6" s="1985"/>
      <c r="L6" s="1986"/>
    </row>
    <row r="7" spans="1:12" ht="15">
      <c r="A7" s="1983"/>
      <c r="B7" s="1987" t="s">
        <v>1855</v>
      </c>
      <c r="C7" s="1988"/>
      <c r="D7" s="1988"/>
      <c r="E7" s="1168"/>
      <c r="F7" s="1168"/>
      <c r="G7" s="1168"/>
      <c r="H7" s="1168"/>
      <c r="I7" s="1168"/>
      <c r="J7" s="1169"/>
      <c r="K7" s="1989" t="s">
        <v>1856</v>
      </c>
      <c r="L7" s="1990"/>
    </row>
    <row r="8" spans="1:12" ht="15">
      <c r="A8" s="1962"/>
      <c r="B8" s="1170">
        <v>1</v>
      </c>
      <c r="C8" s="1170">
        <v>2</v>
      </c>
      <c r="D8" s="1170">
        <v>3</v>
      </c>
      <c r="E8" s="1170">
        <v>4</v>
      </c>
      <c r="F8" s="1170">
        <v>5</v>
      </c>
      <c r="G8" s="1170">
        <v>6</v>
      </c>
      <c r="H8" s="1170">
        <v>7</v>
      </c>
      <c r="I8" s="1170">
        <v>8</v>
      </c>
      <c r="J8" s="1170">
        <v>9</v>
      </c>
      <c r="K8" s="1991"/>
      <c r="L8" s="1992"/>
    </row>
    <row r="9" spans="1:12" ht="15">
      <c r="A9" s="1171" t="s">
        <v>1857</v>
      </c>
      <c r="B9" s="1172"/>
      <c r="C9" s="1172"/>
      <c r="D9" s="1172"/>
      <c r="E9" s="1172"/>
      <c r="F9" s="1172"/>
      <c r="G9" s="1172"/>
      <c r="H9" s="1172"/>
      <c r="I9" s="1172"/>
      <c r="J9" s="1172"/>
      <c r="K9" s="1172"/>
      <c r="L9" s="1173"/>
    </row>
    <row r="10" spans="1:12" ht="30">
      <c r="A10" s="1174" t="s">
        <v>1858</v>
      </c>
      <c r="B10" s="1175">
        <v>0.5</v>
      </c>
      <c r="C10" s="1175">
        <f t="shared" ref="C10:E11" si="0">+B10</f>
        <v>0.5</v>
      </c>
      <c r="D10" s="1175">
        <f t="shared" si="0"/>
        <v>0.5</v>
      </c>
      <c r="E10" s="1175">
        <f t="shared" si="0"/>
        <v>0.5</v>
      </c>
      <c r="F10" s="1175">
        <f t="shared" ref="F10:I11" si="1">+E10</f>
        <v>0.5</v>
      </c>
      <c r="G10" s="1175">
        <f t="shared" si="1"/>
        <v>0.5</v>
      </c>
      <c r="H10" s="1175">
        <f t="shared" si="1"/>
        <v>0.5</v>
      </c>
      <c r="I10" s="1175">
        <f t="shared" si="1"/>
        <v>0.5</v>
      </c>
      <c r="J10" s="1176"/>
      <c r="K10" s="1942">
        <f>SUM(B10:J10)</f>
        <v>4</v>
      </c>
      <c r="L10" s="1968"/>
    </row>
    <row r="11" spans="1:12" ht="45">
      <c r="A11" s="1177" t="s">
        <v>1859</v>
      </c>
      <c r="B11" s="1175">
        <v>1</v>
      </c>
      <c r="C11" s="1175">
        <f t="shared" si="0"/>
        <v>1</v>
      </c>
      <c r="D11" s="1175">
        <f t="shared" si="0"/>
        <v>1</v>
      </c>
      <c r="E11" s="1175">
        <f t="shared" si="0"/>
        <v>1</v>
      </c>
      <c r="F11" s="1175">
        <f t="shared" si="1"/>
        <v>1</v>
      </c>
      <c r="G11" s="1175">
        <f t="shared" si="1"/>
        <v>1</v>
      </c>
      <c r="H11" s="1175">
        <f t="shared" si="1"/>
        <v>1</v>
      </c>
      <c r="I11" s="1175">
        <f t="shared" si="1"/>
        <v>1</v>
      </c>
      <c r="J11" s="1176"/>
      <c r="K11" s="1942">
        <f>SUM(B11:I11)</f>
        <v>8</v>
      </c>
      <c r="L11" s="1968"/>
    </row>
    <row r="12" spans="1:12" ht="15">
      <c r="A12" s="1178"/>
      <c r="B12" s="1175"/>
      <c r="C12" s="1175"/>
      <c r="D12" s="1175"/>
      <c r="E12" s="1175"/>
      <c r="F12" s="1175"/>
      <c r="G12" s="1175"/>
      <c r="H12" s="1175"/>
      <c r="I12" s="1175"/>
      <c r="J12" s="1176"/>
      <c r="K12" s="1176"/>
      <c r="L12" s="1741"/>
    </row>
    <row r="13" spans="1:12" ht="15">
      <c r="A13" s="1178"/>
      <c r="B13" s="1175"/>
      <c r="C13" s="1175"/>
      <c r="D13" s="1175"/>
      <c r="E13" s="1175"/>
      <c r="F13" s="1175"/>
      <c r="G13" s="1175"/>
      <c r="H13" s="1175"/>
      <c r="I13" s="1175"/>
      <c r="J13" s="1176"/>
      <c r="K13" s="1942"/>
      <c r="L13" s="1968"/>
    </row>
    <row r="14" spans="1:12" ht="15">
      <c r="A14" s="1171" t="s">
        <v>1860</v>
      </c>
      <c r="B14" s="1172"/>
      <c r="C14" s="1172"/>
      <c r="D14" s="1172"/>
      <c r="E14" s="1172"/>
      <c r="F14" s="1172"/>
      <c r="G14" s="1172"/>
      <c r="H14" s="1172"/>
      <c r="I14" s="1172"/>
      <c r="J14" s="1172"/>
      <c r="K14" s="1172"/>
      <c r="L14" s="1173"/>
    </row>
    <row r="15" spans="1:12" ht="15">
      <c r="A15" s="1179" t="s">
        <v>2625</v>
      </c>
      <c r="B15" s="1180">
        <v>1</v>
      </c>
      <c r="C15" s="1180">
        <f t="shared" ref="C15:H16" si="2">B15</f>
        <v>1</v>
      </c>
      <c r="D15" s="1180">
        <f t="shared" si="2"/>
        <v>1</v>
      </c>
      <c r="E15" s="1180">
        <f t="shared" si="2"/>
        <v>1</v>
      </c>
      <c r="F15" s="1180">
        <f t="shared" si="2"/>
        <v>1</v>
      </c>
      <c r="G15" s="1180">
        <f t="shared" si="2"/>
        <v>1</v>
      </c>
      <c r="H15" s="1180">
        <f t="shared" si="2"/>
        <v>1</v>
      </c>
      <c r="I15" s="1180"/>
      <c r="J15" s="1180"/>
      <c r="K15" s="1936">
        <f t="shared" ref="K15:K16" si="3">SUM(B15:I15)</f>
        <v>7</v>
      </c>
      <c r="L15" s="1937"/>
    </row>
    <row r="16" spans="1:12" ht="15">
      <c r="A16" s="1179" t="s">
        <v>2626</v>
      </c>
      <c r="B16" s="1180">
        <v>1</v>
      </c>
      <c r="C16" s="1180">
        <f t="shared" si="2"/>
        <v>1</v>
      </c>
      <c r="D16" s="1180">
        <f t="shared" si="2"/>
        <v>1</v>
      </c>
      <c r="E16" s="1180">
        <f t="shared" si="2"/>
        <v>1</v>
      </c>
      <c r="F16" s="1180">
        <f t="shared" si="2"/>
        <v>1</v>
      </c>
      <c r="G16" s="1180">
        <f t="shared" si="2"/>
        <v>1</v>
      </c>
      <c r="H16" s="1180">
        <f t="shared" si="2"/>
        <v>1</v>
      </c>
      <c r="I16" s="1180"/>
      <c r="J16" s="1180"/>
      <c r="K16" s="1936">
        <f t="shared" si="3"/>
        <v>7</v>
      </c>
      <c r="L16" s="1937"/>
    </row>
    <row r="17" spans="1:12" ht="15">
      <c r="A17" s="1179"/>
      <c r="B17" s="1180"/>
      <c r="C17" s="1180"/>
      <c r="D17" s="1180"/>
      <c r="E17" s="1180"/>
      <c r="F17" s="1180"/>
      <c r="G17" s="1180"/>
      <c r="H17" s="1180"/>
      <c r="I17" s="1180"/>
      <c r="J17" s="1180"/>
      <c r="K17" s="1936"/>
      <c r="L17" s="1937"/>
    </row>
    <row r="18" spans="1:12" ht="15">
      <c r="A18" s="1179"/>
      <c r="B18" s="1180"/>
      <c r="C18" s="1180"/>
      <c r="D18" s="1180"/>
      <c r="E18" s="1180"/>
      <c r="F18" s="1180"/>
      <c r="G18" s="1180"/>
      <c r="H18" s="1180"/>
      <c r="I18" s="1180"/>
      <c r="J18" s="1180"/>
      <c r="K18" s="1936"/>
      <c r="L18" s="1937"/>
    </row>
    <row r="19" spans="1:12" ht="15.75" thickBot="1">
      <c r="A19" s="1969"/>
      <c r="B19" s="1970"/>
      <c r="C19" s="1970"/>
      <c r="D19" s="1970"/>
      <c r="E19" s="1970"/>
      <c r="F19" s="1970"/>
      <c r="G19" s="1970"/>
      <c r="H19" s="1970"/>
      <c r="I19" s="1970"/>
      <c r="J19" s="1970"/>
      <c r="K19" s="1970"/>
      <c r="L19" s="1971"/>
    </row>
    <row r="20" spans="1:12" ht="15.75" thickBot="1">
      <c r="A20" s="1927" t="s">
        <v>1861</v>
      </c>
      <c r="B20" s="1928"/>
      <c r="C20" s="1928"/>
      <c r="D20" s="1928"/>
      <c r="E20" s="1928"/>
      <c r="F20" s="1928"/>
      <c r="G20" s="1928"/>
      <c r="H20" s="1928"/>
      <c r="I20" s="1928"/>
      <c r="J20" s="1928"/>
      <c r="K20" s="1928"/>
      <c r="L20" s="1929"/>
    </row>
    <row r="21" spans="1:12" ht="15">
      <c r="A21" s="1930" t="s">
        <v>1862</v>
      </c>
      <c r="B21" s="1993"/>
      <c r="C21" s="1994" t="s">
        <v>1863</v>
      </c>
      <c r="D21" s="1995"/>
      <c r="E21" s="1995" t="s">
        <v>1856</v>
      </c>
      <c r="F21" s="1995"/>
      <c r="G21" s="1996"/>
      <c r="H21" s="1182"/>
      <c r="I21" s="1964" t="s">
        <v>1815</v>
      </c>
      <c r="J21" s="1966"/>
      <c r="K21" s="1965"/>
      <c r="L21" s="1183" t="s">
        <v>1864</v>
      </c>
    </row>
    <row r="22" spans="1:12" ht="15">
      <c r="A22" s="1972" t="str">
        <f>A9</f>
        <v>A. PERSONAL PROFESIONAL</v>
      </c>
      <c r="B22" s="1973"/>
      <c r="C22" s="1973"/>
      <c r="D22" s="1973"/>
      <c r="E22" s="1973"/>
      <c r="F22" s="1973"/>
      <c r="G22" s="1973"/>
      <c r="H22" s="1973"/>
      <c r="I22" s="1973"/>
      <c r="J22" s="1973"/>
      <c r="K22" s="1973"/>
      <c r="L22" s="1974"/>
    </row>
    <row r="23" spans="1:12" ht="15">
      <c r="A23" s="1997" t="str">
        <f>A10</f>
        <v>Director de Interventoria</v>
      </c>
      <c r="B23" s="1998"/>
      <c r="C23" s="1940">
        <v>4400000</v>
      </c>
      <c r="D23" s="1941"/>
      <c r="E23" s="1942">
        <f>K10</f>
        <v>4</v>
      </c>
      <c r="F23" s="1943"/>
      <c r="G23" s="1944"/>
      <c r="H23" s="1184"/>
      <c r="I23" s="1942">
        <f>'F. MULT'!$I$53</f>
        <v>2.36</v>
      </c>
      <c r="J23" s="1943"/>
      <c r="K23" s="1944"/>
      <c r="L23" s="1185">
        <f>(C23*I23*E23)</f>
        <v>41536000</v>
      </c>
    </row>
    <row r="24" spans="1:12" ht="35.25" customHeight="1">
      <c r="A24" s="1997" t="str">
        <f>A11</f>
        <v>Ingeniero Residente de Interventoria</v>
      </c>
      <c r="B24" s="1998"/>
      <c r="C24" s="1940">
        <v>3000000</v>
      </c>
      <c r="D24" s="1941"/>
      <c r="E24" s="1942">
        <f>K11</f>
        <v>8</v>
      </c>
      <c r="F24" s="1943"/>
      <c r="G24" s="1944"/>
      <c r="H24" s="1184"/>
      <c r="I24" s="1942">
        <f>'F. MULT'!$I$53</f>
        <v>2.36</v>
      </c>
      <c r="J24" s="1943"/>
      <c r="K24" s="1944"/>
      <c r="L24" s="1185">
        <f>(C24*I24*E24)</f>
        <v>56640000</v>
      </c>
    </row>
    <row r="25" spans="1:12" ht="15">
      <c r="A25" s="2004"/>
      <c r="B25" s="2005"/>
      <c r="C25" s="1940"/>
      <c r="D25" s="1941"/>
      <c r="E25" s="1942"/>
      <c r="F25" s="1943"/>
      <c r="G25" s="1944"/>
      <c r="H25" s="1184"/>
      <c r="I25" s="1942"/>
      <c r="J25" s="1943"/>
      <c r="K25" s="1944"/>
      <c r="L25" s="1185"/>
    </row>
    <row r="26" spans="1:12" ht="15">
      <c r="A26" s="2006" t="str">
        <f>A14</f>
        <v>B. PERSONAL TECNICO Y ADMINISTRATIVO</v>
      </c>
      <c r="B26" s="2007"/>
      <c r="C26" s="1186"/>
      <c r="D26" s="1186"/>
      <c r="E26" s="1187"/>
      <c r="F26" s="1187"/>
      <c r="G26" s="1184"/>
      <c r="H26" s="1184"/>
      <c r="I26" s="1184"/>
      <c r="J26" s="1184"/>
      <c r="K26" s="1184"/>
      <c r="L26" s="1188"/>
    </row>
    <row r="27" spans="1:12" ht="15">
      <c r="A27" s="1938" t="str">
        <f>A15</f>
        <v>1. Auxiliar contable</v>
      </c>
      <c r="B27" s="1939"/>
      <c r="C27" s="1940">
        <v>2200000</v>
      </c>
      <c r="D27" s="1941"/>
      <c r="E27" s="1942">
        <f>K15</f>
        <v>7</v>
      </c>
      <c r="F27" s="1943"/>
      <c r="G27" s="1944"/>
      <c r="H27" s="1184"/>
      <c r="I27" s="1942">
        <f>'F. MULT'!$I$53</f>
        <v>2.36</v>
      </c>
      <c r="J27" s="1943"/>
      <c r="K27" s="1944"/>
      <c r="L27" s="1185">
        <f t="shared" ref="L27:L28" si="4">(C27*I27*E27)</f>
        <v>36344000</v>
      </c>
    </row>
    <row r="28" spans="1:12" ht="15">
      <c r="A28" s="1938" t="str">
        <f>A16</f>
        <v>2. Secretaria</v>
      </c>
      <c r="B28" s="1939"/>
      <c r="C28" s="1940">
        <v>1650000</v>
      </c>
      <c r="D28" s="1941"/>
      <c r="E28" s="1942">
        <f>K16</f>
        <v>7</v>
      </c>
      <c r="F28" s="1943"/>
      <c r="G28" s="1944"/>
      <c r="H28" s="1184"/>
      <c r="I28" s="1942">
        <f>'F. MULT'!$I$53</f>
        <v>2.36</v>
      </c>
      <c r="J28" s="1943"/>
      <c r="K28" s="1944"/>
      <c r="L28" s="1185">
        <f t="shared" si="4"/>
        <v>27258000</v>
      </c>
    </row>
    <row r="29" spans="1:12" ht="15">
      <c r="A29" s="1938"/>
      <c r="B29" s="1939"/>
      <c r="C29" s="1940"/>
      <c r="D29" s="1941"/>
      <c r="E29" s="1942"/>
      <c r="F29" s="1943"/>
      <c r="G29" s="1944"/>
      <c r="H29" s="1184"/>
      <c r="I29" s="1942"/>
      <c r="J29" s="1943"/>
      <c r="K29" s="1944"/>
      <c r="L29" s="1185"/>
    </row>
    <row r="30" spans="1:12" ht="15">
      <c r="A30" s="1938"/>
      <c r="B30" s="1939"/>
      <c r="C30" s="1940"/>
      <c r="D30" s="1941"/>
      <c r="E30" s="1942"/>
      <c r="F30" s="1943"/>
      <c r="G30" s="1944"/>
      <c r="H30" s="1184"/>
      <c r="I30" s="1942"/>
      <c r="J30" s="1943"/>
      <c r="K30" s="1944"/>
      <c r="L30" s="1185"/>
    </row>
    <row r="31" spans="1:12" ht="15.75" thickBot="1">
      <c r="A31" s="1954" t="s">
        <v>1865</v>
      </c>
      <c r="B31" s="1955"/>
      <c r="C31" s="1955"/>
      <c r="D31" s="1955"/>
      <c r="E31" s="1955"/>
      <c r="F31" s="1955"/>
      <c r="G31" s="1955"/>
      <c r="H31" s="1955"/>
      <c r="I31" s="1955"/>
      <c r="J31" s="1955"/>
      <c r="K31" s="1956"/>
      <c r="L31" s="1190">
        <f>ROUND(SUM(L23:L30),0)</f>
        <v>161778000</v>
      </c>
    </row>
    <row r="32" spans="1:12" ht="15">
      <c r="A32" s="1969"/>
      <c r="B32" s="1970"/>
      <c r="C32" s="1970"/>
      <c r="D32" s="1970"/>
      <c r="E32" s="1970"/>
      <c r="F32" s="1970"/>
      <c r="G32" s="1970"/>
      <c r="H32" s="1970"/>
      <c r="I32" s="1970"/>
      <c r="J32" s="1970"/>
      <c r="K32" s="1970"/>
      <c r="L32" s="1971"/>
    </row>
    <row r="33" spans="1:12" ht="15">
      <c r="A33" s="1927" t="s">
        <v>1866</v>
      </c>
      <c r="B33" s="1928"/>
      <c r="C33" s="1928"/>
      <c r="D33" s="1928"/>
      <c r="E33" s="1928"/>
      <c r="F33" s="1928"/>
      <c r="G33" s="1928"/>
      <c r="H33" s="1928"/>
      <c r="I33" s="1928"/>
      <c r="J33" s="1928"/>
      <c r="K33" s="1928"/>
      <c r="L33" s="1929"/>
    </row>
    <row r="34" spans="1:12" ht="15">
      <c r="A34" s="1962" t="s">
        <v>521</v>
      </c>
      <c r="B34" s="1963"/>
      <c r="C34" s="1964" t="s">
        <v>515</v>
      </c>
      <c r="D34" s="1965"/>
      <c r="E34" s="1964" t="s">
        <v>1867</v>
      </c>
      <c r="F34" s="1966"/>
      <c r="G34" s="1965"/>
      <c r="H34" s="1181"/>
      <c r="I34" s="1191" t="s">
        <v>7</v>
      </c>
      <c r="J34" s="1191"/>
      <c r="K34" s="1963" t="s">
        <v>1868</v>
      </c>
      <c r="L34" s="1967"/>
    </row>
    <row r="35" spans="1:12" ht="15">
      <c r="A35" s="1945" t="s">
        <v>1869</v>
      </c>
      <c r="B35" s="1946"/>
      <c r="C35" s="1947" t="s">
        <v>622</v>
      </c>
      <c r="D35" s="1948"/>
      <c r="E35" s="1949">
        <v>300000</v>
      </c>
      <c r="F35" s="1950"/>
      <c r="G35" s="1951"/>
      <c r="H35" s="1192"/>
      <c r="I35" s="1193">
        <v>8</v>
      </c>
      <c r="J35" s="1193"/>
      <c r="K35" s="1952">
        <f t="shared" ref="K35:K38" si="5">+E35*I35</f>
        <v>2400000</v>
      </c>
      <c r="L35" s="1953"/>
    </row>
    <row r="36" spans="1:12" ht="15">
      <c r="A36" s="1999" t="s">
        <v>1870</v>
      </c>
      <c r="B36" s="2000"/>
      <c r="C36" s="1947" t="s">
        <v>622</v>
      </c>
      <c r="D36" s="1948"/>
      <c r="E36" s="2001">
        <v>180000</v>
      </c>
      <c r="F36" s="2002"/>
      <c r="G36" s="2003"/>
      <c r="H36" s="1194"/>
      <c r="I36" s="1195">
        <f>4*5</f>
        <v>20</v>
      </c>
      <c r="J36" s="1195"/>
      <c r="K36" s="1952">
        <f t="shared" si="5"/>
        <v>3600000</v>
      </c>
      <c r="L36" s="1953"/>
    </row>
    <row r="37" spans="1:12" ht="15">
      <c r="A37" s="1945" t="s">
        <v>1923</v>
      </c>
      <c r="B37" s="1946"/>
      <c r="C37" s="1947" t="s">
        <v>622</v>
      </c>
      <c r="D37" s="1948"/>
      <c r="E37" s="1949">
        <v>350000</v>
      </c>
      <c r="F37" s="1950"/>
      <c r="G37" s="1951"/>
      <c r="H37" s="1192"/>
      <c r="I37" s="1193">
        <v>2</v>
      </c>
      <c r="J37" s="1193"/>
      <c r="K37" s="1952">
        <f t="shared" si="5"/>
        <v>700000</v>
      </c>
      <c r="L37" s="1953"/>
    </row>
    <row r="38" spans="1:12" ht="15">
      <c r="A38" s="1945" t="s">
        <v>1787</v>
      </c>
      <c r="B38" s="1946"/>
      <c r="C38" s="1947" t="s">
        <v>622</v>
      </c>
      <c r="D38" s="1948"/>
      <c r="E38" s="1949">
        <v>5500000</v>
      </c>
      <c r="F38" s="1950"/>
      <c r="G38" s="1951"/>
      <c r="H38" s="1192"/>
      <c r="I38" s="1193">
        <v>3</v>
      </c>
      <c r="J38" s="1193"/>
      <c r="K38" s="1952">
        <f t="shared" si="5"/>
        <v>16500000</v>
      </c>
      <c r="L38" s="1953"/>
    </row>
    <row r="39" spans="1:12" ht="15">
      <c r="A39" s="1945"/>
      <c r="B39" s="1946"/>
      <c r="C39" s="1947"/>
      <c r="D39" s="1948"/>
      <c r="E39" s="1949"/>
      <c r="F39" s="1950"/>
      <c r="G39" s="1951"/>
      <c r="H39" s="1192"/>
      <c r="I39" s="1196"/>
      <c r="J39" s="1196"/>
      <c r="K39" s="1952"/>
      <c r="L39" s="1953"/>
    </row>
    <row r="40" spans="1:12" ht="15.75" thickBot="1">
      <c r="A40" s="1954" t="s">
        <v>1871</v>
      </c>
      <c r="B40" s="1955"/>
      <c r="C40" s="1955"/>
      <c r="D40" s="1955"/>
      <c r="E40" s="1955"/>
      <c r="F40" s="1955"/>
      <c r="G40" s="1955"/>
      <c r="H40" s="1955"/>
      <c r="I40" s="1956"/>
      <c r="J40" s="1189"/>
      <c r="K40" s="1957">
        <f>SUM(K35:L39)</f>
        <v>23200000</v>
      </c>
      <c r="L40" s="1958"/>
    </row>
    <row r="41" spans="1:12" ht="15.75" thickBot="1">
      <c r="A41" s="1959"/>
      <c r="B41" s="1960"/>
      <c r="C41" s="1960"/>
      <c r="D41" s="1960"/>
      <c r="E41" s="1960"/>
      <c r="F41" s="1960"/>
      <c r="G41" s="1960"/>
      <c r="H41" s="1960"/>
      <c r="I41" s="1960"/>
      <c r="J41" s="1960"/>
      <c r="K41" s="1960"/>
      <c r="L41" s="1961"/>
    </row>
    <row r="42" spans="1:12" ht="15.75" thickBot="1">
      <c r="A42" s="1927" t="s">
        <v>1872</v>
      </c>
      <c r="B42" s="1928"/>
      <c r="C42" s="1928"/>
      <c r="D42" s="1928"/>
      <c r="E42" s="1928"/>
      <c r="F42" s="1928"/>
      <c r="G42" s="1928"/>
      <c r="H42" s="1928"/>
      <c r="I42" s="1928"/>
      <c r="J42" s="1928"/>
      <c r="K42" s="1928"/>
      <c r="L42" s="1929"/>
    </row>
    <row r="43" spans="1:12" ht="15">
      <c r="A43" s="1930" t="s">
        <v>521</v>
      </c>
      <c r="B43" s="1931"/>
      <c r="C43" s="1931"/>
      <c r="D43" s="1931"/>
      <c r="E43" s="1931"/>
      <c r="F43" s="1931"/>
      <c r="G43" s="1931"/>
      <c r="H43" s="1931"/>
      <c r="I43" s="1931"/>
      <c r="J43" s="1931"/>
      <c r="K43" s="1931"/>
      <c r="L43" s="1197" t="s">
        <v>1864</v>
      </c>
    </row>
    <row r="44" spans="1:12" ht="15">
      <c r="A44" s="1923" t="s">
        <v>1873</v>
      </c>
      <c r="B44" s="1924"/>
      <c r="C44" s="1924"/>
      <c r="D44" s="1924"/>
      <c r="E44" s="1924"/>
      <c r="F44" s="1924"/>
      <c r="G44" s="1924"/>
      <c r="H44" s="1924"/>
      <c r="I44" s="1924"/>
      <c r="J44" s="1924"/>
      <c r="K44" s="1924"/>
      <c r="L44" s="1198">
        <f>L31</f>
        <v>161778000</v>
      </c>
    </row>
    <row r="45" spans="1:12" ht="15.75" thickBot="1">
      <c r="A45" s="1932" t="s">
        <v>1874</v>
      </c>
      <c r="B45" s="1933"/>
      <c r="C45" s="1933"/>
      <c r="D45" s="1933"/>
      <c r="E45" s="1933"/>
      <c r="F45" s="1933"/>
      <c r="G45" s="1933"/>
      <c r="H45" s="1933"/>
      <c r="I45" s="1933"/>
      <c r="J45" s="1933"/>
      <c r="K45" s="1933"/>
      <c r="L45" s="1199">
        <f>K40</f>
        <v>23200000</v>
      </c>
    </row>
    <row r="46" spans="1:12" ht="15.75" thickBot="1">
      <c r="A46" s="1925" t="s">
        <v>1875</v>
      </c>
      <c r="B46" s="1926"/>
      <c r="C46" s="1926"/>
      <c r="D46" s="1926"/>
      <c r="E46" s="1926"/>
      <c r="F46" s="1926"/>
      <c r="G46" s="1926"/>
      <c r="H46" s="1926"/>
      <c r="I46" s="1926"/>
      <c r="J46" s="1926"/>
      <c r="K46" s="1926"/>
      <c r="L46" s="1200">
        <f>SUM(L44:L45)</f>
        <v>184978000</v>
      </c>
    </row>
    <row r="47" spans="1:12" ht="15.75" thickBot="1">
      <c r="A47" s="1167"/>
      <c r="B47" s="1167"/>
      <c r="C47" s="1167"/>
      <c r="D47" s="1167"/>
      <c r="E47" s="1167"/>
      <c r="F47" s="1167"/>
      <c r="G47" s="1167"/>
      <c r="H47" s="1167"/>
      <c r="I47" s="1167"/>
      <c r="J47" s="1167"/>
      <c r="K47" s="1167"/>
      <c r="L47" s="1167"/>
    </row>
    <row r="48" spans="1:12" ht="15.75" thickBot="1">
      <c r="A48" s="1927" t="s">
        <v>1876</v>
      </c>
      <c r="B48" s="1928"/>
      <c r="C48" s="1928"/>
      <c r="D48" s="1928"/>
      <c r="E48" s="1928"/>
      <c r="F48" s="1928"/>
      <c r="G48" s="1928"/>
      <c r="H48" s="1928"/>
      <c r="I48" s="1928"/>
      <c r="J48" s="1928"/>
      <c r="K48" s="1928"/>
      <c r="L48" s="1929"/>
    </row>
    <row r="49" spans="1:14" ht="15">
      <c r="A49" s="1930" t="s">
        <v>521</v>
      </c>
      <c r="B49" s="1931"/>
      <c r="C49" s="1931"/>
      <c r="D49" s="1931"/>
      <c r="E49" s="1931"/>
      <c r="F49" s="1931"/>
      <c r="G49" s="1931"/>
      <c r="H49" s="1931"/>
      <c r="I49" s="1931"/>
      <c r="J49" s="1931"/>
      <c r="K49" s="1931"/>
      <c r="L49" s="1197" t="s">
        <v>1864</v>
      </c>
    </row>
    <row r="50" spans="1:14" ht="15.75" thickBot="1">
      <c r="A50" s="1923" t="s">
        <v>1877</v>
      </c>
      <c r="B50" s="1924"/>
      <c r="C50" s="1924"/>
      <c r="D50" s="1924"/>
      <c r="E50" s="1924"/>
      <c r="F50" s="1924"/>
      <c r="G50" s="1924"/>
      <c r="H50" s="1924"/>
      <c r="I50" s="1924"/>
      <c r="J50" s="1924"/>
      <c r="K50" s="1924"/>
      <c r="L50" s="1198">
        <f>+L46*0.19</f>
        <v>35145820</v>
      </c>
    </row>
    <row r="51" spans="1:14" ht="15.75" thickBot="1">
      <c r="A51" s="1925" t="s">
        <v>1878</v>
      </c>
      <c r="B51" s="1926"/>
      <c r="C51" s="1926"/>
      <c r="D51" s="1926"/>
      <c r="E51" s="1926"/>
      <c r="F51" s="1926"/>
      <c r="G51" s="1926"/>
      <c r="H51" s="1926"/>
      <c r="I51" s="1926"/>
      <c r="J51" s="1926"/>
      <c r="K51" s="1926"/>
      <c r="L51" s="1200">
        <f>SUM(L50:L50)</f>
        <v>35145820</v>
      </c>
    </row>
    <row r="52" spans="1:14" ht="15">
      <c r="A52" s="1167"/>
      <c r="B52" s="1167"/>
      <c r="C52" s="1167"/>
      <c r="D52" s="1167"/>
      <c r="E52" s="1167"/>
      <c r="F52" s="1167"/>
      <c r="G52" s="1167"/>
      <c r="H52" s="1167"/>
      <c r="I52" s="1167"/>
      <c r="J52" s="1167"/>
      <c r="K52" s="1167"/>
      <c r="L52" s="1201"/>
    </row>
    <row r="53" spans="1:14" ht="15.75" thickBot="1">
      <c r="A53" s="1167"/>
      <c r="B53" s="1167"/>
      <c r="C53" s="1167"/>
      <c r="D53" s="1167"/>
      <c r="E53" s="1167"/>
      <c r="F53" s="1167"/>
      <c r="G53" s="1167"/>
      <c r="H53" s="1167"/>
      <c r="I53" s="1167"/>
      <c r="J53" s="1167"/>
      <c r="K53" s="1167"/>
      <c r="L53" s="1167"/>
    </row>
    <row r="54" spans="1:14" ht="15.75" thickBot="1">
      <c r="A54" s="1927" t="s">
        <v>1879</v>
      </c>
      <c r="B54" s="1928"/>
      <c r="C54" s="1928"/>
      <c r="D54" s="1928"/>
      <c r="E54" s="1928"/>
      <c r="F54" s="1928"/>
      <c r="G54" s="1928"/>
      <c r="H54" s="1928"/>
      <c r="I54" s="1928"/>
      <c r="J54" s="1928"/>
      <c r="K54" s="1928"/>
      <c r="L54" s="1929"/>
    </row>
    <row r="55" spans="1:14" ht="15">
      <c r="A55" s="1930" t="s">
        <v>521</v>
      </c>
      <c r="B55" s="1931"/>
      <c r="C55" s="1931"/>
      <c r="D55" s="1931"/>
      <c r="E55" s="1931"/>
      <c r="F55" s="1931"/>
      <c r="G55" s="1931"/>
      <c r="H55" s="1931"/>
      <c r="I55" s="1931"/>
      <c r="J55" s="1931"/>
      <c r="K55" s="1931"/>
      <c r="L55" s="1197" t="s">
        <v>1864</v>
      </c>
    </row>
    <row r="56" spans="1:14" ht="15">
      <c r="A56" s="1923" t="s">
        <v>1880</v>
      </c>
      <c r="B56" s="1924"/>
      <c r="C56" s="1924"/>
      <c r="D56" s="1924"/>
      <c r="E56" s="1924"/>
      <c r="F56" s="1924"/>
      <c r="G56" s="1924"/>
      <c r="H56" s="1924"/>
      <c r="I56" s="1924"/>
      <c r="J56" s="1924"/>
      <c r="K56" s="1924"/>
      <c r="L56" s="1202">
        <f>+L51</f>
        <v>35145820</v>
      </c>
    </row>
    <row r="57" spans="1:14" ht="15.75" thickBot="1">
      <c r="A57" s="1932" t="s">
        <v>1881</v>
      </c>
      <c r="B57" s="1933"/>
      <c r="C57" s="1933"/>
      <c r="D57" s="1933"/>
      <c r="E57" s="1933"/>
      <c r="F57" s="1933"/>
      <c r="G57" s="1933"/>
      <c r="H57" s="1933"/>
      <c r="I57" s="1933"/>
      <c r="J57" s="1933"/>
      <c r="K57" s="1933"/>
      <c r="L57" s="1203">
        <f>+L46</f>
        <v>184978000</v>
      </c>
    </row>
    <row r="58" spans="1:14" ht="15.75" thickBot="1">
      <c r="A58" s="1934" t="s">
        <v>1882</v>
      </c>
      <c r="B58" s="1935"/>
      <c r="C58" s="1935"/>
      <c r="D58" s="1935"/>
      <c r="E58" s="1935"/>
      <c r="F58" s="1935"/>
      <c r="G58" s="1935"/>
      <c r="H58" s="1935"/>
      <c r="I58" s="1935"/>
      <c r="J58" s="1935"/>
      <c r="K58" s="1935"/>
      <c r="L58" s="1204">
        <f>SUM(L56:L57)</f>
        <v>220123820</v>
      </c>
      <c r="N58" s="1205"/>
    </row>
    <row r="59" spans="1:14" ht="74.45" customHeight="1">
      <c r="A59" s="1206"/>
      <c r="B59" s="1206"/>
      <c r="C59" s="1206"/>
      <c r="D59" s="1167"/>
      <c r="E59" s="1167"/>
      <c r="F59" s="1167"/>
      <c r="G59" s="1167"/>
      <c r="H59" s="1167"/>
      <c r="I59" s="1167"/>
      <c r="J59" s="1167"/>
      <c r="K59" s="1167"/>
      <c r="L59" s="1348"/>
      <c r="N59" s="1728"/>
    </row>
    <row r="60" spans="1:14" ht="15">
      <c r="A60" s="1207" t="str">
        <f>+PRESUPUESTO!A101</f>
        <v>Ing. JHON FREDY GARCIA MENDEZ</v>
      </c>
      <c r="B60" s="1167"/>
      <c r="C60" s="1167"/>
      <c r="D60" s="1167"/>
      <c r="E60" s="1167"/>
      <c r="F60" s="1167"/>
      <c r="G60" s="1167"/>
      <c r="H60" s="1167"/>
      <c r="I60" s="1167"/>
      <c r="J60" s="1167"/>
      <c r="K60" s="1167"/>
      <c r="L60" s="1349"/>
    </row>
    <row r="61" spans="1:14" ht="15">
      <c r="A61" s="846" t="str">
        <f>+PRESUPUESTO!A102</f>
        <v>Esp. EN AGUAS Y SANEAMIENTO AMBIENTAL</v>
      </c>
      <c r="B61" s="1167"/>
      <c r="C61" s="1167"/>
      <c r="D61" s="1167"/>
      <c r="E61" s="1167"/>
      <c r="F61" s="1167"/>
      <c r="G61" s="1167"/>
      <c r="H61" s="1167"/>
      <c r="I61" s="1167"/>
      <c r="J61" s="1167"/>
      <c r="K61" s="1167"/>
      <c r="L61" s="1351"/>
    </row>
    <row r="62" spans="1:14" ht="15">
      <c r="A62" s="846" t="str">
        <f>+PRESUPUESTO!A103</f>
        <v>M.P.  70268-326294 TLM.</v>
      </c>
      <c r="B62" s="1167"/>
      <c r="C62" s="1167"/>
      <c r="D62" s="1167"/>
      <c r="E62" s="1167"/>
      <c r="F62" s="1167"/>
      <c r="G62" s="1167"/>
      <c r="H62" s="1167"/>
      <c r="I62" s="1167"/>
      <c r="J62" s="1167"/>
      <c r="K62" s="1167"/>
      <c r="L62" s="1349"/>
    </row>
    <row r="63" spans="1:14" ht="15">
      <c r="A63" s="846" t="str">
        <f>+PRESUPUESTO!A104</f>
        <v>CONSULTOR</v>
      </c>
      <c r="L63" s="1732"/>
    </row>
    <row r="64" spans="1:14">
      <c r="L64" s="1350"/>
    </row>
  </sheetData>
  <mergeCells count="95">
    <mergeCell ref="A36:B36"/>
    <mergeCell ref="C36:D36"/>
    <mergeCell ref="E36:G36"/>
    <mergeCell ref="K36:L36"/>
    <mergeCell ref="A20:L20"/>
    <mergeCell ref="E24:G24"/>
    <mergeCell ref="I24:K24"/>
    <mergeCell ref="A25:B25"/>
    <mergeCell ref="C25:D25"/>
    <mergeCell ref="E25:G25"/>
    <mergeCell ref="I25:K25"/>
    <mergeCell ref="A26:B26"/>
    <mergeCell ref="E27:G27"/>
    <mergeCell ref="I27:K27"/>
    <mergeCell ref="A28:B28"/>
    <mergeCell ref="C28:D28"/>
    <mergeCell ref="A35:B35"/>
    <mergeCell ref="C35:D35"/>
    <mergeCell ref="E35:G35"/>
    <mergeCell ref="K35:L35"/>
    <mergeCell ref="A21:B21"/>
    <mergeCell ref="C21:D21"/>
    <mergeCell ref="E21:G21"/>
    <mergeCell ref="I21:K21"/>
    <mergeCell ref="A23:B23"/>
    <mergeCell ref="C23:D23"/>
    <mergeCell ref="E23:G23"/>
    <mergeCell ref="I23:K23"/>
    <mergeCell ref="A24:B24"/>
    <mergeCell ref="C24:D24"/>
    <mergeCell ref="A32:L32"/>
    <mergeCell ref="A33:L33"/>
    <mergeCell ref="A1:L1"/>
    <mergeCell ref="A2:L2"/>
    <mergeCell ref="A3:L3"/>
    <mergeCell ref="A5:L5"/>
    <mergeCell ref="A6:A8"/>
    <mergeCell ref="B6:L6"/>
    <mergeCell ref="B7:D7"/>
    <mergeCell ref="K7:L8"/>
    <mergeCell ref="K10:L10"/>
    <mergeCell ref="K11:L11"/>
    <mergeCell ref="K16:L16"/>
    <mergeCell ref="A19:L19"/>
    <mergeCell ref="A22:L22"/>
    <mergeCell ref="K13:L13"/>
    <mergeCell ref="K15:L15"/>
    <mergeCell ref="A34:B34"/>
    <mergeCell ref="C34:D34"/>
    <mergeCell ref="E34:G34"/>
    <mergeCell ref="K34:L34"/>
    <mergeCell ref="A30:B30"/>
    <mergeCell ref="C30:D30"/>
    <mergeCell ref="E30:G30"/>
    <mergeCell ref="I30:K30"/>
    <mergeCell ref="A31:K31"/>
    <mergeCell ref="A37:B37"/>
    <mergeCell ref="C37:D37"/>
    <mergeCell ref="E37:G37"/>
    <mergeCell ref="K37:L37"/>
    <mergeCell ref="A38:B38"/>
    <mergeCell ref="C38:D38"/>
    <mergeCell ref="E38:G38"/>
    <mergeCell ref="K38:L38"/>
    <mergeCell ref="A44:K44"/>
    <mergeCell ref="A39:B39"/>
    <mergeCell ref="C39:D39"/>
    <mergeCell ref="E39:G39"/>
    <mergeCell ref="K39:L39"/>
    <mergeCell ref="A40:I40"/>
    <mergeCell ref="K40:L40"/>
    <mergeCell ref="A41:L41"/>
    <mergeCell ref="A42:L42"/>
    <mergeCell ref="A43:K43"/>
    <mergeCell ref="A57:K57"/>
    <mergeCell ref="A58:K58"/>
    <mergeCell ref="K17:L17"/>
    <mergeCell ref="K18:L18"/>
    <mergeCell ref="A27:B27"/>
    <mergeCell ref="C27:D27"/>
    <mergeCell ref="E28:G28"/>
    <mergeCell ref="I28:K28"/>
    <mergeCell ref="A29:B29"/>
    <mergeCell ref="C29:D29"/>
    <mergeCell ref="E29:G29"/>
    <mergeCell ref="I29:K29"/>
    <mergeCell ref="A45:K45"/>
    <mergeCell ref="A46:K46"/>
    <mergeCell ref="A48:L48"/>
    <mergeCell ref="A49:K49"/>
    <mergeCell ref="A50:K50"/>
    <mergeCell ref="A51:K51"/>
    <mergeCell ref="A54:L54"/>
    <mergeCell ref="A55:K55"/>
    <mergeCell ref="A56:K56"/>
  </mergeCells>
  <phoneticPr fontId="22" type="noConversion"/>
  <pageMargins left="0.7" right="0.7" top="0.75" bottom="0.75" header="0.3" footer="0.3"/>
  <pageSetup scale="6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C1FF1C-1FA4-429B-B78F-2139179A812D}">
  <dimension ref="A1:IT47"/>
  <sheetViews>
    <sheetView view="pageBreakPreview" topLeftCell="A13" zoomScale="90" zoomScaleNormal="70" zoomScaleSheetLayoutView="90" workbookViewId="0">
      <selection activeCell="C15" sqref="C15"/>
    </sheetView>
  </sheetViews>
  <sheetFormatPr baseColWidth="10" defaultRowHeight="16.5"/>
  <cols>
    <col min="1" max="1" width="55.28515625" style="1435" customWidth="1"/>
    <col min="2" max="2" width="7.7109375" style="1435" customWidth="1"/>
    <col min="3" max="3" width="18" style="1435" customWidth="1"/>
    <col min="4" max="4" width="8.85546875" style="1435" customWidth="1"/>
    <col min="5" max="5" width="13.42578125" style="1435" customWidth="1"/>
    <col min="6" max="6" width="11" style="1435" customWidth="1"/>
    <col min="7" max="7" width="17.28515625" style="1435" customWidth="1"/>
    <col min="8" max="8" width="12.28515625" style="1435" customWidth="1"/>
    <col min="9" max="9" width="29.28515625" style="1435" customWidth="1"/>
    <col min="10" max="10" width="3.5703125" style="1435" customWidth="1"/>
    <col min="11" max="11" width="21.140625" style="1435" customWidth="1"/>
    <col min="12" max="12" width="15.7109375" style="1435" bestFit="1" customWidth="1"/>
    <col min="13" max="13" width="14.28515625" style="1435" bestFit="1" customWidth="1"/>
    <col min="14" max="14" width="11.7109375" style="1476" bestFit="1" customWidth="1"/>
    <col min="15" max="15" width="11.42578125" style="1476" customWidth="1"/>
    <col min="16" max="256" width="11.42578125" style="1435"/>
    <col min="257" max="257" width="67.85546875" style="1435" customWidth="1"/>
    <col min="258" max="258" width="7.7109375" style="1435" customWidth="1"/>
    <col min="259" max="259" width="16.42578125" style="1435" customWidth="1"/>
    <col min="260" max="260" width="8.85546875" style="1435" customWidth="1"/>
    <col min="261" max="261" width="12.42578125" style="1435" customWidth="1"/>
    <col min="262" max="262" width="8.28515625" style="1435" customWidth="1"/>
    <col min="263" max="263" width="16" style="1435" customWidth="1"/>
    <col min="264" max="264" width="5.85546875" style="1435" bestFit="1" customWidth="1"/>
    <col min="265" max="265" width="19.7109375" style="1435" customWidth="1"/>
    <col min="266" max="266" width="3.5703125" style="1435" customWidth="1"/>
    <col min="267" max="267" width="21.140625" style="1435" customWidth="1"/>
    <col min="268" max="268" width="13.7109375" style="1435" bestFit="1" customWidth="1"/>
    <col min="269" max="269" width="14.28515625" style="1435" bestFit="1" customWidth="1"/>
    <col min="270" max="270" width="11.7109375" style="1435" bestFit="1" customWidth="1"/>
    <col min="271" max="271" width="11.42578125" style="1435" customWidth="1"/>
    <col min="272" max="512" width="11.42578125" style="1435"/>
    <col min="513" max="513" width="67.85546875" style="1435" customWidth="1"/>
    <col min="514" max="514" width="7.7109375" style="1435" customWidth="1"/>
    <col min="515" max="515" width="16.42578125" style="1435" customWidth="1"/>
    <col min="516" max="516" width="8.85546875" style="1435" customWidth="1"/>
    <col min="517" max="517" width="12.42578125" style="1435" customWidth="1"/>
    <col min="518" max="518" width="8.28515625" style="1435" customWidth="1"/>
    <col min="519" max="519" width="16" style="1435" customWidth="1"/>
    <col min="520" max="520" width="5.85546875" style="1435" bestFit="1" customWidth="1"/>
    <col min="521" max="521" width="19.7109375" style="1435" customWidth="1"/>
    <col min="522" max="522" width="3.5703125" style="1435" customWidth="1"/>
    <col min="523" max="523" width="21.140625" style="1435" customWidth="1"/>
    <col min="524" max="524" width="13.7109375" style="1435" bestFit="1" customWidth="1"/>
    <col min="525" max="525" width="14.28515625" style="1435" bestFit="1" customWidth="1"/>
    <col min="526" max="526" width="11.7109375" style="1435" bestFit="1" customWidth="1"/>
    <col min="527" max="527" width="11.42578125" style="1435" customWidth="1"/>
    <col min="528" max="768" width="11.42578125" style="1435"/>
    <col min="769" max="769" width="67.85546875" style="1435" customWidth="1"/>
    <col min="770" max="770" width="7.7109375" style="1435" customWidth="1"/>
    <col min="771" max="771" width="16.42578125" style="1435" customWidth="1"/>
    <col min="772" max="772" width="8.85546875" style="1435" customWidth="1"/>
    <col min="773" max="773" width="12.42578125" style="1435" customWidth="1"/>
    <col min="774" max="774" width="8.28515625" style="1435" customWidth="1"/>
    <col min="775" max="775" width="16" style="1435" customWidth="1"/>
    <col min="776" max="776" width="5.85546875" style="1435" bestFit="1" customWidth="1"/>
    <col min="777" max="777" width="19.7109375" style="1435" customWidth="1"/>
    <col min="778" max="778" width="3.5703125" style="1435" customWidth="1"/>
    <col min="779" max="779" width="21.140625" style="1435" customWidth="1"/>
    <col min="780" max="780" width="13.7109375" style="1435" bestFit="1" customWidth="1"/>
    <col min="781" max="781" width="14.28515625" style="1435" bestFit="1" customWidth="1"/>
    <col min="782" max="782" width="11.7109375" style="1435" bestFit="1" customWidth="1"/>
    <col min="783" max="783" width="11.42578125" style="1435" customWidth="1"/>
    <col min="784" max="1024" width="11.42578125" style="1435"/>
    <col min="1025" max="1025" width="67.85546875" style="1435" customWidth="1"/>
    <col min="1026" max="1026" width="7.7109375" style="1435" customWidth="1"/>
    <col min="1027" max="1027" width="16.42578125" style="1435" customWidth="1"/>
    <col min="1028" max="1028" width="8.85546875" style="1435" customWidth="1"/>
    <col min="1029" max="1029" width="12.42578125" style="1435" customWidth="1"/>
    <col min="1030" max="1030" width="8.28515625" style="1435" customWidth="1"/>
    <col min="1031" max="1031" width="16" style="1435" customWidth="1"/>
    <col min="1032" max="1032" width="5.85546875" style="1435" bestFit="1" customWidth="1"/>
    <col min="1033" max="1033" width="19.7109375" style="1435" customWidth="1"/>
    <col min="1034" max="1034" width="3.5703125" style="1435" customWidth="1"/>
    <col min="1035" max="1035" width="21.140625" style="1435" customWidth="1"/>
    <col min="1036" max="1036" width="13.7109375" style="1435" bestFit="1" customWidth="1"/>
    <col min="1037" max="1037" width="14.28515625" style="1435" bestFit="1" customWidth="1"/>
    <col min="1038" max="1038" width="11.7109375" style="1435" bestFit="1" customWidth="1"/>
    <col min="1039" max="1039" width="11.42578125" style="1435" customWidth="1"/>
    <col min="1040" max="1280" width="11.42578125" style="1435"/>
    <col min="1281" max="1281" width="67.85546875" style="1435" customWidth="1"/>
    <col min="1282" max="1282" width="7.7109375" style="1435" customWidth="1"/>
    <col min="1283" max="1283" width="16.42578125" style="1435" customWidth="1"/>
    <col min="1284" max="1284" width="8.85546875" style="1435" customWidth="1"/>
    <col min="1285" max="1285" width="12.42578125" style="1435" customWidth="1"/>
    <col min="1286" max="1286" width="8.28515625" style="1435" customWidth="1"/>
    <col min="1287" max="1287" width="16" style="1435" customWidth="1"/>
    <col min="1288" max="1288" width="5.85546875" style="1435" bestFit="1" customWidth="1"/>
    <col min="1289" max="1289" width="19.7109375" style="1435" customWidth="1"/>
    <col min="1290" max="1290" width="3.5703125" style="1435" customWidth="1"/>
    <col min="1291" max="1291" width="21.140625" style="1435" customWidth="1"/>
    <col min="1292" max="1292" width="13.7109375" style="1435" bestFit="1" customWidth="1"/>
    <col min="1293" max="1293" width="14.28515625" style="1435" bestFit="1" customWidth="1"/>
    <col min="1294" max="1294" width="11.7109375" style="1435" bestFit="1" customWidth="1"/>
    <col min="1295" max="1295" width="11.42578125" style="1435" customWidth="1"/>
    <col min="1296" max="1536" width="11.42578125" style="1435"/>
    <col min="1537" max="1537" width="67.85546875" style="1435" customWidth="1"/>
    <col min="1538" max="1538" width="7.7109375" style="1435" customWidth="1"/>
    <col min="1539" max="1539" width="16.42578125" style="1435" customWidth="1"/>
    <col min="1540" max="1540" width="8.85546875" style="1435" customWidth="1"/>
    <col min="1541" max="1541" width="12.42578125" style="1435" customWidth="1"/>
    <col min="1542" max="1542" width="8.28515625" style="1435" customWidth="1"/>
    <col min="1543" max="1543" width="16" style="1435" customWidth="1"/>
    <col min="1544" max="1544" width="5.85546875" style="1435" bestFit="1" customWidth="1"/>
    <col min="1545" max="1545" width="19.7109375" style="1435" customWidth="1"/>
    <col min="1546" max="1546" width="3.5703125" style="1435" customWidth="1"/>
    <col min="1547" max="1547" width="21.140625" style="1435" customWidth="1"/>
    <col min="1548" max="1548" width="13.7109375" style="1435" bestFit="1" customWidth="1"/>
    <col min="1549" max="1549" width="14.28515625" style="1435" bestFit="1" customWidth="1"/>
    <col min="1550" max="1550" width="11.7109375" style="1435" bestFit="1" customWidth="1"/>
    <col min="1551" max="1551" width="11.42578125" style="1435" customWidth="1"/>
    <col min="1552" max="1792" width="11.42578125" style="1435"/>
    <col min="1793" max="1793" width="67.85546875" style="1435" customWidth="1"/>
    <col min="1794" max="1794" width="7.7109375" style="1435" customWidth="1"/>
    <col min="1795" max="1795" width="16.42578125" style="1435" customWidth="1"/>
    <col min="1796" max="1796" width="8.85546875" style="1435" customWidth="1"/>
    <col min="1797" max="1797" width="12.42578125" style="1435" customWidth="1"/>
    <col min="1798" max="1798" width="8.28515625" style="1435" customWidth="1"/>
    <col min="1799" max="1799" width="16" style="1435" customWidth="1"/>
    <col min="1800" max="1800" width="5.85546875" style="1435" bestFit="1" customWidth="1"/>
    <col min="1801" max="1801" width="19.7109375" style="1435" customWidth="1"/>
    <col min="1802" max="1802" width="3.5703125" style="1435" customWidth="1"/>
    <col min="1803" max="1803" width="21.140625" style="1435" customWidth="1"/>
    <col min="1804" max="1804" width="13.7109375" style="1435" bestFit="1" customWidth="1"/>
    <col min="1805" max="1805" width="14.28515625" style="1435" bestFit="1" customWidth="1"/>
    <col min="1806" max="1806" width="11.7109375" style="1435" bestFit="1" customWidth="1"/>
    <col min="1807" max="1807" width="11.42578125" style="1435" customWidth="1"/>
    <col min="1808" max="2048" width="11.42578125" style="1435"/>
    <col min="2049" max="2049" width="67.85546875" style="1435" customWidth="1"/>
    <col min="2050" max="2050" width="7.7109375" style="1435" customWidth="1"/>
    <col min="2051" max="2051" width="16.42578125" style="1435" customWidth="1"/>
    <col min="2052" max="2052" width="8.85546875" style="1435" customWidth="1"/>
    <col min="2053" max="2053" width="12.42578125" style="1435" customWidth="1"/>
    <col min="2054" max="2054" width="8.28515625" style="1435" customWidth="1"/>
    <col min="2055" max="2055" width="16" style="1435" customWidth="1"/>
    <col min="2056" max="2056" width="5.85546875" style="1435" bestFit="1" customWidth="1"/>
    <col min="2057" max="2057" width="19.7109375" style="1435" customWidth="1"/>
    <col min="2058" max="2058" width="3.5703125" style="1435" customWidth="1"/>
    <col min="2059" max="2059" width="21.140625" style="1435" customWidth="1"/>
    <col min="2060" max="2060" width="13.7109375" style="1435" bestFit="1" customWidth="1"/>
    <col min="2061" max="2061" width="14.28515625" style="1435" bestFit="1" customWidth="1"/>
    <col min="2062" max="2062" width="11.7109375" style="1435" bestFit="1" customWidth="1"/>
    <col min="2063" max="2063" width="11.42578125" style="1435" customWidth="1"/>
    <col min="2064" max="2304" width="11.42578125" style="1435"/>
    <col min="2305" max="2305" width="67.85546875" style="1435" customWidth="1"/>
    <col min="2306" max="2306" width="7.7109375" style="1435" customWidth="1"/>
    <col min="2307" max="2307" width="16.42578125" style="1435" customWidth="1"/>
    <col min="2308" max="2308" width="8.85546875" style="1435" customWidth="1"/>
    <col min="2309" max="2309" width="12.42578125" style="1435" customWidth="1"/>
    <col min="2310" max="2310" width="8.28515625" style="1435" customWidth="1"/>
    <col min="2311" max="2311" width="16" style="1435" customWidth="1"/>
    <col min="2312" max="2312" width="5.85546875" style="1435" bestFit="1" customWidth="1"/>
    <col min="2313" max="2313" width="19.7109375" style="1435" customWidth="1"/>
    <col min="2314" max="2314" width="3.5703125" style="1435" customWidth="1"/>
    <col min="2315" max="2315" width="21.140625" style="1435" customWidth="1"/>
    <col min="2316" max="2316" width="13.7109375" style="1435" bestFit="1" customWidth="1"/>
    <col min="2317" max="2317" width="14.28515625" style="1435" bestFit="1" customWidth="1"/>
    <col min="2318" max="2318" width="11.7109375" style="1435" bestFit="1" customWidth="1"/>
    <col min="2319" max="2319" width="11.42578125" style="1435" customWidth="1"/>
    <col min="2320" max="2560" width="11.42578125" style="1435"/>
    <col min="2561" max="2561" width="67.85546875" style="1435" customWidth="1"/>
    <col min="2562" max="2562" width="7.7109375" style="1435" customWidth="1"/>
    <col min="2563" max="2563" width="16.42578125" style="1435" customWidth="1"/>
    <col min="2564" max="2564" width="8.85546875" style="1435" customWidth="1"/>
    <col min="2565" max="2565" width="12.42578125" style="1435" customWidth="1"/>
    <col min="2566" max="2566" width="8.28515625" style="1435" customWidth="1"/>
    <col min="2567" max="2567" width="16" style="1435" customWidth="1"/>
    <col min="2568" max="2568" width="5.85546875" style="1435" bestFit="1" customWidth="1"/>
    <col min="2569" max="2569" width="19.7109375" style="1435" customWidth="1"/>
    <col min="2570" max="2570" width="3.5703125" style="1435" customWidth="1"/>
    <col min="2571" max="2571" width="21.140625" style="1435" customWidth="1"/>
    <col min="2572" max="2572" width="13.7109375" style="1435" bestFit="1" customWidth="1"/>
    <col min="2573" max="2573" width="14.28515625" style="1435" bestFit="1" customWidth="1"/>
    <col min="2574" max="2574" width="11.7109375" style="1435" bestFit="1" customWidth="1"/>
    <col min="2575" max="2575" width="11.42578125" style="1435" customWidth="1"/>
    <col min="2576" max="2816" width="11.42578125" style="1435"/>
    <col min="2817" max="2817" width="67.85546875" style="1435" customWidth="1"/>
    <col min="2818" max="2818" width="7.7109375" style="1435" customWidth="1"/>
    <col min="2819" max="2819" width="16.42578125" style="1435" customWidth="1"/>
    <col min="2820" max="2820" width="8.85546875" style="1435" customWidth="1"/>
    <col min="2821" max="2821" width="12.42578125" style="1435" customWidth="1"/>
    <col min="2822" max="2822" width="8.28515625" style="1435" customWidth="1"/>
    <col min="2823" max="2823" width="16" style="1435" customWidth="1"/>
    <col min="2824" max="2824" width="5.85546875" style="1435" bestFit="1" customWidth="1"/>
    <col min="2825" max="2825" width="19.7109375" style="1435" customWidth="1"/>
    <col min="2826" max="2826" width="3.5703125" style="1435" customWidth="1"/>
    <col min="2827" max="2827" width="21.140625" style="1435" customWidth="1"/>
    <col min="2828" max="2828" width="13.7109375" style="1435" bestFit="1" customWidth="1"/>
    <col min="2829" max="2829" width="14.28515625" style="1435" bestFit="1" customWidth="1"/>
    <col min="2830" max="2830" width="11.7109375" style="1435" bestFit="1" customWidth="1"/>
    <col min="2831" max="2831" width="11.42578125" style="1435" customWidth="1"/>
    <col min="2832" max="3072" width="11.42578125" style="1435"/>
    <col min="3073" max="3073" width="67.85546875" style="1435" customWidth="1"/>
    <col min="3074" max="3074" width="7.7109375" style="1435" customWidth="1"/>
    <col min="3075" max="3075" width="16.42578125" style="1435" customWidth="1"/>
    <col min="3076" max="3076" width="8.85546875" style="1435" customWidth="1"/>
    <col min="3077" max="3077" width="12.42578125" style="1435" customWidth="1"/>
    <col min="3078" max="3078" width="8.28515625" style="1435" customWidth="1"/>
    <col min="3079" max="3079" width="16" style="1435" customWidth="1"/>
    <col min="3080" max="3080" width="5.85546875" style="1435" bestFit="1" customWidth="1"/>
    <col min="3081" max="3081" width="19.7109375" style="1435" customWidth="1"/>
    <col min="3082" max="3082" width="3.5703125" style="1435" customWidth="1"/>
    <col min="3083" max="3083" width="21.140625" style="1435" customWidth="1"/>
    <col min="3084" max="3084" width="13.7109375" style="1435" bestFit="1" customWidth="1"/>
    <col min="3085" max="3085" width="14.28515625" style="1435" bestFit="1" customWidth="1"/>
    <col min="3086" max="3086" width="11.7109375" style="1435" bestFit="1" customWidth="1"/>
    <col min="3087" max="3087" width="11.42578125" style="1435" customWidth="1"/>
    <col min="3088" max="3328" width="11.42578125" style="1435"/>
    <col min="3329" max="3329" width="67.85546875" style="1435" customWidth="1"/>
    <col min="3330" max="3330" width="7.7109375" style="1435" customWidth="1"/>
    <col min="3331" max="3331" width="16.42578125" style="1435" customWidth="1"/>
    <col min="3332" max="3332" width="8.85546875" style="1435" customWidth="1"/>
    <col min="3333" max="3333" width="12.42578125" style="1435" customWidth="1"/>
    <col min="3334" max="3334" width="8.28515625" style="1435" customWidth="1"/>
    <col min="3335" max="3335" width="16" style="1435" customWidth="1"/>
    <col min="3336" max="3336" width="5.85546875" style="1435" bestFit="1" customWidth="1"/>
    <col min="3337" max="3337" width="19.7109375" style="1435" customWidth="1"/>
    <col min="3338" max="3338" width="3.5703125" style="1435" customWidth="1"/>
    <col min="3339" max="3339" width="21.140625" style="1435" customWidth="1"/>
    <col min="3340" max="3340" width="13.7109375" style="1435" bestFit="1" customWidth="1"/>
    <col min="3341" max="3341" width="14.28515625" style="1435" bestFit="1" customWidth="1"/>
    <col min="3342" max="3342" width="11.7109375" style="1435" bestFit="1" customWidth="1"/>
    <col min="3343" max="3343" width="11.42578125" style="1435" customWidth="1"/>
    <col min="3344" max="3584" width="11.42578125" style="1435"/>
    <col min="3585" max="3585" width="67.85546875" style="1435" customWidth="1"/>
    <col min="3586" max="3586" width="7.7109375" style="1435" customWidth="1"/>
    <col min="3587" max="3587" width="16.42578125" style="1435" customWidth="1"/>
    <col min="3588" max="3588" width="8.85546875" style="1435" customWidth="1"/>
    <col min="3589" max="3589" width="12.42578125" style="1435" customWidth="1"/>
    <col min="3590" max="3590" width="8.28515625" style="1435" customWidth="1"/>
    <col min="3591" max="3591" width="16" style="1435" customWidth="1"/>
    <col min="3592" max="3592" width="5.85546875" style="1435" bestFit="1" customWidth="1"/>
    <col min="3593" max="3593" width="19.7109375" style="1435" customWidth="1"/>
    <col min="3594" max="3594" width="3.5703125" style="1435" customWidth="1"/>
    <col min="3595" max="3595" width="21.140625" style="1435" customWidth="1"/>
    <col min="3596" max="3596" width="13.7109375" style="1435" bestFit="1" customWidth="1"/>
    <col min="3597" max="3597" width="14.28515625" style="1435" bestFit="1" customWidth="1"/>
    <col min="3598" max="3598" width="11.7109375" style="1435" bestFit="1" customWidth="1"/>
    <col min="3599" max="3599" width="11.42578125" style="1435" customWidth="1"/>
    <col min="3600" max="3840" width="11.42578125" style="1435"/>
    <col min="3841" max="3841" width="67.85546875" style="1435" customWidth="1"/>
    <col min="3842" max="3842" width="7.7109375" style="1435" customWidth="1"/>
    <col min="3843" max="3843" width="16.42578125" style="1435" customWidth="1"/>
    <col min="3844" max="3844" width="8.85546875" style="1435" customWidth="1"/>
    <col min="3845" max="3845" width="12.42578125" style="1435" customWidth="1"/>
    <col min="3846" max="3846" width="8.28515625" style="1435" customWidth="1"/>
    <col min="3847" max="3847" width="16" style="1435" customWidth="1"/>
    <col min="3848" max="3848" width="5.85546875" style="1435" bestFit="1" customWidth="1"/>
    <col min="3849" max="3849" width="19.7109375" style="1435" customWidth="1"/>
    <col min="3850" max="3850" width="3.5703125" style="1435" customWidth="1"/>
    <col min="3851" max="3851" width="21.140625" style="1435" customWidth="1"/>
    <col min="3852" max="3852" width="13.7109375" style="1435" bestFit="1" customWidth="1"/>
    <col min="3853" max="3853" width="14.28515625" style="1435" bestFit="1" customWidth="1"/>
    <col min="3854" max="3854" width="11.7109375" style="1435" bestFit="1" customWidth="1"/>
    <col min="3855" max="3855" width="11.42578125" style="1435" customWidth="1"/>
    <col min="3856" max="4096" width="11.42578125" style="1435"/>
    <col min="4097" max="4097" width="67.85546875" style="1435" customWidth="1"/>
    <col min="4098" max="4098" width="7.7109375" style="1435" customWidth="1"/>
    <col min="4099" max="4099" width="16.42578125" style="1435" customWidth="1"/>
    <col min="4100" max="4100" width="8.85546875" style="1435" customWidth="1"/>
    <col min="4101" max="4101" width="12.42578125" style="1435" customWidth="1"/>
    <col min="4102" max="4102" width="8.28515625" style="1435" customWidth="1"/>
    <col min="4103" max="4103" width="16" style="1435" customWidth="1"/>
    <col min="4104" max="4104" width="5.85546875" style="1435" bestFit="1" customWidth="1"/>
    <col min="4105" max="4105" width="19.7109375" style="1435" customWidth="1"/>
    <col min="4106" max="4106" width="3.5703125" style="1435" customWidth="1"/>
    <col min="4107" max="4107" width="21.140625" style="1435" customWidth="1"/>
    <col min="4108" max="4108" width="13.7109375" style="1435" bestFit="1" customWidth="1"/>
    <col min="4109" max="4109" width="14.28515625" style="1435" bestFit="1" customWidth="1"/>
    <col min="4110" max="4110" width="11.7109375" style="1435" bestFit="1" customWidth="1"/>
    <col min="4111" max="4111" width="11.42578125" style="1435" customWidth="1"/>
    <col min="4112" max="4352" width="11.42578125" style="1435"/>
    <col min="4353" max="4353" width="67.85546875" style="1435" customWidth="1"/>
    <col min="4354" max="4354" width="7.7109375" style="1435" customWidth="1"/>
    <col min="4355" max="4355" width="16.42578125" style="1435" customWidth="1"/>
    <col min="4356" max="4356" width="8.85546875" style="1435" customWidth="1"/>
    <col min="4357" max="4357" width="12.42578125" style="1435" customWidth="1"/>
    <col min="4358" max="4358" width="8.28515625" style="1435" customWidth="1"/>
    <col min="4359" max="4359" width="16" style="1435" customWidth="1"/>
    <col min="4360" max="4360" width="5.85546875" style="1435" bestFit="1" customWidth="1"/>
    <col min="4361" max="4361" width="19.7109375" style="1435" customWidth="1"/>
    <col min="4362" max="4362" width="3.5703125" style="1435" customWidth="1"/>
    <col min="4363" max="4363" width="21.140625" style="1435" customWidth="1"/>
    <col min="4364" max="4364" width="13.7109375" style="1435" bestFit="1" customWidth="1"/>
    <col min="4365" max="4365" width="14.28515625" style="1435" bestFit="1" customWidth="1"/>
    <col min="4366" max="4366" width="11.7109375" style="1435" bestFit="1" customWidth="1"/>
    <col min="4367" max="4367" width="11.42578125" style="1435" customWidth="1"/>
    <col min="4368" max="4608" width="11.42578125" style="1435"/>
    <col min="4609" max="4609" width="67.85546875" style="1435" customWidth="1"/>
    <col min="4610" max="4610" width="7.7109375" style="1435" customWidth="1"/>
    <col min="4611" max="4611" width="16.42578125" style="1435" customWidth="1"/>
    <col min="4612" max="4612" width="8.85546875" style="1435" customWidth="1"/>
    <col min="4613" max="4613" width="12.42578125" style="1435" customWidth="1"/>
    <col min="4614" max="4614" width="8.28515625" style="1435" customWidth="1"/>
    <col min="4615" max="4615" width="16" style="1435" customWidth="1"/>
    <col min="4616" max="4616" width="5.85546875" style="1435" bestFit="1" customWidth="1"/>
    <col min="4617" max="4617" width="19.7109375" style="1435" customWidth="1"/>
    <col min="4618" max="4618" width="3.5703125" style="1435" customWidth="1"/>
    <col min="4619" max="4619" width="21.140625" style="1435" customWidth="1"/>
    <col min="4620" max="4620" width="13.7109375" style="1435" bestFit="1" customWidth="1"/>
    <col min="4621" max="4621" width="14.28515625" style="1435" bestFit="1" customWidth="1"/>
    <col min="4622" max="4622" width="11.7109375" style="1435" bestFit="1" customWidth="1"/>
    <col min="4623" max="4623" width="11.42578125" style="1435" customWidth="1"/>
    <col min="4624" max="4864" width="11.42578125" style="1435"/>
    <col min="4865" max="4865" width="67.85546875" style="1435" customWidth="1"/>
    <col min="4866" max="4866" width="7.7109375" style="1435" customWidth="1"/>
    <col min="4867" max="4867" width="16.42578125" style="1435" customWidth="1"/>
    <col min="4868" max="4868" width="8.85546875" style="1435" customWidth="1"/>
    <col min="4869" max="4869" width="12.42578125" style="1435" customWidth="1"/>
    <col min="4870" max="4870" width="8.28515625" style="1435" customWidth="1"/>
    <col min="4871" max="4871" width="16" style="1435" customWidth="1"/>
    <col min="4872" max="4872" width="5.85546875" style="1435" bestFit="1" customWidth="1"/>
    <col min="4873" max="4873" width="19.7109375" style="1435" customWidth="1"/>
    <col min="4874" max="4874" width="3.5703125" style="1435" customWidth="1"/>
    <col min="4875" max="4875" width="21.140625" style="1435" customWidth="1"/>
    <col min="4876" max="4876" width="13.7109375" style="1435" bestFit="1" customWidth="1"/>
    <col min="4877" max="4877" width="14.28515625" style="1435" bestFit="1" customWidth="1"/>
    <col min="4878" max="4878" width="11.7109375" style="1435" bestFit="1" customWidth="1"/>
    <col min="4879" max="4879" width="11.42578125" style="1435" customWidth="1"/>
    <col min="4880" max="5120" width="11.42578125" style="1435"/>
    <col min="5121" max="5121" width="67.85546875" style="1435" customWidth="1"/>
    <col min="5122" max="5122" width="7.7109375" style="1435" customWidth="1"/>
    <col min="5123" max="5123" width="16.42578125" style="1435" customWidth="1"/>
    <col min="5124" max="5124" width="8.85546875" style="1435" customWidth="1"/>
    <col min="5125" max="5125" width="12.42578125" style="1435" customWidth="1"/>
    <col min="5126" max="5126" width="8.28515625" style="1435" customWidth="1"/>
    <col min="5127" max="5127" width="16" style="1435" customWidth="1"/>
    <col min="5128" max="5128" width="5.85546875" style="1435" bestFit="1" customWidth="1"/>
    <col min="5129" max="5129" width="19.7109375" style="1435" customWidth="1"/>
    <col min="5130" max="5130" width="3.5703125" style="1435" customWidth="1"/>
    <col min="5131" max="5131" width="21.140625" style="1435" customWidth="1"/>
    <col min="5132" max="5132" width="13.7109375" style="1435" bestFit="1" customWidth="1"/>
    <col min="5133" max="5133" width="14.28515625" style="1435" bestFit="1" customWidth="1"/>
    <col min="5134" max="5134" width="11.7109375" style="1435" bestFit="1" customWidth="1"/>
    <col min="5135" max="5135" width="11.42578125" style="1435" customWidth="1"/>
    <col min="5136" max="5376" width="11.42578125" style="1435"/>
    <col min="5377" max="5377" width="67.85546875" style="1435" customWidth="1"/>
    <col min="5378" max="5378" width="7.7109375" style="1435" customWidth="1"/>
    <col min="5379" max="5379" width="16.42578125" style="1435" customWidth="1"/>
    <col min="5380" max="5380" width="8.85546875" style="1435" customWidth="1"/>
    <col min="5381" max="5381" width="12.42578125" style="1435" customWidth="1"/>
    <col min="5382" max="5382" width="8.28515625" style="1435" customWidth="1"/>
    <col min="5383" max="5383" width="16" style="1435" customWidth="1"/>
    <col min="5384" max="5384" width="5.85546875" style="1435" bestFit="1" customWidth="1"/>
    <col min="5385" max="5385" width="19.7109375" style="1435" customWidth="1"/>
    <col min="5386" max="5386" width="3.5703125" style="1435" customWidth="1"/>
    <col min="5387" max="5387" width="21.140625" style="1435" customWidth="1"/>
    <col min="5388" max="5388" width="13.7109375" style="1435" bestFit="1" customWidth="1"/>
    <col min="5389" max="5389" width="14.28515625" style="1435" bestFit="1" customWidth="1"/>
    <col min="5390" max="5390" width="11.7109375" style="1435" bestFit="1" customWidth="1"/>
    <col min="5391" max="5391" width="11.42578125" style="1435" customWidth="1"/>
    <col min="5392" max="5632" width="11.42578125" style="1435"/>
    <col min="5633" max="5633" width="67.85546875" style="1435" customWidth="1"/>
    <col min="5634" max="5634" width="7.7109375" style="1435" customWidth="1"/>
    <col min="5635" max="5635" width="16.42578125" style="1435" customWidth="1"/>
    <col min="5636" max="5636" width="8.85546875" style="1435" customWidth="1"/>
    <col min="5637" max="5637" width="12.42578125" style="1435" customWidth="1"/>
    <col min="5638" max="5638" width="8.28515625" style="1435" customWidth="1"/>
    <col min="5639" max="5639" width="16" style="1435" customWidth="1"/>
    <col min="5640" max="5640" width="5.85546875" style="1435" bestFit="1" customWidth="1"/>
    <col min="5641" max="5641" width="19.7109375" style="1435" customWidth="1"/>
    <col min="5642" max="5642" width="3.5703125" style="1435" customWidth="1"/>
    <col min="5643" max="5643" width="21.140625" style="1435" customWidth="1"/>
    <col min="5644" max="5644" width="13.7109375" style="1435" bestFit="1" customWidth="1"/>
    <col min="5645" max="5645" width="14.28515625" style="1435" bestFit="1" customWidth="1"/>
    <col min="5646" max="5646" width="11.7109375" style="1435" bestFit="1" customWidth="1"/>
    <col min="5647" max="5647" width="11.42578125" style="1435" customWidth="1"/>
    <col min="5648" max="5888" width="11.42578125" style="1435"/>
    <col min="5889" max="5889" width="67.85546875" style="1435" customWidth="1"/>
    <col min="5890" max="5890" width="7.7109375" style="1435" customWidth="1"/>
    <col min="5891" max="5891" width="16.42578125" style="1435" customWidth="1"/>
    <col min="5892" max="5892" width="8.85546875" style="1435" customWidth="1"/>
    <col min="5893" max="5893" width="12.42578125" style="1435" customWidth="1"/>
    <col min="5894" max="5894" width="8.28515625" style="1435" customWidth="1"/>
    <col min="5895" max="5895" width="16" style="1435" customWidth="1"/>
    <col min="5896" max="5896" width="5.85546875" style="1435" bestFit="1" customWidth="1"/>
    <col min="5897" max="5897" width="19.7109375" style="1435" customWidth="1"/>
    <col min="5898" max="5898" width="3.5703125" style="1435" customWidth="1"/>
    <col min="5899" max="5899" width="21.140625" style="1435" customWidth="1"/>
    <col min="5900" max="5900" width="13.7109375" style="1435" bestFit="1" customWidth="1"/>
    <col min="5901" max="5901" width="14.28515625" style="1435" bestFit="1" customWidth="1"/>
    <col min="5902" max="5902" width="11.7109375" style="1435" bestFit="1" customWidth="1"/>
    <col min="5903" max="5903" width="11.42578125" style="1435" customWidth="1"/>
    <col min="5904" max="6144" width="11.42578125" style="1435"/>
    <col min="6145" max="6145" width="67.85546875" style="1435" customWidth="1"/>
    <col min="6146" max="6146" width="7.7109375" style="1435" customWidth="1"/>
    <col min="6147" max="6147" width="16.42578125" style="1435" customWidth="1"/>
    <col min="6148" max="6148" width="8.85546875" style="1435" customWidth="1"/>
    <col min="6149" max="6149" width="12.42578125" style="1435" customWidth="1"/>
    <col min="6150" max="6150" width="8.28515625" style="1435" customWidth="1"/>
    <col min="6151" max="6151" width="16" style="1435" customWidth="1"/>
    <col min="6152" max="6152" width="5.85546875" style="1435" bestFit="1" customWidth="1"/>
    <col min="6153" max="6153" width="19.7109375" style="1435" customWidth="1"/>
    <col min="6154" max="6154" width="3.5703125" style="1435" customWidth="1"/>
    <col min="6155" max="6155" width="21.140625" style="1435" customWidth="1"/>
    <col min="6156" max="6156" width="13.7109375" style="1435" bestFit="1" customWidth="1"/>
    <col min="6157" max="6157" width="14.28515625" style="1435" bestFit="1" customWidth="1"/>
    <col min="6158" max="6158" width="11.7109375" style="1435" bestFit="1" customWidth="1"/>
    <col min="6159" max="6159" width="11.42578125" style="1435" customWidth="1"/>
    <col min="6160" max="6400" width="11.42578125" style="1435"/>
    <col min="6401" max="6401" width="67.85546875" style="1435" customWidth="1"/>
    <col min="6402" max="6402" width="7.7109375" style="1435" customWidth="1"/>
    <col min="6403" max="6403" width="16.42578125" style="1435" customWidth="1"/>
    <col min="6404" max="6404" width="8.85546875" style="1435" customWidth="1"/>
    <col min="6405" max="6405" width="12.42578125" style="1435" customWidth="1"/>
    <col min="6406" max="6406" width="8.28515625" style="1435" customWidth="1"/>
    <col min="6407" max="6407" width="16" style="1435" customWidth="1"/>
    <col min="6408" max="6408" width="5.85546875" style="1435" bestFit="1" customWidth="1"/>
    <col min="6409" max="6409" width="19.7109375" style="1435" customWidth="1"/>
    <col min="6410" max="6410" width="3.5703125" style="1435" customWidth="1"/>
    <col min="6411" max="6411" width="21.140625" style="1435" customWidth="1"/>
    <col min="6412" max="6412" width="13.7109375" style="1435" bestFit="1" customWidth="1"/>
    <col min="6413" max="6413" width="14.28515625" style="1435" bestFit="1" customWidth="1"/>
    <col min="6414" max="6414" width="11.7109375" style="1435" bestFit="1" customWidth="1"/>
    <col min="6415" max="6415" width="11.42578125" style="1435" customWidth="1"/>
    <col min="6416" max="6656" width="11.42578125" style="1435"/>
    <col min="6657" max="6657" width="67.85546875" style="1435" customWidth="1"/>
    <col min="6658" max="6658" width="7.7109375" style="1435" customWidth="1"/>
    <col min="6659" max="6659" width="16.42578125" style="1435" customWidth="1"/>
    <col min="6660" max="6660" width="8.85546875" style="1435" customWidth="1"/>
    <col min="6661" max="6661" width="12.42578125" style="1435" customWidth="1"/>
    <col min="6662" max="6662" width="8.28515625" style="1435" customWidth="1"/>
    <col min="6663" max="6663" width="16" style="1435" customWidth="1"/>
    <col min="6664" max="6664" width="5.85546875" style="1435" bestFit="1" customWidth="1"/>
    <col min="6665" max="6665" width="19.7109375" style="1435" customWidth="1"/>
    <col min="6666" max="6666" width="3.5703125" style="1435" customWidth="1"/>
    <col min="6667" max="6667" width="21.140625" style="1435" customWidth="1"/>
    <col min="6668" max="6668" width="13.7109375" style="1435" bestFit="1" customWidth="1"/>
    <col min="6669" max="6669" width="14.28515625" style="1435" bestFit="1" customWidth="1"/>
    <col min="6670" max="6670" width="11.7109375" style="1435" bestFit="1" customWidth="1"/>
    <col min="6671" max="6671" width="11.42578125" style="1435" customWidth="1"/>
    <col min="6672" max="6912" width="11.42578125" style="1435"/>
    <col min="6913" max="6913" width="67.85546875" style="1435" customWidth="1"/>
    <col min="6914" max="6914" width="7.7109375" style="1435" customWidth="1"/>
    <col min="6915" max="6915" width="16.42578125" style="1435" customWidth="1"/>
    <col min="6916" max="6916" width="8.85546875" style="1435" customWidth="1"/>
    <col min="6917" max="6917" width="12.42578125" style="1435" customWidth="1"/>
    <col min="6918" max="6918" width="8.28515625" style="1435" customWidth="1"/>
    <col min="6919" max="6919" width="16" style="1435" customWidth="1"/>
    <col min="6920" max="6920" width="5.85546875" style="1435" bestFit="1" customWidth="1"/>
    <col min="6921" max="6921" width="19.7109375" style="1435" customWidth="1"/>
    <col min="6922" max="6922" width="3.5703125" style="1435" customWidth="1"/>
    <col min="6923" max="6923" width="21.140625" style="1435" customWidth="1"/>
    <col min="6924" max="6924" width="13.7109375" style="1435" bestFit="1" customWidth="1"/>
    <col min="6925" max="6925" width="14.28515625" style="1435" bestFit="1" customWidth="1"/>
    <col min="6926" max="6926" width="11.7109375" style="1435" bestFit="1" customWidth="1"/>
    <col min="6927" max="6927" width="11.42578125" style="1435" customWidth="1"/>
    <col min="6928" max="7168" width="11.42578125" style="1435"/>
    <col min="7169" max="7169" width="67.85546875" style="1435" customWidth="1"/>
    <col min="7170" max="7170" width="7.7109375" style="1435" customWidth="1"/>
    <col min="7171" max="7171" width="16.42578125" style="1435" customWidth="1"/>
    <col min="7172" max="7172" width="8.85546875" style="1435" customWidth="1"/>
    <col min="7173" max="7173" width="12.42578125" style="1435" customWidth="1"/>
    <col min="7174" max="7174" width="8.28515625" style="1435" customWidth="1"/>
    <col min="7175" max="7175" width="16" style="1435" customWidth="1"/>
    <col min="7176" max="7176" width="5.85546875" style="1435" bestFit="1" customWidth="1"/>
    <col min="7177" max="7177" width="19.7109375" style="1435" customWidth="1"/>
    <col min="7178" max="7178" width="3.5703125" style="1435" customWidth="1"/>
    <col min="7179" max="7179" width="21.140625" style="1435" customWidth="1"/>
    <col min="7180" max="7180" width="13.7109375" style="1435" bestFit="1" customWidth="1"/>
    <col min="7181" max="7181" width="14.28515625" style="1435" bestFit="1" customWidth="1"/>
    <col min="7182" max="7182" width="11.7109375" style="1435" bestFit="1" customWidth="1"/>
    <col min="7183" max="7183" width="11.42578125" style="1435" customWidth="1"/>
    <col min="7184" max="7424" width="11.42578125" style="1435"/>
    <col min="7425" max="7425" width="67.85546875" style="1435" customWidth="1"/>
    <col min="7426" max="7426" width="7.7109375" style="1435" customWidth="1"/>
    <col min="7427" max="7427" width="16.42578125" style="1435" customWidth="1"/>
    <col min="7428" max="7428" width="8.85546875" style="1435" customWidth="1"/>
    <col min="7429" max="7429" width="12.42578125" style="1435" customWidth="1"/>
    <col min="7430" max="7430" width="8.28515625" style="1435" customWidth="1"/>
    <col min="7431" max="7431" width="16" style="1435" customWidth="1"/>
    <col min="7432" max="7432" width="5.85546875" style="1435" bestFit="1" customWidth="1"/>
    <col min="7433" max="7433" width="19.7109375" style="1435" customWidth="1"/>
    <col min="7434" max="7434" width="3.5703125" style="1435" customWidth="1"/>
    <col min="7435" max="7435" width="21.140625" style="1435" customWidth="1"/>
    <col min="7436" max="7436" width="13.7109375" style="1435" bestFit="1" customWidth="1"/>
    <col min="7437" max="7437" width="14.28515625" style="1435" bestFit="1" customWidth="1"/>
    <col min="7438" max="7438" width="11.7109375" style="1435" bestFit="1" customWidth="1"/>
    <col min="7439" max="7439" width="11.42578125" style="1435" customWidth="1"/>
    <col min="7440" max="7680" width="11.42578125" style="1435"/>
    <col min="7681" max="7681" width="67.85546875" style="1435" customWidth="1"/>
    <col min="7682" max="7682" width="7.7109375" style="1435" customWidth="1"/>
    <col min="7683" max="7683" width="16.42578125" style="1435" customWidth="1"/>
    <col min="7684" max="7684" width="8.85546875" style="1435" customWidth="1"/>
    <col min="7685" max="7685" width="12.42578125" style="1435" customWidth="1"/>
    <col min="7686" max="7686" width="8.28515625" style="1435" customWidth="1"/>
    <col min="7687" max="7687" width="16" style="1435" customWidth="1"/>
    <col min="7688" max="7688" width="5.85546875" style="1435" bestFit="1" customWidth="1"/>
    <col min="7689" max="7689" width="19.7109375" style="1435" customWidth="1"/>
    <col min="7690" max="7690" width="3.5703125" style="1435" customWidth="1"/>
    <col min="7691" max="7691" width="21.140625" style="1435" customWidth="1"/>
    <col min="7692" max="7692" width="13.7109375" style="1435" bestFit="1" customWidth="1"/>
    <col min="7693" max="7693" width="14.28515625" style="1435" bestFit="1" customWidth="1"/>
    <col min="7694" max="7694" width="11.7109375" style="1435" bestFit="1" customWidth="1"/>
    <col min="7695" max="7695" width="11.42578125" style="1435" customWidth="1"/>
    <col min="7696" max="7936" width="11.42578125" style="1435"/>
    <col min="7937" max="7937" width="67.85546875" style="1435" customWidth="1"/>
    <col min="7938" max="7938" width="7.7109375" style="1435" customWidth="1"/>
    <col min="7939" max="7939" width="16.42578125" style="1435" customWidth="1"/>
    <col min="7940" max="7940" width="8.85546875" style="1435" customWidth="1"/>
    <col min="7941" max="7941" width="12.42578125" style="1435" customWidth="1"/>
    <col min="7942" max="7942" width="8.28515625" style="1435" customWidth="1"/>
    <col min="7943" max="7943" width="16" style="1435" customWidth="1"/>
    <col min="7944" max="7944" width="5.85546875" style="1435" bestFit="1" customWidth="1"/>
    <col min="7945" max="7945" width="19.7109375" style="1435" customWidth="1"/>
    <col min="7946" max="7946" width="3.5703125" style="1435" customWidth="1"/>
    <col min="7947" max="7947" width="21.140625" style="1435" customWidth="1"/>
    <col min="7948" max="7948" width="13.7109375" style="1435" bestFit="1" customWidth="1"/>
    <col min="7949" max="7949" width="14.28515625" style="1435" bestFit="1" customWidth="1"/>
    <col min="7950" max="7950" width="11.7109375" style="1435" bestFit="1" customWidth="1"/>
    <col min="7951" max="7951" width="11.42578125" style="1435" customWidth="1"/>
    <col min="7952" max="8192" width="11.42578125" style="1435"/>
    <col min="8193" max="8193" width="67.85546875" style="1435" customWidth="1"/>
    <col min="8194" max="8194" width="7.7109375" style="1435" customWidth="1"/>
    <col min="8195" max="8195" width="16.42578125" style="1435" customWidth="1"/>
    <col min="8196" max="8196" width="8.85546875" style="1435" customWidth="1"/>
    <col min="8197" max="8197" width="12.42578125" style="1435" customWidth="1"/>
    <col min="8198" max="8198" width="8.28515625" style="1435" customWidth="1"/>
    <col min="8199" max="8199" width="16" style="1435" customWidth="1"/>
    <col min="8200" max="8200" width="5.85546875" style="1435" bestFit="1" customWidth="1"/>
    <col min="8201" max="8201" width="19.7109375" style="1435" customWidth="1"/>
    <col min="8202" max="8202" width="3.5703125" style="1435" customWidth="1"/>
    <col min="8203" max="8203" width="21.140625" style="1435" customWidth="1"/>
    <col min="8204" max="8204" width="13.7109375" style="1435" bestFit="1" customWidth="1"/>
    <col min="8205" max="8205" width="14.28515625" style="1435" bestFit="1" customWidth="1"/>
    <col min="8206" max="8206" width="11.7109375" style="1435" bestFit="1" customWidth="1"/>
    <col min="8207" max="8207" width="11.42578125" style="1435" customWidth="1"/>
    <col min="8208" max="8448" width="11.42578125" style="1435"/>
    <col min="8449" max="8449" width="67.85546875" style="1435" customWidth="1"/>
    <col min="8450" max="8450" width="7.7109375" style="1435" customWidth="1"/>
    <col min="8451" max="8451" width="16.42578125" style="1435" customWidth="1"/>
    <col min="8452" max="8452" width="8.85546875" style="1435" customWidth="1"/>
    <col min="8453" max="8453" width="12.42578125" style="1435" customWidth="1"/>
    <col min="8454" max="8454" width="8.28515625" style="1435" customWidth="1"/>
    <col min="8455" max="8455" width="16" style="1435" customWidth="1"/>
    <col min="8456" max="8456" width="5.85546875" style="1435" bestFit="1" customWidth="1"/>
    <col min="8457" max="8457" width="19.7109375" style="1435" customWidth="1"/>
    <col min="8458" max="8458" width="3.5703125" style="1435" customWidth="1"/>
    <col min="8459" max="8459" width="21.140625" style="1435" customWidth="1"/>
    <col min="8460" max="8460" width="13.7109375" style="1435" bestFit="1" customWidth="1"/>
    <col min="8461" max="8461" width="14.28515625" style="1435" bestFit="1" customWidth="1"/>
    <col min="8462" max="8462" width="11.7109375" style="1435" bestFit="1" customWidth="1"/>
    <col min="8463" max="8463" width="11.42578125" style="1435" customWidth="1"/>
    <col min="8464" max="8704" width="11.42578125" style="1435"/>
    <col min="8705" max="8705" width="67.85546875" style="1435" customWidth="1"/>
    <col min="8706" max="8706" width="7.7109375" style="1435" customWidth="1"/>
    <col min="8707" max="8707" width="16.42578125" style="1435" customWidth="1"/>
    <col min="8708" max="8708" width="8.85546875" style="1435" customWidth="1"/>
    <col min="8709" max="8709" width="12.42578125" style="1435" customWidth="1"/>
    <col min="8710" max="8710" width="8.28515625" style="1435" customWidth="1"/>
    <col min="8711" max="8711" width="16" style="1435" customWidth="1"/>
    <col min="8712" max="8712" width="5.85546875" style="1435" bestFit="1" customWidth="1"/>
    <col min="8713" max="8713" width="19.7109375" style="1435" customWidth="1"/>
    <col min="8714" max="8714" width="3.5703125" style="1435" customWidth="1"/>
    <col min="8715" max="8715" width="21.140625" style="1435" customWidth="1"/>
    <col min="8716" max="8716" width="13.7109375" style="1435" bestFit="1" customWidth="1"/>
    <col min="8717" max="8717" width="14.28515625" style="1435" bestFit="1" customWidth="1"/>
    <col min="8718" max="8718" width="11.7109375" style="1435" bestFit="1" customWidth="1"/>
    <col min="8719" max="8719" width="11.42578125" style="1435" customWidth="1"/>
    <col min="8720" max="8960" width="11.42578125" style="1435"/>
    <col min="8961" max="8961" width="67.85546875" style="1435" customWidth="1"/>
    <col min="8962" max="8962" width="7.7109375" style="1435" customWidth="1"/>
    <col min="8963" max="8963" width="16.42578125" style="1435" customWidth="1"/>
    <col min="8964" max="8964" width="8.85546875" style="1435" customWidth="1"/>
    <col min="8965" max="8965" width="12.42578125" style="1435" customWidth="1"/>
    <col min="8966" max="8966" width="8.28515625" style="1435" customWidth="1"/>
    <col min="8967" max="8967" width="16" style="1435" customWidth="1"/>
    <col min="8968" max="8968" width="5.85546875" style="1435" bestFit="1" customWidth="1"/>
    <col min="8969" max="8969" width="19.7109375" style="1435" customWidth="1"/>
    <col min="8970" max="8970" width="3.5703125" style="1435" customWidth="1"/>
    <col min="8971" max="8971" width="21.140625" style="1435" customWidth="1"/>
    <col min="8972" max="8972" width="13.7109375" style="1435" bestFit="1" customWidth="1"/>
    <col min="8973" max="8973" width="14.28515625" style="1435" bestFit="1" customWidth="1"/>
    <col min="8974" max="8974" width="11.7109375" style="1435" bestFit="1" customWidth="1"/>
    <col min="8975" max="8975" width="11.42578125" style="1435" customWidth="1"/>
    <col min="8976" max="9216" width="11.42578125" style="1435"/>
    <col min="9217" max="9217" width="67.85546875" style="1435" customWidth="1"/>
    <col min="9218" max="9218" width="7.7109375" style="1435" customWidth="1"/>
    <col min="9219" max="9219" width="16.42578125" style="1435" customWidth="1"/>
    <col min="9220" max="9220" width="8.85546875" style="1435" customWidth="1"/>
    <col min="9221" max="9221" width="12.42578125" style="1435" customWidth="1"/>
    <col min="9222" max="9222" width="8.28515625" style="1435" customWidth="1"/>
    <col min="9223" max="9223" width="16" style="1435" customWidth="1"/>
    <col min="9224" max="9224" width="5.85546875" style="1435" bestFit="1" customWidth="1"/>
    <col min="9225" max="9225" width="19.7109375" style="1435" customWidth="1"/>
    <col min="9226" max="9226" width="3.5703125" style="1435" customWidth="1"/>
    <col min="9227" max="9227" width="21.140625" style="1435" customWidth="1"/>
    <col min="9228" max="9228" width="13.7109375" style="1435" bestFit="1" customWidth="1"/>
    <col min="9229" max="9229" width="14.28515625" style="1435" bestFit="1" customWidth="1"/>
    <col min="9230" max="9230" width="11.7109375" style="1435" bestFit="1" customWidth="1"/>
    <col min="9231" max="9231" width="11.42578125" style="1435" customWidth="1"/>
    <col min="9232" max="9472" width="11.42578125" style="1435"/>
    <col min="9473" max="9473" width="67.85546875" style="1435" customWidth="1"/>
    <col min="9474" max="9474" width="7.7109375" style="1435" customWidth="1"/>
    <col min="9475" max="9475" width="16.42578125" style="1435" customWidth="1"/>
    <col min="9476" max="9476" width="8.85546875" style="1435" customWidth="1"/>
    <col min="9477" max="9477" width="12.42578125" style="1435" customWidth="1"/>
    <col min="9478" max="9478" width="8.28515625" style="1435" customWidth="1"/>
    <col min="9479" max="9479" width="16" style="1435" customWidth="1"/>
    <col min="9480" max="9480" width="5.85546875" style="1435" bestFit="1" customWidth="1"/>
    <col min="9481" max="9481" width="19.7109375" style="1435" customWidth="1"/>
    <col min="9482" max="9482" width="3.5703125" style="1435" customWidth="1"/>
    <col min="9483" max="9483" width="21.140625" style="1435" customWidth="1"/>
    <col min="9484" max="9484" width="13.7109375" style="1435" bestFit="1" customWidth="1"/>
    <col min="9485" max="9485" width="14.28515625" style="1435" bestFit="1" customWidth="1"/>
    <col min="9486" max="9486" width="11.7109375" style="1435" bestFit="1" customWidth="1"/>
    <col min="9487" max="9487" width="11.42578125" style="1435" customWidth="1"/>
    <col min="9488" max="9728" width="11.42578125" style="1435"/>
    <col min="9729" max="9729" width="67.85546875" style="1435" customWidth="1"/>
    <col min="9730" max="9730" width="7.7109375" style="1435" customWidth="1"/>
    <col min="9731" max="9731" width="16.42578125" style="1435" customWidth="1"/>
    <col min="9732" max="9732" width="8.85546875" style="1435" customWidth="1"/>
    <col min="9733" max="9733" width="12.42578125" style="1435" customWidth="1"/>
    <col min="9734" max="9734" width="8.28515625" style="1435" customWidth="1"/>
    <col min="9735" max="9735" width="16" style="1435" customWidth="1"/>
    <col min="9736" max="9736" width="5.85546875" style="1435" bestFit="1" customWidth="1"/>
    <col min="9737" max="9737" width="19.7109375" style="1435" customWidth="1"/>
    <col min="9738" max="9738" width="3.5703125" style="1435" customWidth="1"/>
    <col min="9739" max="9739" width="21.140625" style="1435" customWidth="1"/>
    <col min="9740" max="9740" width="13.7109375" style="1435" bestFit="1" customWidth="1"/>
    <col min="9741" max="9741" width="14.28515625" style="1435" bestFit="1" customWidth="1"/>
    <col min="9742" max="9742" width="11.7109375" style="1435" bestFit="1" customWidth="1"/>
    <col min="9743" max="9743" width="11.42578125" style="1435" customWidth="1"/>
    <col min="9744" max="9984" width="11.42578125" style="1435"/>
    <col min="9985" max="9985" width="67.85546875" style="1435" customWidth="1"/>
    <col min="9986" max="9986" width="7.7109375" style="1435" customWidth="1"/>
    <col min="9987" max="9987" width="16.42578125" style="1435" customWidth="1"/>
    <col min="9988" max="9988" width="8.85546875" style="1435" customWidth="1"/>
    <col min="9989" max="9989" width="12.42578125" style="1435" customWidth="1"/>
    <col min="9990" max="9990" width="8.28515625" style="1435" customWidth="1"/>
    <col min="9991" max="9991" width="16" style="1435" customWidth="1"/>
    <col min="9992" max="9992" width="5.85546875" style="1435" bestFit="1" customWidth="1"/>
    <col min="9993" max="9993" width="19.7109375" style="1435" customWidth="1"/>
    <col min="9994" max="9994" width="3.5703125" style="1435" customWidth="1"/>
    <col min="9995" max="9995" width="21.140625" style="1435" customWidth="1"/>
    <col min="9996" max="9996" width="13.7109375" style="1435" bestFit="1" customWidth="1"/>
    <col min="9997" max="9997" width="14.28515625" style="1435" bestFit="1" customWidth="1"/>
    <col min="9998" max="9998" width="11.7109375" style="1435" bestFit="1" customWidth="1"/>
    <col min="9999" max="9999" width="11.42578125" style="1435" customWidth="1"/>
    <col min="10000" max="10240" width="11.42578125" style="1435"/>
    <col min="10241" max="10241" width="67.85546875" style="1435" customWidth="1"/>
    <col min="10242" max="10242" width="7.7109375" style="1435" customWidth="1"/>
    <col min="10243" max="10243" width="16.42578125" style="1435" customWidth="1"/>
    <col min="10244" max="10244" width="8.85546875" style="1435" customWidth="1"/>
    <col min="10245" max="10245" width="12.42578125" style="1435" customWidth="1"/>
    <col min="10246" max="10246" width="8.28515625" style="1435" customWidth="1"/>
    <col min="10247" max="10247" width="16" style="1435" customWidth="1"/>
    <col min="10248" max="10248" width="5.85546875" style="1435" bestFit="1" customWidth="1"/>
    <col min="10249" max="10249" width="19.7109375" style="1435" customWidth="1"/>
    <col min="10250" max="10250" width="3.5703125" style="1435" customWidth="1"/>
    <col min="10251" max="10251" width="21.140625" style="1435" customWidth="1"/>
    <col min="10252" max="10252" width="13.7109375" style="1435" bestFit="1" customWidth="1"/>
    <col min="10253" max="10253" width="14.28515625" style="1435" bestFit="1" customWidth="1"/>
    <col min="10254" max="10254" width="11.7109375" style="1435" bestFit="1" customWidth="1"/>
    <col min="10255" max="10255" width="11.42578125" style="1435" customWidth="1"/>
    <col min="10256" max="10496" width="11.42578125" style="1435"/>
    <col min="10497" max="10497" width="67.85546875" style="1435" customWidth="1"/>
    <col min="10498" max="10498" width="7.7109375" style="1435" customWidth="1"/>
    <col min="10499" max="10499" width="16.42578125" style="1435" customWidth="1"/>
    <col min="10500" max="10500" width="8.85546875" style="1435" customWidth="1"/>
    <col min="10501" max="10501" width="12.42578125" style="1435" customWidth="1"/>
    <col min="10502" max="10502" width="8.28515625" style="1435" customWidth="1"/>
    <col min="10503" max="10503" width="16" style="1435" customWidth="1"/>
    <col min="10504" max="10504" width="5.85546875" style="1435" bestFit="1" customWidth="1"/>
    <col min="10505" max="10505" width="19.7109375" style="1435" customWidth="1"/>
    <col min="10506" max="10506" width="3.5703125" style="1435" customWidth="1"/>
    <col min="10507" max="10507" width="21.140625" style="1435" customWidth="1"/>
    <col min="10508" max="10508" width="13.7109375" style="1435" bestFit="1" customWidth="1"/>
    <col min="10509" max="10509" width="14.28515625" style="1435" bestFit="1" customWidth="1"/>
    <col min="10510" max="10510" width="11.7109375" style="1435" bestFit="1" customWidth="1"/>
    <col min="10511" max="10511" width="11.42578125" style="1435" customWidth="1"/>
    <col min="10512" max="10752" width="11.42578125" style="1435"/>
    <col min="10753" max="10753" width="67.85546875" style="1435" customWidth="1"/>
    <col min="10754" max="10754" width="7.7109375" style="1435" customWidth="1"/>
    <col min="10755" max="10755" width="16.42578125" style="1435" customWidth="1"/>
    <col min="10756" max="10756" width="8.85546875" style="1435" customWidth="1"/>
    <col min="10757" max="10757" width="12.42578125" style="1435" customWidth="1"/>
    <col min="10758" max="10758" width="8.28515625" style="1435" customWidth="1"/>
    <col min="10759" max="10759" width="16" style="1435" customWidth="1"/>
    <col min="10760" max="10760" width="5.85546875" style="1435" bestFit="1" customWidth="1"/>
    <col min="10761" max="10761" width="19.7109375" style="1435" customWidth="1"/>
    <col min="10762" max="10762" width="3.5703125" style="1435" customWidth="1"/>
    <col min="10763" max="10763" width="21.140625" style="1435" customWidth="1"/>
    <col min="10764" max="10764" width="13.7109375" style="1435" bestFit="1" customWidth="1"/>
    <col min="10765" max="10765" width="14.28515625" style="1435" bestFit="1" customWidth="1"/>
    <col min="10766" max="10766" width="11.7109375" style="1435" bestFit="1" customWidth="1"/>
    <col min="10767" max="10767" width="11.42578125" style="1435" customWidth="1"/>
    <col min="10768" max="11008" width="11.42578125" style="1435"/>
    <col min="11009" max="11009" width="67.85546875" style="1435" customWidth="1"/>
    <col min="11010" max="11010" width="7.7109375" style="1435" customWidth="1"/>
    <col min="11011" max="11011" width="16.42578125" style="1435" customWidth="1"/>
    <col min="11012" max="11012" width="8.85546875" style="1435" customWidth="1"/>
    <col min="11013" max="11013" width="12.42578125" style="1435" customWidth="1"/>
    <col min="11014" max="11014" width="8.28515625" style="1435" customWidth="1"/>
    <col min="11015" max="11015" width="16" style="1435" customWidth="1"/>
    <col min="11016" max="11016" width="5.85546875" style="1435" bestFit="1" customWidth="1"/>
    <col min="11017" max="11017" width="19.7109375" style="1435" customWidth="1"/>
    <col min="11018" max="11018" width="3.5703125" style="1435" customWidth="1"/>
    <col min="11019" max="11019" width="21.140625" style="1435" customWidth="1"/>
    <col min="11020" max="11020" width="13.7109375" style="1435" bestFit="1" customWidth="1"/>
    <col min="11021" max="11021" width="14.28515625" style="1435" bestFit="1" customWidth="1"/>
    <col min="11022" max="11022" width="11.7109375" style="1435" bestFit="1" customWidth="1"/>
    <col min="11023" max="11023" width="11.42578125" style="1435" customWidth="1"/>
    <col min="11024" max="11264" width="11.42578125" style="1435"/>
    <col min="11265" max="11265" width="67.85546875" style="1435" customWidth="1"/>
    <col min="11266" max="11266" width="7.7109375" style="1435" customWidth="1"/>
    <col min="11267" max="11267" width="16.42578125" style="1435" customWidth="1"/>
    <col min="11268" max="11268" width="8.85546875" style="1435" customWidth="1"/>
    <col min="11269" max="11269" width="12.42578125" style="1435" customWidth="1"/>
    <col min="11270" max="11270" width="8.28515625" style="1435" customWidth="1"/>
    <col min="11271" max="11271" width="16" style="1435" customWidth="1"/>
    <col min="11272" max="11272" width="5.85546875" style="1435" bestFit="1" customWidth="1"/>
    <col min="11273" max="11273" width="19.7109375" style="1435" customWidth="1"/>
    <col min="11274" max="11274" width="3.5703125" style="1435" customWidth="1"/>
    <col min="11275" max="11275" width="21.140625" style="1435" customWidth="1"/>
    <col min="11276" max="11276" width="13.7109375" style="1435" bestFit="1" customWidth="1"/>
    <col min="11277" max="11277" width="14.28515625" style="1435" bestFit="1" customWidth="1"/>
    <col min="11278" max="11278" width="11.7109375" style="1435" bestFit="1" customWidth="1"/>
    <col min="11279" max="11279" width="11.42578125" style="1435" customWidth="1"/>
    <col min="11280" max="11520" width="11.42578125" style="1435"/>
    <col min="11521" max="11521" width="67.85546875" style="1435" customWidth="1"/>
    <col min="11522" max="11522" width="7.7109375" style="1435" customWidth="1"/>
    <col min="11523" max="11523" width="16.42578125" style="1435" customWidth="1"/>
    <col min="11524" max="11524" width="8.85546875" style="1435" customWidth="1"/>
    <col min="11525" max="11525" width="12.42578125" style="1435" customWidth="1"/>
    <col min="11526" max="11526" width="8.28515625" style="1435" customWidth="1"/>
    <col min="11527" max="11527" width="16" style="1435" customWidth="1"/>
    <col min="11528" max="11528" width="5.85546875" style="1435" bestFit="1" customWidth="1"/>
    <col min="11529" max="11529" width="19.7109375" style="1435" customWidth="1"/>
    <col min="11530" max="11530" width="3.5703125" style="1435" customWidth="1"/>
    <col min="11531" max="11531" width="21.140625" style="1435" customWidth="1"/>
    <col min="11532" max="11532" width="13.7109375" style="1435" bestFit="1" customWidth="1"/>
    <col min="11533" max="11533" width="14.28515625" style="1435" bestFit="1" customWidth="1"/>
    <col min="11534" max="11534" width="11.7109375" style="1435" bestFit="1" customWidth="1"/>
    <col min="11535" max="11535" width="11.42578125" style="1435" customWidth="1"/>
    <col min="11536" max="11776" width="11.42578125" style="1435"/>
    <col min="11777" max="11777" width="67.85546875" style="1435" customWidth="1"/>
    <col min="11778" max="11778" width="7.7109375" style="1435" customWidth="1"/>
    <col min="11779" max="11779" width="16.42578125" style="1435" customWidth="1"/>
    <col min="11780" max="11780" width="8.85546875" style="1435" customWidth="1"/>
    <col min="11781" max="11781" width="12.42578125" style="1435" customWidth="1"/>
    <col min="11782" max="11782" width="8.28515625" style="1435" customWidth="1"/>
    <col min="11783" max="11783" width="16" style="1435" customWidth="1"/>
    <col min="11784" max="11784" width="5.85546875" style="1435" bestFit="1" customWidth="1"/>
    <col min="11785" max="11785" width="19.7109375" style="1435" customWidth="1"/>
    <col min="11786" max="11786" width="3.5703125" style="1435" customWidth="1"/>
    <col min="11787" max="11787" width="21.140625" style="1435" customWidth="1"/>
    <col min="11788" max="11788" width="13.7109375" style="1435" bestFit="1" customWidth="1"/>
    <col min="11789" max="11789" width="14.28515625" style="1435" bestFit="1" customWidth="1"/>
    <col min="11790" max="11790" width="11.7109375" style="1435" bestFit="1" customWidth="1"/>
    <col min="11791" max="11791" width="11.42578125" style="1435" customWidth="1"/>
    <col min="11792" max="12032" width="11.42578125" style="1435"/>
    <col min="12033" max="12033" width="67.85546875" style="1435" customWidth="1"/>
    <col min="12034" max="12034" width="7.7109375" style="1435" customWidth="1"/>
    <col min="12035" max="12035" width="16.42578125" style="1435" customWidth="1"/>
    <col min="12036" max="12036" width="8.85546875" style="1435" customWidth="1"/>
    <col min="12037" max="12037" width="12.42578125" style="1435" customWidth="1"/>
    <col min="12038" max="12038" width="8.28515625" style="1435" customWidth="1"/>
    <col min="12039" max="12039" width="16" style="1435" customWidth="1"/>
    <col min="12040" max="12040" width="5.85546875" style="1435" bestFit="1" customWidth="1"/>
    <col min="12041" max="12041" width="19.7109375" style="1435" customWidth="1"/>
    <col min="12042" max="12042" width="3.5703125" style="1435" customWidth="1"/>
    <col min="12043" max="12043" width="21.140625" style="1435" customWidth="1"/>
    <col min="12044" max="12044" width="13.7109375" style="1435" bestFit="1" customWidth="1"/>
    <col min="12045" max="12045" width="14.28515625" style="1435" bestFit="1" customWidth="1"/>
    <col min="12046" max="12046" width="11.7109375" style="1435" bestFit="1" customWidth="1"/>
    <col min="12047" max="12047" width="11.42578125" style="1435" customWidth="1"/>
    <col min="12048" max="12288" width="11.42578125" style="1435"/>
    <col min="12289" max="12289" width="67.85546875" style="1435" customWidth="1"/>
    <col min="12290" max="12290" width="7.7109375" style="1435" customWidth="1"/>
    <col min="12291" max="12291" width="16.42578125" style="1435" customWidth="1"/>
    <col min="12292" max="12292" width="8.85546875" style="1435" customWidth="1"/>
    <col min="12293" max="12293" width="12.42578125" style="1435" customWidth="1"/>
    <col min="12294" max="12294" width="8.28515625" style="1435" customWidth="1"/>
    <col min="12295" max="12295" width="16" style="1435" customWidth="1"/>
    <col min="12296" max="12296" width="5.85546875" style="1435" bestFit="1" customWidth="1"/>
    <col min="12297" max="12297" width="19.7109375" style="1435" customWidth="1"/>
    <col min="12298" max="12298" width="3.5703125" style="1435" customWidth="1"/>
    <col min="12299" max="12299" width="21.140625" style="1435" customWidth="1"/>
    <col min="12300" max="12300" width="13.7109375" style="1435" bestFit="1" customWidth="1"/>
    <col min="12301" max="12301" width="14.28515625" style="1435" bestFit="1" customWidth="1"/>
    <col min="12302" max="12302" width="11.7109375" style="1435" bestFit="1" customWidth="1"/>
    <col min="12303" max="12303" width="11.42578125" style="1435" customWidth="1"/>
    <col min="12304" max="12544" width="11.42578125" style="1435"/>
    <col min="12545" max="12545" width="67.85546875" style="1435" customWidth="1"/>
    <col min="12546" max="12546" width="7.7109375" style="1435" customWidth="1"/>
    <col min="12547" max="12547" width="16.42578125" style="1435" customWidth="1"/>
    <col min="12548" max="12548" width="8.85546875" style="1435" customWidth="1"/>
    <col min="12549" max="12549" width="12.42578125" style="1435" customWidth="1"/>
    <col min="12550" max="12550" width="8.28515625" style="1435" customWidth="1"/>
    <col min="12551" max="12551" width="16" style="1435" customWidth="1"/>
    <col min="12552" max="12552" width="5.85546875" style="1435" bestFit="1" customWidth="1"/>
    <col min="12553" max="12553" width="19.7109375" style="1435" customWidth="1"/>
    <col min="12554" max="12554" width="3.5703125" style="1435" customWidth="1"/>
    <col min="12555" max="12555" width="21.140625" style="1435" customWidth="1"/>
    <col min="12556" max="12556" width="13.7109375" style="1435" bestFit="1" customWidth="1"/>
    <col min="12557" max="12557" width="14.28515625" style="1435" bestFit="1" customWidth="1"/>
    <col min="12558" max="12558" width="11.7109375" style="1435" bestFit="1" customWidth="1"/>
    <col min="12559" max="12559" width="11.42578125" style="1435" customWidth="1"/>
    <col min="12560" max="12800" width="11.42578125" style="1435"/>
    <col min="12801" max="12801" width="67.85546875" style="1435" customWidth="1"/>
    <col min="12802" max="12802" width="7.7109375" style="1435" customWidth="1"/>
    <col min="12803" max="12803" width="16.42578125" style="1435" customWidth="1"/>
    <col min="12804" max="12804" width="8.85546875" style="1435" customWidth="1"/>
    <col min="12805" max="12805" width="12.42578125" style="1435" customWidth="1"/>
    <col min="12806" max="12806" width="8.28515625" style="1435" customWidth="1"/>
    <col min="12807" max="12807" width="16" style="1435" customWidth="1"/>
    <col min="12808" max="12808" width="5.85546875" style="1435" bestFit="1" customWidth="1"/>
    <col min="12809" max="12809" width="19.7109375" style="1435" customWidth="1"/>
    <col min="12810" max="12810" width="3.5703125" style="1435" customWidth="1"/>
    <col min="12811" max="12811" width="21.140625" style="1435" customWidth="1"/>
    <col min="12812" max="12812" width="13.7109375" style="1435" bestFit="1" customWidth="1"/>
    <col min="12813" max="12813" width="14.28515625" style="1435" bestFit="1" customWidth="1"/>
    <col min="12814" max="12814" width="11.7109375" style="1435" bestFit="1" customWidth="1"/>
    <col min="12815" max="12815" width="11.42578125" style="1435" customWidth="1"/>
    <col min="12816" max="13056" width="11.42578125" style="1435"/>
    <col min="13057" max="13057" width="67.85546875" style="1435" customWidth="1"/>
    <col min="13058" max="13058" width="7.7109375" style="1435" customWidth="1"/>
    <col min="13059" max="13059" width="16.42578125" style="1435" customWidth="1"/>
    <col min="13060" max="13060" width="8.85546875" style="1435" customWidth="1"/>
    <col min="13061" max="13061" width="12.42578125" style="1435" customWidth="1"/>
    <col min="13062" max="13062" width="8.28515625" style="1435" customWidth="1"/>
    <col min="13063" max="13063" width="16" style="1435" customWidth="1"/>
    <col min="13064" max="13064" width="5.85546875" style="1435" bestFit="1" customWidth="1"/>
    <col min="13065" max="13065" width="19.7109375" style="1435" customWidth="1"/>
    <col min="13066" max="13066" width="3.5703125" style="1435" customWidth="1"/>
    <col min="13067" max="13067" width="21.140625" style="1435" customWidth="1"/>
    <col min="13068" max="13068" width="13.7109375" style="1435" bestFit="1" customWidth="1"/>
    <col min="13069" max="13069" width="14.28515625" style="1435" bestFit="1" customWidth="1"/>
    <col min="13070" max="13070" width="11.7109375" style="1435" bestFit="1" customWidth="1"/>
    <col min="13071" max="13071" width="11.42578125" style="1435" customWidth="1"/>
    <col min="13072" max="13312" width="11.42578125" style="1435"/>
    <col min="13313" max="13313" width="67.85546875" style="1435" customWidth="1"/>
    <col min="13314" max="13314" width="7.7109375" style="1435" customWidth="1"/>
    <col min="13315" max="13315" width="16.42578125" style="1435" customWidth="1"/>
    <col min="13316" max="13316" width="8.85546875" style="1435" customWidth="1"/>
    <col min="13317" max="13317" width="12.42578125" style="1435" customWidth="1"/>
    <col min="13318" max="13318" width="8.28515625" style="1435" customWidth="1"/>
    <col min="13319" max="13319" width="16" style="1435" customWidth="1"/>
    <col min="13320" max="13320" width="5.85546875" style="1435" bestFit="1" customWidth="1"/>
    <col min="13321" max="13321" width="19.7109375" style="1435" customWidth="1"/>
    <col min="13322" max="13322" width="3.5703125" style="1435" customWidth="1"/>
    <col min="13323" max="13323" width="21.140625" style="1435" customWidth="1"/>
    <col min="13324" max="13324" width="13.7109375" style="1435" bestFit="1" customWidth="1"/>
    <col min="13325" max="13325" width="14.28515625" style="1435" bestFit="1" customWidth="1"/>
    <col min="13326" max="13326" width="11.7109375" style="1435" bestFit="1" customWidth="1"/>
    <col min="13327" max="13327" width="11.42578125" style="1435" customWidth="1"/>
    <col min="13328" max="13568" width="11.42578125" style="1435"/>
    <col min="13569" max="13569" width="67.85546875" style="1435" customWidth="1"/>
    <col min="13570" max="13570" width="7.7109375" style="1435" customWidth="1"/>
    <col min="13571" max="13571" width="16.42578125" style="1435" customWidth="1"/>
    <col min="13572" max="13572" width="8.85546875" style="1435" customWidth="1"/>
    <col min="13573" max="13573" width="12.42578125" style="1435" customWidth="1"/>
    <col min="13574" max="13574" width="8.28515625" style="1435" customWidth="1"/>
    <col min="13575" max="13575" width="16" style="1435" customWidth="1"/>
    <col min="13576" max="13576" width="5.85546875" style="1435" bestFit="1" customWidth="1"/>
    <col min="13577" max="13577" width="19.7109375" style="1435" customWidth="1"/>
    <col min="13578" max="13578" width="3.5703125" style="1435" customWidth="1"/>
    <col min="13579" max="13579" width="21.140625" style="1435" customWidth="1"/>
    <col min="13580" max="13580" width="13.7109375" style="1435" bestFit="1" customWidth="1"/>
    <col min="13581" max="13581" width="14.28515625" style="1435" bestFit="1" customWidth="1"/>
    <col min="13582" max="13582" width="11.7109375" style="1435" bestFit="1" customWidth="1"/>
    <col min="13583" max="13583" width="11.42578125" style="1435" customWidth="1"/>
    <col min="13584" max="13824" width="11.42578125" style="1435"/>
    <col min="13825" max="13825" width="67.85546875" style="1435" customWidth="1"/>
    <col min="13826" max="13826" width="7.7109375" style="1435" customWidth="1"/>
    <col min="13827" max="13827" width="16.42578125" style="1435" customWidth="1"/>
    <col min="13828" max="13828" width="8.85546875" style="1435" customWidth="1"/>
    <col min="13829" max="13829" width="12.42578125" style="1435" customWidth="1"/>
    <col min="13830" max="13830" width="8.28515625" style="1435" customWidth="1"/>
    <col min="13831" max="13831" width="16" style="1435" customWidth="1"/>
    <col min="13832" max="13832" width="5.85546875" style="1435" bestFit="1" customWidth="1"/>
    <col min="13833" max="13833" width="19.7109375" style="1435" customWidth="1"/>
    <col min="13834" max="13834" width="3.5703125" style="1435" customWidth="1"/>
    <col min="13835" max="13835" width="21.140625" style="1435" customWidth="1"/>
    <col min="13836" max="13836" width="13.7109375" style="1435" bestFit="1" customWidth="1"/>
    <col min="13837" max="13837" width="14.28515625" style="1435" bestFit="1" customWidth="1"/>
    <col min="13838" max="13838" width="11.7109375" style="1435" bestFit="1" customWidth="1"/>
    <col min="13839" max="13839" width="11.42578125" style="1435" customWidth="1"/>
    <col min="13840" max="14080" width="11.42578125" style="1435"/>
    <col min="14081" max="14081" width="67.85546875" style="1435" customWidth="1"/>
    <col min="14082" max="14082" width="7.7109375" style="1435" customWidth="1"/>
    <col min="14083" max="14083" width="16.42578125" style="1435" customWidth="1"/>
    <col min="14084" max="14084" width="8.85546875" style="1435" customWidth="1"/>
    <col min="14085" max="14085" width="12.42578125" style="1435" customWidth="1"/>
    <col min="14086" max="14086" width="8.28515625" style="1435" customWidth="1"/>
    <col min="14087" max="14087" width="16" style="1435" customWidth="1"/>
    <col min="14088" max="14088" width="5.85546875" style="1435" bestFit="1" customWidth="1"/>
    <col min="14089" max="14089" width="19.7109375" style="1435" customWidth="1"/>
    <col min="14090" max="14090" width="3.5703125" style="1435" customWidth="1"/>
    <col min="14091" max="14091" width="21.140625" style="1435" customWidth="1"/>
    <col min="14092" max="14092" width="13.7109375" style="1435" bestFit="1" customWidth="1"/>
    <col min="14093" max="14093" width="14.28515625" style="1435" bestFit="1" customWidth="1"/>
    <col min="14094" max="14094" width="11.7109375" style="1435" bestFit="1" customWidth="1"/>
    <col min="14095" max="14095" width="11.42578125" style="1435" customWidth="1"/>
    <col min="14096" max="14336" width="11.42578125" style="1435"/>
    <col min="14337" max="14337" width="67.85546875" style="1435" customWidth="1"/>
    <col min="14338" max="14338" width="7.7109375" style="1435" customWidth="1"/>
    <col min="14339" max="14339" width="16.42578125" style="1435" customWidth="1"/>
    <col min="14340" max="14340" width="8.85546875" style="1435" customWidth="1"/>
    <col min="14341" max="14341" width="12.42578125" style="1435" customWidth="1"/>
    <col min="14342" max="14342" width="8.28515625" style="1435" customWidth="1"/>
    <col min="14343" max="14343" width="16" style="1435" customWidth="1"/>
    <col min="14344" max="14344" width="5.85546875" style="1435" bestFit="1" customWidth="1"/>
    <col min="14345" max="14345" width="19.7109375" style="1435" customWidth="1"/>
    <col min="14346" max="14346" width="3.5703125" style="1435" customWidth="1"/>
    <col min="14347" max="14347" width="21.140625" style="1435" customWidth="1"/>
    <col min="14348" max="14348" width="13.7109375" style="1435" bestFit="1" customWidth="1"/>
    <col min="14349" max="14349" width="14.28515625" style="1435" bestFit="1" customWidth="1"/>
    <col min="14350" max="14350" width="11.7109375" style="1435" bestFit="1" customWidth="1"/>
    <col min="14351" max="14351" width="11.42578125" style="1435" customWidth="1"/>
    <col min="14352" max="14592" width="11.42578125" style="1435"/>
    <col min="14593" max="14593" width="67.85546875" style="1435" customWidth="1"/>
    <col min="14594" max="14594" width="7.7109375" style="1435" customWidth="1"/>
    <col min="14595" max="14595" width="16.42578125" style="1435" customWidth="1"/>
    <col min="14596" max="14596" width="8.85546875" style="1435" customWidth="1"/>
    <col min="14597" max="14597" width="12.42578125" style="1435" customWidth="1"/>
    <col min="14598" max="14598" width="8.28515625" style="1435" customWidth="1"/>
    <col min="14599" max="14599" width="16" style="1435" customWidth="1"/>
    <col min="14600" max="14600" width="5.85546875" style="1435" bestFit="1" customWidth="1"/>
    <col min="14601" max="14601" width="19.7109375" style="1435" customWidth="1"/>
    <col min="14602" max="14602" width="3.5703125" style="1435" customWidth="1"/>
    <col min="14603" max="14603" width="21.140625" style="1435" customWidth="1"/>
    <col min="14604" max="14604" width="13.7109375" style="1435" bestFit="1" customWidth="1"/>
    <col min="14605" max="14605" width="14.28515625" style="1435" bestFit="1" customWidth="1"/>
    <col min="14606" max="14606" width="11.7109375" style="1435" bestFit="1" customWidth="1"/>
    <col min="14607" max="14607" width="11.42578125" style="1435" customWidth="1"/>
    <col min="14608" max="14848" width="11.42578125" style="1435"/>
    <col min="14849" max="14849" width="67.85546875" style="1435" customWidth="1"/>
    <col min="14850" max="14850" width="7.7109375" style="1435" customWidth="1"/>
    <col min="14851" max="14851" width="16.42578125" style="1435" customWidth="1"/>
    <col min="14852" max="14852" width="8.85546875" style="1435" customWidth="1"/>
    <col min="14853" max="14853" width="12.42578125" style="1435" customWidth="1"/>
    <col min="14854" max="14854" width="8.28515625" style="1435" customWidth="1"/>
    <col min="14855" max="14855" width="16" style="1435" customWidth="1"/>
    <col min="14856" max="14856" width="5.85546875" style="1435" bestFit="1" customWidth="1"/>
    <col min="14857" max="14857" width="19.7109375" style="1435" customWidth="1"/>
    <col min="14858" max="14858" width="3.5703125" style="1435" customWidth="1"/>
    <col min="14859" max="14859" width="21.140625" style="1435" customWidth="1"/>
    <col min="14860" max="14860" width="13.7109375" style="1435" bestFit="1" customWidth="1"/>
    <col min="14861" max="14861" width="14.28515625" style="1435" bestFit="1" customWidth="1"/>
    <col min="14862" max="14862" width="11.7109375" style="1435" bestFit="1" customWidth="1"/>
    <col min="14863" max="14863" width="11.42578125" style="1435" customWidth="1"/>
    <col min="14864" max="15104" width="11.42578125" style="1435"/>
    <col min="15105" max="15105" width="67.85546875" style="1435" customWidth="1"/>
    <col min="15106" max="15106" width="7.7109375" style="1435" customWidth="1"/>
    <col min="15107" max="15107" width="16.42578125" style="1435" customWidth="1"/>
    <col min="15108" max="15108" width="8.85546875" style="1435" customWidth="1"/>
    <col min="15109" max="15109" width="12.42578125" style="1435" customWidth="1"/>
    <col min="15110" max="15110" width="8.28515625" style="1435" customWidth="1"/>
    <col min="15111" max="15111" width="16" style="1435" customWidth="1"/>
    <col min="15112" max="15112" width="5.85546875" style="1435" bestFit="1" customWidth="1"/>
    <col min="15113" max="15113" width="19.7109375" style="1435" customWidth="1"/>
    <col min="15114" max="15114" width="3.5703125" style="1435" customWidth="1"/>
    <col min="15115" max="15115" width="21.140625" style="1435" customWidth="1"/>
    <col min="15116" max="15116" width="13.7109375" style="1435" bestFit="1" customWidth="1"/>
    <col min="15117" max="15117" width="14.28515625" style="1435" bestFit="1" customWidth="1"/>
    <col min="15118" max="15118" width="11.7109375" style="1435" bestFit="1" customWidth="1"/>
    <col min="15119" max="15119" width="11.42578125" style="1435" customWidth="1"/>
    <col min="15120" max="15360" width="11.42578125" style="1435"/>
    <col min="15361" max="15361" width="67.85546875" style="1435" customWidth="1"/>
    <col min="15362" max="15362" width="7.7109375" style="1435" customWidth="1"/>
    <col min="15363" max="15363" width="16.42578125" style="1435" customWidth="1"/>
    <col min="15364" max="15364" width="8.85546875" style="1435" customWidth="1"/>
    <col min="15365" max="15365" width="12.42578125" style="1435" customWidth="1"/>
    <col min="15366" max="15366" width="8.28515625" style="1435" customWidth="1"/>
    <col min="15367" max="15367" width="16" style="1435" customWidth="1"/>
    <col min="15368" max="15368" width="5.85546875" style="1435" bestFit="1" customWidth="1"/>
    <col min="15369" max="15369" width="19.7109375" style="1435" customWidth="1"/>
    <col min="15370" max="15370" width="3.5703125" style="1435" customWidth="1"/>
    <col min="15371" max="15371" width="21.140625" style="1435" customWidth="1"/>
    <col min="15372" max="15372" width="13.7109375" style="1435" bestFit="1" customWidth="1"/>
    <col min="15373" max="15373" width="14.28515625" style="1435" bestFit="1" customWidth="1"/>
    <col min="15374" max="15374" width="11.7109375" style="1435" bestFit="1" customWidth="1"/>
    <col min="15375" max="15375" width="11.42578125" style="1435" customWidth="1"/>
    <col min="15376" max="15616" width="11.42578125" style="1435"/>
    <col min="15617" max="15617" width="67.85546875" style="1435" customWidth="1"/>
    <col min="15618" max="15618" width="7.7109375" style="1435" customWidth="1"/>
    <col min="15619" max="15619" width="16.42578125" style="1435" customWidth="1"/>
    <col min="15620" max="15620" width="8.85546875" style="1435" customWidth="1"/>
    <col min="15621" max="15621" width="12.42578125" style="1435" customWidth="1"/>
    <col min="15622" max="15622" width="8.28515625" style="1435" customWidth="1"/>
    <col min="15623" max="15623" width="16" style="1435" customWidth="1"/>
    <col min="15624" max="15624" width="5.85546875" style="1435" bestFit="1" customWidth="1"/>
    <col min="15625" max="15625" width="19.7109375" style="1435" customWidth="1"/>
    <col min="15626" max="15626" width="3.5703125" style="1435" customWidth="1"/>
    <col min="15627" max="15627" width="21.140625" style="1435" customWidth="1"/>
    <col min="15628" max="15628" width="13.7109375" style="1435" bestFit="1" customWidth="1"/>
    <col min="15629" max="15629" width="14.28515625" style="1435" bestFit="1" customWidth="1"/>
    <col min="15630" max="15630" width="11.7109375" style="1435" bestFit="1" customWidth="1"/>
    <col min="15631" max="15631" width="11.42578125" style="1435" customWidth="1"/>
    <col min="15632" max="15872" width="11.42578125" style="1435"/>
    <col min="15873" max="15873" width="67.85546875" style="1435" customWidth="1"/>
    <col min="15874" max="15874" width="7.7109375" style="1435" customWidth="1"/>
    <col min="15875" max="15875" width="16.42578125" style="1435" customWidth="1"/>
    <col min="15876" max="15876" width="8.85546875" style="1435" customWidth="1"/>
    <col min="15877" max="15877" width="12.42578125" style="1435" customWidth="1"/>
    <col min="15878" max="15878" width="8.28515625" style="1435" customWidth="1"/>
    <col min="15879" max="15879" width="16" style="1435" customWidth="1"/>
    <col min="15880" max="15880" width="5.85546875" style="1435" bestFit="1" customWidth="1"/>
    <col min="15881" max="15881" width="19.7109375" style="1435" customWidth="1"/>
    <col min="15882" max="15882" width="3.5703125" style="1435" customWidth="1"/>
    <col min="15883" max="15883" width="21.140625" style="1435" customWidth="1"/>
    <col min="15884" max="15884" width="13.7109375" style="1435" bestFit="1" customWidth="1"/>
    <col min="15885" max="15885" width="14.28515625" style="1435" bestFit="1" customWidth="1"/>
    <col min="15886" max="15886" width="11.7109375" style="1435" bestFit="1" customWidth="1"/>
    <col min="15887" max="15887" width="11.42578125" style="1435" customWidth="1"/>
    <col min="15888" max="16128" width="11.42578125" style="1435"/>
    <col min="16129" max="16129" width="67.85546875" style="1435" customWidth="1"/>
    <col min="16130" max="16130" width="7.7109375" style="1435" customWidth="1"/>
    <col min="16131" max="16131" width="16.42578125" style="1435" customWidth="1"/>
    <col min="16132" max="16132" width="8.85546875" style="1435" customWidth="1"/>
    <col min="16133" max="16133" width="12.42578125" style="1435" customWidth="1"/>
    <col min="16134" max="16134" width="8.28515625" style="1435" customWidth="1"/>
    <col min="16135" max="16135" width="16" style="1435" customWidth="1"/>
    <col min="16136" max="16136" width="5.85546875" style="1435" bestFit="1" customWidth="1"/>
    <col min="16137" max="16137" width="19.7109375" style="1435" customWidth="1"/>
    <col min="16138" max="16138" width="3.5703125" style="1435" customWidth="1"/>
    <col min="16139" max="16139" width="21.140625" style="1435" customWidth="1"/>
    <col min="16140" max="16140" width="13.7109375" style="1435" bestFit="1" customWidth="1"/>
    <col min="16141" max="16141" width="14.28515625" style="1435" bestFit="1" customWidth="1"/>
    <col min="16142" max="16142" width="11.7109375" style="1435" bestFit="1" customWidth="1"/>
    <col min="16143" max="16143" width="11.42578125" style="1435" customWidth="1"/>
    <col min="16144" max="16384" width="11.42578125" style="1435"/>
  </cols>
  <sheetData>
    <row r="1" spans="1:11" ht="17.25" thickBot="1"/>
    <row r="2" spans="1:11" ht="23.25" customHeight="1" thickBot="1">
      <c r="A2" s="2008" t="s">
        <v>2649</v>
      </c>
      <c r="B2" s="2009"/>
      <c r="C2" s="2009"/>
      <c r="D2" s="2009"/>
      <c r="E2" s="2009"/>
      <c r="F2" s="2009"/>
      <c r="G2" s="2009"/>
      <c r="H2" s="2009"/>
      <c r="I2" s="2010"/>
    </row>
    <row r="3" spans="1:11" ht="127.9" customHeight="1" thickTop="1" thickBot="1">
      <c r="A3" s="1436"/>
      <c r="B3" s="2011" t="str">
        <f>+AIU!$C$1</f>
        <v>“CONSTRUCCIÓN DE LA PRIMERA FASE DEL ALCANTARILLADO SANITARIO PARA LA RECOLECCIÓN DE LAS AGUAS RESIDUALES DEL CENTRO POBLADO CACHIMBAL DEL MUNICIPIO DE GUADALUPE, DEPARTAMENTO DEL HUILA”</v>
      </c>
      <c r="C3" s="2012"/>
      <c r="D3" s="2012"/>
      <c r="E3" s="2012"/>
      <c r="F3" s="2013"/>
      <c r="G3" s="2014"/>
      <c r="H3" s="2015"/>
      <c r="I3" s="2016"/>
    </row>
    <row r="4" spans="1:11" ht="18" thickTop="1" thickBot="1">
      <c r="A4" s="1437"/>
      <c r="B4" s="1438"/>
      <c r="C4" s="1438"/>
      <c r="D4" s="1438"/>
      <c r="E4" s="1438"/>
      <c r="F4" s="1438"/>
      <c r="G4" s="1438"/>
      <c r="H4" s="1438"/>
      <c r="I4" s="1439"/>
    </row>
    <row r="5" spans="1:11" ht="17.25" thickBot="1">
      <c r="A5" s="2017" t="s">
        <v>2627</v>
      </c>
      <c r="B5" s="2018"/>
      <c r="C5" s="2018"/>
      <c r="D5" s="2018"/>
      <c r="E5" s="2018"/>
      <c r="F5" s="2018"/>
      <c r="G5" s="2018"/>
      <c r="H5" s="2018"/>
      <c r="I5" s="2019"/>
    </row>
    <row r="6" spans="1:11" ht="17.25" thickBot="1">
      <c r="A6" s="1440"/>
      <c r="B6" s="1441"/>
      <c r="C6" s="1441"/>
      <c r="D6" s="1441"/>
      <c r="E6" s="1441"/>
      <c r="F6" s="1441"/>
      <c r="G6" s="1441"/>
      <c r="H6" s="1441"/>
      <c r="I6" s="1442"/>
    </row>
    <row r="7" spans="1:11" ht="18" thickTop="1" thickBot="1">
      <c r="A7" s="1443" t="s">
        <v>1873</v>
      </c>
      <c r="B7" s="1444"/>
      <c r="C7" s="1445" t="s">
        <v>2628</v>
      </c>
      <c r="D7" s="1446">
        <f>+'F. MULT'!I53</f>
        <v>2.36</v>
      </c>
      <c r="E7" s="1447"/>
      <c r="F7" s="1448"/>
      <c r="G7" s="1449" t="s">
        <v>2629</v>
      </c>
      <c r="H7" s="1515">
        <v>8</v>
      </c>
      <c r="I7" s="1450" t="s">
        <v>1809</v>
      </c>
    </row>
    <row r="8" spans="1:11" ht="18" customHeight="1" thickTop="1">
      <c r="A8" s="2020" t="s">
        <v>1862</v>
      </c>
      <c r="B8" s="2022" t="s">
        <v>2630</v>
      </c>
      <c r="C8" s="2022" t="s">
        <v>2631</v>
      </c>
      <c r="D8" s="2022" t="s">
        <v>2632</v>
      </c>
      <c r="E8" s="2022" t="s">
        <v>2633</v>
      </c>
      <c r="F8" s="2022" t="s">
        <v>2634</v>
      </c>
      <c r="G8" s="2022" t="s">
        <v>2635</v>
      </c>
      <c r="H8" s="2022" t="s">
        <v>2636</v>
      </c>
      <c r="I8" s="2032" t="s">
        <v>2637</v>
      </c>
    </row>
    <row r="9" spans="1:11" ht="18" customHeight="1" thickBot="1">
      <c r="A9" s="2021"/>
      <c r="B9" s="2023"/>
      <c r="C9" s="2023"/>
      <c r="D9" s="2023"/>
      <c r="E9" s="2023"/>
      <c r="F9" s="2023"/>
      <c r="G9" s="2023"/>
      <c r="H9" s="2023"/>
      <c r="I9" s="2033"/>
    </row>
    <row r="10" spans="1:11" ht="9" customHeight="1" thickTop="1">
      <c r="A10" s="1451"/>
      <c r="B10" s="1452"/>
      <c r="C10" s="1453"/>
      <c r="D10" s="1453"/>
      <c r="E10" s="1453"/>
      <c r="F10" s="1452"/>
      <c r="G10" s="1452"/>
      <c r="H10" s="1452"/>
      <c r="I10" s="1454"/>
    </row>
    <row r="11" spans="1:11" ht="20.25" customHeight="1">
      <c r="A11" s="1443" t="s">
        <v>2638</v>
      </c>
      <c r="B11" s="1455"/>
      <c r="C11" s="1456"/>
      <c r="D11" s="1457"/>
      <c r="E11" s="1458" t="s">
        <v>2515</v>
      </c>
      <c r="F11" s="1459"/>
      <c r="G11" s="1456" t="s">
        <v>2515</v>
      </c>
      <c r="H11" s="1457"/>
      <c r="I11" s="1460"/>
    </row>
    <row r="12" spans="1:11" ht="20.25" customHeight="1">
      <c r="A12" s="1461" t="s">
        <v>2639</v>
      </c>
      <c r="B12" s="1462">
        <v>1</v>
      </c>
      <c r="C12" s="1463">
        <v>4500000</v>
      </c>
      <c r="D12" s="1464">
        <f t="shared" ref="D12:D14" si="0">+E12*30</f>
        <v>240</v>
      </c>
      <c r="E12" s="1465">
        <f>+H7</f>
        <v>8</v>
      </c>
      <c r="F12" s="1466">
        <v>0.02</v>
      </c>
      <c r="G12" s="1467">
        <f>(C12*E12*F12)*B12</f>
        <v>720000</v>
      </c>
      <c r="H12" s="1464">
        <f>$D$7</f>
        <v>2.36</v>
      </c>
      <c r="I12" s="1468">
        <f>ROUND(G12*H12,2)</f>
        <v>1699200</v>
      </c>
    </row>
    <row r="13" spans="1:11">
      <c r="A13" s="1461" t="s">
        <v>2640</v>
      </c>
      <c r="B13" s="1462">
        <v>1</v>
      </c>
      <c r="C13" s="1463">
        <v>3000000</v>
      </c>
      <c r="D13" s="1464">
        <f t="shared" si="0"/>
        <v>240</v>
      </c>
      <c r="E13" s="1465">
        <f>+E12</f>
        <v>8</v>
      </c>
      <c r="F13" s="1466">
        <v>0.1</v>
      </c>
      <c r="G13" s="1467">
        <f t="shared" ref="G13:G14" si="1">(C13*E13*F13)*B13</f>
        <v>2400000</v>
      </c>
      <c r="H13" s="1464">
        <f>$D$7</f>
        <v>2.36</v>
      </c>
      <c r="I13" s="1468">
        <f t="shared" ref="I13:I14" si="2">ROUND(G13*H13,2)</f>
        <v>5664000</v>
      </c>
      <c r="K13" s="1469"/>
    </row>
    <row r="14" spans="1:11">
      <c r="A14" s="1461" t="s">
        <v>2641</v>
      </c>
      <c r="B14" s="1462">
        <v>1</v>
      </c>
      <c r="C14" s="1463">
        <v>0</v>
      </c>
      <c r="D14" s="1464">
        <f t="shared" si="0"/>
        <v>240</v>
      </c>
      <c r="E14" s="1465">
        <f>+E13</f>
        <v>8</v>
      </c>
      <c r="F14" s="1466">
        <v>0.2</v>
      </c>
      <c r="G14" s="1467">
        <f t="shared" si="1"/>
        <v>0</v>
      </c>
      <c r="H14" s="1464">
        <f>$D$7</f>
        <v>2.36</v>
      </c>
      <c r="I14" s="1468">
        <f t="shared" si="2"/>
        <v>0</v>
      </c>
      <c r="K14" s="1469"/>
    </row>
    <row r="15" spans="1:11">
      <c r="A15" s="1470"/>
      <c r="B15" s="1462"/>
      <c r="C15" s="1463"/>
      <c r="D15" s="1464"/>
      <c r="E15" s="1465"/>
      <c r="F15" s="1471"/>
      <c r="G15" s="1467"/>
      <c r="H15" s="1464"/>
      <c r="I15" s="1468"/>
    </row>
    <row r="16" spans="1:11">
      <c r="A16" s="1472" t="s">
        <v>2642</v>
      </c>
      <c r="B16" s="1455"/>
      <c r="C16" s="1473"/>
      <c r="D16" s="1457"/>
      <c r="E16" s="1474" t="s">
        <v>2515</v>
      </c>
      <c r="F16" s="1459"/>
      <c r="G16" s="1456" t="s">
        <v>2515</v>
      </c>
      <c r="H16" s="1457"/>
      <c r="I16" s="1460"/>
    </row>
    <row r="17" spans="1:15" ht="17.25" thickBot="1">
      <c r="A17" s="1475" t="s">
        <v>2691</v>
      </c>
      <c r="B17" s="1462">
        <v>1</v>
      </c>
      <c r="C17" s="1463">
        <v>1423500</v>
      </c>
      <c r="D17" s="1464">
        <f>+E17*30</f>
        <v>240</v>
      </c>
      <c r="E17" s="1465">
        <f>+E14</f>
        <v>8</v>
      </c>
      <c r="F17" s="1466">
        <v>0.2</v>
      </c>
      <c r="G17" s="1467">
        <f>(C17*E17*F17)*B17</f>
        <v>2277600</v>
      </c>
      <c r="H17" s="1464">
        <f>$D$7</f>
        <v>2.36</v>
      </c>
      <c r="I17" s="1468">
        <f>ROUND(G17*H17,2)</f>
        <v>5375136</v>
      </c>
    </row>
    <row r="18" spans="1:15" ht="18" thickTop="1" thickBot="1">
      <c r="A18" s="1477"/>
      <c r="B18" s="1455" t="s">
        <v>2515</v>
      </c>
      <c r="C18" s="1459"/>
      <c r="D18" s="1459"/>
      <c r="E18" s="1459"/>
      <c r="F18" s="1459"/>
      <c r="G18" s="1459"/>
      <c r="H18" s="1459"/>
      <c r="I18" s="1478">
        <f>SUM(I12:I17)</f>
        <v>12738336</v>
      </c>
    </row>
    <row r="19" spans="1:15" ht="18" thickTop="1" thickBot="1">
      <c r="A19" s="1443" t="s">
        <v>2643</v>
      </c>
      <c r="B19" s="1455"/>
      <c r="C19" s="1455"/>
      <c r="D19" s="1455"/>
      <c r="E19" s="1455"/>
      <c r="F19" s="1455"/>
      <c r="G19" s="1455"/>
      <c r="H19" s="1455"/>
      <c r="I19" s="1479"/>
    </row>
    <row r="20" spans="1:15" ht="18" customHeight="1" thickTop="1">
      <c r="A20" s="2020" t="s">
        <v>1816</v>
      </c>
      <c r="B20" s="2022" t="s">
        <v>539</v>
      </c>
      <c r="C20" s="2022" t="s">
        <v>2644</v>
      </c>
      <c r="D20" s="2022" t="s">
        <v>2632</v>
      </c>
      <c r="E20" s="2022" t="s">
        <v>2633</v>
      </c>
      <c r="F20" s="2034" t="s">
        <v>2637</v>
      </c>
      <c r="G20" s="2035"/>
      <c r="H20" s="1448"/>
      <c r="I20" s="1480"/>
      <c r="L20" s="1476"/>
      <c r="M20" s="1476"/>
      <c r="N20" s="1435"/>
      <c r="O20" s="1435"/>
    </row>
    <row r="21" spans="1:15" ht="18" customHeight="1" thickBot="1">
      <c r="A21" s="2021"/>
      <c r="B21" s="2023"/>
      <c r="C21" s="2023" t="s">
        <v>1855</v>
      </c>
      <c r="D21" s="2023"/>
      <c r="E21" s="2023"/>
      <c r="F21" s="2036"/>
      <c r="G21" s="2037"/>
      <c r="H21" s="1448"/>
      <c r="I21" s="1480"/>
      <c r="L21" s="1476"/>
      <c r="M21" s="1476"/>
      <c r="N21" s="1435"/>
      <c r="O21" s="1435"/>
    </row>
    <row r="22" spans="1:15" ht="8.25" customHeight="1" thickTop="1" thickBot="1">
      <c r="A22" s="1481"/>
      <c r="B22" s="1482"/>
      <c r="C22" s="1482"/>
      <c r="D22" s="1482"/>
      <c r="E22" s="1482"/>
      <c r="F22" s="1482"/>
      <c r="G22" s="1483"/>
      <c r="H22" s="1448"/>
      <c r="I22" s="1480"/>
      <c r="L22" s="1476"/>
      <c r="M22" s="1476"/>
      <c r="N22" s="1435"/>
      <c r="O22" s="1435"/>
    </row>
    <row r="23" spans="1:15" ht="33.6" customHeight="1" thickTop="1" thickBot="1">
      <c r="A23" s="1484" t="s">
        <v>2645</v>
      </c>
      <c r="B23" s="1517">
        <v>1</v>
      </c>
      <c r="C23" s="1518">
        <v>1873590.1492348069</v>
      </c>
      <c r="D23" s="1485">
        <f>E23*30</f>
        <v>30</v>
      </c>
      <c r="E23" s="1486">
        <v>1</v>
      </c>
      <c r="F23" s="2024">
        <f>B23*C23*E23</f>
        <v>1873590.1492348069</v>
      </c>
      <c r="G23" s="2025"/>
      <c r="H23" s="1448"/>
      <c r="I23" s="1480"/>
      <c r="L23" s="2026"/>
      <c r="M23" s="2026"/>
      <c r="N23" s="1435"/>
      <c r="O23" s="1435"/>
    </row>
    <row r="24" spans="1:15" ht="18" thickTop="1" thickBot="1">
      <c r="A24" s="1477"/>
      <c r="B24" s="1459"/>
      <c r="C24" s="1459"/>
      <c r="D24" s="1459"/>
      <c r="E24" s="1459"/>
      <c r="F24" s="1487"/>
      <c r="G24" s="1448"/>
      <c r="H24" s="1455"/>
      <c r="I24" s="1488">
        <f>SUM(F23:G23)</f>
        <v>1873590.1492348069</v>
      </c>
      <c r="K24" s="1489"/>
      <c r="L24" s="1476"/>
      <c r="M24" s="1476"/>
    </row>
    <row r="25" spans="1:15" ht="6.75" customHeight="1" thickTop="1" thickBot="1">
      <c r="A25" s="1477"/>
      <c r="B25" s="1448"/>
      <c r="C25" s="1448"/>
      <c r="D25" s="1448"/>
      <c r="E25" s="1448"/>
      <c r="F25" s="1448"/>
      <c r="G25" s="1448"/>
      <c r="H25" s="1448"/>
      <c r="I25" s="1480"/>
    </row>
    <row r="26" spans="1:15" ht="18" thickTop="1" thickBot="1">
      <c r="A26" s="1490" t="s">
        <v>2646</v>
      </c>
      <c r="B26" s="1491"/>
      <c r="C26" s="1491"/>
      <c r="D26" s="1491"/>
      <c r="E26" s="1491"/>
      <c r="F26" s="1491"/>
      <c r="G26" s="1491"/>
      <c r="H26" s="1491"/>
      <c r="I26" s="1488">
        <f>ROUND(I18+I24,2)</f>
        <v>14611926.15</v>
      </c>
      <c r="K26" s="1489"/>
      <c r="M26" s="1476"/>
    </row>
    <row r="27" spans="1:15" ht="18" thickTop="1" thickBot="1">
      <c r="A27" s="1492"/>
      <c r="B27" s="1448"/>
      <c r="C27" s="1448"/>
      <c r="D27" s="1448"/>
      <c r="E27" s="1448"/>
      <c r="F27" s="1448"/>
      <c r="G27" s="1448"/>
      <c r="H27" s="1448"/>
      <c r="I27" s="1493"/>
      <c r="K27" s="1489"/>
      <c r="M27" s="1476"/>
    </row>
    <row r="28" spans="1:15" ht="18" thickTop="1" thickBot="1">
      <c r="A28" s="1490" t="s">
        <v>2647</v>
      </c>
      <c r="B28" s="1491"/>
      <c r="C28" s="1491"/>
      <c r="D28" s="1491"/>
      <c r="E28" s="1491"/>
      <c r="F28" s="1491"/>
      <c r="G28" s="1491"/>
      <c r="H28" s="1491"/>
      <c r="I28" s="1488">
        <f>(I26)*0.19</f>
        <v>2776265.9685</v>
      </c>
      <c r="K28" s="1489"/>
    </row>
    <row r="29" spans="1:15" ht="18" thickTop="1" thickBot="1">
      <c r="A29" s="1492"/>
      <c r="B29" s="1448"/>
      <c r="C29" s="1448"/>
      <c r="D29" s="1448"/>
      <c r="E29" s="1448"/>
      <c r="F29" s="1448"/>
      <c r="G29" s="1448"/>
      <c r="H29" s="1448"/>
      <c r="I29" s="1493"/>
    </row>
    <row r="30" spans="1:15" ht="18" thickTop="1" thickBot="1">
      <c r="A30" s="2027" t="s">
        <v>2648</v>
      </c>
      <c r="B30" s="2028"/>
      <c r="C30" s="2028"/>
      <c r="D30" s="2028"/>
      <c r="E30" s="2028"/>
      <c r="F30" s="2028"/>
      <c r="G30" s="2028"/>
      <c r="H30" s="2029"/>
      <c r="I30" s="1488">
        <f>ROUND(I26+I28,0)</f>
        <v>17388192</v>
      </c>
      <c r="K30" s="1489"/>
      <c r="L30" s="1489"/>
    </row>
    <row r="31" spans="1:15" ht="17.25" thickTop="1">
      <c r="A31" s="1494"/>
      <c r="B31" s="1495"/>
      <c r="C31" s="1495"/>
      <c r="D31" s="1495"/>
      <c r="E31" s="1495"/>
      <c r="F31" s="1495"/>
      <c r="G31" s="1495"/>
      <c r="H31" s="1495"/>
      <c r="I31" s="1496"/>
      <c r="K31" s="1489"/>
      <c r="L31" s="1489"/>
    </row>
    <row r="32" spans="1:15">
      <c r="A32" s="1492"/>
      <c r="B32" s="1448"/>
      <c r="C32" s="1448"/>
      <c r="D32" s="1448"/>
      <c r="E32" s="1448"/>
      <c r="F32" s="1448"/>
      <c r="G32" s="1448"/>
      <c r="H32" s="1448"/>
      <c r="I32" s="1516"/>
      <c r="K32" s="1497"/>
    </row>
    <row r="33" spans="1:254">
      <c r="A33" s="2030"/>
      <c r="B33" s="2031"/>
      <c r="C33" s="2031"/>
      <c r="D33" s="2031"/>
      <c r="E33" s="2031"/>
      <c r="F33" s="2031"/>
      <c r="G33" s="2031"/>
      <c r="H33" s="2031"/>
      <c r="I33" s="1516"/>
      <c r="K33" s="1497"/>
    </row>
    <row r="34" spans="1:254">
      <c r="A34" s="1492"/>
      <c r="B34" s="1448"/>
      <c r="C34" s="1448"/>
      <c r="D34" s="1448"/>
      <c r="E34" s="1448"/>
      <c r="F34" s="1448"/>
      <c r="G34" s="1448"/>
      <c r="H34" s="1448"/>
      <c r="I34" s="1516"/>
      <c r="K34" s="1497"/>
    </row>
    <row r="35" spans="1:254">
      <c r="A35" s="1519" t="str">
        <f>+PRESUPUESTO!A100</f>
        <v>______________________________________________</v>
      </c>
      <c r="B35" s="1448"/>
      <c r="C35" s="1448"/>
      <c r="D35" s="1448"/>
      <c r="E35" s="1448"/>
      <c r="F35" s="1448"/>
      <c r="G35" s="1448"/>
      <c r="H35" s="1448"/>
      <c r="I35" s="1516"/>
      <c r="K35" s="1497"/>
    </row>
    <row r="36" spans="1:254">
      <c r="A36" s="1520" t="str">
        <f>+PRESUPUESTO!A101</f>
        <v>Ing. JHON FREDY GARCIA MENDEZ</v>
      </c>
      <c r="B36" s="1498"/>
      <c r="C36" s="1498"/>
      <c r="D36" s="1498"/>
      <c r="E36" s="1448"/>
      <c r="F36" s="1448"/>
      <c r="G36" s="1448"/>
      <c r="H36" s="1448"/>
      <c r="I36" s="1499"/>
      <c r="K36" s="1489"/>
    </row>
    <row r="37" spans="1:254">
      <c r="A37" s="1519" t="str">
        <f>+PRESUPUESTO!A102</f>
        <v>Esp. EN AGUAS Y SANEAMIENTO AMBIENTAL</v>
      </c>
      <c r="B37" s="1500"/>
      <c r="C37" s="1500"/>
      <c r="D37" s="1500"/>
      <c r="E37" s="1501"/>
      <c r="F37" s="1502"/>
      <c r="G37" s="1502"/>
      <c r="H37" s="1502"/>
      <c r="I37" s="1503"/>
      <c r="J37" s="1504"/>
      <c r="K37" s="1504"/>
      <c r="L37" s="1504"/>
      <c r="M37" s="1504"/>
      <c r="N37" s="1505"/>
      <c r="O37" s="1506"/>
      <c r="P37" s="1504"/>
      <c r="Q37" s="1504"/>
      <c r="R37" s="1504"/>
      <c r="S37" s="1504"/>
      <c r="T37" s="1504"/>
      <c r="U37" s="1504"/>
      <c r="V37" s="1504"/>
      <c r="W37" s="1504"/>
      <c r="X37" s="1504"/>
      <c r="Y37" s="1504"/>
      <c r="Z37" s="1504"/>
      <c r="AA37" s="1504"/>
      <c r="AB37" s="1504"/>
      <c r="AC37" s="1504"/>
      <c r="AD37" s="1504"/>
      <c r="AE37" s="1504"/>
      <c r="AF37" s="1504"/>
      <c r="AG37" s="1504"/>
      <c r="AH37" s="1504"/>
      <c r="AI37" s="1504"/>
      <c r="AJ37" s="1504"/>
      <c r="AK37" s="1504"/>
      <c r="AL37" s="1504"/>
      <c r="AM37" s="1504"/>
      <c r="AN37" s="1504"/>
      <c r="AO37" s="1504"/>
      <c r="AP37" s="1504"/>
      <c r="AQ37" s="1504"/>
      <c r="AR37" s="1504"/>
      <c r="AS37" s="1504"/>
      <c r="AT37" s="1504"/>
      <c r="AU37" s="1504"/>
      <c r="AV37" s="1504"/>
      <c r="AW37" s="1504"/>
      <c r="AX37" s="1504"/>
      <c r="AY37" s="1504"/>
      <c r="AZ37" s="1504"/>
      <c r="BA37" s="1504"/>
      <c r="BB37" s="1504"/>
      <c r="BC37" s="1504"/>
      <c r="BD37" s="1504"/>
      <c r="BE37" s="1504"/>
      <c r="BF37" s="1504"/>
      <c r="BG37" s="1504"/>
      <c r="BH37" s="1504"/>
      <c r="BI37" s="1504"/>
      <c r="BJ37" s="1504"/>
      <c r="BK37" s="1504"/>
      <c r="BL37" s="1504"/>
      <c r="BM37" s="1504"/>
      <c r="BN37" s="1504"/>
      <c r="BO37" s="1504"/>
      <c r="BP37" s="1504"/>
      <c r="BQ37" s="1504"/>
      <c r="BR37" s="1504"/>
      <c r="BS37" s="1504"/>
      <c r="BT37" s="1504"/>
      <c r="BU37" s="1504"/>
      <c r="BV37" s="1504"/>
      <c r="BW37" s="1504"/>
      <c r="BX37" s="1504"/>
      <c r="BY37" s="1504"/>
      <c r="BZ37" s="1504"/>
      <c r="CA37" s="1504"/>
      <c r="CB37" s="1504"/>
      <c r="CC37" s="1504"/>
      <c r="CD37" s="1504"/>
      <c r="CE37" s="1504"/>
      <c r="CF37" s="1504"/>
      <c r="CG37" s="1504"/>
      <c r="CH37" s="1504"/>
      <c r="CI37" s="1504"/>
      <c r="CJ37" s="1504"/>
      <c r="CK37" s="1504"/>
      <c r="CL37" s="1504"/>
      <c r="CM37" s="1504"/>
      <c r="CN37" s="1504"/>
      <c r="CO37" s="1504"/>
      <c r="CP37" s="1504"/>
      <c r="CQ37" s="1504"/>
      <c r="CR37" s="1504"/>
      <c r="CS37" s="1504"/>
      <c r="CT37" s="1504"/>
      <c r="CU37" s="1504"/>
      <c r="CV37" s="1504"/>
      <c r="CW37" s="1504"/>
      <c r="CX37" s="1504"/>
      <c r="CY37" s="1504"/>
      <c r="CZ37" s="1504"/>
      <c r="DA37" s="1504"/>
      <c r="DB37" s="1504"/>
      <c r="DC37" s="1504"/>
      <c r="DD37" s="1504"/>
      <c r="DE37" s="1504"/>
      <c r="DF37" s="1504"/>
      <c r="DG37" s="1504"/>
      <c r="DH37" s="1504"/>
      <c r="DI37" s="1504"/>
      <c r="DJ37" s="1504"/>
      <c r="DK37" s="1504"/>
      <c r="DL37" s="1504"/>
      <c r="DM37" s="1504"/>
      <c r="DN37" s="1504"/>
      <c r="DO37" s="1504"/>
      <c r="DP37" s="1504"/>
      <c r="DQ37" s="1504"/>
      <c r="DR37" s="1504"/>
      <c r="DS37" s="1504"/>
      <c r="DT37" s="1504"/>
      <c r="DU37" s="1504"/>
      <c r="DV37" s="1504"/>
      <c r="DW37" s="1504"/>
      <c r="DX37" s="1504"/>
      <c r="DY37" s="1504"/>
      <c r="DZ37" s="1504"/>
      <c r="EA37" s="1504"/>
      <c r="EB37" s="1504"/>
      <c r="EC37" s="1504"/>
      <c r="ED37" s="1504"/>
      <c r="EE37" s="1504"/>
      <c r="EF37" s="1504"/>
      <c r="EG37" s="1504"/>
      <c r="EH37" s="1504"/>
      <c r="EI37" s="1504"/>
      <c r="EJ37" s="1504"/>
      <c r="EK37" s="1504"/>
      <c r="EL37" s="1504"/>
      <c r="EM37" s="1504"/>
      <c r="EN37" s="1504"/>
      <c r="EO37" s="1504"/>
      <c r="EP37" s="1504"/>
      <c r="EQ37" s="1504"/>
      <c r="ER37" s="1504"/>
      <c r="ES37" s="1504"/>
      <c r="ET37" s="1504"/>
      <c r="EU37" s="1504"/>
      <c r="EV37" s="1504"/>
      <c r="EW37" s="1504"/>
      <c r="EX37" s="1504"/>
      <c r="EY37" s="1504"/>
      <c r="EZ37" s="1504"/>
      <c r="FA37" s="1504"/>
      <c r="FB37" s="1504"/>
      <c r="FC37" s="1504"/>
      <c r="FD37" s="1504"/>
      <c r="FE37" s="1504"/>
      <c r="FF37" s="1504"/>
      <c r="FG37" s="1504"/>
      <c r="FH37" s="1504"/>
      <c r="FI37" s="1504"/>
      <c r="FJ37" s="1504"/>
      <c r="FK37" s="1504"/>
      <c r="FL37" s="1504"/>
      <c r="FM37" s="1504"/>
      <c r="FN37" s="1504"/>
      <c r="FO37" s="1504"/>
      <c r="FP37" s="1504"/>
      <c r="FQ37" s="1504"/>
      <c r="FR37" s="1504"/>
      <c r="FS37" s="1504"/>
      <c r="FT37" s="1504"/>
      <c r="FU37" s="1504"/>
      <c r="FV37" s="1504"/>
      <c r="FW37" s="1504"/>
      <c r="FX37" s="1504"/>
      <c r="FY37" s="1504"/>
      <c r="FZ37" s="1504"/>
      <c r="GA37" s="1504"/>
      <c r="GB37" s="1504"/>
      <c r="GC37" s="1504"/>
      <c r="GD37" s="1504"/>
      <c r="GE37" s="1504"/>
      <c r="GF37" s="1504"/>
      <c r="GG37" s="1504"/>
      <c r="GH37" s="1504"/>
      <c r="GI37" s="1504"/>
      <c r="GJ37" s="1504"/>
      <c r="GK37" s="1504"/>
      <c r="GL37" s="1504"/>
      <c r="GM37" s="1504"/>
      <c r="GN37" s="1504"/>
      <c r="GO37" s="1504"/>
      <c r="GP37" s="1504"/>
      <c r="GQ37" s="1504"/>
      <c r="GR37" s="1504"/>
      <c r="GS37" s="1504"/>
      <c r="GT37" s="1504"/>
      <c r="GU37" s="1504"/>
      <c r="GV37" s="1504"/>
      <c r="GW37" s="1504"/>
      <c r="GX37" s="1504"/>
      <c r="GY37" s="1504"/>
      <c r="GZ37" s="1504"/>
      <c r="HA37" s="1504"/>
      <c r="HB37" s="1504"/>
      <c r="HC37" s="1504"/>
      <c r="HD37" s="1504"/>
      <c r="HE37" s="1504"/>
      <c r="HF37" s="1504"/>
      <c r="HG37" s="1504"/>
      <c r="HH37" s="1504"/>
      <c r="HI37" s="1504"/>
      <c r="HJ37" s="1504"/>
      <c r="HK37" s="1504"/>
      <c r="HL37" s="1504"/>
      <c r="HM37" s="1504"/>
      <c r="HN37" s="1504"/>
      <c r="HO37" s="1504"/>
      <c r="HP37" s="1504"/>
      <c r="HQ37" s="1504"/>
      <c r="HR37" s="1504"/>
      <c r="HS37" s="1504"/>
      <c r="HT37" s="1504"/>
      <c r="HU37" s="1504"/>
      <c r="HV37" s="1504"/>
      <c r="HW37" s="1504"/>
      <c r="HX37" s="1504"/>
      <c r="HY37" s="1504"/>
      <c r="HZ37" s="1504"/>
      <c r="IA37" s="1504"/>
      <c r="IB37" s="1504"/>
      <c r="IC37" s="1504"/>
      <c r="ID37" s="1504"/>
      <c r="IE37" s="1504"/>
      <c r="IF37" s="1504"/>
      <c r="IG37" s="1504"/>
      <c r="IH37" s="1504"/>
      <c r="II37" s="1504"/>
      <c r="IJ37" s="1504"/>
      <c r="IK37" s="1504"/>
      <c r="IL37" s="1504"/>
      <c r="IM37" s="1504"/>
      <c r="IN37" s="1504"/>
      <c r="IO37" s="1504"/>
      <c r="IP37" s="1504"/>
      <c r="IQ37" s="1504"/>
      <c r="IR37" s="1504"/>
      <c r="IS37" s="1504"/>
      <c r="IT37" s="1504"/>
    </row>
    <row r="38" spans="1:254">
      <c r="A38" s="1519" t="str">
        <f>+PRESUPUESTO!A103</f>
        <v>M.P.  70268-326294 TLM.</v>
      </c>
      <c r="B38" s="1507"/>
      <c r="C38" s="1507"/>
      <c r="D38" s="1507"/>
      <c r="E38" s="1508"/>
      <c r="F38" s="1502"/>
      <c r="G38" s="1502"/>
      <c r="H38" s="1502"/>
      <c r="I38" s="1503"/>
      <c r="J38" s="1504"/>
      <c r="K38" s="1504"/>
      <c r="L38" s="1504"/>
      <c r="M38" s="1504"/>
      <c r="N38" s="1505"/>
      <c r="O38" s="1505"/>
      <c r="P38" s="1504"/>
      <c r="Q38" s="1504"/>
      <c r="R38" s="1504"/>
      <c r="S38" s="1504"/>
      <c r="T38" s="1504"/>
      <c r="U38" s="1504"/>
      <c r="V38" s="1504"/>
      <c r="W38" s="1504"/>
      <c r="X38" s="1504"/>
      <c r="Y38" s="1504"/>
      <c r="Z38" s="1504"/>
      <c r="AA38" s="1504"/>
      <c r="AB38" s="1504"/>
      <c r="AC38" s="1504"/>
      <c r="AD38" s="1504"/>
      <c r="AE38" s="1504"/>
      <c r="AF38" s="1504"/>
      <c r="AG38" s="1504"/>
      <c r="AH38" s="1504"/>
      <c r="AI38" s="1504"/>
      <c r="AJ38" s="1504"/>
      <c r="AK38" s="1504"/>
      <c r="AL38" s="1504"/>
      <c r="AM38" s="1504"/>
      <c r="AN38" s="1504"/>
      <c r="AO38" s="1504"/>
      <c r="AP38" s="1504"/>
      <c r="AQ38" s="1504"/>
      <c r="AR38" s="1504"/>
      <c r="AS38" s="1504"/>
      <c r="AT38" s="1504"/>
      <c r="AU38" s="1504"/>
      <c r="AV38" s="1504"/>
      <c r="AW38" s="1504"/>
      <c r="AX38" s="1504"/>
      <c r="AY38" s="1504"/>
      <c r="AZ38" s="1504"/>
      <c r="BA38" s="1504"/>
      <c r="BB38" s="1504"/>
      <c r="BC38" s="1504"/>
      <c r="BD38" s="1504"/>
      <c r="BE38" s="1504"/>
      <c r="BF38" s="1504"/>
      <c r="BG38" s="1504"/>
      <c r="BH38" s="1504"/>
      <c r="BI38" s="1504"/>
      <c r="BJ38" s="1504"/>
      <c r="BK38" s="1504"/>
      <c r="BL38" s="1504"/>
      <c r="BM38" s="1504"/>
      <c r="BN38" s="1504"/>
      <c r="BO38" s="1504"/>
      <c r="BP38" s="1504"/>
      <c r="BQ38" s="1504"/>
      <c r="BR38" s="1504"/>
      <c r="BS38" s="1504"/>
      <c r="BT38" s="1504"/>
      <c r="BU38" s="1504"/>
      <c r="BV38" s="1504"/>
      <c r="BW38" s="1504"/>
      <c r="BX38" s="1504"/>
      <c r="BY38" s="1504"/>
      <c r="BZ38" s="1504"/>
      <c r="CA38" s="1504"/>
      <c r="CB38" s="1504"/>
      <c r="CC38" s="1504"/>
      <c r="CD38" s="1504"/>
      <c r="CE38" s="1504"/>
      <c r="CF38" s="1504"/>
      <c r="CG38" s="1504"/>
      <c r="CH38" s="1504"/>
      <c r="CI38" s="1504"/>
      <c r="CJ38" s="1504"/>
      <c r="CK38" s="1504"/>
      <c r="CL38" s="1504"/>
      <c r="CM38" s="1504"/>
      <c r="CN38" s="1504"/>
      <c r="CO38" s="1504"/>
      <c r="CP38" s="1504"/>
      <c r="CQ38" s="1504"/>
      <c r="CR38" s="1504"/>
      <c r="CS38" s="1504"/>
      <c r="CT38" s="1504"/>
      <c r="CU38" s="1504"/>
      <c r="CV38" s="1504"/>
      <c r="CW38" s="1504"/>
      <c r="CX38" s="1504"/>
      <c r="CY38" s="1504"/>
      <c r="CZ38" s="1504"/>
      <c r="DA38" s="1504"/>
      <c r="DB38" s="1504"/>
      <c r="DC38" s="1504"/>
      <c r="DD38" s="1504"/>
      <c r="DE38" s="1504"/>
      <c r="DF38" s="1504"/>
      <c r="DG38" s="1504"/>
      <c r="DH38" s="1504"/>
      <c r="DI38" s="1504"/>
      <c r="DJ38" s="1504"/>
      <c r="DK38" s="1504"/>
      <c r="DL38" s="1504"/>
      <c r="DM38" s="1504"/>
      <c r="DN38" s="1504"/>
      <c r="DO38" s="1504"/>
      <c r="DP38" s="1504"/>
      <c r="DQ38" s="1504"/>
      <c r="DR38" s="1504"/>
      <c r="DS38" s="1504"/>
      <c r="DT38" s="1504"/>
      <c r="DU38" s="1504"/>
      <c r="DV38" s="1504"/>
      <c r="DW38" s="1504"/>
      <c r="DX38" s="1504"/>
      <c r="DY38" s="1504"/>
      <c r="DZ38" s="1504"/>
      <c r="EA38" s="1504"/>
      <c r="EB38" s="1504"/>
      <c r="EC38" s="1504"/>
      <c r="ED38" s="1504"/>
      <c r="EE38" s="1504"/>
      <c r="EF38" s="1504"/>
      <c r="EG38" s="1504"/>
      <c r="EH38" s="1504"/>
      <c r="EI38" s="1504"/>
      <c r="EJ38" s="1504"/>
      <c r="EK38" s="1504"/>
      <c r="EL38" s="1504"/>
      <c r="EM38" s="1504"/>
      <c r="EN38" s="1504"/>
      <c r="EO38" s="1504"/>
      <c r="EP38" s="1504"/>
      <c r="EQ38" s="1504"/>
      <c r="ER38" s="1504"/>
      <c r="ES38" s="1504"/>
      <c r="ET38" s="1504"/>
      <c r="EU38" s="1504"/>
      <c r="EV38" s="1504"/>
      <c r="EW38" s="1504"/>
      <c r="EX38" s="1504"/>
      <c r="EY38" s="1504"/>
      <c r="EZ38" s="1504"/>
      <c r="FA38" s="1504"/>
      <c r="FB38" s="1504"/>
      <c r="FC38" s="1504"/>
      <c r="FD38" s="1504"/>
      <c r="FE38" s="1504"/>
      <c r="FF38" s="1504"/>
      <c r="FG38" s="1504"/>
      <c r="FH38" s="1504"/>
      <c r="FI38" s="1504"/>
      <c r="FJ38" s="1504"/>
      <c r="FK38" s="1504"/>
      <c r="FL38" s="1504"/>
      <c r="FM38" s="1504"/>
      <c r="FN38" s="1504"/>
      <c r="FO38" s="1504"/>
      <c r="FP38" s="1504"/>
      <c r="FQ38" s="1504"/>
      <c r="FR38" s="1504"/>
      <c r="FS38" s="1504"/>
      <c r="FT38" s="1504"/>
      <c r="FU38" s="1504"/>
      <c r="FV38" s="1504"/>
      <c r="FW38" s="1504"/>
      <c r="FX38" s="1504"/>
      <c r="FY38" s="1504"/>
      <c r="FZ38" s="1504"/>
      <c r="GA38" s="1504"/>
      <c r="GB38" s="1504"/>
      <c r="GC38" s="1504"/>
      <c r="GD38" s="1504"/>
      <c r="GE38" s="1504"/>
      <c r="GF38" s="1504"/>
      <c r="GG38" s="1504"/>
      <c r="GH38" s="1504"/>
      <c r="GI38" s="1504"/>
      <c r="GJ38" s="1504"/>
      <c r="GK38" s="1504"/>
      <c r="GL38" s="1504"/>
      <c r="GM38" s="1504"/>
      <c r="GN38" s="1504"/>
      <c r="GO38" s="1504"/>
      <c r="GP38" s="1504"/>
      <c r="GQ38" s="1504"/>
      <c r="GR38" s="1504"/>
      <c r="GS38" s="1504"/>
      <c r="GT38" s="1504"/>
      <c r="GU38" s="1504"/>
      <c r="GV38" s="1504"/>
      <c r="GW38" s="1504"/>
      <c r="GX38" s="1504"/>
      <c r="GY38" s="1504"/>
      <c r="GZ38" s="1504"/>
      <c r="HA38" s="1504"/>
      <c r="HB38" s="1504"/>
      <c r="HC38" s="1504"/>
      <c r="HD38" s="1504"/>
      <c r="HE38" s="1504"/>
      <c r="HF38" s="1504"/>
      <c r="HG38" s="1504"/>
      <c r="HH38" s="1504"/>
      <c r="HI38" s="1504"/>
      <c r="HJ38" s="1504"/>
      <c r="HK38" s="1504"/>
      <c r="HL38" s="1504"/>
      <c r="HM38" s="1504"/>
      <c r="HN38" s="1504"/>
      <c r="HO38" s="1504"/>
      <c r="HP38" s="1504"/>
      <c r="HQ38" s="1504"/>
      <c r="HR38" s="1504"/>
      <c r="HS38" s="1504"/>
      <c r="HT38" s="1504"/>
      <c r="HU38" s="1504"/>
      <c r="HV38" s="1504"/>
      <c r="HW38" s="1504"/>
      <c r="HX38" s="1504"/>
      <c r="HY38" s="1504"/>
      <c r="HZ38" s="1504"/>
      <c r="IA38" s="1504"/>
      <c r="IB38" s="1504"/>
      <c r="IC38" s="1504"/>
      <c r="ID38" s="1504"/>
      <c r="IE38" s="1504"/>
      <c r="IF38" s="1504"/>
      <c r="IG38" s="1504"/>
      <c r="IH38" s="1504"/>
      <c r="II38" s="1504"/>
      <c r="IJ38" s="1504"/>
      <c r="IK38" s="1504"/>
      <c r="IL38" s="1504"/>
      <c r="IM38" s="1504"/>
      <c r="IN38" s="1504"/>
      <c r="IO38" s="1504"/>
      <c r="IP38" s="1504"/>
      <c r="IQ38" s="1504"/>
      <c r="IR38" s="1504"/>
      <c r="IS38" s="1504"/>
      <c r="IT38" s="1504"/>
    </row>
    <row r="39" spans="1:254">
      <c r="A39" s="1519" t="str">
        <f>+PRESUPUESTO!A104</f>
        <v>CONSULTOR</v>
      </c>
      <c r="B39" s="1507"/>
      <c r="C39" s="1507"/>
      <c r="D39" s="1507"/>
      <c r="E39" s="1508"/>
      <c r="F39" s="1502"/>
      <c r="G39" s="1502"/>
      <c r="H39" s="1502"/>
      <c r="I39" s="1503"/>
      <c r="J39" s="1504"/>
      <c r="K39" s="1504"/>
      <c r="L39" s="1504"/>
      <c r="M39" s="1504"/>
      <c r="N39" s="1505"/>
      <c r="O39" s="1505"/>
      <c r="P39" s="1504"/>
      <c r="Q39" s="1504"/>
      <c r="R39" s="1504"/>
      <c r="S39" s="1504"/>
      <c r="T39" s="1504"/>
      <c r="U39" s="1504"/>
      <c r="V39" s="1504"/>
      <c r="W39" s="1504"/>
      <c r="X39" s="1504"/>
      <c r="Y39" s="1504"/>
      <c r="Z39" s="1504"/>
      <c r="AA39" s="1504"/>
      <c r="AB39" s="1504"/>
      <c r="AC39" s="1504"/>
      <c r="AD39" s="1504"/>
      <c r="AE39" s="1504"/>
      <c r="AF39" s="1504"/>
      <c r="AG39" s="1504"/>
      <c r="AH39" s="1504"/>
      <c r="AI39" s="1504"/>
      <c r="AJ39" s="1504"/>
      <c r="AK39" s="1504"/>
      <c r="AL39" s="1504"/>
      <c r="AM39" s="1504"/>
      <c r="AN39" s="1504"/>
      <c r="AO39" s="1504"/>
      <c r="AP39" s="1504"/>
      <c r="AQ39" s="1504"/>
      <c r="AR39" s="1504"/>
      <c r="AS39" s="1504"/>
      <c r="AT39" s="1504"/>
      <c r="AU39" s="1504"/>
      <c r="AV39" s="1504"/>
      <c r="AW39" s="1504"/>
      <c r="AX39" s="1504"/>
      <c r="AY39" s="1504"/>
      <c r="AZ39" s="1504"/>
      <c r="BA39" s="1504"/>
      <c r="BB39" s="1504"/>
      <c r="BC39" s="1504"/>
      <c r="BD39" s="1504"/>
      <c r="BE39" s="1504"/>
      <c r="BF39" s="1504"/>
      <c r="BG39" s="1504"/>
      <c r="BH39" s="1504"/>
      <c r="BI39" s="1504"/>
      <c r="BJ39" s="1504"/>
      <c r="BK39" s="1504"/>
      <c r="BL39" s="1504"/>
      <c r="BM39" s="1504"/>
      <c r="BN39" s="1504"/>
      <c r="BO39" s="1504"/>
      <c r="BP39" s="1504"/>
      <c r="BQ39" s="1504"/>
      <c r="BR39" s="1504"/>
      <c r="BS39" s="1504"/>
      <c r="BT39" s="1504"/>
      <c r="BU39" s="1504"/>
      <c r="BV39" s="1504"/>
      <c r="BW39" s="1504"/>
      <c r="BX39" s="1504"/>
      <c r="BY39" s="1504"/>
      <c r="BZ39" s="1504"/>
      <c r="CA39" s="1504"/>
      <c r="CB39" s="1504"/>
      <c r="CC39" s="1504"/>
      <c r="CD39" s="1504"/>
      <c r="CE39" s="1504"/>
      <c r="CF39" s="1504"/>
      <c r="CG39" s="1504"/>
      <c r="CH39" s="1504"/>
      <c r="CI39" s="1504"/>
      <c r="CJ39" s="1504"/>
      <c r="CK39" s="1504"/>
      <c r="CL39" s="1504"/>
      <c r="CM39" s="1504"/>
      <c r="CN39" s="1504"/>
      <c r="CO39" s="1504"/>
      <c r="CP39" s="1504"/>
      <c r="CQ39" s="1504"/>
      <c r="CR39" s="1504"/>
      <c r="CS39" s="1504"/>
      <c r="CT39" s="1504"/>
      <c r="CU39" s="1504"/>
      <c r="CV39" s="1504"/>
      <c r="CW39" s="1504"/>
      <c r="CX39" s="1504"/>
      <c r="CY39" s="1504"/>
      <c r="CZ39" s="1504"/>
      <c r="DA39" s="1504"/>
      <c r="DB39" s="1504"/>
      <c r="DC39" s="1504"/>
      <c r="DD39" s="1504"/>
      <c r="DE39" s="1504"/>
      <c r="DF39" s="1504"/>
      <c r="DG39" s="1504"/>
      <c r="DH39" s="1504"/>
      <c r="DI39" s="1504"/>
      <c r="DJ39" s="1504"/>
      <c r="DK39" s="1504"/>
      <c r="DL39" s="1504"/>
      <c r="DM39" s="1504"/>
      <c r="DN39" s="1504"/>
      <c r="DO39" s="1504"/>
      <c r="DP39" s="1504"/>
      <c r="DQ39" s="1504"/>
      <c r="DR39" s="1504"/>
      <c r="DS39" s="1504"/>
      <c r="DT39" s="1504"/>
      <c r="DU39" s="1504"/>
      <c r="DV39" s="1504"/>
      <c r="DW39" s="1504"/>
      <c r="DX39" s="1504"/>
      <c r="DY39" s="1504"/>
      <c r="DZ39" s="1504"/>
      <c r="EA39" s="1504"/>
      <c r="EB39" s="1504"/>
      <c r="EC39" s="1504"/>
      <c r="ED39" s="1504"/>
      <c r="EE39" s="1504"/>
      <c r="EF39" s="1504"/>
      <c r="EG39" s="1504"/>
      <c r="EH39" s="1504"/>
      <c r="EI39" s="1504"/>
      <c r="EJ39" s="1504"/>
      <c r="EK39" s="1504"/>
      <c r="EL39" s="1504"/>
      <c r="EM39" s="1504"/>
      <c r="EN39" s="1504"/>
      <c r="EO39" s="1504"/>
      <c r="EP39" s="1504"/>
      <c r="EQ39" s="1504"/>
      <c r="ER39" s="1504"/>
      <c r="ES39" s="1504"/>
      <c r="ET39" s="1504"/>
      <c r="EU39" s="1504"/>
      <c r="EV39" s="1504"/>
      <c r="EW39" s="1504"/>
      <c r="EX39" s="1504"/>
      <c r="EY39" s="1504"/>
      <c r="EZ39" s="1504"/>
      <c r="FA39" s="1504"/>
      <c r="FB39" s="1504"/>
      <c r="FC39" s="1504"/>
      <c r="FD39" s="1504"/>
      <c r="FE39" s="1504"/>
      <c r="FF39" s="1504"/>
      <c r="FG39" s="1504"/>
      <c r="FH39" s="1504"/>
      <c r="FI39" s="1504"/>
      <c r="FJ39" s="1504"/>
      <c r="FK39" s="1504"/>
      <c r="FL39" s="1504"/>
      <c r="FM39" s="1504"/>
      <c r="FN39" s="1504"/>
      <c r="FO39" s="1504"/>
      <c r="FP39" s="1504"/>
      <c r="FQ39" s="1504"/>
      <c r="FR39" s="1504"/>
      <c r="FS39" s="1504"/>
      <c r="FT39" s="1504"/>
      <c r="FU39" s="1504"/>
      <c r="FV39" s="1504"/>
      <c r="FW39" s="1504"/>
      <c r="FX39" s="1504"/>
      <c r="FY39" s="1504"/>
      <c r="FZ39" s="1504"/>
      <c r="GA39" s="1504"/>
      <c r="GB39" s="1504"/>
      <c r="GC39" s="1504"/>
      <c r="GD39" s="1504"/>
      <c r="GE39" s="1504"/>
      <c r="GF39" s="1504"/>
      <c r="GG39" s="1504"/>
      <c r="GH39" s="1504"/>
      <c r="GI39" s="1504"/>
      <c r="GJ39" s="1504"/>
      <c r="GK39" s="1504"/>
      <c r="GL39" s="1504"/>
      <c r="GM39" s="1504"/>
      <c r="GN39" s="1504"/>
      <c r="GO39" s="1504"/>
      <c r="GP39" s="1504"/>
      <c r="GQ39" s="1504"/>
      <c r="GR39" s="1504"/>
      <c r="GS39" s="1504"/>
      <c r="GT39" s="1504"/>
      <c r="GU39" s="1504"/>
      <c r="GV39" s="1504"/>
      <c r="GW39" s="1504"/>
      <c r="GX39" s="1504"/>
      <c r="GY39" s="1504"/>
      <c r="GZ39" s="1504"/>
      <c r="HA39" s="1504"/>
      <c r="HB39" s="1504"/>
      <c r="HC39" s="1504"/>
      <c r="HD39" s="1504"/>
      <c r="HE39" s="1504"/>
      <c r="HF39" s="1504"/>
      <c r="HG39" s="1504"/>
      <c r="HH39" s="1504"/>
      <c r="HI39" s="1504"/>
      <c r="HJ39" s="1504"/>
      <c r="HK39" s="1504"/>
      <c r="HL39" s="1504"/>
      <c r="HM39" s="1504"/>
      <c r="HN39" s="1504"/>
      <c r="HO39" s="1504"/>
      <c r="HP39" s="1504"/>
      <c r="HQ39" s="1504"/>
      <c r="HR39" s="1504"/>
      <c r="HS39" s="1504"/>
      <c r="HT39" s="1504"/>
      <c r="HU39" s="1504"/>
      <c r="HV39" s="1504"/>
      <c r="HW39" s="1504"/>
      <c r="HX39" s="1504"/>
      <c r="HY39" s="1504"/>
      <c r="HZ39" s="1504"/>
      <c r="IA39" s="1504"/>
      <c r="IB39" s="1504"/>
      <c r="IC39" s="1504"/>
      <c r="ID39" s="1504"/>
      <c r="IE39" s="1504"/>
      <c r="IF39" s="1504"/>
      <c r="IG39" s="1504"/>
      <c r="IH39" s="1504"/>
      <c r="II39" s="1504"/>
      <c r="IJ39" s="1504"/>
      <c r="IK39" s="1504"/>
      <c r="IL39" s="1504"/>
      <c r="IM39" s="1504"/>
      <c r="IN39" s="1504"/>
      <c r="IO39" s="1504"/>
      <c r="IP39" s="1504"/>
      <c r="IQ39" s="1504"/>
      <c r="IR39" s="1504"/>
      <c r="IS39" s="1504"/>
      <c r="IT39" s="1504"/>
    </row>
    <row r="40" spans="1:254" ht="17.25" thickBot="1">
      <c r="A40" s="1509"/>
      <c r="B40" s="1510"/>
      <c r="C40" s="1510"/>
      <c r="D40" s="1510"/>
      <c r="E40" s="1510"/>
      <c r="F40" s="1510"/>
      <c r="G40" s="1510"/>
      <c r="H40" s="1510"/>
      <c r="I40" s="1511"/>
    </row>
    <row r="41" spans="1:254">
      <c r="I41" s="1512"/>
    </row>
    <row r="42" spans="1:254">
      <c r="I42" s="1513"/>
    </row>
    <row r="43" spans="1:254">
      <c r="I43" s="1514"/>
    </row>
    <row r="44" spans="1:254">
      <c r="I44" s="1448"/>
    </row>
    <row r="45" spans="1:254">
      <c r="I45" s="1513"/>
    </row>
    <row r="46" spans="1:254">
      <c r="I46" s="1514"/>
    </row>
    <row r="47" spans="1:254">
      <c r="I47" s="1448"/>
    </row>
  </sheetData>
  <mergeCells count="23">
    <mergeCell ref="F23:G23"/>
    <mergeCell ref="L23:M23"/>
    <mergeCell ref="A30:H30"/>
    <mergeCell ref="A33:H33"/>
    <mergeCell ref="G8:G9"/>
    <mergeCell ref="H8:H9"/>
    <mergeCell ref="I8:I9"/>
    <mergeCell ref="A20:A21"/>
    <mergeCell ref="B20:B21"/>
    <mergeCell ref="C20:C21"/>
    <mergeCell ref="D20:D21"/>
    <mergeCell ref="E20:E21"/>
    <mergeCell ref="F20:G21"/>
    <mergeCell ref="A2:I2"/>
    <mergeCell ref="B3:F3"/>
    <mergeCell ref="G3:I3"/>
    <mergeCell ref="A5:I5"/>
    <mergeCell ref="A8:A9"/>
    <mergeCell ref="B8:B9"/>
    <mergeCell ref="C8:C9"/>
    <mergeCell ref="D8:D9"/>
    <mergeCell ref="E8:E9"/>
    <mergeCell ref="F8:F9"/>
  </mergeCells>
  <printOptions horizontalCentered="1"/>
  <pageMargins left="0.11811023622047245" right="0.11811023622047245" top="0.39370078740157483" bottom="0.35433070866141736" header="0.31496062992125984" footer="0.31496062992125984"/>
  <pageSetup scale="63"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13"/>
  <dimension ref="A1:I56"/>
  <sheetViews>
    <sheetView topLeftCell="A23" workbookViewId="0">
      <selection activeCell="G49" sqref="G49"/>
    </sheetView>
  </sheetViews>
  <sheetFormatPr baseColWidth="10" defaultColWidth="9.140625" defaultRowHeight="16.5"/>
  <cols>
    <col min="1" max="2" width="15" style="1576" customWidth="1"/>
    <col min="3" max="3" width="12.140625" style="1576" bestFit="1" customWidth="1"/>
    <col min="4" max="4" width="12.140625" style="1576" customWidth="1"/>
    <col min="5" max="5" width="12.5703125" style="1578" bestFit="1" customWidth="1"/>
    <col min="6" max="6" width="15.85546875" style="1578" customWidth="1"/>
    <col min="7" max="7" width="39.7109375" style="1576" customWidth="1"/>
    <col min="8" max="8" width="10.140625" style="1576" bestFit="1" customWidth="1"/>
    <col min="9" max="16" width="9.140625" style="1576"/>
    <col min="17" max="17" width="12" style="1576" bestFit="1" customWidth="1"/>
    <col min="18" max="16384" width="9.140625" style="1576"/>
  </cols>
  <sheetData>
    <row r="1" spans="1:8">
      <c r="A1" s="2042" t="s">
        <v>973</v>
      </c>
      <c r="B1" s="2042"/>
      <c r="C1" s="2042"/>
      <c r="D1" s="2042"/>
      <c r="E1" s="2042"/>
      <c r="F1" s="2042"/>
      <c r="G1" s="2042"/>
    </row>
    <row r="2" spans="1:8" ht="17.25" thickBot="1">
      <c r="A2" s="2043" t="s">
        <v>878</v>
      </c>
      <c r="B2" s="2043"/>
      <c r="C2" s="2043"/>
      <c r="D2" s="2043"/>
      <c r="E2" s="2043"/>
      <c r="F2" s="2043"/>
      <c r="G2" s="2043"/>
    </row>
    <row r="3" spans="1:8" ht="17.25" thickTop="1">
      <c r="A3" s="1577" t="s">
        <v>834</v>
      </c>
      <c r="B3" s="1577"/>
    </row>
    <row r="4" spans="1:8" ht="60.95" customHeight="1">
      <c r="A4" s="2039" t="s">
        <v>835</v>
      </c>
      <c r="B4" s="2040"/>
      <c r="C4" s="2040"/>
      <c r="D4" s="2040"/>
      <c r="E4" s="2040"/>
      <c r="F4" s="2040"/>
      <c r="G4" s="2041"/>
    </row>
    <row r="5" spans="1:8">
      <c r="A5" s="1577" t="s">
        <v>834</v>
      </c>
      <c r="B5" s="1577"/>
    </row>
    <row r="6" spans="1:8" ht="49.5">
      <c r="A6" s="1579" t="s">
        <v>836</v>
      </c>
      <c r="B6" s="1579" t="s">
        <v>838</v>
      </c>
      <c r="C6" s="1579" t="s">
        <v>837</v>
      </c>
      <c r="D6" s="1579" t="s">
        <v>839</v>
      </c>
      <c r="E6" s="1580" t="s">
        <v>876</v>
      </c>
      <c r="F6" s="1580" t="s">
        <v>877</v>
      </c>
      <c r="G6" s="1581" t="s">
        <v>840</v>
      </c>
    </row>
    <row r="7" spans="1:8">
      <c r="A7" s="1582">
        <v>1984</v>
      </c>
      <c r="B7" s="1583">
        <v>11298</v>
      </c>
      <c r="C7" s="1583">
        <v>376.6</v>
      </c>
      <c r="D7" s="1584">
        <v>0</v>
      </c>
      <c r="E7" s="1585"/>
      <c r="F7" s="1585">
        <f t="shared" ref="F7:F49" si="0">+E7+B7</f>
        <v>11298</v>
      </c>
      <c r="G7" s="1586" t="s">
        <v>841</v>
      </c>
    </row>
    <row r="8" spans="1:8">
      <c r="A8" s="1582">
        <v>1985</v>
      </c>
      <c r="B8" s="1587">
        <v>13558</v>
      </c>
      <c r="C8" s="1587">
        <v>451.92</v>
      </c>
      <c r="D8" s="1588">
        <v>0.2</v>
      </c>
      <c r="E8" s="1589"/>
      <c r="F8" s="1589">
        <f t="shared" si="0"/>
        <v>13558</v>
      </c>
      <c r="G8" s="1590" t="s">
        <v>842</v>
      </c>
    </row>
    <row r="9" spans="1:8">
      <c r="A9" s="1582">
        <v>1986</v>
      </c>
      <c r="B9" s="1583">
        <v>16811</v>
      </c>
      <c r="C9" s="1583">
        <v>560.38</v>
      </c>
      <c r="D9" s="1584">
        <v>0.24</v>
      </c>
      <c r="E9" s="1585"/>
      <c r="F9" s="1585">
        <f t="shared" si="0"/>
        <v>16811</v>
      </c>
      <c r="G9" s="1586" t="s">
        <v>843</v>
      </c>
    </row>
    <row r="10" spans="1:8">
      <c r="A10" s="1582">
        <v>1987</v>
      </c>
      <c r="B10" s="1587">
        <v>20510</v>
      </c>
      <c r="C10" s="1587">
        <v>683.66</v>
      </c>
      <c r="D10" s="1588">
        <v>0.22</v>
      </c>
      <c r="E10" s="1589"/>
      <c r="F10" s="1589">
        <f t="shared" si="0"/>
        <v>20510</v>
      </c>
      <c r="G10" s="1590" t="s">
        <v>844</v>
      </c>
    </row>
    <row r="11" spans="1:8">
      <c r="A11" s="1582">
        <v>1988</v>
      </c>
      <c r="B11" s="1583">
        <v>25637</v>
      </c>
      <c r="C11" s="1583">
        <v>854.58</v>
      </c>
      <c r="D11" s="1584">
        <v>0.25</v>
      </c>
      <c r="E11" s="1585"/>
      <c r="F11" s="1585">
        <f t="shared" si="0"/>
        <v>25637</v>
      </c>
      <c r="G11" s="1586" t="s">
        <v>845</v>
      </c>
    </row>
    <row r="12" spans="1:8">
      <c r="A12" s="1582">
        <v>1989</v>
      </c>
      <c r="B12" s="1587">
        <v>32560</v>
      </c>
      <c r="C12" s="1587">
        <v>1085.32</v>
      </c>
      <c r="D12" s="1588">
        <v>0.27</v>
      </c>
      <c r="E12" s="1589"/>
      <c r="F12" s="1589">
        <f t="shared" si="0"/>
        <v>32560</v>
      </c>
      <c r="G12" s="1590" t="s">
        <v>846</v>
      </c>
    </row>
    <row r="13" spans="1:8">
      <c r="A13" s="1582">
        <v>1990</v>
      </c>
      <c r="B13" s="1583">
        <v>41025</v>
      </c>
      <c r="C13" s="1583">
        <v>1367.5</v>
      </c>
      <c r="D13" s="1584">
        <v>0.26</v>
      </c>
      <c r="E13" s="1585">
        <v>3798</v>
      </c>
      <c r="F13" s="1585">
        <f t="shared" si="0"/>
        <v>44823</v>
      </c>
      <c r="G13" s="1586" t="s">
        <v>847</v>
      </c>
      <c r="H13" s="1308"/>
    </row>
    <row r="14" spans="1:8">
      <c r="A14" s="1582">
        <v>1991</v>
      </c>
      <c r="B14" s="1587">
        <v>51716</v>
      </c>
      <c r="C14" s="1587">
        <v>1723.87</v>
      </c>
      <c r="D14" s="1588">
        <v>0.26100000000000001</v>
      </c>
      <c r="E14" s="1589">
        <v>4787</v>
      </c>
      <c r="F14" s="1589">
        <f t="shared" si="0"/>
        <v>56503</v>
      </c>
      <c r="G14" s="1590" t="s">
        <v>848</v>
      </c>
    </row>
    <row r="15" spans="1:8">
      <c r="A15" s="1582">
        <v>1992</v>
      </c>
      <c r="B15" s="1583">
        <v>65190</v>
      </c>
      <c r="C15" s="1583">
        <v>2173</v>
      </c>
      <c r="D15" s="1584">
        <v>0.26100000000000001</v>
      </c>
      <c r="E15" s="1585">
        <v>6033</v>
      </c>
      <c r="F15" s="1585">
        <f t="shared" si="0"/>
        <v>71223</v>
      </c>
      <c r="G15" s="1586" t="s">
        <v>849</v>
      </c>
    </row>
    <row r="16" spans="1:8">
      <c r="A16" s="1582">
        <v>1993</v>
      </c>
      <c r="B16" s="1587">
        <v>81510</v>
      </c>
      <c r="C16" s="1587">
        <v>2717</v>
      </c>
      <c r="D16" s="1588">
        <v>0.25</v>
      </c>
      <c r="E16" s="1589">
        <v>7542</v>
      </c>
      <c r="F16" s="1589">
        <f t="shared" si="0"/>
        <v>89052</v>
      </c>
      <c r="G16" s="1590" t="s">
        <v>850</v>
      </c>
    </row>
    <row r="17" spans="1:7">
      <c r="A17" s="1582">
        <v>1994</v>
      </c>
      <c r="B17" s="1583">
        <v>98700</v>
      </c>
      <c r="C17" s="1583">
        <v>3290</v>
      </c>
      <c r="D17" s="1584">
        <v>0.21099999999999999</v>
      </c>
      <c r="E17" s="1585">
        <v>8705</v>
      </c>
      <c r="F17" s="1585">
        <f t="shared" si="0"/>
        <v>107405</v>
      </c>
      <c r="G17" s="1586" t="s">
        <v>851</v>
      </c>
    </row>
    <row r="18" spans="1:7">
      <c r="A18" s="1582">
        <v>1995</v>
      </c>
      <c r="B18" s="1587">
        <v>118934</v>
      </c>
      <c r="C18" s="1587">
        <v>3964.45</v>
      </c>
      <c r="D18" s="1588">
        <v>0.20499999999999999</v>
      </c>
      <c r="E18" s="1589">
        <v>10815</v>
      </c>
      <c r="F18" s="1589">
        <f t="shared" si="0"/>
        <v>129749</v>
      </c>
      <c r="G18" s="1590" t="s">
        <v>852</v>
      </c>
    </row>
    <row r="19" spans="1:7">
      <c r="A19" s="1582">
        <v>1996</v>
      </c>
      <c r="B19" s="1583">
        <v>142125</v>
      </c>
      <c r="C19" s="1583">
        <v>4737.5</v>
      </c>
      <c r="D19" s="1584">
        <v>0.19500000000000001</v>
      </c>
      <c r="E19" s="1585">
        <v>13567</v>
      </c>
      <c r="F19" s="1585">
        <f t="shared" si="0"/>
        <v>155692</v>
      </c>
      <c r="G19" s="1586" t="s">
        <v>853</v>
      </c>
    </row>
    <row r="20" spans="1:7">
      <c r="A20" s="1582">
        <v>1997</v>
      </c>
      <c r="B20" s="1587">
        <v>172005</v>
      </c>
      <c r="C20" s="1587">
        <v>5733.5</v>
      </c>
      <c r="D20" s="1588">
        <v>0.21</v>
      </c>
      <c r="E20" s="1589">
        <v>17250</v>
      </c>
      <c r="F20" s="1589">
        <f t="shared" si="0"/>
        <v>189255</v>
      </c>
      <c r="G20" s="1590" t="s">
        <v>854</v>
      </c>
    </row>
    <row r="21" spans="1:7">
      <c r="A21" s="1582">
        <v>1998</v>
      </c>
      <c r="B21" s="1583">
        <v>203826</v>
      </c>
      <c r="C21" s="1583">
        <v>6794.2</v>
      </c>
      <c r="D21" s="1584">
        <v>0.185</v>
      </c>
      <c r="E21" s="1585">
        <v>20700</v>
      </c>
      <c r="F21" s="1585">
        <f t="shared" si="0"/>
        <v>224526</v>
      </c>
      <c r="G21" s="1586" t="s">
        <v>855</v>
      </c>
    </row>
    <row r="22" spans="1:7">
      <c r="A22" s="1582">
        <v>1999</v>
      </c>
      <c r="B22" s="1587">
        <v>236460</v>
      </c>
      <c r="C22" s="1587">
        <v>7882</v>
      </c>
      <c r="D22" s="1588">
        <v>0.16</v>
      </c>
      <c r="E22" s="1589">
        <v>24012</v>
      </c>
      <c r="F22" s="1589">
        <f t="shared" si="0"/>
        <v>260472</v>
      </c>
      <c r="G22" s="1590" t="s">
        <v>856</v>
      </c>
    </row>
    <row r="23" spans="1:7">
      <c r="A23" s="1582">
        <v>2000</v>
      </c>
      <c r="B23" s="1583">
        <v>260100</v>
      </c>
      <c r="C23" s="1583">
        <v>8670</v>
      </c>
      <c r="D23" s="1584">
        <v>0.1</v>
      </c>
      <c r="E23" s="1585">
        <v>26413</v>
      </c>
      <c r="F23" s="1585">
        <f t="shared" si="0"/>
        <v>286513</v>
      </c>
      <c r="G23" s="1586" t="s">
        <v>857</v>
      </c>
    </row>
    <row r="24" spans="1:7">
      <c r="A24" s="1582">
        <v>2001</v>
      </c>
      <c r="B24" s="1587">
        <v>286000</v>
      </c>
      <c r="C24" s="1587">
        <v>9533.33</v>
      </c>
      <c r="D24" s="1588">
        <v>0.1</v>
      </c>
      <c r="E24" s="1589">
        <v>30000</v>
      </c>
      <c r="F24" s="1589">
        <f t="shared" si="0"/>
        <v>316000</v>
      </c>
      <c r="G24" s="1590" t="s">
        <v>858</v>
      </c>
    </row>
    <row r="25" spans="1:7">
      <c r="A25" s="1582">
        <v>2002</v>
      </c>
      <c r="B25" s="1583">
        <v>309000</v>
      </c>
      <c r="C25" s="1583">
        <v>10300</v>
      </c>
      <c r="D25" s="1584">
        <v>0.08</v>
      </c>
      <c r="E25" s="1585">
        <v>34000</v>
      </c>
      <c r="F25" s="1585">
        <f t="shared" si="0"/>
        <v>343000</v>
      </c>
      <c r="G25" s="1586" t="s">
        <v>859</v>
      </c>
    </row>
    <row r="26" spans="1:7">
      <c r="A26" s="1582">
        <v>2003</v>
      </c>
      <c r="B26" s="1587">
        <v>332000</v>
      </c>
      <c r="C26" s="1587">
        <v>11066.67</v>
      </c>
      <c r="D26" s="1588">
        <v>7.3999999999999996E-2</v>
      </c>
      <c r="E26" s="1589">
        <v>37500</v>
      </c>
      <c r="F26" s="1589">
        <f t="shared" si="0"/>
        <v>369500</v>
      </c>
      <c r="G26" s="1590" t="s">
        <v>860</v>
      </c>
    </row>
    <row r="27" spans="1:7">
      <c r="A27" s="1582">
        <v>2004</v>
      </c>
      <c r="B27" s="1583">
        <v>358000</v>
      </c>
      <c r="C27" s="1583">
        <v>11933.33</v>
      </c>
      <c r="D27" s="1584">
        <v>7.8E-2</v>
      </c>
      <c r="E27" s="1585">
        <v>41600</v>
      </c>
      <c r="F27" s="1585">
        <f t="shared" si="0"/>
        <v>399600</v>
      </c>
      <c r="G27" s="1586" t="s">
        <v>861</v>
      </c>
    </row>
    <row r="28" spans="1:7">
      <c r="A28" s="1582">
        <v>2005</v>
      </c>
      <c r="B28" s="1587">
        <v>381500</v>
      </c>
      <c r="C28" s="1587">
        <v>12716.67</v>
      </c>
      <c r="D28" s="1588">
        <v>6.6000000000000003E-2</v>
      </c>
      <c r="E28" s="1589">
        <v>44500</v>
      </c>
      <c r="F28" s="1589">
        <f t="shared" si="0"/>
        <v>426000</v>
      </c>
      <c r="G28" s="1590" t="s">
        <v>862</v>
      </c>
    </row>
    <row r="29" spans="1:7">
      <c r="A29" s="1582">
        <v>2006</v>
      </c>
      <c r="B29" s="1583">
        <v>408000</v>
      </c>
      <c r="C29" s="1583">
        <v>13600</v>
      </c>
      <c r="D29" s="1584">
        <v>6.9000000000000006E-2</v>
      </c>
      <c r="E29" s="1585">
        <v>47700</v>
      </c>
      <c r="F29" s="1585">
        <f t="shared" si="0"/>
        <v>455700</v>
      </c>
      <c r="G29" s="1586" t="s">
        <v>863</v>
      </c>
    </row>
    <row r="30" spans="1:7">
      <c r="A30" s="1582">
        <v>2007</v>
      </c>
      <c r="B30" s="1587">
        <v>433700</v>
      </c>
      <c r="C30" s="1587">
        <v>14456.67</v>
      </c>
      <c r="D30" s="1588">
        <v>6.3E-2</v>
      </c>
      <c r="E30" s="1589">
        <v>50800</v>
      </c>
      <c r="F30" s="1589">
        <f t="shared" si="0"/>
        <v>484500</v>
      </c>
      <c r="G30" s="1590" t="s">
        <v>864</v>
      </c>
    </row>
    <row r="31" spans="1:7">
      <c r="A31" s="1582">
        <v>2008</v>
      </c>
      <c r="B31" s="1583">
        <v>461500</v>
      </c>
      <c r="C31" s="1583">
        <v>15383.33</v>
      </c>
      <c r="D31" s="1584">
        <v>6.4000000000000001E-2</v>
      </c>
      <c r="E31" s="1585">
        <v>55000</v>
      </c>
      <c r="F31" s="1585">
        <f t="shared" si="0"/>
        <v>516500</v>
      </c>
      <c r="G31" s="1586" t="s">
        <v>865</v>
      </c>
    </row>
    <row r="32" spans="1:7">
      <c r="A32" s="1582">
        <v>2009</v>
      </c>
      <c r="B32" s="1587">
        <v>496900</v>
      </c>
      <c r="C32" s="1587">
        <v>16563.330000000002</v>
      </c>
      <c r="D32" s="1588">
        <v>7.6999999999999999E-2</v>
      </c>
      <c r="E32" s="1589">
        <v>69300</v>
      </c>
      <c r="F32" s="1589">
        <f t="shared" si="0"/>
        <v>566200</v>
      </c>
      <c r="G32" s="1590" t="s">
        <v>866</v>
      </c>
    </row>
    <row r="33" spans="1:9">
      <c r="A33" s="1582">
        <v>2010</v>
      </c>
      <c r="B33" s="1583">
        <v>515000</v>
      </c>
      <c r="C33" s="1583">
        <v>17166.669999999998</v>
      </c>
      <c r="D33" s="1584">
        <v>3.5999999999999997E-2</v>
      </c>
      <c r="E33" s="1585">
        <v>61500</v>
      </c>
      <c r="F33" s="1585">
        <f t="shared" si="0"/>
        <v>576500</v>
      </c>
      <c r="G33" s="1586" t="s">
        <v>867</v>
      </c>
    </row>
    <row r="34" spans="1:9">
      <c r="A34" s="1582">
        <v>2011</v>
      </c>
      <c r="B34" s="1587">
        <v>535600</v>
      </c>
      <c r="C34" s="1587">
        <v>17853.330000000002</v>
      </c>
      <c r="D34" s="1588">
        <v>0.04</v>
      </c>
      <c r="E34" s="1589">
        <v>63600</v>
      </c>
      <c r="F34" s="1589">
        <f t="shared" si="0"/>
        <v>599200</v>
      </c>
      <c r="G34" s="1590" t="s">
        <v>868</v>
      </c>
    </row>
    <row r="35" spans="1:9">
      <c r="A35" s="1582">
        <v>2012</v>
      </c>
      <c r="B35" s="1583">
        <v>566700</v>
      </c>
      <c r="C35" s="1583">
        <v>18890</v>
      </c>
      <c r="D35" s="1584">
        <v>5.8000000000000003E-2</v>
      </c>
      <c r="E35" s="1585">
        <v>67800</v>
      </c>
      <c r="F35" s="1585">
        <f t="shared" si="0"/>
        <v>634500</v>
      </c>
      <c r="G35" s="1586" t="s">
        <v>869</v>
      </c>
    </row>
    <row r="36" spans="1:9">
      <c r="A36" s="1582">
        <v>2013</v>
      </c>
      <c r="B36" s="1587">
        <v>589500</v>
      </c>
      <c r="C36" s="1587">
        <v>19650</v>
      </c>
      <c r="D36" s="1588">
        <v>4.02E-2</v>
      </c>
      <c r="E36" s="1589">
        <v>70500</v>
      </c>
      <c r="F36" s="1589">
        <f t="shared" si="0"/>
        <v>660000</v>
      </c>
      <c r="G36" s="1590" t="s">
        <v>870</v>
      </c>
    </row>
    <row r="37" spans="1:9">
      <c r="A37" s="1582">
        <v>2014</v>
      </c>
      <c r="B37" s="1583">
        <v>616000</v>
      </c>
      <c r="C37" s="1583">
        <v>20533.330000000002</v>
      </c>
      <c r="D37" s="1584">
        <v>4.4999999999999998E-2</v>
      </c>
      <c r="E37" s="1585">
        <v>72000</v>
      </c>
      <c r="F37" s="1585">
        <f t="shared" si="0"/>
        <v>688000</v>
      </c>
      <c r="G37" s="1586" t="s">
        <v>871</v>
      </c>
    </row>
    <row r="38" spans="1:9">
      <c r="A38" s="1582">
        <v>2015</v>
      </c>
      <c r="B38" s="1587">
        <v>644350</v>
      </c>
      <c r="C38" s="1587">
        <v>21478.33</v>
      </c>
      <c r="D38" s="1588">
        <v>4.5999999999999999E-2</v>
      </c>
      <c r="E38" s="1589">
        <v>74000</v>
      </c>
      <c r="F38" s="1589">
        <f t="shared" si="0"/>
        <v>718350</v>
      </c>
      <c r="G38" s="1590" t="s">
        <v>872</v>
      </c>
    </row>
    <row r="39" spans="1:9">
      <c r="A39" s="1582">
        <v>2016</v>
      </c>
      <c r="B39" s="1583">
        <v>689455</v>
      </c>
      <c r="C39" s="1583">
        <v>22981.83</v>
      </c>
      <c r="D39" s="1584">
        <v>7.0000000000000007E-2</v>
      </c>
      <c r="E39" s="1585">
        <v>77700</v>
      </c>
      <c r="F39" s="1585">
        <f t="shared" si="0"/>
        <v>767155</v>
      </c>
      <c r="G39" s="1586" t="s">
        <v>873</v>
      </c>
      <c r="H39" s="1591"/>
    </row>
    <row r="40" spans="1:9">
      <c r="A40" s="1582">
        <v>2017</v>
      </c>
      <c r="B40" s="1587">
        <v>737717</v>
      </c>
      <c r="C40" s="1587">
        <v>24590.560000000001</v>
      </c>
      <c r="D40" s="1588">
        <v>7.0000000000000007E-2</v>
      </c>
      <c r="E40" s="1589">
        <v>83140</v>
      </c>
      <c r="F40" s="1589">
        <f t="shared" si="0"/>
        <v>820857</v>
      </c>
      <c r="G40" s="1590" t="s">
        <v>874</v>
      </c>
    </row>
    <row r="41" spans="1:9">
      <c r="A41" s="1582">
        <v>2018</v>
      </c>
      <c r="B41" s="1583">
        <v>781242</v>
      </c>
      <c r="C41" s="1583">
        <v>26041.4</v>
      </c>
      <c r="D41" s="1584">
        <v>5.8999999999999997E-2</v>
      </c>
      <c r="E41" s="1585">
        <v>88211</v>
      </c>
      <c r="F41" s="1585">
        <f t="shared" si="0"/>
        <v>869453</v>
      </c>
      <c r="G41" s="1586" t="s">
        <v>875</v>
      </c>
      <c r="H41" s="1591"/>
      <c r="I41" s="1592"/>
    </row>
    <row r="42" spans="1:9">
      <c r="A42" s="1582">
        <v>2019</v>
      </c>
      <c r="B42" s="1587">
        <v>828116</v>
      </c>
      <c r="C42" s="1587">
        <v>27603.87</v>
      </c>
      <c r="D42" s="1588">
        <f>+(B42-B41)/B41</f>
        <v>5.9999334393184188E-2</v>
      </c>
      <c r="E42" s="1589">
        <v>97032</v>
      </c>
      <c r="F42" s="1589">
        <f t="shared" si="0"/>
        <v>925148</v>
      </c>
      <c r="G42" s="1590"/>
      <c r="H42" s="1593"/>
    </row>
    <row r="43" spans="1:9">
      <c r="A43" s="1582">
        <v>2020</v>
      </c>
      <c r="B43" s="1583">
        <v>877803</v>
      </c>
      <c r="C43" s="1583">
        <f>+B43/30</f>
        <v>29260.1</v>
      </c>
      <c r="D43" s="1584">
        <f t="shared" ref="D43:D44" si="1">+(B43-B42)/B42</f>
        <v>6.0000048302411742E-2</v>
      </c>
      <c r="E43" s="1585">
        <v>102854</v>
      </c>
      <c r="F43" s="1585">
        <f t="shared" si="0"/>
        <v>980657</v>
      </c>
      <c r="G43" s="1586"/>
      <c r="H43" s="1593"/>
    </row>
    <row r="44" spans="1:9">
      <c r="A44" s="1582">
        <v>2021</v>
      </c>
      <c r="B44" s="1587">
        <v>908526</v>
      </c>
      <c r="C44" s="1587">
        <f>+B44/30</f>
        <v>30284.2</v>
      </c>
      <c r="D44" s="1588">
        <f t="shared" si="1"/>
        <v>3.4999880383183926E-2</v>
      </c>
      <c r="E44" s="1589">
        <v>106454</v>
      </c>
      <c r="F44" s="1589">
        <f t="shared" si="0"/>
        <v>1014980</v>
      </c>
      <c r="G44" s="1590"/>
      <c r="H44" s="1593"/>
    </row>
    <row r="45" spans="1:9">
      <c r="A45" s="1582">
        <v>2022</v>
      </c>
      <c r="B45" s="1583">
        <v>1000000</v>
      </c>
      <c r="C45" s="1583">
        <f>+B45/30</f>
        <v>33333.333333333336</v>
      </c>
      <c r="D45" s="1584">
        <f>+(B45-B44)/B44</f>
        <v>0.10068396501586085</v>
      </c>
      <c r="E45" s="1585">
        <v>117172</v>
      </c>
      <c r="F45" s="1585">
        <f t="shared" si="0"/>
        <v>1117172</v>
      </c>
      <c r="G45" s="1586"/>
      <c r="H45" s="1593"/>
    </row>
    <row r="46" spans="1:9">
      <c r="A46" s="1582">
        <v>2023</v>
      </c>
      <c r="B46" s="1587">
        <v>1160000</v>
      </c>
      <c r="C46" s="1587">
        <f>+B46/30</f>
        <v>38666.666666666664</v>
      </c>
      <c r="D46" s="1588">
        <f>+(B46-B45)/B45</f>
        <v>0.16</v>
      </c>
      <c r="E46" s="1589">
        <v>140606</v>
      </c>
      <c r="F46" s="1589">
        <f t="shared" si="0"/>
        <v>1300606</v>
      </c>
      <c r="G46" s="1590"/>
      <c r="H46" s="1593"/>
    </row>
    <row r="47" spans="1:9">
      <c r="A47" s="1582">
        <v>2024</v>
      </c>
      <c r="B47" s="1583">
        <v>1300000</v>
      </c>
      <c r="C47" s="1583">
        <f t="shared" ref="C47:C48" si="2">+B47/30</f>
        <v>43333.333333333336</v>
      </c>
      <c r="D47" s="1584">
        <f t="shared" ref="D47:D48" si="3">+(B47-B46)/B46</f>
        <v>0.1206896551724138</v>
      </c>
      <c r="E47" s="1585">
        <v>162000</v>
      </c>
      <c r="F47" s="1585">
        <f t="shared" si="0"/>
        <v>1462000</v>
      </c>
      <c r="G47" s="1586"/>
      <c r="H47" s="1593"/>
    </row>
    <row r="48" spans="1:9" ht="17.25" thickBot="1">
      <c r="A48" s="1582">
        <v>2025</v>
      </c>
      <c r="B48" s="1587">
        <v>1423500</v>
      </c>
      <c r="C48" s="1587">
        <f t="shared" si="2"/>
        <v>47450</v>
      </c>
      <c r="D48" s="1588">
        <f t="shared" si="3"/>
        <v>9.5000000000000001E-2</v>
      </c>
      <c r="E48" s="1589">
        <v>200000</v>
      </c>
      <c r="F48" s="1589">
        <f t="shared" si="0"/>
        <v>1623500</v>
      </c>
      <c r="G48" s="1590"/>
      <c r="H48" s="1593"/>
    </row>
    <row r="49" spans="1:7" ht="17.25" thickBot="1">
      <c r="A49" s="1594">
        <v>2026</v>
      </c>
      <c r="B49" s="1595">
        <v>1750905</v>
      </c>
      <c r="C49" s="1595">
        <f>+B49/30</f>
        <v>58363.5</v>
      </c>
      <c r="D49" s="1596">
        <f>+(B49-B48)/B48</f>
        <v>0.23</v>
      </c>
      <c r="E49" s="1597">
        <v>220000.00000000003</v>
      </c>
      <c r="F49" s="1597">
        <f t="shared" si="0"/>
        <v>1970905</v>
      </c>
      <c r="G49" s="1598" t="s">
        <v>2700</v>
      </c>
    </row>
    <row r="50" spans="1:7">
      <c r="A50" s="2044" t="s">
        <v>2671</v>
      </c>
      <c r="B50" s="2044"/>
      <c r="C50" s="2044"/>
      <c r="D50" s="2044"/>
      <c r="E50" s="2044"/>
      <c r="F50" s="2044"/>
      <c r="G50" s="2044"/>
    </row>
    <row r="51" spans="1:7" ht="18.75" customHeight="1">
      <c r="A51" s="2038" t="s">
        <v>2672</v>
      </c>
      <c r="B51" s="2038"/>
      <c r="C51" s="2038"/>
      <c r="D51" s="2038"/>
      <c r="E51" s="2038"/>
      <c r="F51" s="2038"/>
      <c r="G51" s="2038"/>
    </row>
    <row r="52" spans="1:7" ht="18.75" customHeight="1">
      <c r="A52" s="2038" t="s">
        <v>2673</v>
      </c>
      <c r="B52" s="2038"/>
      <c r="C52" s="2038"/>
      <c r="D52" s="2038"/>
      <c r="E52" s="2038"/>
      <c r="F52" s="2038"/>
      <c r="G52" s="2038"/>
    </row>
    <row r="53" spans="1:7" ht="18.75" customHeight="1">
      <c r="A53" s="2038" t="s">
        <v>2674</v>
      </c>
      <c r="B53" s="2038"/>
      <c r="C53" s="2038"/>
      <c r="D53" s="2038"/>
      <c r="E53" s="2038"/>
      <c r="F53" s="2038"/>
      <c r="G53" s="2038"/>
    </row>
    <row r="54" spans="1:7">
      <c r="A54" s="1599"/>
      <c r="B54" s="1599"/>
    </row>
    <row r="55" spans="1:7">
      <c r="A55" s="1577" t="s">
        <v>834</v>
      </c>
      <c r="B55" s="1577"/>
    </row>
    <row r="56" spans="1:7">
      <c r="B56" s="1591"/>
    </row>
  </sheetData>
  <mergeCells count="7">
    <mergeCell ref="A53:G53"/>
    <mergeCell ref="A52:G52"/>
    <mergeCell ref="A4:G4"/>
    <mergeCell ref="A1:G1"/>
    <mergeCell ref="A2:G2"/>
    <mergeCell ref="A50:G50"/>
    <mergeCell ref="A51:G51"/>
  </mergeCells>
  <printOptions horizontalCentered="1"/>
  <pageMargins left="0.70866141732283472" right="0.70866141732283472" top="0.74803149606299213" bottom="0.74803149606299213" header="0.31496062992125984" footer="0.31496062992125984"/>
  <pageSetup scale="75" orientation="portrait" r:id="rId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Hoja2">
    <pageSetUpPr fitToPage="1"/>
  </sheetPr>
  <dimension ref="A1:Y60"/>
  <sheetViews>
    <sheetView topLeftCell="A37" zoomScale="85" zoomScaleNormal="85" workbookViewId="0">
      <selection activeCell="B5" sqref="B5"/>
    </sheetView>
  </sheetViews>
  <sheetFormatPr baseColWidth="10" defaultColWidth="9.140625" defaultRowHeight="15.75"/>
  <cols>
    <col min="1" max="1" width="83.28515625" style="3" customWidth="1"/>
    <col min="2" max="2" width="23.28515625" style="2" bestFit="1" customWidth="1"/>
    <col min="3" max="3" width="22.28515625" style="3" customWidth="1"/>
    <col min="4" max="4" width="15.42578125" style="2" customWidth="1"/>
    <col min="5" max="5" width="16.7109375" style="3" customWidth="1"/>
    <col min="6" max="6" width="12.42578125" style="3" customWidth="1"/>
    <col min="7" max="7" width="21.85546875" style="3" bestFit="1" customWidth="1"/>
    <col min="8" max="8" width="11.140625" style="3" customWidth="1"/>
    <col min="9" max="9" width="22.28515625" style="3" bestFit="1" customWidth="1"/>
    <col min="10" max="10" width="9.42578125" style="3" customWidth="1"/>
    <col min="11" max="11" width="16.7109375" style="3" customWidth="1"/>
    <col min="12" max="12" width="11.140625" style="3" customWidth="1"/>
    <col min="13" max="13" width="16.7109375" style="3" customWidth="1"/>
    <col min="14" max="14" width="9.42578125" style="3" customWidth="1"/>
    <col min="15" max="15" width="16.7109375" style="3" customWidth="1"/>
    <col min="16" max="16" width="10.42578125" style="3" customWidth="1"/>
    <col min="17" max="17" width="16.7109375" style="3" customWidth="1"/>
    <col min="18" max="18" width="11.140625" style="3" customWidth="1"/>
    <col min="19" max="19" width="22.28515625" style="3" bestFit="1" customWidth="1"/>
    <col min="20" max="20" width="10.140625" style="3" bestFit="1" customWidth="1"/>
    <col min="21" max="21" width="5.140625" style="3" customWidth="1"/>
    <col min="22" max="22" width="5.28515625" style="3" bestFit="1" customWidth="1"/>
    <col min="23" max="23" width="15" style="3" customWidth="1"/>
    <col min="24" max="24" width="17.28515625" style="3" bestFit="1" customWidth="1"/>
    <col min="25" max="25" width="11.5703125" style="3" bestFit="1" customWidth="1"/>
    <col min="26" max="16384" width="9.140625" style="3"/>
  </cols>
  <sheetData>
    <row r="1" spans="1:25" s="95" customFormat="1" ht="60.95" customHeight="1"/>
    <row r="2" spans="1:25">
      <c r="A2" s="1" t="s">
        <v>20</v>
      </c>
      <c r="F2" s="4"/>
    </row>
    <row r="3" spans="1:25">
      <c r="A3" s="1" t="s">
        <v>879</v>
      </c>
      <c r="F3" s="4"/>
    </row>
    <row r="4" spans="1:25">
      <c r="A4" s="1"/>
      <c r="F4" s="4"/>
    </row>
    <row r="5" spans="1:25">
      <c r="A5" s="5" t="s">
        <v>833</v>
      </c>
      <c r="B5" s="170">
        <f>+SMMV!B49</f>
        <v>1750905</v>
      </c>
      <c r="C5" s="171"/>
      <c r="D5" s="172"/>
      <c r="E5" s="209"/>
    </row>
    <row r="6" spans="1:25">
      <c r="A6" s="5" t="s">
        <v>13</v>
      </c>
      <c r="B6" s="6">
        <f>+SMMV!E49</f>
        <v>220000.00000000003</v>
      </c>
      <c r="C6" s="5"/>
      <c r="D6" s="172"/>
      <c r="E6" s="200"/>
    </row>
    <row r="7" spans="1:25">
      <c r="X7" s="7">
        <v>2900</v>
      </c>
    </row>
    <row r="8" spans="1:25">
      <c r="A8" s="173"/>
      <c r="B8" s="174"/>
      <c r="C8" s="2045" t="s">
        <v>41</v>
      </c>
      <c r="D8" s="2045"/>
      <c r="E8" s="2045"/>
      <c r="F8" s="2045"/>
      <c r="G8" s="2045"/>
      <c r="H8" s="2045"/>
      <c r="I8" s="2045"/>
      <c r="J8" s="2045"/>
      <c r="K8" s="2045"/>
      <c r="L8" s="2045"/>
      <c r="M8" s="2045"/>
      <c r="N8" s="2045"/>
      <c r="O8" s="2045"/>
      <c r="P8" s="2045"/>
      <c r="Q8" s="2045"/>
      <c r="R8" s="2045"/>
      <c r="S8" s="2045"/>
      <c r="T8" s="2045"/>
      <c r="X8" s="3" t="s">
        <v>55</v>
      </c>
      <c r="Y8" s="3" t="s">
        <v>56</v>
      </c>
    </row>
    <row r="9" spans="1:25">
      <c r="A9" s="173"/>
      <c r="B9" s="175"/>
      <c r="C9" s="2046">
        <v>1</v>
      </c>
      <c r="D9" s="2046"/>
      <c r="E9" s="2050">
        <v>1.2</v>
      </c>
      <c r="F9" s="2050"/>
      <c r="G9" s="2050">
        <v>1.5</v>
      </c>
      <c r="H9" s="2050"/>
      <c r="I9" s="2050">
        <v>2</v>
      </c>
      <c r="J9" s="2050"/>
      <c r="K9" s="2050">
        <v>2.5</v>
      </c>
      <c r="L9" s="2050"/>
      <c r="M9" s="2050">
        <v>3</v>
      </c>
      <c r="N9" s="2050"/>
      <c r="O9" s="2050">
        <v>4</v>
      </c>
      <c r="P9" s="2050"/>
      <c r="Q9" s="2050">
        <v>4.5</v>
      </c>
      <c r="R9" s="2050"/>
      <c r="S9" s="2050">
        <v>5</v>
      </c>
      <c r="T9" s="2050"/>
      <c r="V9" s="3">
        <v>1</v>
      </c>
      <c r="W9" s="3" t="s">
        <v>3</v>
      </c>
      <c r="X9" s="8">
        <f>E14</f>
        <v>77369.53333333334</v>
      </c>
      <c r="Y9" s="8">
        <f>X9/$X$7</f>
        <v>26.67914942528736</v>
      </c>
    </row>
    <row r="10" spans="1:25">
      <c r="A10" s="176" t="s">
        <v>1</v>
      </c>
      <c r="B10" s="177"/>
      <c r="C10" s="178"/>
      <c r="D10" s="179" t="s">
        <v>0</v>
      </c>
      <c r="E10" s="180"/>
      <c r="F10" s="179" t="s">
        <v>0</v>
      </c>
      <c r="G10" s="180"/>
      <c r="H10" s="179" t="s">
        <v>0</v>
      </c>
      <c r="I10" s="180"/>
      <c r="J10" s="179" t="s">
        <v>0</v>
      </c>
      <c r="K10" s="180"/>
      <c r="L10" s="179" t="s">
        <v>0</v>
      </c>
      <c r="M10" s="180"/>
      <c r="N10" s="179" t="s">
        <v>0</v>
      </c>
      <c r="O10" s="180"/>
      <c r="P10" s="179" t="s">
        <v>0</v>
      </c>
      <c r="Q10" s="180"/>
      <c r="R10" s="179" t="s">
        <v>0</v>
      </c>
      <c r="S10" s="180"/>
      <c r="T10" s="179" t="s">
        <v>0</v>
      </c>
      <c r="V10" s="3">
        <v>2</v>
      </c>
      <c r="W10" s="3" t="s">
        <v>4</v>
      </c>
      <c r="X10" s="8">
        <f>I14</f>
        <v>124060.33333333333</v>
      </c>
      <c r="Y10" s="8">
        <f>X10/$X$7</f>
        <v>42.779425287356318</v>
      </c>
    </row>
    <row r="11" spans="1:25">
      <c r="A11" s="181" t="s">
        <v>21</v>
      </c>
      <c r="B11" s="182"/>
      <c r="C11" s="183">
        <f>$B$5*C9</f>
        <v>1750905</v>
      </c>
      <c r="D11" s="182"/>
      <c r="E11" s="183">
        <f>$B$5*E9</f>
        <v>2101086</v>
      </c>
      <c r="F11" s="181"/>
      <c r="G11" s="183">
        <f>$B$5*G9</f>
        <v>2626357.5</v>
      </c>
      <c r="H11" s="181"/>
      <c r="I11" s="183">
        <f>$B$5*I9</f>
        <v>3501810</v>
      </c>
      <c r="J11" s="181"/>
      <c r="K11" s="183">
        <f>$B$5*K9</f>
        <v>4377262.5</v>
      </c>
      <c r="L11" s="181"/>
      <c r="M11" s="183">
        <f>$B$5*M9</f>
        <v>5252715</v>
      </c>
      <c r="N11" s="181"/>
      <c r="O11" s="183">
        <f>$B$5*O9</f>
        <v>7003620</v>
      </c>
      <c r="P11" s="181"/>
      <c r="Q11" s="183">
        <f>$B$5*Q9</f>
        <v>7879072.5</v>
      </c>
      <c r="R11" s="181"/>
      <c r="S11" s="183">
        <f>$B$5*S9</f>
        <v>8754525</v>
      </c>
      <c r="T11" s="181"/>
      <c r="V11" s="3">
        <v>3</v>
      </c>
      <c r="W11" s="3" t="s">
        <v>54</v>
      </c>
      <c r="X11" s="8">
        <f>M14</f>
        <v>175090.5</v>
      </c>
      <c r="Y11" s="8">
        <f>X11/$X$7</f>
        <v>60.37603448275862</v>
      </c>
    </row>
    <row r="12" spans="1:25">
      <c r="A12" s="181" t="s">
        <v>13</v>
      </c>
      <c r="B12" s="182"/>
      <c r="C12" s="183">
        <f>IF(C11&lt;=2*$B$5,$B$6,0)</f>
        <v>220000.00000000003</v>
      </c>
      <c r="D12" s="182"/>
      <c r="E12" s="183">
        <f>IF(E11&lt;=2*$B$5,$B$6,0)</f>
        <v>220000.00000000003</v>
      </c>
      <c r="F12" s="181"/>
      <c r="G12" s="183">
        <f>IF(G11&lt;=2*$B$5,$B$6,0)</f>
        <v>220000.00000000003</v>
      </c>
      <c r="H12" s="181"/>
      <c r="I12" s="183">
        <f>IF(I11&lt;=2*$B$5,$B$6,0)</f>
        <v>220000.00000000003</v>
      </c>
      <c r="J12" s="181"/>
      <c r="K12" s="183">
        <f>IF(K11&lt;=2*$B$5,$B$6,0)</f>
        <v>0</v>
      </c>
      <c r="L12" s="181"/>
      <c r="M12" s="183">
        <f>IF(M11&lt;=2*$B$5,$B$6,0)</f>
        <v>0</v>
      </c>
      <c r="N12" s="181"/>
      <c r="O12" s="183">
        <f>IF(O11&lt;=2*$B$5,$B$6,0)</f>
        <v>0</v>
      </c>
      <c r="P12" s="181"/>
      <c r="Q12" s="183">
        <f>IF(Q11&lt;=2*$B$5,$B$6,0)</f>
        <v>0</v>
      </c>
      <c r="R12" s="181"/>
      <c r="S12" s="183">
        <f>IF(S11&lt;=2*$B$5,$B$6,0)</f>
        <v>0</v>
      </c>
      <c r="T12" s="181"/>
      <c r="V12" s="3">
        <v>4</v>
      </c>
      <c r="W12" s="3" t="s">
        <v>5</v>
      </c>
      <c r="X12" s="8">
        <f>O14</f>
        <v>233454</v>
      </c>
      <c r="Y12" s="8">
        <f>X12/$X$7</f>
        <v>80.501379310344831</v>
      </c>
    </row>
    <row r="13" spans="1:25">
      <c r="A13" s="181" t="s">
        <v>22</v>
      </c>
      <c r="B13" s="182"/>
      <c r="C13" s="183">
        <f>C11+C12</f>
        <v>1970905</v>
      </c>
      <c r="D13" s="182"/>
      <c r="E13" s="183">
        <f>E11+E12</f>
        <v>2321086</v>
      </c>
      <c r="F13" s="181"/>
      <c r="G13" s="183">
        <f>G11+G12</f>
        <v>2846357.5</v>
      </c>
      <c r="H13" s="181"/>
      <c r="I13" s="183">
        <f>I11+I12</f>
        <v>3721810</v>
      </c>
      <c r="J13" s="181"/>
      <c r="K13" s="183">
        <f>K11+K12</f>
        <v>4377262.5</v>
      </c>
      <c r="L13" s="181"/>
      <c r="M13" s="183">
        <f>M11+M12</f>
        <v>5252715</v>
      </c>
      <c r="N13" s="181"/>
      <c r="O13" s="183">
        <f>O11+O12</f>
        <v>7003620</v>
      </c>
      <c r="P13" s="181"/>
      <c r="Q13" s="183">
        <f>Q11+Q12</f>
        <v>7879072.5</v>
      </c>
      <c r="R13" s="181"/>
      <c r="S13" s="183">
        <f>S11+S12</f>
        <v>8754525</v>
      </c>
      <c r="T13" s="181"/>
      <c r="V13" s="3">
        <v>5</v>
      </c>
      <c r="W13" s="3" t="s">
        <v>57</v>
      </c>
      <c r="X13" s="8">
        <f>+O14</f>
        <v>233454</v>
      </c>
      <c r="Y13" s="8">
        <f>X13/$X$7</f>
        <v>80.501379310344831</v>
      </c>
    </row>
    <row r="14" spans="1:25">
      <c r="A14" s="181" t="s">
        <v>14</v>
      </c>
      <c r="B14" s="182"/>
      <c r="C14" s="184">
        <f>C13/30</f>
        <v>65696.833333333328</v>
      </c>
      <c r="D14" s="182"/>
      <c r="E14" s="184">
        <f>E13/30</f>
        <v>77369.53333333334</v>
      </c>
      <c r="F14" s="181"/>
      <c r="G14" s="184">
        <f>G13/30</f>
        <v>94878.583333333328</v>
      </c>
      <c r="H14" s="181"/>
      <c r="I14" s="184">
        <f>I13/30</f>
        <v>124060.33333333333</v>
      </c>
      <c r="J14" s="181"/>
      <c r="K14" s="184">
        <f>K13/30</f>
        <v>145908.75</v>
      </c>
      <c r="L14" s="181"/>
      <c r="M14" s="184">
        <f>M13/30</f>
        <v>175090.5</v>
      </c>
      <c r="N14" s="181"/>
      <c r="O14" s="184">
        <f>O13/30</f>
        <v>233454</v>
      </c>
      <c r="P14" s="181"/>
      <c r="Q14" s="184">
        <f>Q13/30</f>
        <v>262635.75</v>
      </c>
      <c r="R14" s="181"/>
      <c r="S14" s="184">
        <f>S13/30</f>
        <v>291817.5</v>
      </c>
      <c r="T14" s="181"/>
    </row>
    <row r="15" spans="1:25">
      <c r="A15" s="181" t="s">
        <v>27</v>
      </c>
      <c r="B15" s="201">
        <v>12.166666666666666</v>
      </c>
      <c r="C15" s="183">
        <f>C11*$B$15</f>
        <v>21302677.5</v>
      </c>
      <c r="D15" s="186">
        <v>1</v>
      </c>
      <c r="E15" s="183">
        <f>E11*$B$15</f>
        <v>25563213</v>
      </c>
      <c r="F15" s="187">
        <v>1</v>
      </c>
      <c r="G15" s="183">
        <f>G11*$B$15</f>
        <v>31954016.25</v>
      </c>
      <c r="H15" s="187">
        <v>1</v>
      </c>
      <c r="I15" s="183">
        <f>I11*$B$15</f>
        <v>42605355</v>
      </c>
      <c r="J15" s="187">
        <v>1</v>
      </c>
      <c r="K15" s="183">
        <f>K11*$B$15</f>
        <v>53256693.75</v>
      </c>
      <c r="L15" s="187">
        <v>1</v>
      </c>
      <c r="M15" s="183">
        <f>M11*$B$15</f>
        <v>63908032.5</v>
      </c>
      <c r="N15" s="187">
        <v>1</v>
      </c>
      <c r="O15" s="183">
        <f>O11*$B$15</f>
        <v>85210710</v>
      </c>
      <c r="P15" s="187">
        <v>1</v>
      </c>
      <c r="Q15" s="183">
        <f>Q11*$B$15</f>
        <v>95862048.75</v>
      </c>
      <c r="R15" s="187">
        <v>1</v>
      </c>
      <c r="S15" s="183">
        <f>S11*$B$15</f>
        <v>106513387.5</v>
      </c>
      <c r="T15" s="187">
        <v>1</v>
      </c>
    </row>
    <row r="16" spans="1:25">
      <c r="A16" s="181" t="s">
        <v>23</v>
      </c>
      <c r="B16" s="201">
        <f>+B15</f>
        <v>12.166666666666666</v>
      </c>
      <c r="C16" s="183">
        <f>C12*$B$16</f>
        <v>2676666.666666667</v>
      </c>
      <c r="D16" s="182"/>
      <c r="E16" s="183">
        <f>E12*$B$16</f>
        <v>2676666.666666667</v>
      </c>
      <c r="F16" s="181"/>
      <c r="G16" s="183">
        <f>G12*$B$16</f>
        <v>2676666.666666667</v>
      </c>
      <c r="H16" s="181"/>
      <c r="I16" s="183">
        <f>I12*$B$16</f>
        <v>2676666.666666667</v>
      </c>
      <c r="J16" s="181"/>
      <c r="K16" s="183">
        <f>K12*$B$16</f>
        <v>0</v>
      </c>
      <c r="L16" s="181"/>
      <c r="M16" s="183">
        <f>M12*$B$16</f>
        <v>0</v>
      </c>
      <c r="N16" s="181"/>
      <c r="O16" s="183">
        <f>O12*$B$16</f>
        <v>0</v>
      </c>
      <c r="P16" s="181"/>
      <c r="Q16" s="183">
        <f>Q12*$B$16</f>
        <v>0</v>
      </c>
      <c r="R16" s="181"/>
      <c r="S16" s="183">
        <f>S12*$B$16</f>
        <v>0</v>
      </c>
      <c r="T16" s="181"/>
    </row>
    <row r="17" spans="1:20">
      <c r="A17" s="181" t="s">
        <v>24</v>
      </c>
      <c r="B17" s="202"/>
      <c r="C17" s="188">
        <f>C15+C16</f>
        <v>23979344.166666668</v>
      </c>
      <c r="D17" s="182"/>
      <c r="E17" s="188">
        <f>E15+E16</f>
        <v>28239879.666666668</v>
      </c>
      <c r="F17" s="181"/>
      <c r="G17" s="188">
        <f>G15+G16</f>
        <v>34630682.916666664</v>
      </c>
      <c r="H17" s="181"/>
      <c r="I17" s="188">
        <f>I15+I16</f>
        <v>45282021.666666664</v>
      </c>
      <c r="J17" s="181"/>
      <c r="K17" s="188">
        <f>K15+K16</f>
        <v>53256693.75</v>
      </c>
      <c r="L17" s="181"/>
      <c r="M17" s="188">
        <f>M15+M16</f>
        <v>63908032.5</v>
      </c>
      <c r="N17" s="181"/>
      <c r="O17" s="188">
        <f>O15+O16</f>
        <v>85210710</v>
      </c>
      <c r="P17" s="181"/>
      <c r="Q17" s="188">
        <f>Q15+Q16</f>
        <v>95862048.75</v>
      </c>
      <c r="R17" s="181"/>
      <c r="S17" s="188">
        <f>S15+S16</f>
        <v>106513387.5</v>
      </c>
      <c r="T17" s="181"/>
    </row>
    <row r="18" spans="1:20">
      <c r="A18" s="181" t="s">
        <v>26</v>
      </c>
      <c r="B18" s="182"/>
      <c r="C18" s="181"/>
      <c r="D18" s="182"/>
      <c r="E18" s="181"/>
      <c r="F18" s="181"/>
      <c r="G18" s="181"/>
      <c r="H18" s="181"/>
      <c r="I18" s="181"/>
      <c r="J18" s="181"/>
      <c r="K18" s="181"/>
      <c r="L18" s="181"/>
      <c r="M18" s="181"/>
      <c r="N18" s="181"/>
      <c r="O18" s="181"/>
      <c r="P18" s="181"/>
      <c r="Q18" s="181"/>
      <c r="R18" s="181"/>
      <c r="S18" s="181"/>
      <c r="T18" s="181"/>
    </row>
    <row r="19" spans="1:20">
      <c r="A19" s="181" t="s">
        <v>25</v>
      </c>
      <c r="B19" s="182"/>
      <c r="C19" s="181"/>
      <c r="D19" s="182"/>
      <c r="E19" s="181"/>
      <c r="F19" s="181"/>
      <c r="G19" s="181"/>
      <c r="H19" s="181"/>
      <c r="I19" s="181"/>
      <c r="J19" s="181"/>
      <c r="K19" s="181"/>
      <c r="L19" s="181"/>
      <c r="M19" s="181"/>
      <c r="N19" s="181"/>
      <c r="O19" s="181"/>
      <c r="P19" s="181"/>
      <c r="Q19" s="181"/>
      <c r="R19" s="181"/>
      <c r="S19" s="181"/>
      <c r="T19" s="181"/>
    </row>
    <row r="20" spans="1:20">
      <c r="A20" s="181" t="s">
        <v>13</v>
      </c>
      <c r="B20" s="182"/>
      <c r="C20" s="181"/>
      <c r="D20" s="182"/>
      <c r="E20" s="181"/>
      <c r="F20" s="181"/>
      <c r="G20" s="181"/>
      <c r="H20" s="181"/>
      <c r="I20" s="181"/>
      <c r="J20" s="181"/>
      <c r="K20" s="181"/>
      <c r="L20" s="181"/>
      <c r="M20" s="181"/>
      <c r="N20" s="181"/>
      <c r="O20" s="181"/>
      <c r="P20" s="181"/>
      <c r="Q20" s="181"/>
      <c r="R20" s="181"/>
      <c r="S20" s="181"/>
      <c r="T20" s="181"/>
    </row>
    <row r="21" spans="1:20">
      <c r="A21" s="2047" t="s">
        <v>2</v>
      </c>
      <c r="B21" s="2047"/>
      <c r="C21" s="178"/>
      <c r="D21" s="179" t="s">
        <v>0</v>
      </c>
      <c r="E21" s="178"/>
      <c r="F21" s="179" t="s">
        <v>0</v>
      </c>
      <c r="G21" s="178"/>
      <c r="H21" s="179" t="s">
        <v>0</v>
      </c>
      <c r="I21" s="178"/>
      <c r="J21" s="179" t="s">
        <v>0</v>
      </c>
      <c r="K21" s="178"/>
      <c r="L21" s="179" t="s">
        <v>0</v>
      </c>
      <c r="M21" s="178"/>
      <c r="N21" s="179" t="s">
        <v>0</v>
      </c>
      <c r="O21" s="178"/>
      <c r="P21" s="179" t="s">
        <v>0</v>
      </c>
      <c r="Q21" s="178"/>
      <c r="R21" s="179" t="s">
        <v>0</v>
      </c>
      <c r="S21" s="178"/>
      <c r="T21" s="179" t="s">
        <v>0</v>
      </c>
    </row>
    <row r="22" spans="1:20">
      <c r="A22" s="181" t="s">
        <v>28</v>
      </c>
      <c r="B22" s="189">
        <v>8.3299999999999999E-2</v>
      </c>
      <c r="C22" s="183">
        <f>+$B$22*C17</f>
        <v>1997479.3690833335</v>
      </c>
      <c r="D22" s="190">
        <f>C22/$C$15</f>
        <v>9.3766587279149938E-2</v>
      </c>
      <c r="E22" s="183">
        <f>+$B$22*E17</f>
        <v>2352381.9762333333</v>
      </c>
      <c r="F22" s="191">
        <f>E22/$E$15</f>
        <v>9.2022156065958274E-2</v>
      </c>
      <c r="G22" s="183">
        <f>+$B$22*G17</f>
        <v>2884735.8869583332</v>
      </c>
      <c r="H22" s="191">
        <f>G22/$G$15</f>
        <v>9.0277724852766611E-2</v>
      </c>
      <c r="I22" s="183">
        <f>+$B$22*I17</f>
        <v>3771992.4048333331</v>
      </c>
      <c r="J22" s="191">
        <f>I22/$I$15</f>
        <v>8.8533293639574961E-2</v>
      </c>
      <c r="K22" s="183">
        <f>+$B$22*K17</f>
        <v>4436282.5893749995</v>
      </c>
      <c r="L22" s="191">
        <f>K22/$K$15</f>
        <v>8.3299999999999985E-2</v>
      </c>
      <c r="M22" s="183">
        <f>+$B$22*M17</f>
        <v>5323539.1072500004</v>
      </c>
      <c r="N22" s="191">
        <f>M22/$M$15</f>
        <v>8.3299999999999999E-2</v>
      </c>
      <c r="O22" s="183">
        <f>+$B$22*O17</f>
        <v>7098052.1430000002</v>
      </c>
      <c r="P22" s="191">
        <f>O22/$O$15</f>
        <v>8.3299999999999999E-2</v>
      </c>
      <c r="Q22" s="183">
        <f>+$B$22*Q17</f>
        <v>7985308.6608750001</v>
      </c>
      <c r="R22" s="191">
        <f>Q22/$Q$15</f>
        <v>8.3299999999999999E-2</v>
      </c>
      <c r="S22" s="183">
        <f>+$B$22*S17</f>
        <v>8872565.178749999</v>
      </c>
      <c r="T22" s="191">
        <f>S22/$S$15</f>
        <v>8.3299999999999985E-2</v>
      </c>
    </row>
    <row r="23" spans="1:20">
      <c r="A23" s="181" t="s">
        <v>29</v>
      </c>
      <c r="B23" s="186">
        <v>0.12</v>
      </c>
      <c r="C23" s="183">
        <f>+C22*$B$23</f>
        <v>239697.52429</v>
      </c>
      <c r="D23" s="190">
        <f>C23/$C$15</f>
        <v>1.1251990473497991E-2</v>
      </c>
      <c r="E23" s="183">
        <f>+E22*$B$23</f>
        <v>282285.83714800002</v>
      </c>
      <c r="F23" s="191">
        <f>E23/$E$15</f>
        <v>1.1042658727914993E-2</v>
      </c>
      <c r="G23" s="183">
        <f>+G22*$B$23</f>
        <v>346168.30643499998</v>
      </c>
      <c r="H23" s="191">
        <f>G23/$G$15</f>
        <v>1.0833326982331993E-2</v>
      </c>
      <c r="I23" s="183">
        <f>+I22*$B$23</f>
        <v>452639.08857999998</v>
      </c>
      <c r="J23" s="191">
        <f>I23/$I$15</f>
        <v>1.0623995236748994E-2</v>
      </c>
      <c r="K23" s="183">
        <f>+K22*$B$23</f>
        <v>532353.91072499997</v>
      </c>
      <c r="L23" s="191">
        <f>K23/$K$15</f>
        <v>9.9959999999999997E-3</v>
      </c>
      <c r="M23" s="183">
        <f>+M22*$B$23</f>
        <v>638824.69287000003</v>
      </c>
      <c r="N23" s="191">
        <f>M23/$M$15</f>
        <v>9.9959999999999997E-3</v>
      </c>
      <c r="O23" s="183">
        <f>+O22*$B$23</f>
        <v>851766.25716000004</v>
      </c>
      <c r="P23" s="191">
        <f>O23/$O$15</f>
        <v>9.9959999999999997E-3</v>
      </c>
      <c r="Q23" s="183">
        <f>+Q22*$B$23</f>
        <v>958237.03930499998</v>
      </c>
      <c r="R23" s="191">
        <f>Q23/$Q$15</f>
        <v>9.9959999999999997E-3</v>
      </c>
      <c r="S23" s="183">
        <f>+S22*$B$23</f>
        <v>1064707.8214499999</v>
      </c>
      <c r="T23" s="191">
        <f>S23/$S$15</f>
        <v>9.9959999999999997E-3</v>
      </c>
    </row>
    <row r="24" spans="1:20">
      <c r="A24" s="181" t="s">
        <v>30</v>
      </c>
      <c r="B24" s="186">
        <v>1</v>
      </c>
      <c r="C24" s="183">
        <f>+$B$24*C11</f>
        <v>1750905</v>
      </c>
      <c r="D24" s="190">
        <f>C24/$C$15</f>
        <v>8.2191780821917804E-2</v>
      </c>
      <c r="E24" s="183">
        <f>+$B$24*E11</f>
        <v>2101086</v>
      </c>
      <c r="F24" s="191">
        <f>E24/$E$15</f>
        <v>8.2191780821917804E-2</v>
      </c>
      <c r="G24" s="183">
        <f>+$B$24*G11</f>
        <v>2626357.5</v>
      </c>
      <c r="H24" s="191">
        <f>G24/$G$15</f>
        <v>8.2191780821917804E-2</v>
      </c>
      <c r="I24" s="183">
        <f>+$B$24*I11</f>
        <v>3501810</v>
      </c>
      <c r="J24" s="191">
        <f>I24/$I$15</f>
        <v>8.2191780821917804E-2</v>
      </c>
      <c r="K24" s="183">
        <f>+$B$24*K11</f>
        <v>4377262.5</v>
      </c>
      <c r="L24" s="191">
        <f>K24/$K$15</f>
        <v>8.2191780821917804E-2</v>
      </c>
      <c r="M24" s="183">
        <f>+$B$24*M11</f>
        <v>5252715</v>
      </c>
      <c r="N24" s="191">
        <f>M24/$M$15</f>
        <v>8.2191780821917804E-2</v>
      </c>
      <c r="O24" s="183">
        <f>+$B$24*O11</f>
        <v>7003620</v>
      </c>
      <c r="P24" s="191">
        <f>O24/$O$15</f>
        <v>8.2191780821917804E-2</v>
      </c>
      <c r="Q24" s="183">
        <f>+$B$24*Q11</f>
        <v>7879072.5</v>
      </c>
      <c r="R24" s="191">
        <f>Q24/$Q$15</f>
        <v>8.2191780821917804E-2</v>
      </c>
      <c r="S24" s="183">
        <f>+$B$24*S11</f>
        <v>8754525</v>
      </c>
      <c r="T24" s="191">
        <f>S24/$S$15</f>
        <v>8.2191780821917804E-2</v>
      </c>
    </row>
    <row r="25" spans="1:20">
      <c r="A25" s="181" t="s">
        <v>31</v>
      </c>
      <c r="B25" s="186">
        <v>0.5</v>
      </c>
      <c r="C25" s="183">
        <f>+C11*$B$25</f>
        <v>875452.5</v>
      </c>
      <c r="D25" s="190">
        <f>C25/$C$15</f>
        <v>4.1095890410958902E-2</v>
      </c>
      <c r="E25" s="183">
        <f>+E11*$B$25</f>
        <v>1050543</v>
      </c>
      <c r="F25" s="191">
        <f>E25/$E$15</f>
        <v>4.1095890410958902E-2</v>
      </c>
      <c r="G25" s="183">
        <f>+G11*$B$25</f>
        <v>1313178.75</v>
      </c>
      <c r="H25" s="191">
        <f>G25/$G$15</f>
        <v>4.1095890410958902E-2</v>
      </c>
      <c r="I25" s="183">
        <f>+I11*$B$25</f>
        <v>1750905</v>
      </c>
      <c r="J25" s="191">
        <f>I25/$I$15</f>
        <v>4.1095890410958902E-2</v>
      </c>
      <c r="K25" s="183">
        <f>+K11*$B$25</f>
        <v>2188631.25</v>
      </c>
      <c r="L25" s="191">
        <f>K25/$K$15</f>
        <v>4.1095890410958902E-2</v>
      </c>
      <c r="M25" s="183">
        <f>+M11*$B$25</f>
        <v>2626357.5</v>
      </c>
      <c r="N25" s="191">
        <f>M25/$M$15</f>
        <v>4.1095890410958902E-2</v>
      </c>
      <c r="O25" s="183">
        <f>+O11*$B$25</f>
        <v>3501810</v>
      </c>
      <c r="P25" s="191">
        <f>O25/$O$15</f>
        <v>4.1095890410958902E-2</v>
      </c>
      <c r="Q25" s="183">
        <f>+Q11*$B$25</f>
        <v>3939536.25</v>
      </c>
      <c r="R25" s="191">
        <f>Q25/$Q$15</f>
        <v>4.1095890410958902E-2</v>
      </c>
      <c r="S25" s="183">
        <f>+S11*$B$25</f>
        <v>4377262.5</v>
      </c>
      <c r="T25" s="191">
        <f>S25/$S$15</f>
        <v>4.1095890410958902E-2</v>
      </c>
    </row>
    <row r="26" spans="1:20">
      <c r="A26" s="2051" t="s">
        <v>36</v>
      </c>
      <c r="B26" s="2051"/>
      <c r="C26" s="188">
        <f>SUM(C22:C25)</f>
        <v>4863534.3933733329</v>
      </c>
      <c r="D26" s="182"/>
      <c r="E26" s="188">
        <f>SUM(E22:E25)</f>
        <v>5786296.8133813329</v>
      </c>
      <c r="F26" s="181"/>
      <c r="G26" s="188">
        <f>SUM(G22:G25)</f>
        <v>7170440.4433933329</v>
      </c>
      <c r="H26" s="181"/>
      <c r="I26" s="188">
        <f>SUM(I22:I25)</f>
        <v>9477346.4934133328</v>
      </c>
      <c r="J26" s="181"/>
      <c r="K26" s="188">
        <f>SUM(K22:K25)</f>
        <v>11534530.2501</v>
      </c>
      <c r="L26" s="181"/>
      <c r="M26" s="188">
        <f>SUM(M22:M25)</f>
        <v>13841436.30012</v>
      </c>
      <c r="N26" s="181"/>
      <c r="O26" s="188">
        <f>SUM(O22:O25)</f>
        <v>18455248.40016</v>
      </c>
      <c r="P26" s="181"/>
      <c r="Q26" s="188">
        <f>SUM(Q22:Q25)</f>
        <v>20762154.450180002</v>
      </c>
      <c r="R26" s="181"/>
      <c r="S26" s="188">
        <f>SUM(S22:S25)</f>
        <v>23069060.5002</v>
      </c>
      <c r="T26" s="181"/>
    </row>
    <row r="27" spans="1:20">
      <c r="A27" s="2047" t="s">
        <v>8</v>
      </c>
      <c r="B27" s="2047"/>
      <c r="C27" s="178"/>
      <c r="D27" s="179" t="s">
        <v>0</v>
      </c>
      <c r="E27" s="178"/>
      <c r="F27" s="179" t="s">
        <v>0</v>
      </c>
      <c r="G27" s="178"/>
      <c r="H27" s="179" t="s">
        <v>0</v>
      </c>
      <c r="I27" s="178"/>
      <c r="J27" s="179" t="s">
        <v>0</v>
      </c>
      <c r="K27" s="178"/>
      <c r="L27" s="179" t="s">
        <v>0</v>
      </c>
      <c r="M27" s="178"/>
      <c r="N27" s="179" t="s">
        <v>0</v>
      </c>
      <c r="O27" s="178"/>
      <c r="P27" s="179" t="s">
        <v>0</v>
      </c>
      <c r="Q27" s="178"/>
      <c r="R27" s="179" t="s">
        <v>0</v>
      </c>
      <c r="S27" s="178"/>
      <c r="T27" s="179" t="s">
        <v>0</v>
      </c>
    </row>
    <row r="28" spans="1:20">
      <c r="A28" s="181" t="s">
        <v>32</v>
      </c>
      <c r="B28" s="192">
        <v>0.12</v>
      </c>
      <c r="C28" s="183">
        <f>+$B$28*C15</f>
        <v>2556321.2999999998</v>
      </c>
      <c r="D28" s="190">
        <f>C28/$C$15</f>
        <v>0.12</v>
      </c>
      <c r="E28" s="183">
        <f>+$B$28*E15</f>
        <v>3067585.56</v>
      </c>
      <c r="F28" s="191">
        <f>E28/$E$15</f>
        <v>0.12</v>
      </c>
      <c r="G28" s="183">
        <f>+$B$28*G15</f>
        <v>3834481.9499999997</v>
      </c>
      <c r="H28" s="191">
        <f>G28/$G$15</f>
        <v>0.12</v>
      </c>
      <c r="I28" s="183">
        <f>+$B$28*I15</f>
        <v>5112642.5999999996</v>
      </c>
      <c r="J28" s="191">
        <f>I28/$I$15</f>
        <v>0.12</v>
      </c>
      <c r="K28" s="183">
        <f>+$B$28*K15</f>
        <v>6390803.25</v>
      </c>
      <c r="L28" s="191">
        <f>K28/$K$15</f>
        <v>0.12</v>
      </c>
      <c r="M28" s="183">
        <f>+$B$28*M15</f>
        <v>7668963.8999999994</v>
      </c>
      <c r="N28" s="191">
        <f>M28/$M$15</f>
        <v>0.12</v>
      </c>
      <c r="O28" s="183">
        <f>+$B$28*O15</f>
        <v>10225285.199999999</v>
      </c>
      <c r="P28" s="191">
        <f>O28/$O$15</f>
        <v>0.12</v>
      </c>
      <c r="Q28" s="183">
        <f>+$B$28*Q15</f>
        <v>11503445.85</v>
      </c>
      <c r="R28" s="191">
        <f>Q28/$Q$15</f>
        <v>0.12</v>
      </c>
      <c r="S28" s="183">
        <f>+$B$28*S15</f>
        <v>12781606.5</v>
      </c>
      <c r="T28" s="191">
        <f>S28/$S$15</f>
        <v>0.12</v>
      </c>
    </row>
    <row r="29" spans="1:20">
      <c r="A29" s="181" t="s">
        <v>58</v>
      </c>
      <c r="B29" s="192">
        <v>0</v>
      </c>
      <c r="C29" s="183">
        <f>+$B$29*C15</f>
        <v>0</v>
      </c>
      <c r="D29" s="190">
        <f>C29/$C$15</f>
        <v>0</v>
      </c>
      <c r="E29" s="183">
        <f>+$B$29*E15</f>
        <v>0</v>
      </c>
      <c r="F29" s="191">
        <f>E29/$E$15</f>
        <v>0</v>
      </c>
      <c r="G29" s="183">
        <f>+$B$29*G15</f>
        <v>0</v>
      </c>
      <c r="H29" s="191">
        <f>G29/$G$15</f>
        <v>0</v>
      </c>
      <c r="I29" s="183">
        <f>+$B$29*I15</f>
        <v>0</v>
      </c>
      <c r="J29" s="191">
        <f>I29/$I$15</f>
        <v>0</v>
      </c>
      <c r="K29" s="183">
        <f>+$B$29*K15</f>
        <v>0</v>
      </c>
      <c r="L29" s="191">
        <f>K29/$K$15</f>
        <v>0</v>
      </c>
      <c r="M29" s="183">
        <f>+$B$29*M15</f>
        <v>0</v>
      </c>
      <c r="N29" s="191">
        <f>M29/$M$15</f>
        <v>0</v>
      </c>
      <c r="O29" s="183">
        <f>+$B$29*O15</f>
        <v>0</v>
      </c>
      <c r="P29" s="191">
        <f>O29/$O$15</f>
        <v>0</v>
      </c>
      <c r="Q29" s="183">
        <f>+$B$29*Q15</f>
        <v>0</v>
      </c>
      <c r="R29" s="191">
        <f>Q29/$Q$15</f>
        <v>0</v>
      </c>
      <c r="S29" s="183">
        <f>+$B$29*S15</f>
        <v>0</v>
      </c>
      <c r="T29" s="191">
        <f>S29/$S$15</f>
        <v>0</v>
      </c>
    </row>
    <row r="30" spans="1:20">
      <c r="A30" s="181" t="s">
        <v>33</v>
      </c>
      <c r="B30" s="192">
        <v>6.9599999999999995E-2</v>
      </c>
      <c r="C30" s="183">
        <f>+$B$30*C15</f>
        <v>1482666.3539999998</v>
      </c>
      <c r="D30" s="190">
        <f>C30/$C$15</f>
        <v>6.9599999999999995E-2</v>
      </c>
      <c r="E30" s="183">
        <f>+$B$30*E15</f>
        <v>1779199.6247999999</v>
      </c>
      <c r="F30" s="191">
        <f>E30/$E$15</f>
        <v>6.9599999999999995E-2</v>
      </c>
      <c r="G30" s="183">
        <f>+$B$30*G15</f>
        <v>2223999.531</v>
      </c>
      <c r="H30" s="191">
        <f>G30/$G$15</f>
        <v>6.9599999999999995E-2</v>
      </c>
      <c r="I30" s="183">
        <f>+$B$30*I15</f>
        <v>2965332.7079999996</v>
      </c>
      <c r="J30" s="191">
        <f>I30/$I$15</f>
        <v>6.9599999999999995E-2</v>
      </c>
      <c r="K30" s="183">
        <f>+$B$30*K15</f>
        <v>3706665.8849999998</v>
      </c>
      <c r="L30" s="191">
        <f>K30/$K$15</f>
        <v>6.9599999999999995E-2</v>
      </c>
      <c r="M30" s="183">
        <f>+$B$30*M15</f>
        <v>4447999.0619999999</v>
      </c>
      <c r="N30" s="191">
        <f>M30/$M$15</f>
        <v>6.9599999999999995E-2</v>
      </c>
      <c r="O30" s="183">
        <f>+$B$30*O15</f>
        <v>5930665.4159999993</v>
      </c>
      <c r="P30" s="191">
        <f>O30/$O$15</f>
        <v>6.9599999999999995E-2</v>
      </c>
      <c r="Q30" s="183">
        <f>+$B$30*Q15</f>
        <v>6671998.5929999994</v>
      </c>
      <c r="R30" s="191">
        <f>Q30/$Q$15</f>
        <v>6.9599999999999995E-2</v>
      </c>
      <c r="S30" s="183">
        <f>+$B$30*S15</f>
        <v>7413331.7699999996</v>
      </c>
      <c r="T30" s="191">
        <f>S30/$S$15</f>
        <v>6.9599999999999995E-2</v>
      </c>
    </row>
    <row r="31" spans="1:20">
      <c r="A31" s="2051" t="s">
        <v>37</v>
      </c>
      <c r="B31" s="2051"/>
      <c r="C31" s="188">
        <f>SUM(C28:C30)</f>
        <v>4038987.6539999996</v>
      </c>
      <c r="D31" s="182"/>
      <c r="E31" s="188">
        <f>SUM(E28:E30)</f>
        <v>4846785.1847999999</v>
      </c>
      <c r="F31" s="181"/>
      <c r="G31" s="188">
        <f>SUM(G28:G30)</f>
        <v>6058481.4809999997</v>
      </c>
      <c r="H31" s="181"/>
      <c r="I31" s="188">
        <f>SUM(I28:I30)</f>
        <v>8077975.3079999993</v>
      </c>
      <c r="J31" s="181"/>
      <c r="K31" s="188">
        <f>SUM(K28:K30)</f>
        <v>10097469.135</v>
      </c>
      <c r="L31" s="181"/>
      <c r="M31" s="188">
        <f>SUM(M28:M30)</f>
        <v>12116962.961999999</v>
      </c>
      <c r="N31" s="181"/>
      <c r="O31" s="188">
        <f>SUM(O28:O30)</f>
        <v>16155950.615999999</v>
      </c>
      <c r="P31" s="181"/>
      <c r="Q31" s="188">
        <f>SUM(Q28:Q30)</f>
        <v>18175444.443</v>
      </c>
      <c r="R31" s="181"/>
      <c r="S31" s="188">
        <f>SUM(S28:S30)</f>
        <v>20194938.27</v>
      </c>
      <c r="T31" s="181"/>
    </row>
    <row r="32" spans="1:20">
      <c r="A32" s="2047" t="s">
        <v>9</v>
      </c>
      <c r="B32" s="2047"/>
      <c r="C32" s="178"/>
      <c r="D32" s="179" t="s">
        <v>0</v>
      </c>
      <c r="E32" s="178"/>
      <c r="F32" s="179" t="s">
        <v>0</v>
      </c>
      <c r="G32" s="178"/>
      <c r="H32" s="179" t="s">
        <v>0</v>
      </c>
      <c r="I32" s="178"/>
      <c r="J32" s="179" t="s">
        <v>0</v>
      </c>
      <c r="K32" s="178"/>
      <c r="L32" s="179" t="s">
        <v>0</v>
      </c>
      <c r="M32" s="178"/>
      <c r="N32" s="179" t="s">
        <v>0</v>
      </c>
      <c r="O32" s="178"/>
      <c r="P32" s="179" t="s">
        <v>0</v>
      </c>
      <c r="Q32" s="178"/>
      <c r="R32" s="179" t="s">
        <v>0</v>
      </c>
      <c r="S32" s="178"/>
      <c r="T32" s="179" t="s">
        <v>0</v>
      </c>
    </row>
    <row r="33" spans="1:20">
      <c r="A33" s="181" t="s">
        <v>880</v>
      </c>
      <c r="B33" s="203">
        <v>0</v>
      </c>
      <c r="C33" s="183">
        <f>+$B$33*C15</f>
        <v>0</v>
      </c>
      <c r="D33" s="190">
        <f>C33/$C$15</f>
        <v>0</v>
      </c>
      <c r="E33" s="183">
        <f>+$B$33*E15</f>
        <v>0</v>
      </c>
      <c r="F33" s="191">
        <f>E33/$E$15</f>
        <v>0</v>
      </c>
      <c r="G33" s="183">
        <f>+$B$33*G15</f>
        <v>0</v>
      </c>
      <c r="H33" s="191">
        <f>G33/$G$15</f>
        <v>0</v>
      </c>
      <c r="I33" s="183">
        <f>+$B$33*I15</f>
        <v>0</v>
      </c>
      <c r="J33" s="191">
        <f>I33/$I$15</f>
        <v>0</v>
      </c>
      <c r="K33" s="183">
        <f>+$B$33*K15</f>
        <v>0</v>
      </c>
      <c r="L33" s="191">
        <f>K33/$K$15</f>
        <v>0</v>
      </c>
      <c r="M33" s="183">
        <f>+$B$33*M15</f>
        <v>0</v>
      </c>
      <c r="N33" s="191">
        <f>M33/$M$15</f>
        <v>0</v>
      </c>
      <c r="O33" s="183">
        <f>+$B$33*O15</f>
        <v>0</v>
      </c>
      <c r="P33" s="191">
        <f>O33/$O$15</f>
        <v>0</v>
      </c>
      <c r="Q33" s="183">
        <f>+$B$33*Q15</f>
        <v>0</v>
      </c>
      <c r="R33" s="191">
        <f>Q33/$Q$15</f>
        <v>0</v>
      </c>
      <c r="S33" s="183">
        <f>+$B$33*S15</f>
        <v>0</v>
      </c>
      <c r="T33" s="191">
        <f>S33/$S$15</f>
        <v>0</v>
      </c>
    </row>
    <row r="34" spans="1:20">
      <c r="A34" s="181" t="s">
        <v>881</v>
      </c>
      <c r="B34" s="203">
        <v>0</v>
      </c>
      <c r="C34" s="183">
        <f>+$B$34*C15</f>
        <v>0</v>
      </c>
      <c r="D34" s="190">
        <f>C34/$C$15</f>
        <v>0</v>
      </c>
      <c r="E34" s="183">
        <f>+$B$34*E15</f>
        <v>0</v>
      </c>
      <c r="F34" s="191">
        <f>E34/$E$15</f>
        <v>0</v>
      </c>
      <c r="G34" s="183">
        <f>+$B$34*G15</f>
        <v>0</v>
      </c>
      <c r="H34" s="191">
        <f>G34/$G$15</f>
        <v>0</v>
      </c>
      <c r="I34" s="183">
        <f>+$B$34*I15</f>
        <v>0</v>
      </c>
      <c r="J34" s="191">
        <f>I34/$I$15</f>
        <v>0</v>
      </c>
      <c r="K34" s="183">
        <f>+$B$34*K15</f>
        <v>0</v>
      </c>
      <c r="L34" s="191">
        <f>K34/$K$15</f>
        <v>0</v>
      </c>
      <c r="M34" s="183">
        <f>+$B$34*M15</f>
        <v>0</v>
      </c>
      <c r="N34" s="191">
        <f>M34/$M$15</f>
        <v>0</v>
      </c>
      <c r="O34" s="183">
        <f>+$B$34*O15</f>
        <v>0</v>
      </c>
      <c r="P34" s="191">
        <f>O34/$O$15</f>
        <v>0</v>
      </c>
      <c r="Q34" s="183">
        <f>+$B$34*Q15</f>
        <v>0</v>
      </c>
      <c r="R34" s="191">
        <f>Q34/$Q$15</f>
        <v>0</v>
      </c>
      <c r="S34" s="183">
        <f>+$B$34*S15</f>
        <v>0</v>
      </c>
      <c r="T34" s="191">
        <f>S34/$S$15</f>
        <v>0</v>
      </c>
    </row>
    <row r="35" spans="1:20">
      <c r="A35" s="181" t="s">
        <v>11</v>
      </c>
      <c r="B35" s="203">
        <v>0.04</v>
      </c>
      <c r="C35" s="183">
        <f>$B$35*C15</f>
        <v>852107.1</v>
      </c>
      <c r="D35" s="190">
        <f>C35/$C$15</f>
        <v>0.04</v>
      </c>
      <c r="E35" s="183">
        <f>$B$35*E15</f>
        <v>1022528.52</v>
      </c>
      <c r="F35" s="191">
        <f>E35/$E$15</f>
        <v>0.04</v>
      </c>
      <c r="G35" s="183">
        <f>$B$35*G15</f>
        <v>1278160.6500000001</v>
      </c>
      <c r="H35" s="191">
        <f>G35/$G$15</f>
        <v>4.0000000000000008E-2</v>
      </c>
      <c r="I35" s="183">
        <f>$B$35*I15</f>
        <v>1704214.2</v>
      </c>
      <c r="J35" s="191">
        <f>I35/$I$15</f>
        <v>0.04</v>
      </c>
      <c r="K35" s="183">
        <f>$B$35*K15</f>
        <v>2130267.75</v>
      </c>
      <c r="L35" s="191">
        <f>K35/$K$15</f>
        <v>0.04</v>
      </c>
      <c r="M35" s="183">
        <f>$B$35*M15</f>
        <v>2556321.3000000003</v>
      </c>
      <c r="N35" s="191">
        <f>M35/$M$15</f>
        <v>4.0000000000000008E-2</v>
      </c>
      <c r="O35" s="183">
        <f>$B$35*O15</f>
        <v>3408428.4</v>
      </c>
      <c r="P35" s="191">
        <f>O35/$O$15</f>
        <v>0.04</v>
      </c>
      <c r="Q35" s="183">
        <f>$B$35*Q15</f>
        <v>3834481.95</v>
      </c>
      <c r="R35" s="191">
        <f>Q35/$Q$15</f>
        <v>0.04</v>
      </c>
      <c r="S35" s="183">
        <f>$B$35*S15</f>
        <v>4260535.5</v>
      </c>
      <c r="T35" s="191">
        <f>S35/$S$15</f>
        <v>0.04</v>
      </c>
    </row>
    <row r="36" spans="1:20">
      <c r="A36" s="181" t="s">
        <v>59</v>
      </c>
      <c r="B36" s="205">
        <v>15</v>
      </c>
      <c r="C36" s="183">
        <f>$B$36/40*$B$5</f>
        <v>656589.375</v>
      </c>
      <c r="D36" s="190">
        <f>C36/$C$15</f>
        <v>3.0821917808219176E-2</v>
      </c>
      <c r="E36" s="183">
        <f>$B$36/40*$B$5</f>
        <v>656589.375</v>
      </c>
      <c r="F36" s="191">
        <f>E36/$E$15</f>
        <v>2.5684931506849314E-2</v>
      </c>
      <c r="G36" s="183">
        <f>$B$36/40*$B$5</f>
        <v>656589.375</v>
      </c>
      <c r="H36" s="191">
        <f>G36/$G$15</f>
        <v>2.0547945205479451E-2</v>
      </c>
      <c r="I36" s="183">
        <f>$B$36/40*$B$5</f>
        <v>656589.375</v>
      </c>
      <c r="J36" s="191">
        <f>I36/$I$15</f>
        <v>1.5410958904109588E-2</v>
      </c>
      <c r="K36" s="183">
        <f>$B$36/40*$B$5</f>
        <v>656589.375</v>
      </c>
      <c r="L36" s="191">
        <f>K36/$K$15</f>
        <v>1.2328767123287671E-2</v>
      </c>
      <c r="M36" s="183">
        <f>$B$36/40*$B$5</f>
        <v>656589.375</v>
      </c>
      <c r="N36" s="191">
        <f>M36/$M$15</f>
        <v>1.0273972602739725E-2</v>
      </c>
      <c r="O36" s="183">
        <f>$B$36/40*$B$5</f>
        <v>656589.375</v>
      </c>
      <c r="P36" s="191">
        <f>O36/$O$15</f>
        <v>7.7054794520547941E-3</v>
      </c>
      <c r="Q36" s="183">
        <f>$B$36/40*$B$5</f>
        <v>656589.375</v>
      </c>
      <c r="R36" s="191">
        <f>Q36/$Q$15</f>
        <v>6.8493150684931503E-3</v>
      </c>
      <c r="S36" s="183">
        <f>$B$36/40*$B$5</f>
        <v>656589.375</v>
      </c>
      <c r="T36" s="191">
        <f>S36/$S$15</f>
        <v>6.1643835616438354E-3</v>
      </c>
    </row>
    <row r="37" spans="1:20">
      <c r="A37" s="2051" t="s">
        <v>38</v>
      </c>
      <c r="B37" s="2051"/>
      <c r="C37" s="188">
        <f>SUM(C33:C36)</f>
        <v>1508696.4750000001</v>
      </c>
      <c r="D37" s="182"/>
      <c r="E37" s="188">
        <f>SUM(E33:E36)</f>
        <v>1679117.895</v>
      </c>
      <c r="F37" s="181"/>
      <c r="G37" s="188">
        <f>SUM(G33:G36)</f>
        <v>1934750.0250000001</v>
      </c>
      <c r="H37" s="181"/>
      <c r="I37" s="188">
        <f>SUM(I33:I36)</f>
        <v>2360803.5750000002</v>
      </c>
      <c r="J37" s="181"/>
      <c r="K37" s="188">
        <f>SUM(K33:K36)</f>
        <v>2786857.125</v>
      </c>
      <c r="L37" s="181"/>
      <c r="M37" s="188">
        <f>SUM(M33:M36)</f>
        <v>3212910.6750000003</v>
      </c>
      <c r="N37" s="181"/>
      <c r="O37" s="188">
        <f>SUM(O33:O36)</f>
        <v>4065017.7749999999</v>
      </c>
      <c r="P37" s="181"/>
      <c r="Q37" s="188">
        <f>SUM(Q33:Q36)</f>
        <v>4491071.3250000002</v>
      </c>
      <c r="R37" s="181"/>
      <c r="S37" s="188">
        <f>SUM(S33:S36)</f>
        <v>4917124.875</v>
      </c>
      <c r="T37" s="181"/>
    </row>
    <row r="38" spans="1:20">
      <c r="A38" s="2047" t="s">
        <v>35</v>
      </c>
      <c r="B38" s="2047"/>
      <c r="C38" s="178"/>
      <c r="D38" s="179" t="s">
        <v>0</v>
      </c>
      <c r="E38" s="178"/>
      <c r="F38" s="179" t="s">
        <v>0</v>
      </c>
      <c r="G38" s="178"/>
      <c r="H38" s="179" t="s">
        <v>0</v>
      </c>
      <c r="I38" s="178"/>
      <c r="J38" s="179" t="s">
        <v>0</v>
      </c>
      <c r="K38" s="178"/>
      <c r="L38" s="179" t="s">
        <v>0</v>
      </c>
      <c r="M38" s="178"/>
      <c r="N38" s="179" t="s">
        <v>0</v>
      </c>
      <c r="O38" s="178"/>
      <c r="P38" s="179" t="s">
        <v>0</v>
      </c>
      <c r="Q38" s="178"/>
      <c r="R38" s="179" t="s">
        <v>0</v>
      </c>
      <c r="S38" s="178"/>
      <c r="T38" s="179" t="s">
        <v>0</v>
      </c>
    </row>
    <row r="39" spans="1:20">
      <c r="A39" s="181" t="s">
        <v>12</v>
      </c>
      <c r="B39" s="185"/>
      <c r="C39" s="183">
        <v>350000</v>
      </c>
      <c r="D39" s="190">
        <f>C39/$C$15</f>
        <v>1.6429859579857979E-2</v>
      </c>
      <c r="E39" s="183">
        <f>+C39</f>
        <v>350000</v>
      </c>
      <c r="F39" s="191">
        <f>E39/$E$15</f>
        <v>1.3691549649881648E-2</v>
      </c>
      <c r="G39" s="183">
        <f>+C39</f>
        <v>350000</v>
      </c>
      <c r="H39" s="191">
        <f>G39/$G$15</f>
        <v>1.0953239719905319E-2</v>
      </c>
      <c r="I39" s="183">
        <f>+C39</f>
        <v>350000</v>
      </c>
      <c r="J39" s="191">
        <f>I39/$I$15</f>
        <v>8.2149297899289896E-3</v>
      </c>
      <c r="K39" s="183"/>
      <c r="L39" s="191">
        <f>K39/$K$15</f>
        <v>0</v>
      </c>
      <c r="M39" s="183">
        <v>0</v>
      </c>
      <c r="N39" s="191">
        <f>M39/$M$15</f>
        <v>0</v>
      </c>
      <c r="O39" s="183">
        <v>0</v>
      </c>
      <c r="P39" s="191">
        <f>O39/$O$15</f>
        <v>0</v>
      </c>
      <c r="Q39" s="183">
        <v>0</v>
      </c>
      <c r="R39" s="191">
        <f>Q39/$Q$15</f>
        <v>0</v>
      </c>
      <c r="S39" s="183">
        <v>0</v>
      </c>
      <c r="T39" s="191">
        <f>S39/$S$15</f>
        <v>0</v>
      </c>
    </row>
    <row r="40" spans="1:20">
      <c r="A40" s="181" t="s">
        <v>39</v>
      </c>
      <c r="B40" s="185"/>
      <c r="C40" s="183">
        <v>280000</v>
      </c>
      <c r="D40" s="190">
        <f>C40/$C$15</f>
        <v>1.3143887663886382E-2</v>
      </c>
      <c r="E40" s="183">
        <f>+C40</f>
        <v>280000</v>
      </c>
      <c r="F40" s="191">
        <f>E40/$E$15</f>
        <v>1.0953239719905319E-2</v>
      </c>
      <c r="G40" s="183">
        <f>+C40</f>
        <v>280000</v>
      </c>
      <c r="H40" s="191">
        <f>G40/$G$15</f>
        <v>8.7625917759242555E-3</v>
      </c>
      <c r="I40" s="183">
        <f>+C40</f>
        <v>280000</v>
      </c>
      <c r="J40" s="191">
        <f>I40/$I$15</f>
        <v>6.5719438319431908E-3</v>
      </c>
      <c r="K40" s="183"/>
      <c r="L40" s="191">
        <f>K40/$K$15</f>
        <v>0</v>
      </c>
      <c r="M40" s="183">
        <v>0</v>
      </c>
      <c r="N40" s="191">
        <f>M40/$M$15</f>
        <v>0</v>
      </c>
      <c r="O40" s="183">
        <v>0</v>
      </c>
      <c r="P40" s="191">
        <f>O40/$O$15</f>
        <v>0</v>
      </c>
      <c r="Q40" s="183">
        <v>0</v>
      </c>
      <c r="R40" s="191">
        <f>Q40/$Q$15</f>
        <v>0</v>
      </c>
      <c r="S40" s="183">
        <v>0</v>
      </c>
      <c r="T40" s="191">
        <f>S40/$S$15</f>
        <v>0</v>
      </c>
    </row>
    <row r="41" spans="1:20">
      <c r="A41" s="2051" t="s">
        <v>40</v>
      </c>
      <c r="B41" s="2051"/>
      <c r="C41" s="188">
        <f>SUM(C39:C40)</f>
        <v>630000</v>
      </c>
      <c r="D41" s="182"/>
      <c r="E41" s="188">
        <f>SUM(E39:E40)</f>
        <v>630000</v>
      </c>
      <c r="F41" s="181"/>
      <c r="G41" s="188">
        <f>SUM(G39:G40)</f>
        <v>630000</v>
      </c>
      <c r="H41" s="181"/>
      <c r="I41" s="188">
        <f>SUM(I39:I40)</f>
        <v>630000</v>
      </c>
      <c r="J41" s="181"/>
      <c r="K41" s="188">
        <f>SUM(K39:K40)</f>
        <v>0</v>
      </c>
      <c r="L41" s="181"/>
      <c r="M41" s="188">
        <v>0</v>
      </c>
      <c r="N41" s="181"/>
      <c r="O41" s="188">
        <v>0</v>
      </c>
      <c r="P41" s="181"/>
      <c r="Q41" s="188">
        <v>0</v>
      </c>
      <c r="R41" s="181"/>
      <c r="S41" s="188">
        <v>0</v>
      </c>
      <c r="T41" s="181"/>
    </row>
    <row r="42" spans="1:20">
      <c r="A42" s="193" t="s">
        <v>34</v>
      </c>
      <c r="B42" s="194"/>
      <c r="C42" s="195">
        <f>SUM(C41,C37,C31,C26,C17)</f>
        <v>35020562.689040005</v>
      </c>
      <c r="D42" s="196">
        <f>SUM(D15:D41)</f>
        <v>1.518301914037488</v>
      </c>
      <c r="E42" s="195">
        <f>SUM(E41,E37,E31,E26,E17)</f>
        <v>41182079.559848003</v>
      </c>
      <c r="F42" s="197">
        <f>SUM(F15:F41)</f>
        <v>1.5062822069033861</v>
      </c>
      <c r="G42" s="195">
        <f>SUM(G41,G37,G31,G26,G17)</f>
        <v>50424354.866059996</v>
      </c>
      <c r="H42" s="197">
        <f>SUM(H15:H41)</f>
        <v>1.4942624997692842</v>
      </c>
      <c r="I42" s="195">
        <f>SUM(I41,I37,I31,I26,I17)</f>
        <v>65828147.043079995</v>
      </c>
      <c r="J42" s="197">
        <f>SUM(J15:J41)</f>
        <v>1.4822427926351822</v>
      </c>
      <c r="K42" s="195">
        <f>SUM(K41,K37,K31,K26,K17)</f>
        <v>77675550.260100007</v>
      </c>
      <c r="L42" s="197">
        <f>SUM(L15:L41)</f>
        <v>1.4585124383561641</v>
      </c>
      <c r="M42" s="195">
        <f>SUM(M41,M37,M31,M26,M17)</f>
        <v>93079342.437119991</v>
      </c>
      <c r="N42" s="197">
        <f>SUM(N15:N41)</f>
        <v>1.456457643835616</v>
      </c>
      <c r="O42" s="195">
        <f>SUM(O41,O37,O31,O26,O17)</f>
        <v>123886926.79116</v>
      </c>
      <c r="P42" s="197">
        <f>SUM(P15:P41)</f>
        <v>1.4538891506849312</v>
      </c>
      <c r="Q42" s="195">
        <f>SUM(Q41,Q37,Q31,Q26,Q17)</f>
        <v>139290718.96818</v>
      </c>
      <c r="R42" s="197">
        <f>SUM(R15:R41)</f>
        <v>1.4530329863013696</v>
      </c>
      <c r="S42" s="195">
        <f>SUM(S41,S37,S31,S26,S17)</f>
        <v>154694511.14520001</v>
      </c>
      <c r="T42" s="197">
        <f>SUM(T15:T41)</f>
        <v>1.4523480547945202</v>
      </c>
    </row>
    <row r="43" spans="1:20">
      <c r="A43" s="173"/>
      <c r="B43" s="204"/>
      <c r="C43" s="173"/>
      <c r="D43" s="175"/>
      <c r="E43" s="173"/>
      <c r="F43" s="173"/>
      <c r="G43" s="173"/>
      <c r="H43" s="173"/>
      <c r="I43" s="173"/>
      <c r="J43" s="173"/>
      <c r="K43" s="173"/>
      <c r="L43" s="173"/>
      <c r="M43" s="173"/>
      <c r="N43" s="173"/>
      <c r="O43" s="173"/>
      <c r="P43" s="173"/>
      <c r="Q43" s="173"/>
      <c r="R43" s="173"/>
      <c r="S43" s="173"/>
      <c r="T43" s="173"/>
    </row>
    <row r="44" spans="1:20">
      <c r="A44" s="173"/>
      <c r="B44" s="174"/>
      <c r="C44" s="2045" t="s">
        <v>51</v>
      </c>
      <c r="D44" s="2045"/>
      <c r="E44" s="2045"/>
      <c r="F44" s="2045"/>
      <c r="G44" s="2045"/>
      <c r="H44" s="2045"/>
      <c r="I44" s="2045"/>
      <c r="J44" s="2045"/>
      <c r="K44" s="2045"/>
      <c r="L44" s="2045"/>
      <c r="M44" s="2045"/>
      <c r="N44" s="2045"/>
      <c r="O44" s="2045"/>
      <c r="P44" s="2045"/>
      <c r="Q44" s="2045"/>
      <c r="R44" s="2045"/>
      <c r="S44" s="2045"/>
      <c r="T44" s="2045"/>
    </row>
    <row r="45" spans="1:20">
      <c r="A45" s="2047" t="s">
        <v>47</v>
      </c>
      <c r="B45" s="2047"/>
      <c r="C45" s="2046">
        <v>1</v>
      </c>
      <c r="D45" s="2046"/>
      <c r="E45" s="178">
        <v>1.2</v>
      </c>
      <c r="F45" s="179"/>
      <c r="G45" s="178">
        <v>1.5</v>
      </c>
      <c r="H45" s="179"/>
      <c r="I45" s="178">
        <v>2</v>
      </c>
      <c r="J45" s="179"/>
      <c r="K45" s="178">
        <v>2.5</v>
      </c>
      <c r="L45" s="179"/>
      <c r="M45" s="178">
        <v>3</v>
      </c>
      <c r="N45" s="179"/>
      <c r="O45" s="178">
        <v>4</v>
      </c>
      <c r="P45" s="179"/>
      <c r="Q45" s="178">
        <v>4.5</v>
      </c>
      <c r="R45" s="179"/>
      <c r="S45" s="2046">
        <v>5</v>
      </c>
      <c r="T45" s="2046"/>
    </row>
    <row r="46" spans="1:20">
      <c r="A46" s="2058" t="s">
        <v>42</v>
      </c>
      <c r="B46" s="2059"/>
      <c r="C46" s="2052">
        <v>52</v>
      </c>
      <c r="D46" s="2053"/>
      <c r="E46" s="2052">
        <v>52</v>
      </c>
      <c r="F46" s="2053"/>
      <c r="G46" s="2052">
        <v>52</v>
      </c>
      <c r="H46" s="2053"/>
      <c r="I46" s="2052">
        <v>52</v>
      </c>
      <c r="J46" s="2053"/>
      <c r="K46" s="2052">
        <v>52</v>
      </c>
      <c r="L46" s="2053"/>
      <c r="M46" s="2052">
        <v>52</v>
      </c>
      <c r="N46" s="2053"/>
      <c r="O46" s="2052">
        <v>52</v>
      </c>
      <c r="P46" s="2053"/>
      <c r="Q46" s="2052">
        <v>52</v>
      </c>
      <c r="R46" s="2053"/>
      <c r="S46" s="2052">
        <v>52</v>
      </c>
      <c r="T46" s="2053"/>
    </row>
    <row r="47" spans="1:20">
      <c r="A47" s="2058" t="s">
        <v>43</v>
      </c>
      <c r="B47" s="2059"/>
      <c r="C47" s="2052">
        <v>16</v>
      </c>
      <c r="D47" s="2053"/>
      <c r="E47" s="2052">
        <v>16</v>
      </c>
      <c r="F47" s="2053"/>
      <c r="G47" s="2052">
        <v>16</v>
      </c>
      <c r="H47" s="2053"/>
      <c r="I47" s="2052">
        <v>16</v>
      </c>
      <c r="J47" s="2053"/>
      <c r="K47" s="2052">
        <v>16</v>
      </c>
      <c r="L47" s="2053"/>
      <c r="M47" s="2052">
        <v>16</v>
      </c>
      <c r="N47" s="2053"/>
      <c r="O47" s="2052">
        <v>16</v>
      </c>
      <c r="P47" s="2053"/>
      <c r="Q47" s="2052">
        <v>16</v>
      </c>
      <c r="R47" s="2053"/>
      <c r="S47" s="2052">
        <v>16</v>
      </c>
      <c r="T47" s="2053"/>
    </row>
    <row r="48" spans="1:20">
      <c r="A48" s="2058" t="s">
        <v>44</v>
      </c>
      <c r="B48" s="2059"/>
      <c r="C48" s="2052">
        <v>3</v>
      </c>
      <c r="D48" s="2053"/>
      <c r="E48" s="2052">
        <v>3</v>
      </c>
      <c r="F48" s="2053"/>
      <c r="G48" s="2052">
        <v>3</v>
      </c>
      <c r="H48" s="2053"/>
      <c r="I48" s="2052">
        <v>3</v>
      </c>
      <c r="J48" s="2053"/>
      <c r="K48" s="2052">
        <v>3</v>
      </c>
      <c r="L48" s="2053"/>
      <c r="M48" s="2052">
        <v>3</v>
      </c>
      <c r="N48" s="2053"/>
      <c r="O48" s="2052">
        <v>3</v>
      </c>
      <c r="P48" s="2053"/>
      <c r="Q48" s="2052">
        <v>3</v>
      </c>
      <c r="R48" s="2053"/>
      <c r="S48" s="2052">
        <v>3</v>
      </c>
      <c r="T48" s="2053"/>
    </row>
    <row r="49" spans="1:20">
      <c r="A49" s="2058" t="s">
        <v>45</v>
      </c>
      <c r="B49" s="2059"/>
      <c r="C49" s="2052">
        <f>SUM(C46:C48)</f>
        <v>71</v>
      </c>
      <c r="D49" s="2053"/>
      <c r="E49" s="2052">
        <f>SUM(E46:E48)</f>
        <v>71</v>
      </c>
      <c r="F49" s="2053"/>
      <c r="G49" s="2052">
        <f>SUM(G46:G48)</f>
        <v>71</v>
      </c>
      <c r="H49" s="2053"/>
      <c r="I49" s="2052">
        <f>SUM(I46:I48)</f>
        <v>71</v>
      </c>
      <c r="J49" s="2053"/>
      <c r="K49" s="2052">
        <f>SUM(K46:K48)</f>
        <v>71</v>
      </c>
      <c r="L49" s="2053"/>
      <c r="M49" s="2052">
        <f>SUM(M46:M48)</f>
        <v>71</v>
      </c>
      <c r="N49" s="2053"/>
      <c r="O49" s="2052">
        <f>SUM(O46:O48)</f>
        <v>71</v>
      </c>
      <c r="P49" s="2053"/>
      <c r="Q49" s="2052">
        <f>SUM(Q46:Q48)</f>
        <v>71</v>
      </c>
      <c r="R49" s="2053"/>
      <c r="S49" s="2052">
        <f>SUM(S46:S48)</f>
        <v>71</v>
      </c>
      <c r="T49" s="2053"/>
    </row>
    <row r="50" spans="1:20">
      <c r="A50" s="2058" t="s">
        <v>46</v>
      </c>
      <c r="B50" s="2059"/>
      <c r="C50" s="2052">
        <f>365*8-(C49*8)</f>
        <v>2352</v>
      </c>
      <c r="D50" s="2053"/>
      <c r="E50" s="2052">
        <f>365*8-(E49*8)</f>
        <v>2352</v>
      </c>
      <c r="F50" s="2053"/>
      <c r="G50" s="2052">
        <f>365*8-(G49*8)</f>
        <v>2352</v>
      </c>
      <c r="H50" s="2053"/>
      <c r="I50" s="2052">
        <f>365*8-(I49*8)</f>
        <v>2352</v>
      </c>
      <c r="J50" s="2053"/>
      <c r="K50" s="2052">
        <f>365*8-(K49*8)</f>
        <v>2352</v>
      </c>
      <c r="L50" s="2053"/>
      <c r="M50" s="2052">
        <f>365*8-(M49*8)</f>
        <v>2352</v>
      </c>
      <c r="N50" s="2053"/>
      <c r="O50" s="2052">
        <f>365*8-(O49*8)</f>
        <v>2352</v>
      </c>
      <c r="P50" s="2053"/>
      <c r="Q50" s="2052">
        <f>365*8-(Q49*8)</f>
        <v>2352</v>
      </c>
      <c r="R50" s="2053"/>
      <c r="S50" s="2052">
        <f>365*8-(S49*8)</f>
        <v>2352</v>
      </c>
      <c r="T50" s="2053"/>
    </row>
    <row r="51" spans="1:20">
      <c r="A51" s="2047" t="s">
        <v>48</v>
      </c>
      <c r="B51" s="2047"/>
      <c r="C51" s="2047"/>
      <c r="D51" s="2047"/>
      <c r="E51" s="2047"/>
      <c r="F51" s="2047"/>
      <c r="G51" s="2047"/>
      <c r="H51" s="2047"/>
      <c r="I51" s="2047"/>
      <c r="J51" s="2047"/>
      <c r="K51" s="2047"/>
      <c r="L51" s="2047"/>
      <c r="M51" s="2047"/>
      <c r="N51" s="2047"/>
      <c r="O51" s="2047"/>
      <c r="P51" s="2047"/>
      <c r="Q51" s="2047"/>
      <c r="R51" s="2047"/>
      <c r="S51" s="2047"/>
      <c r="T51" s="2047"/>
    </row>
    <row r="52" spans="1:20">
      <c r="A52" s="2058" t="s">
        <v>49</v>
      </c>
      <c r="B52" s="2059"/>
      <c r="C52" s="2052">
        <f>C42/C50</f>
        <v>14889.695020850342</v>
      </c>
      <c r="D52" s="2053"/>
      <c r="E52" s="2052">
        <f>E42/E50</f>
        <v>17509.387567962585</v>
      </c>
      <c r="F52" s="2053"/>
      <c r="G52" s="2052">
        <f>G42/G50</f>
        <v>21438.926388630949</v>
      </c>
      <c r="H52" s="2053"/>
      <c r="I52" s="2052">
        <f>I42/I50</f>
        <v>27988.157756411561</v>
      </c>
      <c r="J52" s="2053"/>
      <c r="K52" s="2052">
        <f>K42/K50</f>
        <v>33025.318988137755</v>
      </c>
      <c r="L52" s="2053"/>
      <c r="M52" s="2052">
        <f>M42/M50</f>
        <v>39574.550355918363</v>
      </c>
      <c r="N52" s="2053"/>
      <c r="O52" s="2052">
        <f>O42/O50</f>
        <v>52673.013091479595</v>
      </c>
      <c r="P52" s="2053"/>
      <c r="Q52" s="2052">
        <f>Q42/Q50</f>
        <v>59222.244459260204</v>
      </c>
      <c r="R52" s="2053"/>
      <c r="S52" s="2052">
        <f>S42/S50</f>
        <v>65771.47582704082</v>
      </c>
      <c r="T52" s="2053"/>
    </row>
    <row r="53" spans="1:20">
      <c r="A53" s="2058" t="s">
        <v>50</v>
      </c>
      <c r="B53" s="2059"/>
      <c r="C53" s="2052">
        <f>C52*8*30</f>
        <v>3573526.8050040822</v>
      </c>
      <c r="D53" s="2053"/>
      <c r="E53" s="2052">
        <f>E52*8*30</f>
        <v>4202253.0163110206</v>
      </c>
      <c r="F53" s="2053"/>
      <c r="G53" s="2052">
        <f>G52*8*30</f>
        <v>5145342.333271428</v>
      </c>
      <c r="H53" s="2053"/>
      <c r="I53" s="2052">
        <f>I52*8*30</f>
        <v>6717157.8615387743</v>
      </c>
      <c r="J53" s="2053"/>
      <c r="K53" s="2052">
        <f>K52*8*30</f>
        <v>7926076.557153061</v>
      </c>
      <c r="L53" s="2053"/>
      <c r="M53" s="2052">
        <f>M52*8*30</f>
        <v>9497892.0854204074</v>
      </c>
      <c r="N53" s="2053"/>
      <c r="O53" s="2052">
        <f>O52*8*30</f>
        <v>12641523.141955104</v>
      </c>
      <c r="P53" s="2053"/>
      <c r="Q53" s="2052">
        <f>Q52*8*30</f>
        <v>14213338.670222448</v>
      </c>
      <c r="R53" s="2053"/>
      <c r="S53" s="2052">
        <f>S52*8*30</f>
        <v>15785154.198489796</v>
      </c>
      <c r="T53" s="2053"/>
    </row>
    <row r="54" spans="1:20">
      <c r="A54" s="2056" t="s">
        <v>10</v>
      </c>
      <c r="B54" s="2057"/>
      <c r="C54" s="2048">
        <f>((C53-C13)/C13)+1</f>
        <v>1.8131400574883529</v>
      </c>
      <c r="D54" s="2049"/>
      <c r="E54" s="2048">
        <f>((E53-E13)/E13)+1</f>
        <v>1.8104684687732471</v>
      </c>
      <c r="F54" s="2049"/>
      <c r="G54" s="2048">
        <f>((G53-G13)/G13)+1</f>
        <v>1.8076936341522201</v>
      </c>
      <c r="H54" s="2049"/>
      <c r="I54" s="2048">
        <f>((I53-I13)/I13)+1</f>
        <v>1.8048094506540566</v>
      </c>
      <c r="J54" s="2049"/>
      <c r="K54" s="2048">
        <f>((K53-K13)/K13)+1</f>
        <v>1.8107382312925169</v>
      </c>
      <c r="L54" s="2049"/>
      <c r="M54" s="2048">
        <f>((M53-M13)/M13)+1</f>
        <v>1.8081872108843537</v>
      </c>
      <c r="N54" s="2049"/>
      <c r="O54" s="2048">
        <f>((O53-O13)/O13)+1</f>
        <v>1.8049984353741499</v>
      </c>
      <c r="P54" s="2049"/>
      <c r="Q54" s="2048">
        <f>((Q53-Q13)/Q13)+1</f>
        <v>1.8039355102040815</v>
      </c>
      <c r="R54" s="2049"/>
      <c r="S54" s="2048">
        <f>((S53-S13)/S13)+1</f>
        <v>1.8030851700680273</v>
      </c>
      <c r="T54" s="2049"/>
    </row>
    <row r="55" spans="1:20">
      <c r="A55" s="173"/>
      <c r="B55" s="175"/>
      <c r="C55" s="198"/>
      <c r="D55" s="199">
        <f>ROUND((C54-1),4)</f>
        <v>0.81310000000000004</v>
      </c>
      <c r="E55" s="173"/>
      <c r="F55" s="199">
        <f>ROUND((E54-1),4)</f>
        <v>0.8105</v>
      </c>
      <c r="G55" s="173"/>
      <c r="H55" s="199">
        <f>ROUND((G54-1),4)</f>
        <v>0.80769999999999997</v>
      </c>
      <c r="I55" s="173"/>
      <c r="J55" s="199">
        <f>ROUND((I54-1),4)</f>
        <v>0.80479999999999996</v>
      </c>
      <c r="K55" s="173"/>
      <c r="L55" s="199">
        <f>ROUND((K54-1),4)</f>
        <v>0.81069999999999998</v>
      </c>
      <c r="M55" s="173"/>
      <c r="N55" s="199">
        <f>ROUND((M54-1),4)</f>
        <v>0.80820000000000003</v>
      </c>
      <c r="O55" s="173"/>
      <c r="P55" s="199">
        <f>ROUND((O54-1),4)</f>
        <v>0.80500000000000005</v>
      </c>
      <c r="Q55" s="173"/>
      <c r="R55" s="199">
        <f>ROUND((Q54-1),4)</f>
        <v>0.80389999999999995</v>
      </c>
      <c r="S55" s="173"/>
      <c r="T55" s="199">
        <f>ROUND((S54-1),4)</f>
        <v>0.80310000000000004</v>
      </c>
    </row>
    <row r="56" spans="1:20">
      <c r="A56" s="2054" t="s">
        <v>60</v>
      </c>
      <c r="B56" s="2054"/>
      <c r="C56" s="2054"/>
      <c r="D56" s="2054"/>
      <c r="E56" s="2054"/>
      <c r="F56" s="2054"/>
      <c r="G56" s="2054"/>
      <c r="H56" s="2054"/>
      <c r="I56" s="2054"/>
      <c r="J56" s="2054"/>
      <c r="K56" s="2054"/>
      <c r="L56" s="2054"/>
      <c r="M56" s="2054"/>
      <c r="N56" s="2054"/>
      <c r="O56" s="2054"/>
      <c r="P56" s="2054"/>
      <c r="Q56" s="2054"/>
      <c r="R56" s="2054"/>
      <c r="S56" s="2054"/>
      <c r="T56" s="2054"/>
    </row>
    <row r="57" spans="1:20">
      <c r="A57" s="2055" t="s">
        <v>52</v>
      </c>
      <c r="B57" s="2055"/>
      <c r="C57" s="2055"/>
      <c r="D57" s="2055"/>
      <c r="E57" s="2055"/>
      <c r="F57" s="2055"/>
      <c r="G57" s="2055"/>
      <c r="H57" s="2055"/>
      <c r="I57" s="2055"/>
      <c r="J57" s="2055"/>
      <c r="K57" s="2055"/>
      <c r="L57" s="2055"/>
      <c r="M57" s="2055"/>
      <c r="N57" s="2055"/>
      <c r="O57" s="2055"/>
      <c r="P57" s="2055"/>
      <c r="Q57" s="2055"/>
      <c r="R57" s="2055"/>
      <c r="S57" s="2055"/>
      <c r="T57" s="2055"/>
    </row>
    <row r="58" spans="1:20">
      <c r="A58" s="2055" t="s">
        <v>53</v>
      </c>
      <c r="B58" s="2055"/>
      <c r="C58" s="2055"/>
      <c r="D58" s="2055"/>
      <c r="E58" s="2055"/>
      <c r="F58" s="2055"/>
      <c r="G58" s="2055"/>
      <c r="H58" s="2055"/>
      <c r="I58" s="2055"/>
      <c r="J58" s="2055"/>
      <c r="K58" s="2055"/>
      <c r="L58" s="2055"/>
      <c r="M58" s="2055"/>
      <c r="N58" s="2055"/>
      <c r="O58" s="2055"/>
      <c r="P58" s="2055"/>
      <c r="Q58" s="2055"/>
      <c r="R58" s="2055"/>
      <c r="S58" s="2055"/>
      <c r="T58" s="2055"/>
    </row>
    <row r="60" spans="1:20">
      <c r="D60" s="22"/>
    </row>
  </sheetData>
  <mergeCells count="106">
    <mergeCell ref="A45:B45"/>
    <mergeCell ref="A56:T56"/>
    <mergeCell ref="A58:T58"/>
    <mergeCell ref="A54:B54"/>
    <mergeCell ref="S52:T52"/>
    <mergeCell ref="S53:T53"/>
    <mergeCell ref="A46:B46"/>
    <mergeCell ref="A47:B47"/>
    <mergeCell ref="A48:B48"/>
    <mergeCell ref="A57:T57"/>
    <mergeCell ref="A49:B49"/>
    <mergeCell ref="A50:B50"/>
    <mergeCell ref="A52:B52"/>
    <mergeCell ref="A53:B53"/>
    <mergeCell ref="K52:L52"/>
    <mergeCell ref="M52:N52"/>
    <mergeCell ref="C52:D52"/>
    <mergeCell ref="C53:D53"/>
    <mergeCell ref="E52:F52"/>
    <mergeCell ref="E53:F53"/>
    <mergeCell ref="Q50:R50"/>
    <mergeCell ref="I50:J50"/>
    <mergeCell ref="O52:P52"/>
    <mergeCell ref="Q52:R52"/>
    <mergeCell ref="K53:L53"/>
    <mergeCell ref="M53:N53"/>
    <mergeCell ref="O53:P53"/>
    <mergeCell ref="Q53:R53"/>
    <mergeCell ref="S49:T49"/>
    <mergeCell ref="S50:T50"/>
    <mergeCell ref="Q46:R46"/>
    <mergeCell ref="G52:H52"/>
    <mergeCell ref="I52:J52"/>
    <mergeCell ref="G53:H53"/>
    <mergeCell ref="I53:J53"/>
    <mergeCell ref="Q49:R49"/>
    <mergeCell ref="K50:L50"/>
    <mergeCell ref="M50:N50"/>
    <mergeCell ref="Q47:R47"/>
    <mergeCell ref="K48:L48"/>
    <mergeCell ref="M48:N48"/>
    <mergeCell ref="O48:P48"/>
    <mergeCell ref="Q48:R48"/>
    <mergeCell ref="S46:T46"/>
    <mergeCell ref="S47:T47"/>
    <mergeCell ref="S48:T48"/>
    <mergeCell ref="K46:L46"/>
    <mergeCell ref="M46:N46"/>
    <mergeCell ref="I49:J49"/>
    <mergeCell ref="G50:H50"/>
    <mergeCell ref="K49:L49"/>
    <mergeCell ref="M49:N49"/>
    <mergeCell ref="O46:P46"/>
    <mergeCell ref="O49:P49"/>
    <mergeCell ref="K47:L47"/>
    <mergeCell ref="M47:N47"/>
    <mergeCell ref="O47:P47"/>
    <mergeCell ref="O50:P50"/>
    <mergeCell ref="O54:P54"/>
    <mergeCell ref="M54:N54"/>
    <mergeCell ref="K54:L54"/>
    <mergeCell ref="I54:J54"/>
    <mergeCell ref="C46:D46"/>
    <mergeCell ref="C47:D47"/>
    <mergeCell ref="C48:D48"/>
    <mergeCell ref="C49:D49"/>
    <mergeCell ref="E46:F46"/>
    <mergeCell ref="E47:F47"/>
    <mergeCell ref="C54:D54"/>
    <mergeCell ref="E54:F54"/>
    <mergeCell ref="G54:H54"/>
    <mergeCell ref="C50:D50"/>
    <mergeCell ref="E48:F48"/>
    <mergeCell ref="E49:F49"/>
    <mergeCell ref="E50:F50"/>
    <mergeCell ref="G46:H46"/>
    <mergeCell ref="I46:J46"/>
    <mergeCell ref="G47:H47"/>
    <mergeCell ref="I47:J47"/>
    <mergeCell ref="G48:H48"/>
    <mergeCell ref="I48:J48"/>
    <mergeCell ref="G49:H49"/>
    <mergeCell ref="C44:T44"/>
    <mergeCell ref="C45:D45"/>
    <mergeCell ref="S45:T45"/>
    <mergeCell ref="A51:T51"/>
    <mergeCell ref="S54:T54"/>
    <mergeCell ref="Q54:R54"/>
    <mergeCell ref="S9:T9"/>
    <mergeCell ref="C8:T8"/>
    <mergeCell ref="Q9:R9"/>
    <mergeCell ref="C9:D9"/>
    <mergeCell ref="E9:F9"/>
    <mergeCell ref="G9:H9"/>
    <mergeCell ref="I9:J9"/>
    <mergeCell ref="O9:P9"/>
    <mergeCell ref="M9:N9"/>
    <mergeCell ref="A38:B38"/>
    <mergeCell ref="A32:B32"/>
    <mergeCell ref="A21:B21"/>
    <mergeCell ref="A27:B27"/>
    <mergeCell ref="A41:B41"/>
    <mergeCell ref="K9:L9"/>
    <mergeCell ref="A37:B37"/>
    <mergeCell ref="A31:B31"/>
    <mergeCell ref="A26:B26"/>
  </mergeCells>
  <printOptions horizontalCentered="1"/>
  <pageMargins left="0.70866141732283472" right="0.70866141732283472" top="0.74803149606299213" bottom="0.74803149606299213" header="0.31496062992125984" footer="0.31496062992125984"/>
  <pageSetup scale="32" orientation="landscape" r:id="rId1"/>
  <drawing r:id="rId2"/>
  <legacyDrawing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3"/>
  <dimension ref="A1:AB81"/>
  <sheetViews>
    <sheetView topLeftCell="A14" workbookViewId="0"/>
  </sheetViews>
  <sheetFormatPr baseColWidth="10" defaultColWidth="9.140625" defaultRowHeight="11.25"/>
  <cols>
    <col min="1" max="1" width="8.28515625" style="9" customWidth="1"/>
    <col min="2" max="2" width="43.85546875" style="21" customWidth="1"/>
    <col min="3" max="3" width="18.28515625" style="251" customWidth="1"/>
    <col min="4" max="4" width="11.42578125" style="243" bestFit="1" customWidth="1"/>
    <col min="5" max="5" width="12" style="21" customWidth="1"/>
    <col min="6" max="6" width="8.85546875" style="21" bestFit="1" customWidth="1"/>
    <col min="7" max="7" width="10.5703125" style="21" customWidth="1"/>
    <col min="8" max="8" width="14.140625" style="21" customWidth="1"/>
    <col min="9" max="9" width="16.5703125" style="21" customWidth="1"/>
    <col min="10" max="11" width="13" style="21" customWidth="1"/>
    <col min="12" max="12" width="12.7109375" style="21" customWidth="1"/>
    <col min="13" max="13" width="7.7109375" style="367" customWidth="1"/>
    <col min="14" max="14" width="12.7109375" style="21" customWidth="1"/>
    <col min="15" max="15" width="13.28515625" style="21" bestFit="1" customWidth="1"/>
    <col min="16" max="16" width="15.5703125" style="9" customWidth="1"/>
    <col min="17" max="17" width="12.7109375" style="9" customWidth="1"/>
    <col min="18" max="19" width="8.7109375" style="9" customWidth="1"/>
    <col min="20" max="20" width="9.85546875" style="9" customWidth="1"/>
    <col min="21" max="21" width="13" style="9" customWidth="1"/>
    <col min="22" max="22" width="16.7109375" style="9" customWidth="1"/>
    <col min="23" max="23" width="24" style="9" customWidth="1"/>
    <col min="24" max="24" width="7.42578125" style="9" customWidth="1"/>
    <col min="25" max="25" width="9.42578125" style="9" customWidth="1"/>
    <col min="26" max="26" width="11.42578125" style="10" customWidth="1"/>
    <col min="27" max="27" width="7" style="10" customWidth="1"/>
    <col min="28" max="28" width="7.7109375" style="10" customWidth="1"/>
    <col min="29" max="29" width="10.85546875" style="9" customWidth="1"/>
    <col min="30" max="30" width="13" style="9" customWidth="1"/>
    <col min="31" max="16384" width="9.140625" style="9"/>
  </cols>
  <sheetData>
    <row r="1" spans="1:28" s="95" customFormat="1" ht="60.95" customHeight="1">
      <c r="C1" s="247"/>
      <c r="D1" s="242"/>
      <c r="M1" s="370"/>
    </row>
    <row r="2" spans="1:28" s="3" customFormat="1" ht="15.75">
      <c r="A2" s="2095" t="s">
        <v>61</v>
      </c>
      <c r="B2" s="2095"/>
      <c r="C2" s="2095"/>
      <c r="D2" s="2095"/>
      <c r="E2" s="2095"/>
      <c r="F2" s="2095"/>
      <c r="G2" s="2095"/>
      <c r="H2" s="2095"/>
      <c r="I2" s="2095"/>
      <c r="J2" s="2095"/>
      <c r="K2" s="2095"/>
      <c r="L2" s="2095"/>
      <c r="M2" s="2095"/>
      <c r="N2" s="2095"/>
      <c r="O2" s="2095"/>
    </row>
    <row r="3" spans="1:28" s="371" customFormat="1">
      <c r="A3" s="373">
        <v>1</v>
      </c>
      <c r="B3" s="373">
        <v>2</v>
      </c>
      <c r="C3" s="373">
        <v>3</v>
      </c>
      <c r="D3" s="373">
        <v>4</v>
      </c>
      <c r="E3" s="373">
        <v>5</v>
      </c>
      <c r="F3" s="373">
        <v>6</v>
      </c>
      <c r="G3" s="373">
        <v>7</v>
      </c>
      <c r="H3" s="373">
        <v>8</v>
      </c>
      <c r="I3" s="373">
        <v>9</v>
      </c>
      <c r="J3" s="373">
        <v>10</v>
      </c>
      <c r="K3" s="373">
        <v>11</v>
      </c>
      <c r="L3" s="373">
        <v>12</v>
      </c>
      <c r="M3" s="373">
        <v>13</v>
      </c>
      <c r="N3" s="373">
        <v>14</v>
      </c>
      <c r="O3" s="373">
        <v>15</v>
      </c>
      <c r="Z3" s="372"/>
      <c r="AA3" s="372"/>
      <c r="AB3" s="372"/>
    </row>
    <row r="4" spans="1:28" ht="29.1" customHeight="1">
      <c r="A4" s="227" t="s">
        <v>513</v>
      </c>
      <c r="B4" s="227" t="s">
        <v>16</v>
      </c>
      <c r="C4" s="228" t="s">
        <v>15</v>
      </c>
      <c r="D4" s="229" t="s">
        <v>886</v>
      </c>
      <c r="E4" s="228" t="s">
        <v>14</v>
      </c>
      <c r="F4" s="228" t="s">
        <v>7</v>
      </c>
      <c r="G4" s="230" t="s">
        <v>19</v>
      </c>
      <c r="H4" s="231" t="s">
        <v>903</v>
      </c>
      <c r="I4" s="231" t="s">
        <v>828</v>
      </c>
      <c r="J4" s="230" t="s">
        <v>829</v>
      </c>
      <c r="K4" s="231" t="s">
        <v>830</v>
      </c>
      <c r="L4" s="232" t="s">
        <v>900</v>
      </c>
      <c r="M4" s="232" t="s">
        <v>515</v>
      </c>
      <c r="N4" s="232" t="s">
        <v>902</v>
      </c>
      <c r="O4" s="232" t="s">
        <v>884</v>
      </c>
    </row>
    <row r="5" spans="1:28" s="16" customFormat="1" ht="12">
      <c r="A5" s="11" t="s">
        <v>882</v>
      </c>
      <c r="B5" s="141" t="s">
        <v>819</v>
      </c>
      <c r="C5" s="12" t="s">
        <v>3</v>
      </c>
      <c r="D5" s="14" t="s">
        <v>887</v>
      </c>
      <c r="E5" s="13">
        <f>+FP!E14</f>
        <v>77369.53333333334</v>
      </c>
      <c r="F5" s="14">
        <v>1</v>
      </c>
      <c r="G5" s="15">
        <f t="shared" ref="G5:G19" si="0">+E5*F5</f>
        <v>77369.53333333334</v>
      </c>
      <c r="H5" s="162">
        <f>ROUND(SUM(G5),0)</f>
        <v>77370</v>
      </c>
      <c r="I5" s="157">
        <f>+FP!F55</f>
        <v>0.8105</v>
      </c>
      <c r="J5" s="161">
        <f t="shared" ref="J5:J19" si="1">+I5*G5</f>
        <v>62708.006766666673</v>
      </c>
      <c r="K5" s="162">
        <f>ROUND(SUM(J5),0)</f>
        <v>62708</v>
      </c>
      <c r="L5" s="162">
        <f>ROUND((K5+H5),0)</f>
        <v>140078</v>
      </c>
      <c r="M5" s="374" t="s">
        <v>943</v>
      </c>
      <c r="N5" s="162">
        <f>ROUND(((G5+J5)/F5)/8,0)</f>
        <v>17510</v>
      </c>
      <c r="O5" s="162">
        <f>+ROUND(L5/8,0)</f>
        <v>17510</v>
      </c>
      <c r="Z5" s="17"/>
      <c r="AA5" s="17"/>
      <c r="AB5" s="17"/>
    </row>
    <row r="6" spans="1:28" s="16" customFormat="1" ht="12">
      <c r="A6" s="11" t="s">
        <v>1695</v>
      </c>
      <c r="B6" s="141" t="s">
        <v>1696</v>
      </c>
      <c r="C6" s="12" t="s">
        <v>3</v>
      </c>
      <c r="D6" s="14" t="s">
        <v>887</v>
      </c>
      <c r="E6" s="13">
        <f>+FP!E14</f>
        <v>77369.53333333334</v>
      </c>
      <c r="F6" s="14">
        <v>2</v>
      </c>
      <c r="G6" s="15">
        <f>+E6*F6</f>
        <v>154739.06666666668</v>
      </c>
      <c r="H6" s="162">
        <f>ROUND(SUM(G6),0)</f>
        <v>154739</v>
      </c>
      <c r="I6" s="157">
        <f>+FP!F55</f>
        <v>0.8105</v>
      </c>
      <c r="J6" s="161">
        <f>+I6*G6</f>
        <v>125416.01353333335</v>
      </c>
      <c r="K6" s="162">
        <f>ROUND(SUM(J6),0)</f>
        <v>125416</v>
      </c>
      <c r="L6" s="162">
        <f>ROUND((K6+H6),0)</f>
        <v>280155</v>
      </c>
      <c r="M6" s="374" t="s">
        <v>943</v>
      </c>
      <c r="N6" s="162">
        <f>ROUND(((G6+J6)/F6)/8,0)</f>
        <v>17510</v>
      </c>
      <c r="O6" s="162">
        <f>+ROUND(L6/8,0)</f>
        <v>35019</v>
      </c>
      <c r="Z6" s="17"/>
      <c r="AA6" s="17"/>
      <c r="AB6" s="17"/>
    </row>
    <row r="7" spans="1:28" s="16" customFormat="1" ht="14.1" customHeight="1">
      <c r="A7" s="2097" t="s">
        <v>883</v>
      </c>
      <c r="B7" s="2090" t="s">
        <v>923</v>
      </c>
      <c r="C7" s="240" t="s">
        <v>4</v>
      </c>
      <c r="D7" s="233" t="s">
        <v>889</v>
      </c>
      <c r="E7" s="219">
        <f>+FP!G14</f>
        <v>94878.583333333328</v>
      </c>
      <c r="F7" s="220">
        <v>1</v>
      </c>
      <c r="G7" s="221">
        <f>+E7*F7</f>
        <v>94878.583333333328</v>
      </c>
      <c r="H7" s="2086">
        <f>ROUND(SUM(G7:G8),0)</f>
        <v>172248</v>
      </c>
      <c r="I7" s="222">
        <f>+FP!H55</f>
        <v>0.80769999999999997</v>
      </c>
      <c r="J7" s="221">
        <f t="shared" si="1"/>
        <v>76633.431758333332</v>
      </c>
      <c r="K7" s="2086">
        <f>ROUND(SUM(J7:J8),0)</f>
        <v>139341</v>
      </c>
      <c r="L7" s="2089">
        <f>ROUND((K7+H7),0)</f>
        <v>311589</v>
      </c>
      <c r="M7" s="2061" t="s">
        <v>943</v>
      </c>
      <c r="N7" s="244">
        <f t="shared" ref="N7:N22" si="2">ROUND(((G7+J7)/F7)/8,0)</f>
        <v>21439</v>
      </c>
      <c r="O7" s="2096">
        <f>ROUND(L7/8,0)</f>
        <v>38949</v>
      </c>
      <c r="Z7" s="17"/>
      <c r="AA7" s="17"/>
      <c r="AB7" s="17"/>
    </row>
    <row r="8" spans="1:28" s="16" customFormat="1" ht="14.1" customHeight="1">
      <c r="A8" s="2097"/>
      <c r="B8" s="2090"/>
      <c r="C8" s="241" t="s">
        <v>3</v>
      </c>
      <c r="D8" s="234" t="s">
        <v>887</v>
      </c>
      <c r="E8" s="223">
        <f>+FP!E14</f>
        <v>77369.53333333334</v>
      </c>
      <c r="F8" s="224">
        <v>1</v>
      </c>
      <c r="G8" s="225">
        <f>+E8*F8</f>
        <v>77369.53333333334</v>
      </c>
      <c r="H8" s="2088"/>
      <c r="I8" s="226">
        <f>+FP!F55</f>
        <v>0.8105</v>
      </c>
      <c r="J8" s="225">
        <f t="shared" si="1"/>
        <v>62708.006766666673</v>
      </c>
      <c r="K8" s="2088"/>
      <c r="L8" s="2089"/>
      <c r="M8" s="2061"/>
      <c r="N8" s="261">
        <f t="shared" si="2"/>
        <v>17510</v>
      </c>
      <c r="O8" s="2096"/>
      <c r="Z8" s="17"/>
      <c r="AA8" s="17"/>
      <c r="AB8" s="17"/>
    </row>
    <row r="9" spans="1:28" ht="15.95" customHeight="1">
      <c r="A9" s="2098" t="s">
        <v>885</v>
      </c>
      <c r="B9" s="2091" t="s">
        <v>924</v>
      </c>
      <c r="C9" s="211" t="s">
        <v>4</v>
      </c>
      <c r="D9" s="214" t="s">
        <v>888</v>
      </c>
      <c r="E9" s="163">
        <f>+FP!I14</f>
        <v>124060.33333333333</v>
      </c>
      <c r="F9" s="166">
        <v>1</v>
      </c>
      <c r="G9" s="154">
        <f t="shared" si="0"/>
        <v>124060.33333333333</v>
      </c>
      <c r="H9" s="2070">
        <f>ROUND(SUM(G9:G10),0)</f>
        <v>201430</v>
      </c>
      <c r="I9" s="158">
        <f>+FP!J55</f>
        <v>0.80479999999999996</v>
      </c>
      <c r="J9" s="154">
        <f t="shared" si="1"/>
        <v>99843.756266666664</v>
      </c>
      <c r="K9" s="2070">
        <f>ROUND(SUM(J9:J10),0)</f>
        <v>162552</v>
      </c>
      <c r="L9" s="2073">
        <f>ROUND((K9+H9),0)</f>
        <v>363982</v>
      </c>
      <c r="M9" s="2060" t="s">
        <v>943</v>
      </c>
      <c r="N9" s="206">
        <f t="shared" si="2"/>
        <v>27988</v>
      </c>
      <c r="O9" s="2074">
        <f>ROUND(L9/8,0)</f>
        <v>45498</v>
      </c>
    </row>
    <row r="10" spans="1:28" ht="14.1" customHeight="1">
      <c r="A10" s="2098"/>
      <c r="B10" s="2091"/>
      <c r="C10" s="212" t="s">
        <v>3</v>
      </c>
      <c r="D10" s="215" t="s">
        <v>887</v>
      </c>
      <c r="E10" s="164">
        <f>+FP!E14</f>
        <v>77369.53333333334</v>
      </c>
      <c r="F10" s="165">
        <v>1</v>
      </c>
      <c r="G10" s="155">
        <f t="shared" si="0"/>
        <v>77369.53333333334</v>
      </c>
      <c r="H10" s="2072"/>
      <c r="I10" s="159">
        <f>+FP!F55</f>
        <v>0.8105</v>
      </c>
      <c r="J10" s="155">
        <f t="shared" si="1"/>
        <v>62708.006766666673</v>
      </c>
      <c r="K10" s="2072"/>
      <c r="L10" s="2073"/>
      <c r="M10" s="2060"/>
      <c r="N10" s="207">
        <f t="shared" si="2"/>
        <v>17510</v>
      </c>
      <c r="O10" s="2074"/>
    </row>
    <row r="11" spans="1:28" ht="12">
      <c r="A11" s="2097" t="s">
        <v>890</v>
      </c>
      <c r="B11" s="2090" t="s">
        <v>935</v>
      </c>
      <c r="C11" s="240" t="s">
        <v>895</v>
      </c>
      <c r="D11" s="233" t="s">
        <v>892</v>
      </c>
      <c r="E11" s="219">
        <f>+FP!K14</f>
        <v>145908.75</v>
      </c>
      <c r="F11" s="220">
        <v>1</v>
      </c>
      <c r="G11" s="221">
        <f t="shared" si="0"/>
        <v>145908.75</v>
      </c>
      <c r="H11" s="2086">
        <f>ROUND(SUM(G11:G13),0)</f>
        <v>347339</v>
      </c>
      <c r="I11" s="222">
        <f>+FP!L55</f>
        <v>0.81069999999999998</v>
      </c>
      <c r="J11" s="221">
        <f t="shared" si="1"/>
        <v>118288.223625</v>
      </c>
      <c r="K11" s="2086">
        <f>ROUND(SUM(J11:J13),0)</f>
        <v>280840</v>
      </c>
      <c r="L11" s="2089">
        <f>ROUND((K11+H11),0)</f>
        <v>628179</v>
      </c>
      <c r="M11" s="2061" t="s">
        <v>943</v>
      </c>
      <c r="N11" s="244">
        <f t="shared" si="2"/>
        <v>33025</v>
      </c>
      <c r="O11" s="2096">
        <f>ROUND(L11/8,0)</f>
        <v>78522</v>
      </c>
    </row>
    <row r="12" spans="1:28" ht="12">
      <c r="A12" s="2097"/>
      <c r="B12" s="2090"/>
      <c r="C12" s="248" t="s">
        <v>891</v>
      </c>
      <c r="D12" s="235" t="s">
        <v>889</v>
      </c>
      <c r="E12" s="236">
        <f>+FP!I14</f>
        <v>124060.33333333333</v>
      </c>
      <c r="F12" s="237">
        <v>1</v>
      </c>
      <c r="G12" s="238">
        <f t="shared" si="0"/>
        <v>124060.33333333333</v>
      </c>
      <c r="H12" s="2087"/>
      <c r="I12" s="239">
        <f>+FP!J55</f>
        <v>0.80479999999999996</v>
      </c>
      <c r="J12" s="238">
        <f t="shared" si="1"/>
        <v>99843.756266666664</v>
      </c>
      <c r="K12" s="2087"/>
      <c r="L12" s="2089"/>
      <c r="M12" s="2061"/>
      <c r="N12" s="245">
        <f t="shared" si="2"/>
        <v>27988</v>
      </c>
      <c r="O12" s="2096"/>
    </row>
    <row r="13" spans="1:28" ht="12">
      <c r="A13" s="2097"/>
      <c r="B13" s="2090" t="s">
        <v>17</v>
      </c>
      <c r="C13" s="241" t="s">
        <v>3</v>
      </c>
      <c r="D13" s="234" t="s">
        <v>887</v>
      </c>
      <c r="E13" s="223">
        <f>+FP!E14</f>
        <v>77369.53333333334</v>
      </c>
      <c r="F13" s="224">
        <v>1</v>
      </c>
      <c r="G13" s="225">
        <f t="shared" si="0"/>
        <v>77369.53333333334</v>
      </c>
      <c r="H13" s="2088"/>
      <c r="I13" s="226">
        <f>+FP!F55</f>
        <v>0.8105</v>
      </c>
      <c r="J13" s="225">
        <f t="shared" si="1"/>
        <v>62708.006766666673</v>
      </c>
      <c r="K13" s="2088"/>
      <c r="L13" s="2089"/>
      <c r="M13" s="2061"/>
      <c r="N13" s="261">
        <f t="shared" si="2"/>
        <v>17510</v>
      </c>
      <c r="O13" s="2096"/>
    </row>
    <row r="14" spans="1:28" ht="12">
      <c r="A14" s="2098" t="s">
        <v>70</v>
      </c>
      <c r="B14" s="2091" t="s">
        <v>925</v>
      </c>
      <c r="C14" s="211" t="s">
        <v>893</v>
      </c>
      <c r="D14" s="214" t="s">
        <v>892</v>
      </c>
      <c r="E14" s="163">
        <f>+FP!K14</f>
        <v>145908.75</v>
      </c>
      <c r="F14" s="166">
        <v>1</v>
      </c>
      <c r="G14" s="154">
        <f t="shared" si="0"/>
        <v>145908.75</v>
      </c>
      <c r="H14" s="2070">
        <f>ROUND(SUM(G14:G15),0)</f>
        <v>240787</v>
      </c>
      <c r="I14" s="158">
        <f>+FP!L55</f>
        <v>0.81069999999999998</v>
      </c>
      <c r="J14" s="154">
        <f t="shared" si="1"/>
        <v>118288.223625</v>
      </c>
      <c r="K14" s="2070">
        <f>ROUND(SUM(J14:J15),0)</f>
        <v>194922</v>
      </c>
      <c r="L14" s="2073">
        <f>ROUND((K14+H14),0)</f>
        <v>435709</v>
      </c>
      <c r="M14" s="2060" t="s">
        <v>943</v>
      </c>
      <c r="N14" s="206">
        <f t="shared" si="2"/>
        <v>33025</v>
      </c>
      <c r="O14" s="2074">
        <f>ROUND(L14/8,0)</f>
        <v>54464</v>
      </c>
    </row>
    <row r="15" spans="1:28" ht="12">
      <c r="A15" s="2098"/>
      <c r="B15" s="2091" t="s">
        <v>18</v>
      </c>
      <c r="C15" s="212" t="s">
        <v>3</v>
      </c>
      <c r="D15" s="215" t="s">
        <v>889</v>
      </c>
      <c r="E15" s="164">
        <f>+FP!G14</f>
        <v>94878.583333333328</v>
      </c>
      <c r="F15" s="165">
        <v>1</v>
      </c>
      <c r="G15" s="155">
        <f t="shared" si="0"/>
        <v>94878.583333333328</v>
      </c>
      <c r="H15" s="2072"/>
      <c r="I15" s="159">
        <f>+FP!H55</f>
        <v>0.80769999999999997</v>
      </c>
      <c r="J15" s="155">
        <f t="shared" si="1"/>
        <v>76633.431758333332</v>
      </c>
      <c r="K15" s="2072"/>
      <c r="L15" s="2073"/>
      <c r="M15" s="2060"/>
      <c r="N15" s="207">
        <f t="shared" si="2"/>
        <v>21439</v>
      </c>
      <c r="O15" s="2074"/>
    </row>
    <row r="16" spans="1:28" ht="15.95" customHeight="1">
      <c r="A16" s="216" t="s">
        <v>894</v>
      </c>
      <c r="B16" s="217" t="s">
        <v>926</v>
      </c>
      <c r="C16" s="240" t="s">
        <v>896</v>
      </c>
      <c r="D16" s="233" t="s">
        <v>892</v>
      </c>
      <c r="E16" s="219">
        <f>+FP!K14</f>
        <v>145908.75</v>
      </c>
      <c r="F16" s="220">
        <v>2</v>
      </c>
      <c r="G16" s="221">
        <f t="shared" si="0"/>
        <v>291817.5</v>
      </c>
      <c r="H16" s="244">
        <f>ROUND(SUM(G16:G16),0)</f>
        <v>291818</v>
      </c>
      <c r="I16" s="222">
        <f>+FP!L55</f>
        <v>0.81069999999999998</v>
      </c>
      <c r="J16" s="221">
        <f t="shared" si="1"/>
        <v>236576.44725</v>
      </c>
      <c r="K16" s="244">
        <f>ROUND(SUM(J16:J16),0)</f>
        <v>236576</v>
      </c>
      <c r="L16" s="246">
        <f>ROUND((K16+H16),0)</f>
        <v>528394</v>
      </c>
      <c r="M16" s="375" t="s">
        <v>943</v>
      </c>
      <c r="N16" s="246">
        <f t="shared" si="2"/>
        <v>33025</v>
      </c>
      <c r="O16" s="218">
        <f>+ROUND(L16/8,0)</f>
        <v>66049</v>
      </c>
    </row>
    <row r="17" spans="1:28" ht="14.1" customHeight="1">
      <c r="A17" s="2064" t="s">
        <v>897</v>
      </c>
      <c r="B17" s="2067" t="s">
        <v>927</v>
      </c>
      <c r="C17" s="211" t="s">
        <v>898</v>
      </c>
      <c r="D17" s="214" t="s">
        <v>899</v>
      </c>
      <c r="E17" s="163">
        <f>+FP!M14</f>
        <v>175090.5</v>
      </c>
      <c r="F17" s="252">
        <v>0.3</v>
      </c>
      <c r="G17" s="154">
        <f t="shared" si="0"/>
        <v>52527.15</v>
      </c>
      <c r="H17" s="2070">
        <f>ROUND(SUM(G17:G19),0)</f>
        <v>271466</v>
      </c>
      <c r="I17" s="158">
        <f>+FP!N55</f>
        <v>0.80820000000000003</v>
      </c>
      <c r="J17" s="154">
        <f t="shared" si="1"/>
        <v>42452.442630000005</v>
      </c>
      <c r="K17" s="2070">
        <f>ROUND(SUM(J17:J19),0)</f>
        <v>218930</v>
      </c>
      <c r="L17" s="2073">
        <f>ROUND((K17+H17),0)</f>
        <v>490396</v>
      </c>
      <c r="M17" s="2060" t="s">
        <v>943</v>
      </c>
      <c r="N17" s="206">
        <f t="shared" si="2"/>
        <v>39575</v>
      </c>
      <c r="O17" s="2074">
        <f>ROUND(L17/8,0)</f>
        <v>61300</v>
      </c>
    </row>
    <row r="18" spans="1:28" ht="14.1" customHeight="1">
      <c r="A18" s="2065"/>
      <c r="B18" s="2068"/>
      <c r="C18" s="213" t="s">
        <v>4</v>
      </c>
      <c r="D18" s="253" t="s">
        <v>888</v>
      </c>
      <c r="E18" s="167">
        <f>+FP!I14</f>
        <v>124060.33333333333</v>
      </c>
      <c r="F18" s="168">
        <v>1</v>
      </c>
      <c r="G18" s="156">
        <f t="shared" si="0"/>
        <v>124060.33333333333</v>
      </c>
      <c r="H18" s="2071"/>
      <c r="I18" s="160">
        <f>+FP!J55</f>
        <v>0.80479999999999996</v>
      </c>
      <c r="J18" s="255">
        <f>+I18*G18</f>
        <v>99843.756266666664</v>
      </c>
      <c r="K18" s="2071"/>
      <c r="L18" s="2073"/>
      <c r="M18" s="2060"/>
      <c r="N18" s="208">
        <f t="shared" si="2"/>
        <v>27988</v>
      </c>
      <c r="O18" s="2074"/>
    </row>
    <row r="19" spans="1:28" ht="14.1" customHeight="1">
      <c r="A19" s="2066"/>
      <c r="B19" s="2069"/>
      <c r="C19" s="212" t="s">
        <v>3</v>
      </c>
      <c r="D19" s="254" t="s">
        <v>889</v>
      </c>
      <c r="E19" s="164">
        <f>+FP!G14</f>
        <v>94878.583333333328</v>
      </c>
      <c r="F19" s="165">
        <v>1</v>
      </c>
      <c r="G19" s="155">
        <f t="shared" si="0"/>
        <v>94878.583333333328</v>
      </c>
      <c r="H19" s="2072"/>
      <c r="I19" s="159">
        <f>+FP!H55</f>
        <v>0.80769999999999997</v>
      </c>
      <c r="J19" s="156">
        <f t="shared" si="1"/>
        <v>76633.431758333332</v>
      </c>
      <c r="K19" s="2072"/>
      <c r="L19" s="2073"/>
      <c r="M19" s="2060"/>
      <c r="N19" s="207">
        <f t="shared" si="2"/>
        <v>21439</v>
      </c>
      <c r="O19" s="2074"/>
    </row>
    <row r="20" spans="1:28" s="257" customFormat="1" ht="14.1" customHeight="1">
      <c r="A20" s="2080" t="s">
        <v>901</v>
      </c>
      <c r="B20" s="2092" t="s">
        <v>928</v>
      </c>
      <c r="C20" s="240" t="s">
        <v>898</v>
      </c>
      <c r="D20" s="233" t="s">
        <v>899</v>
      </c>
      <c r="E20" s="219">
        <f>+FP!M14</f>
        <v>175090.5</v>
      </c>
      <c r="F20" s="256">
        <v>0.6</v>
      </c>
      <c r="G20" s="221">
        <f t="shared" ref="G20:G25" si="3">+E20*F20</f>
        <v>105054.3</v>
      </c>
      <c r="H20" s="2086">
        <f>ROUND(SUM(G20:G22),0)</f>
        <v>491750</v>
      </c>
      <c r="I20" s="222">
        <f>+FP!N55</f>
        <v>0.80820000000000003</v>
      </c>
      <c r="J20" s="221">
        <f t="shared" ref="J20:J39" si="4">+I20*G20</f>
        <v>84904.88526000001</v>
      </c>
      <c r="K20" s="2086">
        <f>ROUND(SUM(J20:J22),0)</f>
        <v>398115</v>
      </c>
      <c r="L20" s="2089">
        <f>ROUND((K20+H20),0)</f>
        <v>889865</v>
      </c>
      <c r="M20" s="2061" t="s">
        <v>943</v>
      </c>
      <c r="N20" s="244">
        <f>ROUND(((G20+J20)/F20)/8,0)</f>
        <v>39575</v>
      </c>
      <c r="O20" s="2096">
        <f>ROUND(L20/8,0)</f>
        <v>111233</v>
      </c>
    </row>
    <row r="21" spans="1:28" s="257" customFormat="1" ht="14.1" customHeight="1">
      <c r="A21" s="2081"/>
      <c r="B21" s="2093"/>
      <c r="C21" s="248" t="s">
        <v>4</v>
      </c>
      <c r="D21" s="258" t="s">
        <v>892</v>
      </c>
      <c r="E21" s="236">
        <f>+FP!K14</f>
        <v>145908.75</v>
      </c>
      <c r="F21" s="237">
        <v>2</v>
      </c>
      <c r="G21" s="238">
        <f t="shared" si="3"/>
        <v>291817.5</v>
      </c>
      <c r="H21" s="2087"/>
      <c r="I21" s="239">
        <f>+FP!L55</f>
        <v>0.81069999999999998</v>
      </c>
      <c r="J21" s="259">
        <f t="shared" si="4"/>
        <v>236576.44725</v>
      </c>
      <c r="K21" s="2087"/>
      <c r="L21" s="2089"/>
      <c r="M21" s="2061"/>
      <c r="N21" s="245">
        <f t="shared" si="2"/>
        <v>33025</v>
      </c>
      <c r="O21" s="2096"/>
    </row>
    <row r="22" spans="1:28" s="257" customFormat="1" ht="14.1" customHeight="1">
      <c r="A22" s="2082"/>
      <c r="B22" s="2094"/>
      <c r="C22" s="241" t="s">
        <v>3</v>
      </c>
      <c r="D22" s="260" t="s">
        <v>889</v>
      </c>
      <c r="E22" s="223">
        <f>+FP!G14</f>
        <v>94878.583333333328</v>
      </c>
      <c r="F22" s="224">
        <v>1</v>
      </c>
      <c r="G22" s="225">
        <f t="shared" si="3"/>
        <v>94878.583333333328</v>
      </c>
      <c r="H22" s="2088"/>
      <c r="I22" s="226">
        <f>+FP!H55</f>
        <v>0.80769999999999997</v>
      </c>
      <c r="J22" s="238">
        <f t="shared" si="4"/>
        <v>76633.431758333332</v>
      </c>
      <c r="K22" s="2088"/>
      <c r="L22" s="2089"/>
      <c r="M22" s="2061"/>
      <c r="N22" s="261">
        <f t="shared" si="2"/>
        <v>21439</v>
      </c>
      <c r="O22" s="2096"/>
    </row>
    <row r="23" spans="1:28" ht="14.1" customHeight="1">
      <c r="A23" s="2064" t="s">
        <v>904</v>
      </c>
      <c r="B23" s="2067" t="s">
        <v>936</v>
      </c>
      <c r="C23" s="211" t="s">
        <v>905</v>
      </c>
      <c r="D23" s="214" t="s">
        <v>888</v>
      </c>
      <c r="E23" s="163">
        <f>+FP!I14</f>
        <v>124060.33333333333</v>
      </c>
      <c r="F23" s="262">
        <v>1</v>
      </c>
      <c r="G23" s="154">
        <f t="shared" si="3"/>
        <v>124060.33333333333</v>
      </c>
      <c r="H23" s="2070">
        <f>ROUND(SUM(G23:G25),0)</f>
        <v>296308</v>
      </c>
      <c r="I23" s="158">
        <f>+FP!J55</f>
        <v>0.80479999999999996</v>
      </c>
      <c r="J23" s="154">
        <f t="shared" si="4"/>
        <v>99843.756266666664</v>
      </c>
      <c r="K23" s="2070">
        <f>ROUND(SUM(J23:J25),0)</f>
        <v>239185</v>
      </c>
      <c r="L23" s="2073">
        <f>ROUND((K23+H23),0)</f>
        <v>535493</v>
      </c>
      <c r="M23" s="2060" t="s">
        <v>943</v>
      </c>
      <c r="N23" s="206">
        <f t="shared" ref="N23:N27" si="5">ROUND(((G23+J23)/F23)/8,0)</f>
        <v>27988</v>
      </c>
      <c r="O23" s="2074">
        <f>ROUND(L23/8,0)</f>
        <v>66937</v>
      </c>
      <c r="Z23" s="9"/>
      <c r="AA23" s="9"/>
      <c r="AB23" s="9"/>
    </row>
    <row r="24" spans="1:28" ht="14.1" customHeight="1">
      <c r="A24" s="2065"/>
      <c r="B24" s="2068"/>
      <c r="C24" s="213" t="s">
        <v>906</v>
      </c>
      <c r="D24" s="253" t="s">
        <v>889</v>
      </c>
      <c r="E24" s="167">
        <f>+FP!G14</f>
        <v>94878.583333333328</v>
      </c>
      <c r="F24" s="168">
        <v>1</v>
      </c>
      <c r="G24" s="156">
        <f t="shared" si="3"/>
        <v>94878.583333333328</v>
      </c>
      <c r="H24" s="2071"/>
      <c r="I24" s="160">
        <f>+FP!H55</f>
        <v>0.80769999999999997</v>
      </c>
      <c r="J24" s="255">
        <f t="shared" si="4"/>
        <v>76633.431758333332</v>
      </c>
      <c r="K24" s="2071"/>
      <c r="L24" s="2073"/>
      <c r="M24" s="2060"/>
      <c r="N24" s="208">
        <f t="shared" si="5"/>
        <v>21439</v>
      </c>
      <c r="O24" s="2074"/>
      <c r="Z24" s="9"/>
      <c r="AA24" s="9"/>
      <c r="AB24" s="9"/>
    </row>
    <row r="25" spans="1:28" ht="14.1" customHeight="1">
      <c r="A25" s="2066"/>
      <c r="B25" s="2069"/>
      <c r="C25" s="212" t="s">
        <v>3</v>
      </c>
      <c r="D25" s="254" t="s">
        <v>887</v>
      </c>
      <c r="E25" s="164">
        <f>+FP!E14</f>
        <v>77369.53333333334</v>
      </c>
      <c r="F25" s="165">
        <v>1</v>
      </c>
      <c r="G25" s="155">
        <f t="shared" si="3"/>
        <v>77369.53333333334</v>
      </c>
      <c r="H25" s="2072"/>
      <c r="I25" s="159">
        <f>+FP!F55</f>
        <v>0.8105</v>
      </c>
      <c r="J25" s="156">
        <f t="shared" si="4"/>
        <v>62708.006766666673</v>
      </c>
      <c r="K25" s="2072"/>
      <c r="L25" s="2073"/>
      <c r="M25" s="2060"/>
      <c r="N25" s="207">
        <f t="shared" si="5"/>
        <v>17510</v>
      </c>
      <c r="O25" s="2074"/>
      <c r="Z25" s="9"/>
      <c r="AA25" s="9"/>
      <c r="AB25" s="9"/>
    </row>
    <row r="26" spans="1:28" ht="14.1" customHeight="1">
      <c r="A26" s="2080" t="s">
        <v>907</v>
      </c>
      <c r="B26" s="2092" t="s">
        <v>929</v>
      </c>
      <c r="C26" s="240" t="s">
        <v>6</v>
      </c>
      <c r="D26" s="233" t="s">
        <v>892</v>
      </c>
      <c r="E26" s="219">
        <f>+FP!K14</f>
        <v>145908.75</v>
      </c>
      <c r="F26" s="263">
        <v>1</v>
      </c>
      <c r="G26" s="221">
        <f t="shared" ref="G26:G31" si="6">+E26*F26</f>
        <v>145908.75</v>
      </c>
      <c r="H26" s="2086">
        <f>ROUND(SUM(G26:G28),0)</f>
        <v>240787</v>
      </c>
      <c r="I26" s="222">
        <f>+FP!L55</f>
        <v>0.81069999999999998</v>
      </c>
      <c r="J26" s="221">
        <f t="shared" si="4"/>
        <v>118288.223625</v>
      </c>
      <c r="K26" s="2086">
        <f>ROUND(SUM(J26:J28),0)</f>
        <v>194922</v>
      </c>
      <c r="L26" s="2089">
        <f>ROUND((K26+H26),0)</f>
        <v>435709</v>
      </c>
      <c r="M26" s="2061" t="s">
        <v>943</v>
      </c>
      <c r="N26" s="244">
        <f t="shared" si="5"/>
        <v>33025</v>
      </c>
      <c r="O26" s="2096">
        <f>ROUND(L26/8,0)</f>
        <v>54464</v>
      </c>
      <c r="Z26" s="9"/>
      <c r="AA26" s="9"/>
      <c r="AB26" s="9"/>
    </row>
    <row r="27" spans="1:28" ht="14.1" customHeight="1">
      <c r="A27" s="2081"/>
      <c r="B27" s="2093"/>
      <c r="C27" s="248" t="s">
        <v>4</v>
      </c>
      <c r="D27" s="258" t="s">
        <v>889</v>
      </c>
      <c r="E27" s="236">
        <f>+FP!G14</f>
        <v>94878.583333333328</v>
      </c>
      <c r="F27" s="237">
        <v>1</v>
      </c>
      <c r="G27" s="238">
        <f t="shared" si="6"/>
        <v>94878.583333333328</v>
      </c>
      <c r="H27" s="2087"/>
      <c r="I27" s="239">
        <f>+FP!H55</f>
        <v>0.80769999999999997</v>
      </c>
      <c r="J27" s="259">
        <f t="shared" si="4"/>
        <v>76633.431758333332</v>
      </c>
      <c r="K27" s="2087"/>
      <c r="L27" s="2089"/>
      <c r="M27" s="2061"/>
      <c r="N27" s="245">
        <f t="shared" si="5"/>
        <v>21439</v>
      </c>
      <c r="O27" s="2096"/>
      <c r="Z27" s="9"/>
      <c r="AA27" s="9"/>
      <c r="AB27" s="9"/>
    </row>
    <row r="28" spans="1:28" ht="14.1" customHeight="1">
      <c r="A28" s="2082"/>
      <c r="B28" s="2094"/>
      <c r="C28" s="241"/>
      <c r="D28" s="260"/>
      <c r="E28" s="223"/>
      <c r="F28" s="224"/>
      <c r="G28" s="225"/>
      <c r="H28" s="2088"/>
      <c r="I28" s="226"/>
      <c r="J28" s="238"/>
      <c r="K28" s="2088"/>
      <c r="L28" s="2089"/>
      <c r="M28" s="2061"/>
      <c r="N28" s="261"/>
      <c r="O28" s="2096"/>
      <c r="Z28" s="9"/>
      <c r="AA28" s="9"/>
      <c r="AB28" s="9"/>
    </row>
    <row r="29" spans="1:28" ht="14.1" customHeight="1">
      <c r="A29" s="2064" t="s">
        <v>908</v>
      </c>
      <c r="B29" s="2067" t="s">
        <v>937</v>
      </c>
      <c r="C29" s="211" t="s">
        <v>909</v>
      </c>
      <c r="D29" s="214" t="s">
        <v>912</v>
      </c>
      <c r="E29" s="163">
        <f>+FP!O14</f>
        <v>233454</v>
      </c>
      <c r="F29" s="262">
        <v>1</v>
      </c>
      <c r="G29" s="154">
        <f t="shared" si="6"/>
        <v>233454</v>
      </c>
      <c r="H29" s="2070">
        <f>ROUND(SUM(G29:G31),0)</f>
        <v>554453</v>
      </c>
      <c r="I29" s="158">
        <f>+FP!P55</f>
        <v>0.80500000000000005</v>
      </c>
      <c r="J29" s="154">
        <f t="shared" si="4"/>
        <v>187930.47</v>
      </c>
      <c r="K29" s="2070">
        <f>ROUND(SUM(J29:J31),0)</f>
        <v>447727</v>
      </c>
      <c r="L29" s="2073">
        <f>ROUND((K29+H29),0)</f>
        <v>1002180</v>
      </c>
      <c r="M29" s="2060" t="s">
        <v>943</v>
      </c>
      <c r="N29" s="206">
        <f t="shared" ref="N29:N41" si="7">ROUND(((G29+J29)/F29)/8,0)</f>
        <v>52673</v>
      </c>
      <c r="O29" s="2074">
        <f>ROUND(L29/8,0)</f>
        <v>125273</v>
      </c>
      <c r="Z29" s="9"/>
      <c r="AA29" s="9"/>
      <c r="AB29" s="9"/>
    </row>
    <row r="30" spans="1:28" ht="14.1" customHeight="1">
      <c r="A30" s="2065"/>
      <c r="B30" s="2068"/>
      <c r="C30" s="213" t="s">
        <v>910</v>
      </c>
      <c r="D30" s="253" t="s">
        <v>899</v>
      </c>
      <c r="E30" s="167">
        <f>+FP!M14</f>
        <v>175090.5</v>
      </c>
      <c r="F30" s="168">
        <v>1</v>
      </c>
      <c r="G30" s="156">
        <f t="shared" si="6"/>
        <v>175090.5</v>
      </c>
      <c r="H30" s="2071"/>
      <c r="I30" s="160">
        <f>+FP!N55</f>
        <v>0.80820000000000003</v>
      </c>
      <c r="J30" s="255">
        <f t="shared" si="4"/>
        <v>141508.1421</v>
      </c>
      <c r="K30" s="2071"/>
      <c r="L30" s="2073"/>
      <c r="M30" s="2060"/>
      <c r="N30" s="208">
        <f t="shared" si="7"/>
        <v>39575</v>
      </c>
      <c r="O30" s="2074"/>
      <c r="Z30" s="9"/>
      <c r="AA30" s="9"/>
      <c r="AB30" s="9"/>
    </row>
    <row r="31" spans="1:28" ht="14.1" customHeight="1">
      <c r="A31" s="2066"/>
      <c r="B31" s="2069"/>
      <c r="C31" s="212" t="s">
        <v>911</v>
      </c>
      <c r="D31" s="254" t="s">
        <v>892</v>
      </c>
      <c r="E31" s="164">
        <f>+FP!K14</f>
        <v>145908.75</v>
      </c>
      <c r="F31" s="165">
        <v>1</v>
      </c>
      <c r="G31" s="155">
        <f t="shared" si="6"/>
        <v>145908.75</v>
      </c>
      <c r="H31" s="2072"/>
      <c r="I31" s="159">
        <f>+FP!L55</f>
        <v>0.81069999999999998</v>
      </c>
      <c r="J31" s="155">
        <f t="shared" si="4"/>
        <v>118288.223625</v>
      </c>
      <c r="K31" s="2072"/>
      <c r="L31" s="2073"/>
      <c r="M31" s="2060"/>
      <c r="N31" s="207">
        <f t="shared" si="7"/>
        <v>33025</v>
      </c>
      <c r="O31" s="2074"/>
      <c r="Z31" s="9"/>
      <c r="AA31" s="9"/>
      <c r="AB31" s="9"/>
    </row>
    <row r="32" spans="1:28" ht="14.1" customHeight="1">
      <c r="A32" s="2080" t="s">
        <v>913</v>
      </c>
      <c r="B32" s="2083" t="s">
        <v>930</v>
      </c>
      <c r="C32" s="248" t="s">
        <v>914</v>
      </c>
      <c r="D32" s="275" t="s">
        <v>916</v>
      </c>
      <c r="E32" s="236">
        <f>+FP!M14</f>
        <v>175090.5</v>
      </c>
      <c r="F32" s="220">
        <v>1</v>
      </c>
      <c r="G32" s="221">
        <f>+F32*E32</f>
        <v>175090.5</v>
      </c>
      <c r="H32" s="2086">
        <f>ROUND(SUM(G32:G35),0)</f>
        <v>539938</v>
      </c>
      <c r="I32" s="239">
        <f>+FP!N55</f>
        <v>0.80820000000000003</v>
      </c>
      <c r="J32" s="238">
        <f t="shared" si="4"/>
        <v>141508.1421</v>
      </c>
      <c r="K32" s="2086">
        <f>ROUND(SUM(J32:J35),0)</f>
        <v>436274</v>
      </c>
      <c r="L32" s="2086">
        <f>ROUND((K32+H32),0)</f>
        <v>976212</v>
      </c>
      <c r="M32" s="2102" t="s">
        <v>943</v>
      </c>
      <c r="N32" s="244">
        <f t="shared" si="7"/>
        <v>39575</v>
      </c>
      <c r="O32" s="2099">
        <f>ROUND(L32/8,0)</f>
        <v>122027</v>
      </c>
      <c r="Z32" s="9"/>
      <c r="AA32" s="9"/>
      <c r="AB32" s="9"/>
    </row>
    <row r="33" spans="1:18" s="9" customFormat="1" ht="14.1" customHeight="1">
      <c r="A33" s="2081"/>
      <c r="B33" s="2084"/>
      <c r="C33" s="248" t="s">
        <v>915</v>
      </c>
      <c r="D33" s="258" t="s">
        <v>917</v>
      </c>
      <c r="E33" s="236">
        <f>+FP!K14</f>
        <v>145908.75</v>
      </c>
      <c r="F33" s="237">
        <v>1</v>
      </c>
      <c r="G33" s="238">
        <f>+F33*E33</f>
        <v>145908.75</v>
      </c>
      <c r="H33" s="2087"/>
      <c r="I33" s="239">
        <f>+FP!L55</f>
        <v>0.81069999999999998</v>
      </c>
      <c r="J33" s="238">
        <f t="shared" si="4"/>
        <v>118288.223625</v>
      </c>
      <c r="K33" s="2087"/>
      <c r="L33" s="2087"/>
      <c r="M33" s="2103"/>
      <c r="N33" s="245">
        <f t="shared" si="7"/>
        <v>33025</v>
      </c>
      <c r="O33" s="2100"/>
    </row>
    <row r="34" spans="1:18" s="9" customFormat="1" ht="14.1" customHeight="1">
      <c r="A34" s="2081"/>
      <c r="B34" s="2084"/>
      <c r="C34" s="248" t="s">
        <v>906</v>
      </c>
      <c r="D34" s="258" t="s">
        <v>918</v>
      </c>
      <c r="E34" s="236">
        <f>+FP!I14</f>
        <v>124060.33333333333</v>
      </c>
      <c r="F34" s="237">
        <v>1</v>
      </c>
      <c r="G34" s="238">
        <f>+F34*E34</f>
        <v>124060.33333333333</v>
      </c>
      <c r="H34" s="2087"/>
      <c r="I34" s="239">
        <f>+FP!J55</f>
        <v>0.80479999999999996</v>
      </c>
      <c r="J34" s="238">
        <f t="shared" si="4"/>
        <v>99843.756266666664</v>
      </c>
      <c r="K34" s="2087"/>
      <c r="L34" s="2087"/>
      <c r="M34" s="2103"/>
      <c r="N34" s="245">
        <f t="shared" si="7"/>
        <v>27988</v>
      </c>
      <c r="O34" s="2100"/>
    </row>
    <row r="35" spans="1:18" s="9" customFormat="1" ht="14.1" customHeight="1">
      <c r="A35" s="2082"/>
      <c r="B35" s="2085"/>
      <c r="C35" s="241" t="s">
        <v>3</v>
      </c>
      <c r="D35" s="260" t="s">
        <v>919</v>
      </c>
      <c r="E35" s="223">
        <f>+FP!G14</f>
        <v>94878.583333333328</v>
      </c>
      <c r="F35" s="224">
        <v>1</v>
      </c>
      <c r="G35" s="225">
        <f>+F35*E35</f>
        <v>94878.583333333328</v>
      </c>
      <c r="H35" s="2088"/>
      <c r="I35" s="239">
        <f>+FP!H55</f>
        <v>0.80769999999999997</v>
      </c>
      <c r="J35" s="238">
        <f t="shared" si="4"/>
        <v>76633.431758333332</v>
      </c>
      <c r="K35" s="2088"/>
      <c r="L35" s="2088"/>
      <c r="M35" s="2104"/>
      <c r="N35" s="245">
        <f t="shared" si="7"/>
        <v>21439</v>
      </c>
      <c r="O35" s="2101"/>
    </row>
    <row r="36" spans="1:18" s="9" customFormat="1" ht="14.1" customHeight="1">
      <c r="A36" s="264" t="s">
        <v>920</v>
      </c>
      <c r="B36" s="265" t="s">
        <v>931</v>
      </c>
      <c r="C36" s="269" t="s">
        <v>3</v>
      </c>
      <c r="D36" s="270" t="s">
        <v>921</v>
      </c>
      <c r="E36" s="271">
        <f>+FP!E14</f>
        <v>77369.53333333334</v>
      </c>
      <c r="F36" s="272">
        <v>2</v>
      </c>
      <c r="G36" s="273">
        <f t="shared" ref="G36:G43" si="8">+E36*F36</f>
        <v>154739.06666666668</v>
      </c>
      <c r="H36" s="266">
        <f>ROUND(SUM(G36:G36),0)</f>
        <v>154739</v>
      </c>
      <c r="I36" s="274">
        <f>+FP!F55</f>
        <v>0.8105</v>
      </c>
      <c r="J36" s="273">
        <f>+I36*G36</f>
        <v>125416.01353333335</v>
      </c>
      <c r="K36" s="266">
        <f>ROUND(SUM(J36:J36),0)</f>
        <v>125416</v>
      </c>
      <c r="L36" s="266">
        <f>ROUND((K36+H36),0)</f>
        <v>280155</v>
      </c>
      <c r="M36" s="376" t="s">
        <v>943</v>
      </c>
      <c r="N36" s="266">
        <f>ROUND(((G36+J36)/F36)/8,0)</f>
        <v>17510</v>
      </c>
      <c r="O36" s="267">
        <f>+ROUND(L36/8,0)</f>
        <v>35019</v>
      </c>
    </row>
    <row r="37" spans="1:18" ht="12.75">
      <c r="A37" s="2075" t="s">
        <v>932</v>
      </c>
      <c r="B37" s="2076" t="s">
        <v>938</v>
      </c>
      <c r="C37" s="354" t="s">
        <v>4</v>
      </c>
      <c r="D37" s="355" t="s">
        <v>888</v>
      </c>
      <c r="E37" s="356">
        <f>+FP!I14</f>
        <v>124060.33333333333</v>
      </c>
      <c r="F37" s="368">
        <v>1</v>
      </c>
      <c r="G37" s="357">
        <f t="shared" si="8"/>
        <v>124060.33333333333</v>
      </c>
      <c r="H37" s="2077">
        <f>ROUND(SUM(G37:G38),0)</f>
        <v>356169</v>
      </c>
      <c r="I37" s="358">
        <f>+FP!J55</f>
        <v>0.80479999999999996</v>
      </c>
      <c r="J37" s="357">
        <f t="shared" si="4"/>
        <v>99843.756266666664</v>
      </c>
      <c r="K37" s="2077">
        <f>ROUND(SUM(J37:J38),0)</f>
        <v>287968</v>
      </c>
      <c r="L37" s="2079">
        <f>ROUND((K37+H37),0)</f>
        <v>644137</v>
      </c>
      <c r="M37" s="2063" t="s">
        <v>943</v>
      </c>
      <c r="N37" s="359">
        <f t="shared" si="7"/>
        <v>27988</v>
      </c>
      <c r="O37" s="2062">
        <f>ROUND(L37/8,0)</f>
        <v>80517</v>
      </c>
      <c r="P37" s="19"/>
      <c r="Q37" s="19"/>
      <c r="R37" s="19"/>
    </row>
    <row r="38" spans="1:18" ht="12.75">
      <c r="A38" s="2075"/>
      <c r="B38" s="2076"/>
      <c r="C38" s="360" t="s">
        <v>3</v>
      </c>
      <c r="D38" s="369" t="s">
        <v>887</v>
      </c>
      <c r="E38" s="361">
        <f>+FP!E14</f>
        <v>77369.53333333334</v>
      </c>
      <c r="F38" s="362">
        <v>3</v>
      </c>
      <c r="G38" s="363">
        <f t="shared" si="8"/>
        <v>232108.60000000003</v>
      </c>
      <c r="H38" s="2078"/>
      <c r="I38" s="364">
        <f>+FP!F55</f>
        <v>0.8105</v>
      </c>
      <c r="J38" s="363">
        <f t="shared" si="4"/>
        <v>188124.02030000003</v>
      </c>
      <c r="K38" s="2078"/>
      <c r="L38" s="2079"/>
      <c r="M38" s="2063"/>
      <c r="N38" s="365">
        <f t="shared" si="7"/>
        <v>17510</v>
      </c>
      <c r="O38" s="2062"/>
      <c r="P38" s="19"/>
      <c r="Q38" s="19"/>
      <c r="R38" s="19"/>
    </row>
    <row r="39" spans="1:18" ht="12.75">
      <c r="A39" s="2064" t="s">
        <v>589</v>
      </c>
      <c r="B39" s="2067" t="s">
        <v>939</v>
      </c>
      <c r="C39" s="211" t="s">
        <v>934</v>
      </c>
      <c r="D39" s="214" t="s">
        <v>899</v>
      </c>
      <c r="E39" s="163">
        <f>+FP!M14</f>
        <v>175090.5</v>
      </c>
      <c r="F39" s="262">
        <v>1</v>
      </c>
      <c r="G39" s="154">
        <f t="shared" si="8"/>
        <v>175090.5</v>
      </c>
      <c r="H39" s="2070">
        <f>ROUND(SUM(G39:G41),0)</f>
        <v>678665</v>
      </c>
      <c r="I39" s="158">
        <f>+FP!N55</f>
        <v>0.80820000000000003</v>
      </c>
      <c r="J39" s="154">
        <f t="shared" si="4"/>
        <v>141508.1421</v>
      </c>
      <c r="K39" s="2070">
        <f>ROUND(SUM(J39:J41),0)</f>
        <v>547886</v>
      </c>
      <c r="L39" s="2073">
        <f>ROUND((K39+H39),0)</f>
        <v>1226551</v>
      </c>
      <c r="M39" s="2060" t="s">
        <v>943</v>
      </c>
      <c r="N39" s="206">
        <f t="shared" si="7"/>
        <v>39575</v>
      </c>
      <c r="O39" s="2074">
        <f>ROUND(L39/8,0)</f>
        <v>153319</v>
      </c>
      <c r="P39" s="19"/>
      <c r="Q39" s="19"/>
      <c r="R39" s="19"/>
    </row>
    <row r="40" spans="1:18" ht="12.75">
      <c r="A40" s="2065"/>
      <c r="B40" s="2068"/>
      <c r="C40" s="213" t="s">
        <v>933</v>
      </c>
      <c r="D40" s="253" t="s">
        <v>888</v>
      </c>
      <c r="E40" s="167">
        <f>+FP!I14</f>
        <v>124060.33333333333</v>
      </c>
      <c r="F40" s="168">
        <v>1</v>
      </c>
      <c r="G40" s="156">
        <f t="shared" si="8"/>
        <v>124060.33333333333</v>
      </c>
      <c r="H40" s="2071"/>
      <c r="I40" s="160">
        <f>+FP!J55</f>
        <v>0.80479999999999996</v>
      </c>
      <c r="J40" s="255">
        <f>+I40*G40</f>
        <v>99843.756266666664</v>
      </c>
      <c r="K40" s="2071"/>
      <c r="L40" s="2073"/>
      <c r="M40" s="2060"/>
      <c r="N40" s="208">
        <f t="shared" si="7"/>
        <v>27988</v>
      </c>
      <c r="O40" s="2074"/>
      <c r="P40" s="19"/>
      <c r="Q40" s="19"/>
      <c r="R40" s="19"/>
    </row>
    <row r="41" spans="1:18" ht="12.75">
      <c r="A41" s="2066"/>
      <c r="B41" s="2069"/>
      <c r="C41" s="212" t="s">
        <v>3</v>
      </c>
      <c r="D41" s="254" t="s">
        <v>889</v>
      </c>
      <c r="E41" s="164">
        <f>+FP!G14</f>
        <v>94878.583333333328</v>
      </c>
      <c r="F41" s="165">
        <v>4</v>
      </c>
      <c r="G41" s="155">
        <f t="shared" si="8"/>
        <v>379514.33333333331</v>
      </c>
      <c r="H41" s="2072"/>
      <c r="I41" s="159">
        <f>+FP!H55</f>
        <v>0.80769999999999997</v>
      </c>
      <c r="J41" s="155">
        <f>+I41*G41</f>
        <v>306533.72703333333</v>
      </c>
      <c r="K41" s="2072"/>
      <c r="L41" s="2073"/>
      <c r="M41" s="2060"/>
      <c r="N41" s="207">
        <f t="shared" si="7"/>
        <v>21439</v>
      </c>
      <c r="O41" s="2074"/>
      <c r="P41" s="19"/>
      <c r="Q41" s="19"/>
      <c r="R41" s="19"/>
    </row>
    <row r="42" spans="1:18" ht="12.75">
      <c r="A42" s="2075" t="s">
        <v>940</v>
      </c>
      <c r="B42" s="2076" t="s">
        <v>942</v>
      </c>
      <c r="C42" s="354" t="s">
        <v>941</v>
      </c>
      <c r="D42" s="355" t="s">
        <v>892</v>
      </c>
      <c r="E42" s="356">
        <f>+FP!K14</f>
        <v>145908.75</v>
      </c>
      <c r="F42" s="368">
        <v>1</v>
      </c>
      <c r="G42" s="357">
        <f t="shared" si="8"/>
        <v>145908.75</v>
      </c>
      <c r="H42" s="2077">
        <f>ROUND(SUM(G42:G43),0)</f>
        <v>430545</v>
      </c>
      <c r="I42" s="358">
        <f>+FP!L55</f>
        <v>0.81069999999999998</v>
      </c>
      <c r="J42" s="357">
        <f>+I42*G42</f>
        <v>118288.223625</v>
      </c>
      <c r="K42" s="2077">
        <f>ROUND(SUM(J42:J43),0)</f>
        <v>348189</v>
      </c>
      <c r="L42" s="2079">
        <f>ROUND((K42+H42),0)</f>
        <v>778734</v>
      </c>
      <c r="M42" s="2063" t="s">
        <v>943</v>
      </c>
      <c r="N42" s="359">
        <f>ROUND(((G42+J42)/F42)/8,0)</f>
        <v>33025</v>
      </c>
      <c r="O42" s="2062">
        <f>ROUND(L42/8,0)</f>
        <v>97342</v>
      </c>
      <c r="P42" s="19"/>
      <c r="Q42" s="19"/>
      <c r="R42" s="19"/>
    </row>
    <row r="43" spans="1:18" ht="12.75">
      <c r="A43" s="2075"/>
      <c r="B43" s="2076"/>
      <c r="C43" s="360" t="s">
        <v>3</v>
      </c>
      <c r="D43" s="369" t="s">
        <v>889</v>
      </c>
      <c r="E43" s="361">
        <f>+FP!G14</f>
        <v>94878.583333333328</v>
      </c>
      <c r="F43" s="362">
        <v>3</v>
      </c>
      <c r="G43" s="363">
        <f t="shared" si="8"/>
        <v>284635.75</v>
      </c>
      <c r="H43" s="2078"/>
      <c r="I43" s="364">
        <f>+FP!H55</f>
        <v>0.80769999999999997</v>
      </c>
      <c r="J43" s="363">
        <f>+I43*G43</f>
        <v>229900.29527499998</v>
      </c>
      <c r="K43" s="2078"/>
      <c r="L43" s="2079"/>
      <c r="M43" s="2063"/>
      <c r="N43" s="365">
        <f>ROUND(((G43+J43)/F43)/8,0)</f>
        <v>21439</v>
      </c>
      <c r="O43" s="2062"/>
      <c r="P43" s="19"/>
      <c r="Q43" s="19"/>
      <c r="R43" s="19"/>
    </row>
    <row r="44" spans="1:18" ht="12.75">
      <c r="A44" s="559" t="s">
        <v>1643</v>
      </c>
      <c r="B44" s="560" t="s">
        <v>1644</v>
      </c>
      <c r="C44" s="565" t="s">
        <v>1645</v>
      </c>
      <c r="D44" s="566" t="s">
        <v>899</v>
      </c>
      <c r="E44" s="567">
        <f>+FP!M14</f>
        <v>175090.5</v>
      </c>
      <c r="F44" s="568">
        <v>1</v>
      </c>
      <c r="G44" s="569">
        <f>+E44*F44</f>
        <v>175090.5</v>
      </c>
      <c r="H44" s="561">
        <f>ROUND(SUM(G44:G44),0)</f>
        <v>175091</v>
      </c>
      <c r="I44" s="570">
        <f>+FP!N55</f>
        <v>0.80820000000000003</v>
      </c>
      <c r="J44" s="569">
        <f>+I44*G44</f>
        <v>141508.1421</v>
      </c>
      <c r="K44" s="561">
        <f>ROUND(SUM(J44:J44),0)</f>
        <v>141508</v>
      </c>
      <c r="L44" s="561">
        <f>ROUND((K44+H44),0)</f>
        <v>316599</v>
      </c>
      <c r="M44" s="558" t="s">
        <v>943</v>
      </c>
      <c r="N44" s="561">
        <f>ROUND(((G44+J44)/F44)/8,0)</f>
        <v>39575</v>
      </c>
      <c r="O44" s="562">
        <f>ROUND(L44/8,0)</f>
        <v>39575</v>
      </c>
      <c r="P44" s="19"/>
      <c r="Q44" s="19"/>
      <c r="R44" s="19"/>
    </row>
    <row r="45" spans="1:18" s="268" customFormat="1" ht="15.95" customHeight="1">
      <c r="M45" s="366"/>
    </row>
    <row r="46" spans="1:18" ht="12.75">
      <c r="B46" s="20"/>
      <c r="C46" s="250"/>
      <c r="D46" s="20"/>
      <c r="E46" s="20"/>
      <c r="F46" s="20"/>
      <c r="G46" s="20"/>
      <c r="H46" s="20"/>
      <c r="I46" s="20"/>
      <c r="J46" s="20"/>
      <c r="K46" s="20"/>
      <c r="L46" s="20"/>
      <c r="M46" s="250"/>
      <c r="N46" s="20"/>
      <c r="O46" s="20"/>
      <c r="P46" s="19"/>
      <c r="Q46" s="19"/>
      <c r="R46" s="19"/>
    </row>
    <row r="47" spans="1:18" ht="12.75">
      <c r="B47" s="18"/>
      <c r="C47" s="249"/>
      <c r="D47" s="20"/>
      <c r="E47" s="20"/>
      <c r="F47" s="18"/>
      <c r="G47" s="18"/>
      <c r="H47" s="18"/>
      <c r="I47" s="18"/>
      <c r="J47" s="18"/>
      <c r="K47" s="18"/>
      <c r="L47" s="18"/>
      <c r="M47" s="250"/>
      <c r="N47" s="18"/>
      <c r="O47" s="18"/>
      <c r="P47" s="19"/>
      <c r="Q47" s="19"/>
      <c r="R47" s="19"/>
    </row>
    <row r="48" spans="1:18" ht="12.75">
      <c r="B48" s="18"/>
      <c r="C48" s="249"/>
      <c r="D48" s="20"/>
      <c r="E48" s="18"/>
      <c r="F48" s="18"/>
      <c r="G48" s="18"/>
      <c r="H48" s="18"/>
      <c r="I48" s="18"/>
      <c r="J48" s="18"/>
      <c r="K48" s="18"/>
      <c r="L48" s="18"/>
      <c r="M48" s="250"/>
      <c r="N48" s="18"/>
      <c r="O48" s="18"/>
      <c r="P48" s="19"/>
      <c r="Q48" s="19"/>
      <c r="R48" s="19"/>
    </row>
    <row r="49" spans="2:18" ht="12.75">
      <c r="B49" s="18"/>
      <c r="C49" s="249"/>
      <c r="D49" s="20"/>
      <c r="E49" s="18"/>
      <c r="F49" s="18"/>
      <c r="G49" s="18"/>
      <c r="H49" s="18"/>
      <c r="I49" s="18"/>
      <c r="J49" s="18"/>
      <c r="K49" s="18"/>
      <c r="L49" s="18"/>
      <c r="M49" s="250"/>
      <c r="N49" s="18"/>
      <c r="O49" s="18"/>
      <c r="P49" s="19"/>
      <c r="Q49" s="19"/>
      <c r="R49" s="19"/>
    </row>
    <row r="50" spans="2:18" ht="12.75">
      <c r="B50" s="18"/>
      <c r="C50" s="249"/>
      <c r="D50" s="20"/>
      <c r="E50" s="18"/>
      <c r="F50" s="18"/>
      <c r="G50" s="18"/>
      <c r="H50" s="18"/>
      <c r="I50" s="18"/>
      <c r="J50" s="18"/>
      <c r="K50" s="18"/>
      <c r="L50" s="18"/>
      <c r="M50" s="250"/>
      <c r="N50" s="18"/>
      <c r="O50" s="18"/>
      <c r="P50" s="19"/>
      <c r="Q50" s="19"/>
      <c r="R50" s="19"/>
    </row>
    <row r="51" spans="2:18" ht="12.75">
      <c r="B51" s="18"/>
      <c r="C51" s="249"/>
      <c r="D51" s="20"/>
      <c r="E51" s="18"/>
      <c r="F51" s="18"/>
      <c r="G51" s="18"/>
      <c r="H51" s="18"/>
      <c r="I51" s="18"/>
      <c r="J51" s="18"/>
      <c r="K51" s="18"/>
      <c r="L51" s="18"/>
      <c r="M51" s="250"/>
      <c r="N51" s="18"/>
      <c r="O51" s="18"/>
      <c r="P51" s="19"/>
      <c r="Q51" s="19"/>
      <c r="R51" s="19"/>
    </row>
    <row r="52" spans="2:18" ht="12.75">
      <c r="B52" s="18"/>
      <c r="C52" s="249"/>
      <c r="D52" s="20"/>
      <c r="E52" s="18"/>
      <c r="F52" s="18"/>
      <c r="G52" s="18"/>
      <c r="H52" s="18"/>
      <c r="I52" s="18"/>
      <c r="J52" s="18"/>
      <c r="K52" s="18"/>
      <c r="L52" s="18"/>
      <c r="M52" s="250"/>
      <c r="N52" s="18"/>
      <c r="O52" s="18"/>
      <c r="P52" s="19"/>
      <c r="Q52" s="19"/>
      <c r="R52" s="19"/>
    </row>
    <row r="53" spans="2:18" ht="12.75">
      <c r="B53" s="18"/>
      <c r="C53" s="249"/>
      <c r="D53" s="20"/>
      <c r="E53" s="18"/>
      <c r="F53" s="18"/>
      <c r="G53" s="18"/>
      <c r="H53" s="18"/>
      <c r="I53" s="18"/>
      <c r="J53" s="18"/>
      <c r="K53" s="18"/>
      <c r="L53" s="18"/>
      <c r="M53" s="250"/>
      <c r="N53" s="18"/>
      <c r="O53" s="18"/>
      <c r="P53" s="19"/>
      <c r="Q53" s="19"/>
      <c r="R53" s="19"/>
    </row>
    <row r="54" spans="2:18" ht="12.75">
      <c r="B54" s="18"/>
      <c r="C54" s="249"/>
      <c r="D54" s="20"/>
      <c r="E54" s="18"/>
      <c r="F54" s="18"/>
      <c r="G54" s="18"/>
      <c r="H54" s="18"/>
      <c r="I54" s="18"/>
      <c r="J54" s="18"/>
      <c r="K54" s="18"/>
      <c r="L54" s="18"/>
      <c r="M54" s="250"/>
      <c r="N54" s="18"/>
      <c r="O54" s="18"/>
      <c r="P54" s="19"/>
      <c r="Q54" s="19"/>
      <c r="R54" s="19"/>
    </row>
    <row r="55" spans="2:18" ht="12.75">
      <c r="B55" s="18"/>
      <c r="C55" s="249"/>
      <c r="D55" s="20"/>
      <c r="E55" s="18"/>
      <c r="F55" s="18"/>
      <c r="G55" s="18"/>
      <c r="H55" s="18"/>
      <c r="I55" s="18"/>
      <c r="J55" s="18"/>
      <c r="K55" s="18"/>
      <c r="L55" s="18"/>
      <c r="M55" s="250"/>
      <c r="N55" s="18"/>
      <c r="O55" s="18"/>
      <c r="P55" s="19"/>
      <c r="Q55" s="19"/>
      <c r="R55" s="19"/>
    </row>
    <row r="56" spans="2:18" ht="12.75">
      <c r="B56" s="18"/>
      <c r="C56" s="249"/>
      <c r="D56" s="20"/>
      <c r="E56" s="18"/>
      <c r="F56" s="18"/>
      <c r="G56" s="18"/>
      <c r="H56" s="18"/>
      <c r="I56" s="18"/>
      <c r="J56" s="18"/>
      <c r="K56" s="18"/>
      <c r="L56" s="18"/>
      <c r="M56" s="250"/>
      <c r="N56" s="18"/>
      <c r="O56" s="18"/>
      <c r="P56" s="19"/>
      <c r="Q56" s="19"/>
      <c r="R56" s="19"/>
    </row>
    <row r="57" spans="2:18" ht="12.75">
      <c r="B57" s="18"/>
      <c r="C57" s="249"/>
      <c r="D57" s="20"/>
      <c r="E57" s="18"/>
      <c r="F57" s="18"/>
      <c r="G57" s="18"/>
      <c r="H57" s="18"/>
      <c r="I57" s="18"/>
      <c r="J57" s="18"/>
      <c r="K57" s="18"/>
      <c r="L57" s="18"/>
      <c r="M57" s="250"/>
      <c r="N57" s="18"/>
      <c r="O57" s="18"/>
      <c r="P57" s="19"/>
      <c r="Q57" s="19"/>
      <c r="R57" s="19"/>
    </row>
    <row r="58" spans="2:18" ht="12.75">
      <c r="B58" s="18"/>
      <c r="C58" s="249"/>
      <c r="D58" s="20"/>
      <c r="E58" s="18"/>
      <c r="F58" s="18"/>
      <c r="G58" s="18"/>
      <c r="H58" s="18"/>
      <c r="I58" s="18"/>
      <c r="J58" s="18"/>
      <c r="K58" s="18"/>
      <c r="L58" s="18"/>
      <c r="M58" s="250"/>
      <c r="N58" s="18"/>
      <c r="O58" s="18"/>
      <c r="P58" s="19"/>
      <c r="Q58" s="19"/>
      <c r="R58" s="19"/>
    </row>
    <row r="59" spans="2:18" ht="12.75">
      <c r="B59" s="18"/>
      <c r="C59" s="249"/>
      <c r="D59" s="20"/>
      <c r="E59" s="18"/>
      <c r="F59" s="18"/>
      <c r="G59" s="18"/>
      <c r="H59" s="18"/>
      <c r="I59" s="18"/>
      <c r="J59" s="18"/>
      <c r="K59" s="18"/>
      <c r="L59" s="18"/>
      <c r="M59" s="250"/>
      <c r="N59" s="18"/>
      <c r="O59" s="18"/>
      <c r="P59" s="19"/>
      <c r="Q59" s="19"/>
      <c r="R59" s="19"/>
    </row>
    <row r="60" spans="2:18" ht="12.75">
      <c r="B60" s="18"/>
      <c r="C60" s="249"/>
      <c r="D60" s="20"/>
      <c r="E60" s="18"/>
      <c r="F60" s="18"/>
      <c r="G60" s="18"/>
      <c r="H60" s="18"/>
      <c r="I60" s="18"/>
      <c r="J60" s="18"/>
      <c r="K60" s="18"/>
      <c r="L60" s="18"/>
      <c r="M60" s="250"/>
      <c r="N60" s="18"/>
      <c r="O60" s="18"/>
      <c r="P60" s="19"/>
      <c r="Q60" s="19"/>
      <c r="R60" s="19"/>
    </row>
    <row r="61" spans="2:18" ht="12.75">
      <c r="B61" s="18"/>
      <c r="C61" s="249"/>
      <c r="D61" s="20"/>
      <c r="E61" s="18"/>
      <c r="F61" s="18"/>
      <c r="G61" s="18"/>
      <c r="H61" s="18"/>
      <c r="I61" s="18"/>
      <c r="J61" s="18"/>
      <c r="K61" s="18"/>
      <c r="L61" s="18"/>
      <c r="M61" s="250"/>
      <c r="N61" s="18"/>
      <c r="O61" s="18"/>
      <c r="P61" s="19"/>
      <c r="Q61" s="19"/>
      <c r="R61" s="19"/>
    </row>
    <row r="62" spans="2:18" ht="12.75">
      <c r="B62" s="18"/>
      <c r="C62" s="249"/>
      <c r="D62" s="20"/>
      <c r="E62" s="18"/>
      <c r="F62" s="18"/>
      <c r="G62" s="18"/>
      <c r="H62" s="18"/>
      <c r="I62" s="18"/>
      <c r="J62" s="18"/>
      <c r="K62" s="18"/>
      <c r="L62" s="18"/>
      <c r="M62" s="250"/>
      <c r="N62" s="18"/>
      <c r="O62" s="18"/>
      <c r="P62" s="19"/>
      <c r="Q62" s="19"/>
      <c r="R62" s="19"/>
    </row>
    <row r="63" spans="2:18" ht="12.75">
      <c r="B63" s="18"/>
      <c r="C63" s="249"/>
      <c r="D63" s="20"/>
      <c r="E63" s="18"/>
      <c r="F63" s="18"/>
      <c r="G63" s="18"/>
      <c r="H63" s="18"/>
      <c r="I63" s="18"/>
      <c r="J63" s="18"/>
      <c r="K63" s="18"/>
      <c r="L63" s="18"/>
      <c r="M63" s="250"/>
      <c r="N63" s="18"/>
      <c r="O63" s="18"/>
      <c r="P63" s="19"/>
      <c r="Q63" s="19"/>
      <c r="R63" s="19"/>
    </row>
    <row r="64" spans="2:18" ht="12.75">
      <c r="B64" s="18"/>
      <c r="C64" s="249"/>
      <c r="D64" s="20"/>
      <c r="E64" s="18"/>
      <c r="F64" s="18"/>
      <c r="G64" s="18"/>
      <c r="H64" s="18"/>
      <c r="I64" s="18"/>
      <c r="J64" s="18"/>
      <c r="K64" s="18"/>
      <c r="L64" s="18"/>
      <c r="M64" s="250"/>
      <c r="N64" s="18"/>
      <c r="O64" s="18"/>
      <c r="P64" s="19"/>
      <c r="Q64" s="19"/>
      <c r="R64" s="19"/>
    </row>
    <row r="65" spans="2:18" ht="12.75">
      <c r="B65" s="18"/>
      <c r="C65" s="249"/>
      <c r="D65" s="20"/>
      <c r="E65" s="18"/>
      <c r="F65" s="18"/>
      <c r="G65" s="18"/>
      <c r="H65" s="18"/>
      <c r="I65" s="18"/>
      <c r="J65" s="18"/>
      <c r="K65" s="18"/>
      <c r="L65" s="18"/>
      <c r="M65" s="250"/>
      <c r="N65" s="18"/>
      <c r="O65" s="18"/>
      <c r="P65" s="19"/>
      <c r="Q65" s="19"/>
      <c r="R65" s="19"/>
    </row>
    <row r="66" spans="2:18" ht="12.75">
      <c r="B66" s="18"/>
      <c r="C66" s="249"/>
      <c r="D66" s="20"/>
      <c r="E66" s="18"/>
      <c r="F66" s="18"/>
      <c r="G66" s="18"/>
      <c r="H66" s="18"/>
      <c r="I66" s="18"/>
      <c r="J66" s="18"/>
      <c r="K66" s="18"/>
      <c r="L66" s="18"/>
      <c r="M66" s="250"/>
      <c r="N66" s="18"/>
      <c r="O66" s="18"/>
      <c r="P66" s="19"/>
      <c r="Q66" s="19"/>
      <c r="R66" s="19"/>
    </row>
    <row r="67" spans="2:18" ht="12.75">
      <c r="B67" s="18"/>
      <c r="C67" s="249"/>
      <c r="D67" s="20"/>
      <c r="E67" s="18"/>
      <c r="F67" s="18"/>
      <c r="G67" s="18"/>
      <c r="H67" s="18"/>
      <c r="I67" s="18"/>
      <c r="J67" s="18"/>
      <c r="K67" s="18"/>
      <c r="L67" s="18"/>
      <c r="M67" s="250"/>
      <c r="N67" s="18"/>
      <c r="O67" s="18"/>
      <c r="P67" s="19"/>
      <c r="Q67" s="19"/>
      <c r="R67" s="19"/>
    </row>
    <row r="68" spans="2:18" ht="12.75">
      <c r="B68" s="18"/>
      <c r="C68" s="249"/>
      <c r="D68" s="20"/>
      <c r="E68" s="18"/>
      <c r="F68" s="18"/>
      <c r="G68" s="18"/>
      <c r="H68" s="18"/>
      <c r="I68" s="18"/>
      <c r="J68" s="18"/>
      <c r="K68" s="18"/>
      <c r="L68" s="18"/>
      <c r="M68" s="250"/>
      <c r="N68" s="18"/>
      <c r="O68" s="18"/>
      <c r="P68" s="19"/>
      <c r="Q68" s="19"/>
      <c r="R68" s="19"/>
    </row>
    <row r="69" spans="2:18" ht="12.75">
      <c r="B69" s="18"/>
      <c r="C69" s="249"/>
      <c r="D69" s="20"/>
      <c r="E69" s="18"/>
      <c r="F69" s="18"/>
      <c r="G69" s="18"/>
      <c r="H69" s="18"/>
      <c r="I69" s="18"/>
      <c r="J69" s="18"/>
      <c r="K69" s="18"/>
      <c r="L69" s="18"/>
      <c r="M69" s="250"/>
      <c r="N69" s="18"/>
      <c r="O69" s="18"/>
      <c r="P69" s="19"/>
      <c r="Q69" s="19"/>
      <c r="R69" s="19"/>
    </row>
    <row r="70" spans="2:18" ht="12.75">
      <c r="B70" s="18"/>
      <c r="C70" s="249"/>
      <c r="D70" s="20"/>
      <c r="E70" s="18"/>
      <c r="F70" s="18"/>
    </row>
    <row r="71" spans="2:18" ht="12.75">
      <c r="B71" s="18"/>
      <c r="C71" s="249"/>
      <c r="D71" s="20"/>
      <c r="E71" s="18"/>
      <c r="F71" s="18"/>
    </row>
    <row r="72" spans="2:18" ht="12.75">
      <c r="B72" s="18"/>
      <c r="C72" s="249"/>
      <c r="D72" s="20"/>
      <c r="E72" s="18"/>
      <c r="F72" s="18"/>
    </row>
    <row r="73" spans="2:18" ht="12.75">
      <c r="B73" s="18"/>
      <c r="C73" s="249"/>
      <c r="D73" s="20"/>
      <c r="E73" s="18"/>
      <c r="F73" s="18"/>
    </row>
    <row r="74" spans="2:18" ht="12.75">
      <c r="B74" s="18"/>
      <c r="C74" s="249"/>
      <c r="D74" s="20"/>
      <c r="E74" s="18"/>
      <c r="F74" s="18"/>
    </row>
    <row r="75" spans="2:18" ht="12.75">
      <c r="B75" s="18"/>
      <c r="C75" s="249"/>
      <c r="D75" s="20"/>
      <c r="E75" s="18"/>
      <c r="F75" s="18"/>
    </row>
    <row r="76" spans="2:18" ht="12.75">
      <c r="B76" s="18"/>
      <c r="C76" s="249"/>
      <c r="D76" s="20"/>
      <c r="E76" s="18"/>
      <c r="F76" s="18"/>
    </row>
    <row r="77" spans="2:18" ht="12.75">
      <c r="B77" s="18"/>
      <c r="C77" s="249"/>
      <c r="D77" s="20"/>
      <c r="E77" s="18"/>
      <c r="F77" s="18"/>
    </row>
    <row r="78" spans="2:18" ht="12.75">
      <c r="B78" s="18"/>
      <c r="C78" s="249"/>
      <c r="D78" s="20"/>
      <c r="E78" s="18"/>
      <c r="F78" s="18"/>
    </row>
    <row r="79" spans="2:18" ht="12.75">
      <c r="B79" s="18"/>
      <c r="C79" s="249"/>
      <c r="D79" s="20"/>
      <c r="E79" s="18"/>
      <c r="F79" s="18"/>
    </row>
    <row r="80" spans="2:18" ht="12.75">
      <c r="B80" s="18"/>
      <c r="C80" s="249"/>
      <c r="D80" s="20"/>
      <c r="E80" s="18"/>
      <c r="F80" s="18"/>
    </row>
    <row r="81" spans="2:6" ht="12.75">
      <c r="B81" s="18"/>
      <c r="C81" s="249"/>
      <c r="D81" s="20"/>
      <c r="E81" s="18"/>
      <c r="F81" s="18"/>
    </row>
  </sheetData>
  <dataConsolidate/>
  <mergeCells count="92">
    <mergeCell ref="O32:O35"/>
    <mergeCell ref="B29:B31"/>
    <mergeCell ref="K20:K22"/>
    <mergeCell ref="L20:L22"/>
    <mergeCell ref="O20:O22"/>
    <mergeCell ref="K29:K31"/>
    <mergeCell ref="L29:L31"/>
    <mergeCell ref="O29:O31"/>
    <mergeCell ref="H29:H31"/>
    <mergeCell ref="M23:M25"/>
    <mergeCell ref="M29:M31"/>
    <mergeCell ref="M32:M35"/>
    <mergeCell ref="O17:O19"/>
    <mergeCell ref="O23:O25"/>
    <mergeCell ref="O26:O28"/>
    <mergeCell ref="A17:A19"/>
    <mergeCell ref="A20:A22"/>
    <mergeCell ref="B20:B22"/>
    <mergeCell ref="H20:H22"/>
    <mergeCell ref="K26:K28"/>
    <mergeCell ref="L26:L28"/>
    <mergeCell ref="A23:A25"/>
    <mergeCell ref="M20:M22"/>
    <mergeCell ref="M26:M28"/>
    <mergeCell ref="A2:O2"/>
    <mergeCell ref="O7:O8"/>
    <mergeCell ref="O9:O10"/>
    <mergeCell ref="O11:O13"/>
    <mergeCell ref="O14:O15"/>
    <mergeCell ref="A7:A8"/>
    <mergeCell ref="B7:B8"/>
    <mergeCell ref="L7:L8"/>
    <mergeCell ref="L9:L10"/>
    <mergeCell ref="A9:A10"/>
    <mergeCell ref="A11:A13"/>
    <mergeCell ref="A14:A15"/>
    <mergeCell ref="H7:H8"/>
    <mergeCell ref="H9:H10"/>
    <mergeCell ref="B9:B10"/>
    <mergeCell ref="K7:K8"/>
    <mergeCell ref="A29:A31"/>
    <mergeCell ref="L11:L13"/>
    <mergeCell ref="L14:L15"/>
    <mergeCell ref="L17:L19"/>
    <mergeCell ref="L23:L25"/>
    <mergeCell ref="B11:B13"/>
    <mergeCell ref="B14:B15"/>
    <mergeCell ref="B23:B25"/>
    <mergeCell ref="B17:B19"/>
    <mergeCell ref="A26:A28"/>
    <mergeCell ref="B26:B28"/>
    <mergeCell ref="H26:H28"/>
    <mergeCell ref="K9:K10"/>
    <mergeCell ref="K11:K13"/>
    <mergeCell ref="K14:K15"/>
    <mergeCell ref="K17:K19"/>
    <mergeCell ref="H23:H25"/>
    <mergeCell ref="K23:K25"/>
    <mergeCell ref="H11:H13"/>
    <mergeCell ref="H14:H15"/>
    <mergeCell ref="H17:H19"/>
    <mergeCell ref="B37:B38"/>
    <mergeCell ref="H37:H38"/>
    <mergeCell ref="K37:K38"/>
    <mergeCell ref="L37:L38"/>
    <mergeCell ref="A32:A35"/>
    <mergeCell ref="B32:B35"/>
    <mergeCell ref="H32:H35"/>
    <mergeCell ref="K32:K35"/>
    <mergeCell ref="L32:L35"/>
    <mergeCell ref="O42:O43"/>
    <mergeCell ref="M42:M43"/>
    <mergeCell ref="O37:O38"/>
    <mergeCell ref="A39:A41"/>
    <mergeCell ref="B39:B41"/>
    <mergeCell ref="H39:H41"/>
    <mergeCell ref="K39:K41"/>
    <mergeCell ref="L39:L41"/>
    <mergeCell ref="O39:O41"/>
    <mergeCell ref="A37:A38"/>
    <mergeCell ref="A42:A43"/>
    <mergeCell ref="B42:B43"/>
    <mergeCell ref="H42:H43"/>
    <mergeCell ref="K42:K43"/>
    <mergeCell ref="L42:L43"/>
    <mergeCell ref="M37:M38"/>
    <mergeCell ref="M39:M41"/>
    <mergeCell ref="M7:M8"/>
    <mergeCell ref="M9:M10"/>
    <mergeCell ref="M11:M13"/>
    <mergeCell ref="M14:M15"/>
    <mergeCell ref="M17:M19"/>
  </mergeCells>
  <printOptions horizontalCentered="1"/>
  <pageMargins left="0.11811023622047245" right="0.39370078740157483" top="0.74803149606299213" bottom="0.74803149606299213" header="0.31496062992125984" footer="0.31496062992125984"/>
  <pageSetup scale="55" orientation="landscape"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2" tint="-9.9978637043366805E-2"/>
  </sheetPr>
  <dimension ref="A1:BJ98"/>
  <sheetViews>
    <sheetView topLeftCell="AN1" zoomScale="55" zoomScaleNormal="55" workbookViewId="0">
      <selection activeCell="AZ10" sqref="AZ10"/>
    </sheetView>
  </sheetViews>
  <sheetFormatPr baseColWidth="10" defaultRowHeight="12.75"/>
  <cols>
    <col min="1" max="1" width="8.85546875" customWidth="1"/>
    <col min="2" max="2" width="78.7109375" customWidth="1"/>
    <col min="3" max="3" width="8" style="689" customWidth="1"/>
    <col min="4" max="4" width="12.7109375" style="1164" bestFit="1" customWidth="1"/>
    <col min="5" max="5" width="19.5703125" style="1165" customWidth="1"/>
    <col min="6" max="6" width="31.5703125" style="1165" customWidth="1"/>
    <col min="7" max="7" width="19.140625" style="689" customWidth="1"/>
    <col min="8" max="8" width="17.7109375" style="689" customWidth="1"/>
    <col min="9" max="9" width="19.28515625" style="689" customWidth="1"/>
    <col min="10" max="10" width="19.140625" style="689" customWidth="1"/>
    <col min="11" max="13" width="18.7109375" style="689" customWidth="1"/>
    <col min="14" max="14" width="20.5703125" style="689" customWidth="1"/>
    <col min="15" max="37" width="18.7109375" style="689" bestFit="1" customWidth="1"/>
    <col min="38" max="38" width="17.140625" style="689" bestFit="1" customWidth="1"/>
    <col min="39" max="39" width="18.28515625" bestFit="1" customWidth="1"/>
    <col min="40" max="41" width="18.5703125" bestFit="1" customWidth="1"/>
    <col min="42" max="43" width="18.28515625" bestFit="1" customWidth="1"/>
    <col min="44" max="45" width="18.5703125" bestFit="1" customWidth="1"/>
    <col min="46" max="46" width="18.28515625" bestFit="1" customWidth="1"/>
    <col min="47" max="62" width="12.5703125" bestFit="1" customWidth="1"/>
    <col min="233" max="233" width="6.140625" customWidth="1"/>
    <col min="234" max="234" width="78.7109375" customWidth="1"/>
    <col min="235" max="235" width="8" customWidth="1"/>
    <col min="236" max="237" width="0" hidden="1" customWidth="1"/>
    <col min="238" max="238" width="23.28515625" customWidth="1"/>
    <col min="239" max="246" width="11.7109375" customWidth="1"/>
    <col min="247" max="250" width="16.85546875" bestFit="1" customWidth="1"/>
    <col min="251" max="277" width="18.7109375" bestFit="1" customWidth="1"/>
    <col min="278" max="278" width="17.140625" bestFit="1" customWidth="1"/>
    <col min="279" max="294" width="13.28515625" bestFit="1" customWidth="1"/>
    <col min="489" max="489" width="6.140625" customWidth="1"/>
    <col min="490" max="490" width="78.7109375" customWidth="1"/>
    <col min="491" max="491" width="8" customWidth="1"/>
    <col min="492" max="493" width="0" hidden="1" customWidth="1"/>
    <col min="494" max="494" width="23.28515625" customWidth="1"/>
    <col min="495" max="502" width="11.7109375" customWidth="1"/>
    <col min="503" max="506" width="16.85546875" bestFit="1" customWidth="1"/>
    <col min="507" max="533" width="18.7109375" bestFit="1" customWidth="1"/>
    <col min="534" max="534" width="17.140625" bestFit="1" customWidth="1"/>
    <col min="535" max="550" width="13.28515625" bestFit="1" customWidth="1"/>
    <col min="745" max="745" width="6.140625" customWidth="1"/>
    <col min="746" max="746" width="78.7109375" customWidth="1"/>
    <col min="747" max="747" width="8" customWidth="1"/>
    <col min="748" max="749" width="0" hidden="1" customWidth="1"/>
    <col min="750" max="750" width="23.28515625" customWidth="1"/>
    <col min="751" max="758" width="11.7109375" customWidth="1"/>
    <col min="759" max="762" width="16.85546875" bestFit="1" customWidth="1"/>
    <col min="763" max="789" width="18.7109375" bestFit="1" customWidth="1"/>
    <col min="790" max="790" width="17.140625" bestFit="1" customWidth="1"/>
    <col min="791" max="806" width="13.28515625" bestFit="1" customWidth="1"/>
    <col min="1001" max="1001" width="6.140625" customWidth="1"/>
    <col min="1002" max="1002" width="78.7109375" customWidth="1"/>
    <col min="1003" max="1003" width="8" customWidth="1"/>
    <col min="1004" max="1005" width="0" hidden="1" customWidth="1"/>
    <col min="1006" max="1006" width="23.28515625" customWidth="1"/>
    <col min="1007" max="1014" width="11.7109375" customWidth="1"/>
    <col min="1015" max="1018" width="16.85546875" bestFit="1" customWidth="1"/>
    <col min="1019" max="1045" width="18.7109375" bestFit="1" customWidth="1"/>
    <col min="1046" max="1046" width="17.140625" bestFit="1" customWidth="1"/>
    <col min="1047" max="1062" width="13.28515625" bestFit="1" customWidth="1"/>
    <col min="1257" max="1257" width="6.140625" customWidth="1"/>
    <col min="1258" max="1258" width="78.7109375" customWidth="1"/>
    <col min="1259" max="1259" width="8" customWidth="1"/>
    <col min="1260" max="1261" width="0" hidden="1" customWidth="1"/>
    <col min="1262" max="1262" width="23.28515625" customWidth="1"/>
    <col min="1263" max="1270" width="11.7109375" customWidth="1"/>
    <col min="1271" max="1274" width="16.85546875" bestFit="1" customWidth="1"/>
    <col min="1275" max="1301" width="18.7109375" bestFit="1" customWidth="1"/>
    <col min="1302" max="1302" width="17.140625" bestFit="1" customWidth="1"/>
    <col min="1303" max="1318" width="13.28515625" bestFit="1" customWidth="1"/>
    <col min="1513" max="1513" width="6.140625" customWidth="1"/>
    <col min="1514" max="1514" width="78.7109375" customWidth="1"/>
    <col min="1515" max="1515" width="8" customWidth="1"/>
    <col min="1516" max="1517" width="0" hidden="1" customWidth="1"/>
    <col min="1518" max="1518" width="23.28515625" customWidth="1"/>
    <col min="1519" max="1526" width="11.7109375" customWidth="1"/>
    <col min="1527" max="1530" width="16.85546875" bestFit="1" customWidth="1"/>
    <col min="1531" max="1557" width="18.7109375" bestFit="1" customWidth="1"/>
    <col min="1558" max="1558" width="17.140625" bestFit="1" customWidth="1"/>
    <col min="1559" max="1574" width="13.28515625" bestFit="1" customWidth="1"/>
    <col min="1769" max="1769" width="6.140625" customWidth="1"/>
    <col min="1770" max="1770" width="78.7109375" customWidth="1"/>
    <col min="1771" max="1771" width="8" customWidth="1"/>
    <col min="1772" max="1773" width="0" hidden="1" customWidth="1"/>
    <col min="1774" max="1774" width="23.28515625" customWidth="1"/>
    <col min="1775" max="1782" width="11.7109375" customWidth="1"/>
    <col min="1783" max="1786" width="16.85546875" bestFit="1" customWidth="1"/>
    <col min="1787" max="1813" width="18.7109375" bestFit="1" customWidth="1"/>
    <col min="1814" max="1814" width="17.140625" bestFit="1" customWidth="1"/>
    <col min="1815" max="1830" width="13.28515625" bestFit="1" customWidth="1"/>
    <col min="2025" max="2025" width="6.140625" customWidth="1"/>
    <col min="2026" max="2026" width="78.7109375" customWidth="1"/>
    <col min="2027" max="2027" width="8" customWidth="1"/>
    <col min="2028" max="2029" width="0" hidden="1" customWidth="1"/>
    <col min="2030" max="2030" width="23.28515625" customWidth="1"/>
    <col min="2031" max="2038" width="11.7109375" customWidth="1"/>
    <col min="2039" max="2042" width="16.85546875" bestFit="1" customWidth="1"/>
    <col min="2043" max="2069" width="18.7109375" bestFit="1" customWidth="1"/>
    <col min="2070" max="2070" width="17.140625" bestFit="1" customWidth="1"/>
    <col min="2071" max="2086" width="13.28515625" bestFit="1" customWidth="1"/>
    <col min="2281" max="2281" width="6.140625" customWidth="1"/>
    <col min="2282" max="2282" width="78.7109375" customWidth="1"/>
    <col min="2283" max="2283" width="8" customWidth="1"/>
    <col min="2284" max="2285" width="0" hidden="1" customWidth="1"/>
    <col min="2286" max="2286" width="23.28515625" customWidth="1"/>
    <col min="2287" max="2294" width="11.7109375" customWidth="1"/>
    <col min="2295" max="2298" width="16.85546875" bestFit="1" customWidth="1"/>
    <col min="2299" max="2325" width="18.7109375" bestFit="1" customWidth="1"/>
    <col min="2326" max="2326" width="17.140625" bestFit="1" customWidth="1"/>
    <col min="2327" max="2342" width="13.28515625" bestFit="1" customWidth="1"/>
    <col min="2537" max="2537" width="6.140625" customWidth="1"/>
    <col min="2538" max="2538" width="78.7109375" customWidth="1"/>
    <col min="2539" max="2539" width="8" customWidth="1"/>
    <col min="2540" max="2541" width="0" hidden="1" customWidth="1"/>
    <col min="2542" max="2542" width="23.28515625" customWidth="1"/>
    <col min="2543" max="2550" width="11.7109375" customWidth="1"/>
    <col min="2551" max="2554" width="16.85546875" bestFit="1" customWidth="1"/>
    <col min="2555" max="2581" width="18.7109375" bestFit="1" customWidth="1"/>
    <col min="2582" max="2582" width="17.140625" bestFit="1" customWidth="1"/>
    <col min="2583" max="2598" width="13.28515625" bestFit="1" customWidth="1"/>
    <col min="2793" max="2793" width="6.140625" customWidth="1"/>
    <col min="2794" max="2794" width="78.7109375" customWidth="1"/>
    <col min="2795" max="2795" width="8" customWidth="1"/>
    <col min="2796" max="2797" width="0" hidden="1" customWidth="1"/>
    <col min="2798" max="2798" width="23.28515625" customWidth="1"/>
    <col min="2799" max="2806" width="11.7109375" customWidth="1"/>
    <col min="2807" max="2810" width="16.85546875" bestFit="1" customWidth="1"/>
    <col min="2811" max="2837" width="18.7109375" bestFit="1" customWidth="1"/>
    <col min="2838" max="2838" width="17.140625" bestFit="1" customWidth="1"/>
    <col min="2839" max="2854" width="13.28515625" bestFit="1" customWidth="1"/>
    <col min="3049" max="3049" width="6.140625" customWidth="1"/>
    <col min="3050" max="3050" width="78.7109375" customWidth="1"/>
    <col min="3051" max="3051" width="8" customWidth="1"/>
    <col min="3052" max="3053" width="0" hidden="1" customWidth="1"/>
    <col min="3054" max="3054" width="23.28515625" customWidth="1"/>
    <col min="3055" max="3062" width="11.7109375" customWidth="1"/>
    <col min="3063" max="3066" width="16.85546875" bestFit="1" customWidth="1"/>
    <col min="3067" max="3093" width="18.7109375" bestFit="1" customWidth="1"/>
    <col min="3094" max="3094" width="17.140625" bestFit="1" customWidth="1"/>
    <col min="3095" max="3110" width="13.28515625" bestFit="1" customWidth="1"/>
    <col min="3305" max="3305" width="6.140625" customWidth="1"/>
    <col min="3306" max="3306" width="78.7109375" customWidth="1"/>
    <col min="3307" max="3307" width="8" customWidth="1"/>
    <col min="3308" max="3309" width="0" hidden="1" customWidth="1"/>
    <col min="3310" max="3310" width="23.28515625" customWidth="1"/>
    <col min="3311" max="3318" width="11.7109375" customWidth="1"/>
    <col min="3319" max="3322" width="16.85546875" bestFit="1" customWidth="1"/>
    <col min="3323" max="3349" width="18.7109375" bestFit="1" customWidth="1"/>
    <col min="3350" max="3350" width="17.140625" bestFit="1" customWidth="1"/>
    <col min="3351" max="3366" width="13.28515625" bestFit="1" customWidth="1"/>
    <col min="3561" max="3561" width="6.140625" customWidth="1"/>
    <col min="3562" max="3562" width="78.7109375" customWidth="1"/>
    <col min="3563" max="3563" width="8" customWidth="1"/>
    <col min="3564" max="3565" width="0" hidden="1" customWidth="1"/>
    <col min="3566" max="3566" width="23.28515625" customWidth="1"/>
    <col min="3567" max="3574" width="11.7109375" customWidth="1"/>
    <col min="3575" max="3578" width="16.85546875" bestFit="1" customWidth="1"/>
    <col min="3579" max="3605" width="18.7109375" bestFit="1" customWidth="1"/>
    <col min="3606" max="3606" width="17.140625" bestFit="1" customWidth="1"/>
    <col min="3607" max="3622" width="13.28515625" bestFit="1" customWidth="1"/>
    <col min="3817" max="3817" width="6.140625" customWidth="1"/>
    <col min="3818" max="3818" width="78.7109375" customWidth="1"/>
    <col min="3819" max="3819" width="8" customWidth="1"/>
    <col min="3820" max="3821" width="0" hidden="1" customWidth="1"/>
    <col min="3822" max="3822" width="23.28515625" customWidth="1"/>
    <col min="3823" max="3830" width="11.7109375" customWidth="1"/>
    <col min="3831" max="3834" width="16.85546875" bestFit="1" customWidth="1"/>
    <col min="3835" max="3861" width="18.7109375" bestFit="1" customWidth="1"/>
    <col min="3862" max="3862" width="17.140625" bestFit="1" customWidth="1"/>
    <col min="3863" max="3878" width="13.28515625" bestFit="1" customWidth="1"/>
    <col min="4073" max="4073" width="6.140625" customWidth="1"/>
    <col min="4074" max="4074" width="78.7109375" customWidth="1"/>
    <col min="4075" max="4075" width="8" customWidth="1"/>
    <col min="4076" max="4077" width="0" hidden="1" customWidth="1"/>
    <col min="4078" max="4078" width="23.28515625" customWidth="1"/>
    <col min="4079" max="4086" width="11.7109375" customWidth="1"/>
    <col min="4087" max="4090" width="16.85546875" bestFit="1" customWidth="1"/>
    <col min="4091" max="4117" width="18.7109375" bestFit="1" customWidth="1"/>
    <col min="4118" max="4118" width="17.140625" bestFit="1" customWidth="1"/>
    <col min="4119" max="4134" width="13.28515625" bestFit="1" customWidth="1"/>
    <col min="4329" max="4329" width="6.140625" customWidth="1"/>
    <col min="4330" max="4330" width="78.7109375" customWidth="1"/>
    <col min="4331" max="4331" width="8" customWidth="1"/>
    <col min="4332" max="4333" width="0" hidden="1" customWidth="1"/>
    <col min="4334" max="4334" width="23.28515625" customWidth="1"/>
    <col min="4335" max="4342" width="11.7109375" customWidth="1"/>
    <col min="4343" max="4346" width="16.85546875" bestFit="1" customWidth="1"/>
    <col min="4347" max="4373" width="18.7109375" bestFit="1" customWidth="1"/>
    <col min="4374" max="4374" width="17.140625" bestFit="1" customWidth="1"/>
    <col min="4375" max="4390" width="13.28515625" bestFit="1" customWidth="1"/>
    <col min="4585" max="4585" width="6.140625" customWidth="1"/>
    <col min="4586" max="4586" width="78.7109375" customWidth="1"/>
    <col min="4587" max="4587" width="8" customWidth="1"/>
    <col min="4588" max="4589" width="0" hidden="1" customWidth="1"/>
    <col min="4590" max="4590" width="23.28515625" customWidth="1"/>
    <col min="4591" max="4598" width="11.7109375" customWidth="1"/>
    <col min="4599" max="4602" width="16.85546875" bestFit="1" customWidth="1"/>
    <col min="4603" max="4629" width="18.7109375" bestFit="1" customWidth="1"/>
    <col min="4630" max="4630" width="17.140625" bestFit="1" customWidth="1"/>
    <col min="4631" max="4646" width="13.28515625" bestFit="1" customWidth="1"/>
    <col min="4841" max="4841" width="6.140625" customWidth="1"/>
    <col min="4842" max="4842" width="78.7109375" customWidth="1"/>
    <col min="4843" max="4843" width="8" customWidth="1"/>
    <col min="4844" max="4845" width="0" hidden="1" customWidth="1"/>
    <col min="4846" max="4846" width="23.28515625" customWidth="1"/>
    <col min="4847" max="4854" width="11.7109375" customWidth="1"/>
    <col min="4855" max="4858" width="16.85546875" bestFit="1" customWidth="1"/>
    <col min="4859" max="4885" width="18.7109375" bestFit="1" customWidth="1"/>
    <col min="4886" max="4886" width="17.140625" bestFit="1" customWidth="1"/>
    <col min="4887" max="4902" width="13.28515625" bestFit="1" customWidth="1"/>
    <col min="5097" max="5097" width="6.140625" customWidth="1"/>
    <col min="5098" max="5098" width="78.7109375" customWidth="1"/>
    <col min="5099" max="5099" width="8" customWidth="1"/>
    <col min="5100" max="5101" width="0" hidden="1" customWidth="1"/>
    <col min="5102" max="5102" width="23.28515625" customWidth="1"/>
    <col min="5103" max="5110" width="11.7109375" customWidth="1"/>
    <col min="5111" max="5114" width="16.85546875" bestFit="1" customWidth="1"/>
    <col min="5115" max="5141" width="18.7109375" bestFit="1" customWidth="1"/>
    <col min="5142" max="5142" width="17.140625" bestFit="1" customWidth="1"/>
    <col min="5143" max="5158" width="13.28515625" bestFit="1" customWidth="1"/>
    <col min="5353" max="5353" width="6.140625" customWidth="1"/>
    <col min="5354" max="5354" width="78.7109375" customWidth="1"/>
    <col min="5355" max="5355" width="8" customWidth="1"/>
    <col min="5356" max="5357" width="0" hidden="1" customWidth="1"/>
    <col min="5358" max="5358" width="23.28515625" customWidth="1"/>
    <col min="5359" max="5366" width="11.7109375" customWidth="1"/>
    <col min="5367" max="5370" width="16.85546875" bestFit="1" customWidth="1"/>
    <col min="5371" max="5397" width="18.7109375" bestFit="1" customWidth="1"/>
    <col min="5398" max="5398" width="17.140625" bestFit="1" customWidth="1"/>
    <col min="5399" max="5414" width="13.28515625" bestFit="1" customWidth="1"/>
    <col min="5609" max="5609" width="6.140625" customWidth="1"/>
    <col min="5610" max="5610" width="78.7109375" customWidth="1"/>
    <col min="5611" max="5611" width="8" customWidth="1"/>
    <col min="5612" max="5613" width="0" hidden="1" customWidth="1"/>
    <col min="5614" max="5614" width="23.28515625" customWidth="1"/>
    <col min="5615" max="5622" width="11.7109375" customWidth="1"/>
    <col min="5623" max="5626" width="16.85546875" bestFit="1" customWidth="1"/>
    <col min="5627" max="5653" width="18.7109375" bestFit="1" customWidth="1"/>
    <col min="5654" max="5654" width="17.140625" bestFit="1" customWidth="1"/>
    <col min="5655" max="5670" width="13.28515625" bestFit="1" customWidth="1"/>
    <col min="5865" max="5865" width="6.140625" customWidth="1"/>
    <col min="5866" max="5866" width="78.7109375" customWidth="1"/>
    <col min="5867" max="5867" width="8" customWidth="1"/>
    <col min="5868" max="5869" width="0" hidden="1" customWidth="1"/>
    <col min="5870" max="5870" width="23.28515625" customWidth="1"/>
    <col min="5871" max="5878" width="11.7109375" customWidth="1"/>
    <col min="5879" max="5882" width="16.85546875" bestFit="1" customWidth="1"/>
    <col min="5883" max="5909" width="18.7109375" bestFit="1" customWidth="1"/>
    <col min="5910" max="5910" width="17.140625" bestFit="1" customWidth="1"/>
    <col min="5911" max="5926" width="13.28515625" bestFit="1" customWidth="1"/>
    <col min="6121" max="6121" width="6.140625" customWidth="1"/>
    <col min="6122" max="6122" width="78.7109375" customWidth="1"/>
    <col min="6123" max="6123" width="8" customWidth="1"/>
    <col min="6124" max="6125" width="0" hidden="1" customWidth="1"/>
    <col min="6126" max="6126" width="23.28515625" customWidth="1"/>
    <col min="6127" max="6134" width="11.7109375" customWidth="1"/>
    <col min="6135" max="6138" width="16.85546875" bestFit="1" customWidth="1"/>
    <col min="6139" max="6165" width="18.7109375" bestFit="1" customWidth="1"/>
    <col min="6166" max="6166" width="17.140625" bestFit="1" customWidth="1"/>
    <col min="6167" max="6182" width="13.28515625" bestFit="1" customWidth="1"/>
    <col min="6377" max="6377" width="6.140625" customWidth="1"/>
    <col min="6378" max="6378" width="78.7109375" customWidth="1"/>
    <col min="6379" max="6379" width="8" customWidth="1"/>
    <col min="6380" max="6381" width="0" hidden="1" customWidth="1"/>
    <col min="6382" max="6382" width="23.28515625" customWidth="1"/>
    <col min="6383" max="6390" width="11.7109375" customWidth="1"/>
    <col min="6391" max="6394" width="16.85546875" bestFit="1" customWidth="1"/>
    <col min="6395" max="6421" width="18.7109375" bestFit="1" customWidth="1"/>
    <col min="6422" max="6422" width="17.140625" bestFit="1" customWidth="1"/>
    <col min="6423" max="6438" width="13.28515625" bestFit="1" customWidth="1"/>
    <col min="6633" max="6633" width="6.140625" customWidth="1"/>
    <col min="6634" max="6634" width="78.7109375" customWidth="1"/>
    <col min="6635" max="6635" width="8" customWidth="1"/>
    <col min="6636" max="6637" width="0" hidden="1" customWidth="1"/>
    <col min="6638" max="6638" width="23.28515625" customWidth="1"/>
    <col min="6639" max="6646" width="11.7109375" customWidth="1"/>
    <col min="6647" max="6650" width="16.85546875" bestFit="1" customWidth="1"/>
    <col min="6651" max="6677" width="18.7109375" bestFit="1" customWidth="1"/>
    <col min="6678" max="6678" width="17.140625" bestFit="1" customWidth="1"/>
    <col min="6679" max="6694" width="13.28515625" bestFit="1" customWidth="1"/>
    <col min="6889" max="6889" width="6.140625" customWidth="1"/>
    <col min="6890" max="6890" width="78.7109375" customWidth="1"/>
    <col min="6891" max="6891" width="8" customWidth="1"/>
    <col min="6892" max="6893" width="0" hidden="1" customWidth="1"/>
    <col min="6894" max="6894" width="23.28515625" customWidth="1"/>
    <col min="6895" max="6902" width="11.7109375" customWidth="1"/>
    <col min="6903" max="6906" width="16.85546875" bestFit="1" customWidth="1"/>
    <col min="6907" max="6933" width="18.7109375" bestFit="1" customWidth="1"/>
    <col min="6934" max="6934" width="17.140625" bestFit="1" customWidth="1"/>
    <col min="6935" max="6950" width="13.28515625" bestFit="1" customWidth="1"/>
    <col min="7145" max="7145" width="6.140625" customWidth="1"/>
    <col min="7146" max="7146" width="78.7109375" customWidth="1"/>
    <col min="7147" max="7147" width="8" customWidth="1"/>
    <col min="7148" max="7149" width="0" hidden="1" customWidth="1"/>
    <col min="7150" max="7150" width="23.28515625" customWidth="1"/>
    <col min="7151" max="7158" width="11.7109375" customWidth="1"/>
    <col min="7159" max="7162" width="16.85546875" bestFit="1" customWidth="1"/>
    <col min="7163" max="7189" width="18.7109375" bestFit="1" customWidth="1"/>
    <col min="7190" max="7190" width="17.140625" bestFit="1" customWidth="1"/>
    <col min="7191" max="7206" width="13.28515625" bestFit="1" customWidth="1"/>
    <col min="7401" max="7401" width="6.140625" customWidth="1"/>
    <col min="7402" max="7402" width="78.7109375" customWidth="1"/>
    <col min="7403" max="7403" width="8" customWidth="1"/>
    <col min="7404" max="7405" width="0" hidden="1" customWidth="1"/>
    <col min="7406" max="7406" width="23.28515625" customWidth="1"/>
    <col min="7407" max="7414" width="11.7109375" customWidth="1"/>
    <col min="7415" max="7418" width="16.85546875" bestFit="1" customWidth="1"/>
    <col min="7419" max="7445" width="18.7109375" bestFit="1" customWidth="1"/>
    <col min="7446" max="7446" width="17.140625" bestFit="1" customWidth="1"/>
    <col min="7447" max="7462" width="13.28515625" bestFit="1" customWidth="1"/>
    <col min="7657" max="7657" width="6.140625" customWidth="1"/>
    <col min="7658" max="7658" width="78.7109375" customWidth="1"/>
    <col min="7659" max="7659" width="8" customWidth="1"/>
    <col min="7660" max="7661" width="0" hidden="1" customWidth="1"/>
    <col min="7662" max="7662" width="23.28515625" customWidth="1"/>
    <col min="7663" max="7670" width="11.7109375" customWidth="1"/>
    <col min="7671" max="7674" width="16.85546875" bestFit="1" customWidth="1"/>
    <col min="7675" max="7701" width="18.7109375" bestFit="1" customWidth="1"/>
    <col min="7702" max="7702" width="17.140625" bestFit="1" customWidth="1"/>
    <col min="7703" max="7718" width="13.28515625" bestFit="1" customWidth="1"/>
    <col min="7913" max="7913" width="6.140625" customWidth="1"/>
    <col min="7914" max="7914" width="78.7109375" customWidth="1"/>
    <col min="7915" max="7915" width="8" customWidth="1"/>
    <col min="7916" max="7917" width="0" hidden="1" customWidth="1"/>
    <col min="7918" max="7918" width="23.28515625" customWidth="1"/>
    <col min="7919" max="7926" width="11.7109375" customWidth="1"/>
    <col min="7927" max="7930" width="16.85546875" bestFit="1" customWidth="1"/>
    <col min="7931" max="7957" width="18.7109375" bestFit="1" customWidth="1"/>
    <col min="7958" max="7958" width="17.140625" bestFit="1" customWidth="1"/>
    <col min="7959" max="7974" width="13.28515625" bestFit="1" customWidth="1"/>
    <col min="8169" max="8169" width="6.140625" customWidth="1"/>
    <col min="8170" max="8170" width="78.7109375" customWidth="1"/>
    <col min="8171" max="8171" width="8" customWidth="1"/>
    <col min="8172" max="8173" width="0" hidden="1" customWidth="1"/>
    <col min="8174" max="8174" width="23.28515625" customWidth="1"/>
    <col min="8175" max="8182" width="11.7109375" customWidth="1"/>
    <col min="8183" max="8186" width="16.85546875" bestFit="1" customWidth="1"/>
    <col min="8187" max="8213" width="18.7109375" bestFit="1" customWidth="1"/>
    <col min="8214" max="8214" width="17.140625" bestFit="1" customWidth="1"/>
    <col min="8215" max="8230" width="13.28515625" bestFit="1" customWidth="1"/>
    <col min="8425" max="8425" width="6.140625" customWidth="1"/>
    <col min="8426" max="8426" width="78.7109375" customWidth="1"/>
    <col min="8427" max="8427" width="8" customWidth="1"/>
    <col min="8428" max="8429" width="0" hidden="1" customWidth="1"/>
    <col min="8430" max="8430" width="23.28515625" customWidth="1"/>
    <col min="8431" max="8438" width="11.7109375" customWidth="1"/>
    <col min="8439" max="8442" width="16.85546875" bestFit="1" customWidth="1"/>
    <col min="8443" max="8469" width="18.7109375" bestFit="1" customWidth="1"/>
    <col min="8470" max="8470" width="17.140625" bestFit="1" customWidth="1"/>
    <col min="8471" max="8486" width="13.28515625" bestFit="1" customWidth="1"/>
    <col min="8681" max="8681" width="6.140625" customWidth="1"/>
    <col min="8682" max="8682" width="78.7109375" customWidth="1"/>
    <col min="8683" max="8683" width="8" customWidth="1"/>
    <col min="8684" max="8685" width="0" hidden="1" customWidth="1"/>
    <col min="8686" max="8686" width="23.28515625" customWidth="1"/>
    <col min="8687" max="8694" width="11.7109375" customWidth="1"/>
    <col min="8695" max="8698" width="16.85546875" bestFit="1" customWidth="1"/>
    <col min="8699" max="8725" width="18.7109375" bestFit="1" customWidth="1"/>
    <col min="8726" max="8726" width="17.140625" bestFit="1" customWidth="1"/>
    <col min="8727" max="8742" width="13.28515625" bestFit="1" customWidth="1"/>
    <col min="8937" max="8937" width="6.140625" customWidth="1"/>
    <col min="8938" max="8938" width="78.7109375" customWidth="1"/>
    <col min="8939" max="8939" width="8" customWidth="1"/>
    <col min="8940" max="8941" width="0" hidden="1" customWidth="1"/>
    <col min="8942" max="8942" width="23.28515625" customWidth="1"/>
    <col min="8943" max="8950" width="11.7109375" customWidth="1"/>
    <col min="8951" max="8954" width="16.85546875" bestFit="1" customWidth="1"/>
    <col min="8955" max="8981" width="18.7109375" bestFit="1" customWidth="1"/>
    <col min="8982" max="8982" width="17.140625" bestFit="1" customWidth="1"/>
    <col min="8983" max="8998" width="13.28515625" bestFit="1" customWidth="1"/>
    <col min="9193" max="9193" width="6.140625" customWidth="1"/>
    <col min="9194" max="9194" width="78.7109375" customWidth="1"/>
    <col min="9195" max="9195" width="8" customWidth="1"/>
    <col min="9196" max="9197" width="0" hidden="1" customWidth="1"/>
    <col min="9198" max="9198" width="23.28515625" customWidth="1"/>
    <col min="9199" max="9206" width="11.7109375" customWidth="1"/>
    <col min="9207" max="9210" width="16.85546875" bestFit="1" customWidth="1"/>
    <col min="9211" max="9237" width="18.7109375" bestFit="1" customWidth="1"/>
    <col min="9238" max="9238" width="17.140625" bestFit="1" customWidth="1"/>
    <col min="9239" max="9254" width="13.28515625" bestFit="1" customWidth="1"/>
    <col min="9449" max="9449" width="6.140625" customWidth="1"/>
    <col min="9450" max="9450" width="78.7109375" customWidth="1"/>
    <col min="9451" max="9451" width="8" customWidth="1"/>
    <col min="9452" max="9453" width="0" hidden="1" customWidth="1"/>
    <col min="9454" max="9454" width="23.28515625" customWidth="1"/>
    <col min="9455" max="9462" width="11.7109375" customWidth="1"/>
    <col min="9463" max="9466" width="16.85546875" bestFit="1" customWidth="1"/>
    <col min="9467" max="9493" width="18.7109375" bestFit="1" customWidth="1"/>
    <col min="9494" max="9494" width="17.140625" bestFit="1" customWidth="1"/>
    <col min="9495" max="9510" width="13.28515625" bestFit="1" customWidth="1"/>
    <col min="9705" max="9705" width="6.140625" customWidth="1"/>
    <col min="9706" max="9706" width="78.7109375" customWidth="1"/>
    <col min="9707" max="9707" width="8" customWidth="1"/>
    <col min="9708" max="9709" width="0" hidden="1" customWidth="1"/>
    <col min="9710" max="9710" width="23.28515625" customWidth="1"/>
    <col min="9711" max="9718" width="11.7109375" customWidth="1"/>
    <col min="9719" max="9722" width="16.85546875" bestFit="1" customWidth="1"/>
    <col min="9723" max="9749" width="18.7109375" bestFit="1" customWidth="1"/>
    <col min="9750" max="9750" width="17.140625" bestFit="1" customWidth="1"/>
    <col min="9751" max="9766" width="13.28515625" bestFit="1" customWidth="1"/>
    <col min="9961" max="9961" width="6.140625" customWidth="1"/>
    <col min="9962" max="9962" width="78.7109375" customWidth="1"/>
    <col min="9963" max="9963" width="8" customWidth="1"/>
    <col min="9964" max="9965" width="0" hidden="1" customWidth="1"/>
    <col min="9966" max="9966" width="23.28515625" customWidth="1"/>
    <col min="9967" max="9974" width="11.7109375" customWidth="1"/>
    <col min="9975" max="9978" width="16.85546875" bestFit="1" customWidth="1"/>
    <col min="9979" max="10005" width="18.7109375" bestFit="1" customWidth="1"/>
    <col min="10006" max="10006" width="17.140625" bestFit="1" customWidth="1"/>
    <col min="10007" max="10022" width="13.28515625" bestFit="1" customWidth="1"/>
    <col min="10217" max="10217" width="6.140625" customWidth="1"/>
    <col min="10218" max="10218" width="78.7109375" customWidth="1"/>
    <col min="10219" max="10219" width="8" customWidth="1"/>
    <col min="10220" max="10221" width="0" hidden="1" customWidth="1"/>
    <col min="10222" max="10222" width="23.28515625" customWidth="1"/>
    <col min="10223" max="10230" width="11.7109375" customWidth="1"/>
    <col min="10231" max="10234" width="16.85546875" bestFit="1" customWidth="1"/>
    <col min="10235" max="10261" width="18.7109375" bestFit="1" customWidth="1"/>
    <col min="10262" max="10262" width="17.140625" bestFit="1" customWidth="1"/>
    <col min="10263" max="10278" width="13.28515625" bestFit="1" customWidth="1"/>
    <col min="10473" max="10473" width="6.140625" customWidth="1"/>
    <col min="10474" max="10474" width="78.7109375" customWidth="1"/>
    <col min="10475" max="10475" width="8" customWidth="1"/>
    <col min="10476" max="10477" width="0" hidden="1" customWidth="1"/>
    <col min="10478" max="10478" width="23.28515625" customWidth="1"/>
    <col min="10479" max="10486" width="11.7109375" customWidth="1"/>
    <col min="10487" max="10490" width="16.85546875" bestFit="1" customWidth="1"/>
    <col min="10491" max="10517" width="18.7109375" bestFit="1" customWidth="1"/>
    <col min="10518" max="10518" width="17.140625" bestFit="1" customWidth="1"/>
    <col min="10519" max="10534" width="13.28515625" bestFit="1" customWidth="1"/>
    <col min="10729" max="10729" width="6.140625" customWidth="1"/>
    <col min="10730" max="10730" width="78.7109375" customWidth="1"/>
    <col min="10731" max="10731" width="8" customWidth="1"/>
    <col min="10732" max="10733" width="0" hidden="1" customWidth="1"/>
    <col min="10734" max="10734" width="23.28515625" customWidth="1"/>
    <col min="10735" max="10742" width="11.7109375" customWidth="1"/>
    <col min="10743" max="10746" width="16.85546875" bestFit="1" customWidth="1"/>
    <col min="10747" max="10773" width="18.7109375" bestFit="1" customWidth="1"/>
    <col min="10774" max="10774" width="17.140625" bestFit="1" customWidth="1"/>
    <col min="10775" max="10790" width="13.28515625" bestFit="1" customWidth="1"/>
    <col min="10985" max="10985" width="6.140625" customWidth="1"/>
    <col min="10986" max="10986" width="78.7109375" customWidth="1"/>
    <col min="10987" max="10987" width="8" customWidth="1"/>
    <col min="10988" max="10989" width="0" hidden="1" customWidth="1"/>
    <col min="10990" max="10990" width="23.28515625" customWidth="1"/>
    <col min="10991" max="10998" width="11.7109375" customWidth="1"/>
    <col min="10999" max="11002" width="16.85546875" bestFit="1" customWidth="1"/>
    <col min="11003" max="11029" width="18.7109375" bestFit="1" customWidth="1"/>
    <col min="11030" max="11030" width="17.140625" bestFit="1" customWidth="1"/>
    <col min="11031" max="11046" width="13.28515625" bestFit="1" customWidth="1"/>
    <col min="11241" max="11241" width="6.140625" customWidth="1"/>
    <col min="11242" max="11242" width="78.7109375" customWidth="1"/>
    <col min="11243" max="11243" width="8" customWidth="1"/>
    <col min="11244" max="11245" width="0" hidden="1" customWidth="1"/>
    <col min="11246" max="11246" width="23.28515625" customWidth="1"/>
    <col min="11247" max="11254" width="11.7109375" customWidth="1"/>
    <col min="11255" max="11258" width="16.85546875" bestFit="1" customWidth="1"/>
    <col min="11259" max="11285" width="18.7109375" bestFit="1" customWidth="1"/>
    <col min="11286" max="11286" width="17.140625" bestFit="1" customWidth="1"/>
    <col min="11287" max="11302" width="13.28515625" bestFit="1" customWidth="1"/>
    <col min="11497" max="11497" width="6.140625" customWidth="1"/>
    <col min="11498" max="11498" width="78.7109375" customWidth="1"/>
    <col min="11499" max="11499" width="8" customWidth="1"/>
    <col min="11500" max="11501" width="0" hidden="1" customWidth="1"/>
    <col min="11502" max="11502" width="23.28515625" customWidth="1"/>
    <col min="11503" max="11510" width="11.7109375" customWidth="1"/>
    <col min="11511" max="11514" width="16.85546875" bestFit="1" customWidth="1"/>
    <col min="11515" max="11541" width="18.7109375" bestFit="1" customWidth="1"/>
    <col min="11542" max="11542" width="17.140625" bestFit="1" customWidth="1"/>
    <col min="11543" max="11558" width="13.28515625" bestFit="1" customWidth="1"/>
    <col min="11753" max="11753" width="6.140625" customWidth="1"/>
    <col min="11754" max="11754" width="78.7109375" customWidth="1"/>
    <col min="11755" max="11755" width="8" customWidth="1"/>
    <col min="11756" max="11757" width="0" hidden="1" customWidth="1"/>
    <col min="11758" max="11758" width="23.28515625" customWidth="1"/>
    <col min="11759" max="11766" width="11.7109375" customWidth="1"/>
    <col min="11767" max="11770" width="16.85546875" bestFit="1" customWidth="1"/>
    <col min="11771" max="11797" width="18.7109375" bestFit="1" customWidth="1"/>
    <col min="11798" max="11798" width="17.140625" bestFit="1" customWidth="1"/>
    <col min="11799" max="11814" width="13.28515625" bestFit="1" customWidth="1"/>
    <col min="12009" max="12009" width="6.140625" customWidth="1"/>
    <col min="12010" max="12010" width="78.7109375" customWidth="1"/>
    <col min="12011" max="12011" width="8" customWidth="1"/>
    <col min="12012" max="12013" width="0" hidden="1" customWidth="1"/>
    <col min="12014" max="12014" width="23.28515625" customWidth="1"/>
    <col min="12015" max="12022" width="11.7109375" customWidth="1"/>
    <col min="12023" max="12026" width="16.85546875" bestFit="1" customWidth="1"/>
    <col min="12027" max="12053" width="18.7109375" bestFit="1" customWidth="1"/>
    <col min="12054" max="12054" width="17.140625" bestFit="1" customWidth="1"/>
    <col min="12055" max="12070" width="13.28515625" bestFit="1" customWidth="1"/>
    <col min="12265" max="12265" width="6.140625" customWidth="1"/>
    <col min="12266" max="12266" width="78.7109375" customWidth="1"/>
    <col min="12267" max="12267" width="8" customWidth="1"/>
    <col min="12268" max="12269" width="0" hidden="1" customWidth="1"/>
    <col min="12270" max="12270" width="23.28515625" customWidth="1"/>
    <col min="12271" max="12278" width="11.7109375" customWidth="1"/>
    <col min="12279" max="12282" width="16.85546875" bestFit="1" customWidth="1"/>
    <col min="12283" max="12309" width="18.7109375" bestFit="1" customWidth="1"/>
    <col min="12310" max="12310" width="17.140625" bestFit="1" customWidth="1"/>
    <col min="12311" max="12326" width="13.28515625" bestFit="1" customWidth="1"/>
    <col min="12521" max="12521" width="6.140625" customWidth="1"/>
    <col min="12522" max="12522" width="78.7109375" customWidth="1"/>
    <col min="12523" max="12523" width="8" customWidth="1"/>
    <col min="12524" max="12525" width="0" hidden="1" customWidth="1"/>
    <col min="12526" max="12526" width="23.28515625" customWidth="1"/>
    <col min="12527" max="12534" width="11.7109375" customWidth="1"/>
    <col min="12535" max="12538" width="16.85546875" bestFit="1" customWidth="1"/>
    <col min="12539" max="12565" width="18.7109375" bestFit="1" customWidth="1"/>
    <col min="12566" max="12566" width="17.140625" bestFit="1" customWidth="1"/>
    <col min="12567" max="12582" width="13.28515625" bestFit="1" customWidth="1"/>
    <col min="12777" max="12777" width="6.140625" customWidth="1"/>
    <col min="12778" max="12778" width="78.7109375" customWidth="1"/>
    <col min="12779" max="12779" width="8" customWidth="1"/>
    <col min="12780" max="12781" width="0" hidden="1" customWidth="1"/>
    <col min="12782" max="12782" width="23.28515625" customWidth="1"/>
    <col min="12783" max="12790" width="11.7109375" customWidth="1"/>
    <col min="12791" max="12794" width="16.85546875" bestFit="1" customWidth="1"/>
    <col min="12795" max="12821" width="18.7109375" bestFit="1" customWidth="1"/>
    <col min="12822" max="12822" width="17.140625" bestFit="1" customWidth="1"/>
    <col min="12823" max="12838" width="13.28515625" bestFit="1" customWidth="1"/>
    <col min="13033" max="13033" width="6.140625" customWidth="1"/>
    <col min="13034" max="13034" width="78.7109375" customWidth="1"/>
    <col min="13035" max="13035" width="8" customWidth="1"/>
    <col min="13036" max="13037" width="0" hidden="1" customWidth="1"/>
    <col min="13038" max="13038" width="23.28515625" customWidth="1"/>
    <col min="13039" max="13046" width="11.7109375" customWidth="1"/>
    <col min="13047" max="13050" width="16.85546875" bestFit="1" customWidth="1"/>
    <col min="13051" max="13077" width="18.7109375" bestFit="1" customWidth="1"/>
    <col min="13078" max="13078" width="17.140625" bestFit="1" customWidth="1"/>
    <col min="13079" max="13094" width="13.28515625" bestFit="1" customWidth="1"/>
    <col min="13289" max="13289" width="6.140625" customWidth="1"/>
    <col min="13290" max="13290" width="78.7109375" customWidth="1"/>
    <col min="13291" max="13291" width="8" customWidth="1"/>
    <col min="13292" max="13293" width="0" hidden="1" customWidth="1"/>
    <col min="13294" max="13294" width="23.28515625" customWidth="1"/>
    <col min="13295" max="13302" width="11.7109375" customWidth="1"/>
    <col min="13303" max="13306" width="16.85546875" bestFit="1" customWidth="1"/>
    <col min="13307" max="13333" width="18.7109375" bestFit="1" customWidth="1"/>
    <col min="13334" max="13334" width="17.140625" bestFit="1" customWidth="1"/>
    <col min="13335" max="13350" width="13.28515625" bestFit="1" customWidth="1"/>
    <col min="13545" max="13545" width="6.140625" customWidth="1"/>
    <col min="13546" max="13546" width="78.7109375" customWidth="1"/>
    <col min="13547" max="13547" width="8" customWidth="1"/>
    <col min="13548" max="13549" width="0" hidden="1" customWidth="1"/>
    <col min="13550" max="13550" width="23.28515625" customWidth="1"/>
    <col min="13551" max="13558" width="11.7109375" customWidth="1"/>
    <col min="13559" max="13562" width="16.85546875" bestFit="1" customWidth="1"/>
    <col min="13563" max="13589" width="18.7109375" bestFit="1" customWidth="1"/>
    <col min="13590" max="13590" width="17.140625" bestFit="1" customWidth="1"/>
    <col min="13591" max="13606" width="13.28515625" bestFit="1" customWidth="1"/>
    <col min="13801" max="13801" width="6.140625" customWidth="1"/>
    <col min="13802" max="13802" width="78.7109375" customWidth="1"/>
    <col min="13803" max="13803" width="8" customWidth="1"/>
    <col min="13804" max="13805" width="0" hidden="1" customWidth="1"/>
    <col min="13806" max="13806" width="23.28515625" customWidth="1"/>
    <col min="13807" max="13814" width="11.7109375" customWidth="1"/>
    <col min="13815" max="13818" width="16.85546875" bestFit="1" customWidth="1"/>
    <col min="13819" max="13845" width="18.7109375" bestFit="1" customWidth="1"/>
    <col min="13846" max="13846" width="17.140625" bestFit="1" customWidth="1"/>
    <col min="13847" max="13862" width="13.28515625" bestFit="1" customWidth="1"/>
    <col min="14057" max="14057" width="6.140625" customWidth="1"/>
    <col min="14058" max="14058" width="78.7109375" customWidth="1"/>
    <col min="14059" max="14059" width="8" customWidth="1"/>
    <col min="14060" max="14061" width="0" hidden="1" customWidth="1"/>
    <col min="14062" max="14062" width="23.28515625" customWidth="1"/>
    <col min="14063" max="14070" width="11.7109375" customWidth="1"/>
    <col min="14071" max="14074" width="16.85546875" bestFit="1" customWidth="1"/>
    <col min="14075" max="14101" width="18.7109375" bestFit="1" customWidth="1"/>
    <col min="14102" max="14102" width="17.140625" bestFit="1" customWidth="1"/>
    <col min="14103" max="14118" width="13.28515625" bestFit="1" customWidth="1"/>
    <col min="14313" max="14313" width="6.140625" customWidth="1"/>
    <col min="14314" max="14314" width="78.7109375" customWidth="1"/>
    <col min="14315" max="14315" width="8" customWidth="1"/>
    <col min="14316" max="14317" width="0" hidden="1" customWidth="1"/>
    <col min="14318" max="14318" width="23.28515625" customWidth="1"/>
    <col min="14319" max="14326" width="11.7109375" customWidth="1"/>
    <col min="14327" max="14330" width="16.85546875" bestFit="1" customWidth="1"/>
    <col min="14331" max="14357" width="18.7109375" bestFit="1" customWidth="1"/>
    <col min="14358" max="14358" width="17.140625" bestFit="1" customWidth="1"/>
    <col min="14359" max="14374" width="13.28515625" bestFit="1" customWidth="1"/>
    <col min="14569" max="14569" width="6.140625" customWidth="1"/>
    <col min="14570" max="14570" width="78.7109375" customWidth="1"/>
    <col min="14571" max="14571" width="8" customWidth="1"/>
    <col min="14572" max="14573" width="0" hidden="1" customWidth="1"/>
    <col min="14574" max="14574" width="23.28515625" customWidth="1"/>
    <col min="14575" max="14582" width="11.7109375" customWidth="1"/>
    <col min="14583" max="14586" width="16.85546875" bestFit="1" customWidth="1"/>
    <col min="14587" max="14613" width="18.7109375" bestFit="1" customWidth="1"/>
    <col min="14614" max="14614" width="17.140625" bestFit="1" customWidth="1"/>
    <col min="14615" max="14630" width="13.28515625" bestFit="1" customWidth="1"/>
    <col min="14825" max="14825" width="6.140625" customWidth="1"/>
    <col min="14826" max="14826" width="78.7109375" customWidth="1"/>
    <col min="14827" max="14827" width="8" customWidth="1"/>
    <col min="14828" max="14829" width="0" hidden="1" customWidth="1"/>
    <col min="14830" max="14830" width="23.28515625" customWidth="1"/>
    <col min="14831" max="14838" width="11.7109375" customWidth="1"/>
    <col min="14839" max="14842" width="16.85546875" bestFit="1" customWidth="1"/>
    <col min="14843" max="14869" width="18.7109375" bestFit="1" customWidth="1"/>
    <col min="14870" max="14870" width="17.140625" bestFit="1" customWidth="1"/>
    <col min="14871" max="14886" width="13.28515625" bestFit="1" customWidth="1"/>
    <col min="15081" max="15081" width="6.140625" customWidth="1"/>
    <col min="15082" max="15082" width="78.7109375" customWidth="1"/>
    <col min="15083" max="15083" width="8" customWidth="1"/>
    <col min="15084" max="15085" width="0" hidden="1" customWidth="1"/>
    <col min="15086" max="15086" width="23.28515625" customWidth="1"/>
    <col min="15087" max="15094" width="11.7109375" customWidth="1"/>
    <col min="15095" max="15098" width="16.85546875" bestFit="1" customWidth="1"/>
    <col min="15099" max="15125" width="18.7109375" bestFit="1" customWidth="1"/>
    <col min="15126" max="15126" width="17.140625" bestFit="1" customWidth="1"/>
    <col min="15127" max="15142" width="13.28515625" bestFit="1" customWidth="1"/>
    <col min="15337" max="15337" width="6.140625" customWidth="1"/>
    <col min="15338" max="15338" width="78.7109375" customWidth="1"/>
    <col min="15339" max="15339" width="8" customWidth="1"/>
    <col min="15340" max="15341" width="0" hidden="1" customWidth="1"/>
    <col min="15342" max="15342" width="23.28515625" customWidth="1"/>
    <col min="15343" max="15350" width="11.7109375" customWidth="1"/>
    <col min="15351" max="15354" width="16.85546875" bestFit="1" customWidth="1"/>
    <col min="15355" max="15381" width="18.7109375" bestFit="1" customWidth="1"/>
    <col min="15382" max="15382" width="17.140625" bestFit="1" customWidth="1"/>
    <col min="15383" max="15398" width="13.28515625" bestFit="1" customWidth="1"/>
    <col min="15593" max="15593" width="6.140625" customWidth="1"/>
    <col min="15594" max="15594" width="78.7109375" customWidth="1"/>
    <col min="15595" max="15595" width="8" customWidth="1"/>
    <col min="15596" max="15597" width="0" hidden="1" customWidth="1"/>
    <col min="15598" max="15598" width="23.28515625" customWidth="1"/>
    <col min="15599" max="15606" width="11.7109375" customWidth="1"/>
    <col min="15607" max="15610" width="16.85546875" bestFit="1" customWidth="1"/>
    <col min="15611" max="15637" width="18.7109375" bestFit="1" customWidth="1"/>
    <col min="15638" max="15638" width="17.140625" bestFit="1" customWidth="1"/>
    <col min="15639" max="15654" width="13.28515625" bestFit="1" customWidth="1"/>
    <col min="15849" max="15849" width="6.140625" customWidth="1"/>
    <col min="15850" max="15850" width="78.7109375" customWidth="1"/>
    <col min="15851" max="15851" width="8" customWidth="1"/>
    <col min="15852" max="15853" width="0" hidden="1" customWidth="1"/>
    <col min="15854" max="15854" width="23.28515625" customWidth="1"/>
    <col min="15855" max="15862" width="11.7109375" customWidth="1"/>
    <col min="15863" max="15866" width="16.85546875" bestFit="1" customWidth="1"/>
    <col min="15867" max="15893" width="18.7109375" bestFit="1" customWidth="1"/>
    <col min="15894" max="15894" width="17.140625" bestFit="1" customWidth="1"/>
    <col min="15895" max="15910" width="13.28515625" bestFit="1" customWidth="1"/>
    <col min="16105" max="16105" width="6.140625" customWidth="1"/>
    <col min="16106" max="16106" width="78.7109375" customWidth="1"/>
    <col min="16107" max="16107" width="8" customWidth="1"/>
    <col min="16108" max="16109" width="0" hidden="1" customWidth="1"/>
    <col min="16110" max="16110" width="23.28515625" customWidth="1"/>
    <col min="16111" max="16118" width="11.7109375" customWidth="1"/>
    <col min="16119" max="16122" width="16.85546875" bestFit="1" customWidth="1"/>
    <col min="16123" max="16149" width="18.7109375" bestFit="1" customWidth="1"/>
    <col min="16150" max="16150" width="17.140625" bestFit="1" customWidth="1"/>
    <col min="16151" max="16166" width="13.28515625" bestFit="1" customWidth="1"/>
  </cols>
  <sheetData>
    <row r="1" spans="1:62" ht="27" customHeight="1">
      <c r="A1" s="2127" t="s">
        <v>2688</v>
      </c>
      <c r="B1" s="2128"/>
      <c r="C1" s="2128"/>
      <c r="D1" s="2128"/>
      <c r="E1" s="2128"/>
      <c r="F1" s="2128"/>
      <c r="G1" s="2129" t="str">
        <f>+A2</f>
        <v>“CONSTRUCCIÓN DE LA PRIMERA FASE DEL ALCANTARILLADO SANITARIO PARA LA RECOLECCIÓN DE LAS AGUAS RESIDUALES DEL CENTRO POBLADO CACHIMBAL DEL MUNICIPIO DE GUADALUPE, DEPARTAMENTO DEL HUILA”</v>
      </c>
      <c r="H1" s="2130"/>
      <c r="I1" s="2130"/>
      <c r="J1" s="2130"/>
      <c r="K1" s="2130"/>
      <c r="L1" s="2130"/>
      <c r="M1" s="2130"/>
      <c r="N1" s="2130"/>
      <c r="O1" s="2130"/>
      <c r="P1" s="2130"/>
      <c r="Q1" s="2130"/>
      <c r="R1" s="2130"/>
      <c r="S1" s="2130"/>
      <c r="T1" s="2130"/>
      <c r="U1" s="2130"/>
      <c r="V1" s="2130"/>
      <c r="W1" s="2130"/>
      <c r="X1" s="2130"/>
      <c r="Y1" s="2130"/>
      <c r="Z1" s="2130"/>
      <c r="AA1" s="2130"/>
      <c r="AB1" s="2130"/>
      <c r="AC1" s="2130"/>
      <c r="AD1" s="2130"/>
      <c r="AE1" s="2130"/>
      <c r="AF1" s="2130"/>
      <c r="AG1" s="2130"/>
      <c r="AH1" s="2130"/>
      <c r="AI1" s="2130"/>
      <c r="AJ1" s="2130"/>
      <c r="AK1" s="2130"/>
      <c r="AL1" s="2130"/>
      <c r="AM1" s="2130"/>
      <c r="AN1" s="2130"/>
      <c r="AO1" s="2130"/>
      <c r="AP1" s="2130"/>
      <c r="AQ1" s="2130"/>
      <c r="AR1" s="2130"/>
      <c r="AS1" s="2130"/>
      <c r="AT1" s="2130"/>
      <c r="AU1" s="2130"/>
      <c r="AV1" s="2130"/>
      <c r="AW1" s="2130"/>
      <c r="AX1" s="2130"/>
      <c r="AY1" s="2130"/>
      <c r="AZ1" s="2130"/>
      <c r="BA1" s="2130"/>
      <c r="BB1" s="2130"/>
      <c r="BC1" s="2130"/>
      <c r="BD1" s="2130"/>
      <c r="BE1" s="2130"/>
      <c r="BF1" s="2130"/>
      <c r="BG1" s="2130"/>
      <c r="BH1" s="2130"/>
      <c r="BI1" s="2130"/>
      <c r="BJ1" s="2131"/>
    </row>
    <row r="2" spans="1:62" ht="64.5" customHeight="1" thickBot="1">
      <c r="A2" s="2134" t="str">
        <f>+PRESUPUESTO!A9</f>
        <v>“CONSTRUCCIÓN DE LA PRIMERA FASE DEL ALCANTARILLADO SANITARIO PARA LA RECOLECCIÓN DE LAS AGUAS RESIDUALES DEL CENTRO POBLADO CACHIMBAL DEL MUNICIPIO DE GUADALUPE, DEPARTAMENTO DEL HUILA”</v>
      </c>
      <c r="B2" s="2135"/>
      <c r="C2" s="2135"/>
      <c r="D2" s="2135"/>
      <c r="E2" s="2135"/>
      <c r="F2" s="2135"/>
      <c r="G2" s="2132"/>
      <c r="H2" s="2132"/>
      <c r="I2" s="2132"/>
      <c r="J2" s="2132"/>
      <c r="K2" s="2132"/>
      <c r="L2" s="2132"/>
      <c r="M2" s="2132"/>
      <c r="N2" s="2132"/>
      <c r="O2" s="2132"/>
      <c r="P2" s="2132"/>
      <c r="Q2" s="2132"/>
      <c r="R2" s="2132"/>
      <c r="S2" s="2132"/>
      <c r="T2" s="2132"/>
      <c r="U2" s="2132"/>
      <c r="V2" s="2132"/>
      <c r="W2" s="2132"/>
      <c r="X2" s="2132"/>
      <c r="Y2" s="2132"/>
      <c r="Z2" s="2132"/>
      <c r="AA2" s="2132"/>
      <c r="AB2" s="2132"/>
      <c r="AC2" s="2132"/>
      <c r="AD2" s="2132"/>
      <c r="AE2" s="2132"/>
      <c r="AF2" s="2132"/>
      <c r="AG2" s="2132"/>
      <c r="AH2" s="2132"/>
      <c r="AI2" s="2132"/>
      <c r="AJ2" s="2132"/>
      <c r="AK2" s="2132"/>
      <c r="AL2" s="2132"/>
      <c r="AM2" s="2132"/>
      <c r="AN2" s="2132"/>
      <c r="AO2" s="2132"/>
      <c r="AP2" s="2132"/>
      <c r="AQ2" s="2132"/>
      <c r="AR2" s="2132"/>
      <c r="AS2" s="2132"/>
      <c r="AT2" s="2132"/>
      <c r="AU2" s="2132"/>
      <c r="AV2" s="2132"/>
      <c r="AW2" s="2132"/>
      <c r="AX2" s="2132"/>
      <c r="AY2" s="2132"/>
      <c r="AZ2" s="2132"/>
      <c r="BA2" s="2132"/>
      <c r="BB2" s="2132"/>
      <c r="BC2" s="2132"/>
      <c r="BD2" s="2132"/>
      <c r="BE2" s="2132"/>
      <c r="BF2" s="2132"/>
      <c r="BG2" s="2132"/>
      <c r="BH2" s="2132"/>
      <c r="BI2" s="2132"/>
      <c r="BJ2" s="2133"/>
    </row>
    <row r="3" spans="1:62" ht="18" thickBot="1">
      <c r="A3" s="2140" t="s">
        <v>537</v>
      </c>
      <c r="B3" s="2141"/>
      <c r="C3" s="2141"/>
      <c r="D3" s="2141"/>
      <c r="E3" s="2141"/>
      <c r="F3" s="2142"/>
      <c r="G3" s="2143" t="s">
        <v>1924</v>
      </c>
      <c r="H3" s="2143"/>
      <c r="I3" s="2143"/>
      <c r="J3" s="2143"/>
      <c r="K3" s="2143" t="s">
        <v>1925</v>
      </c>
      <c r="L3" s="2143"/>
      <c r="M3" s="2143"/>
      <c r="N3" s="2143"/>
      <c r="O3" s="2138" t="s">
        <v>1926</v>
      </c>
      <c r="P3" s="2138"/>
      <c r="Q3" s="2138"/>
      <c r="R3" s="2138"/>
      <c r="S3" s="2138" t="s">
        <v>1927</v>
      </c>
      <c r="T3" s="2138"/>
      <c r="U3" s="2138"/>
      <c r="V3" s="2138"/>
      <c r="W3" s="2138" t="s">
        <v>1928</v>
      </c>
      <c r="X3" s="2138"/>
      <c r="Y3" s="2138"/>
      <c r="Z3" s="2138"/>
      <c r="AA3" s="2138" t="s">
        <v>1929</v>
      </c>
      <c r="AB3" s="2138"/>
      <c r="AC3" s="2138"/>
      <c r="AD3" s="2138"/>
      <c r="AE3" s="2138" t="s">
        <v>1965</v>
      </c>
      <c r="AF3" s="2138"/>
      <c r="AG3" s="2138"/>
      <c r="AH3" s="2138"/>
      <c r="AI3" s="2138" t="s">
        <v>1966</v>
      </c>
      <c r="AJ3" s="2138"/>
      <c r="AK3" s="2138"/>
      <c r="AL3" s="2138"/>
      <c r="AM3" s="2138" t="s">
        <v>1967</v>
      </c>
      <c r="AN3" s="2138"/>
      <c r="AO3" s="2138"/>
      <c r="AP3" s="2138"/>
      <c r="AQ3" s="2138" t="s">
        <v>1968</v>
      </c>
      <c r="AR3" s="2138"/>
      <c r="AS3" s="2138"/>
      <c r="AT3" s="2138"/>
      <c r="AU3" s="2121" t="s">
        <v>1969</v>
      </c>
      <c r="AV3" s="2121"/>
      <c r="AW3" s="2121"/>
      <c r="AX3" s="2121"/>
      <c r="AY3" s="2121" t="s">
        <v>1970</v>
      </c>
      <c r="AZ3" s="2121"/>
      <c r="BA3" s="2121"/>
      <c r="BB3" s="2121"/>
      <c r="BC3" s="2121" t="s">
        <v>2023</v>
      </c>
      <c r="BD3" s="2121"/>
      <c r="BE3" s="2121"/>
      <c r="BF3" s="2121"/>
      <c r="BG3" s="2121" t="s">
        <v>2503</v>
      </c>
      <c r="BH3" s="2121"/>
      <c r="BI3" s="2121"/>
      <c r="BJ3" s="2121"/>
    </row>
    <row r="4" spans="1:62" ht="18" thickBot="1">
      <c r="A4" s="2123" t="s">
        <v>2357</v>
      </c>
      <c r="B4" s="2124"/>
      <c r="C4" s="2124"/>
      <c r="D4" s="2125" t="s">
        <v>2687</v>
      </c>
      <c r="E4" s="2125"/>
      <c r="F4" s="2126"/>
      <c r="G4" s="2144"/>
      <c r="H4" s="2144"/>
      <c r="I4" s="2144"/>
      <c r="J4" s="2144"/>
      <c r="K4" s="2144"/>
      <c r="L4" s="2144"/>
      <c r="M4" s="2144"/>
      <c r="N4" s="2144"/>
      <c r="O4" s="2139"/>
      <c r="P4" s="2139"/>
      <c r="Q4" s="2139"/>
      <c r="R4" s="2139"/>
      <c r="S4" s="2139"/>
      <c r="T4" s="2139"/>
      <c r="U4" s="2139"/>
      <c r="V4" s="2139"/>
      <c r="W4" s="2139"/>
      <c r="X4" s="2139"/>
      <c r="Y4" s="2139"/>
      <c r="Z4" s="2139"/>
      <c r="AA4" s="2139"/>
      <c r="AB4" s="2139"/>
      <c r="AC4" s="2139"/>
      <c r="AD4" s="2139"/>
      <c r="AE4" s="2139"/>
      <c r="AF4" s="2139"/>
      <c r="AG4" s="2139"/>
      <c r="AH4" s="2139"/>
      <c r="AI4" s="2139"/>
      <c r="AJ4" s="2139"/>
      <c r="AK4" s="2139"/>
      <c r="AL4" s="2139"/>
      <c r="AM4" s="2139"/>
      <c r="AN4" s="2139"/>
      <c r="AO4" s="2139"/>
      <c r="AP4" s="2139"/>
      <c r="AQ4" s="2139"/>
      <c r="AR4" s="2139"/>
      <c r="AS4" s="2139"/>
      <c r="AT4" s="2139"/>
      <c r="AU4" s="2122"/>
      <c r="AV4" s="2122"/>
      <c r="AW4" s="2122"/>
      <c r="AX4" s="2122"/>
      <c r="AY4" s="2122"/>
      <c r="AZ4" s="2122"/>
      <c r="BA4" s="2122"/>
      <c r="BB4" s="2122"/>
      <c r="BC4" s="2122"/>
      <c r="BD4" s="2122"/>
      <c r="BE4" s="2122"/>
      <c r="BF4" s="2122"/>
      <c r="BG4" s="2122"/>
      <c r="BH4" s="2122"/>
      <c r="BI4" s="2122"/>
      <c r="BJ4" s="2122"/>
    </row>
    <row r="5" spans="1:62" ht="18" thickBot="1">
      <c r="A5" s="1699" t="s">
        <v>538</v>
      </c>
      <c r="B5" s="1070" t="s">
        <v>514</v>
      </c>
      <c r="C5" s="1070" t="s">
        <v>622</v>
      </c>
      <c r="D5" s="1071" t="s">
        <v>539</v>
      </c>
      <c r="E5" s="1072" t="s">
        <v>1930</v>
      </c>
      <c r="F5" s="1073" t="s">
        <v>1931</v>
      </c>
      <c r="G5" s="1074" t="s">
        <v>1932</v>
      </c>
      <c r="H5" s="1075" t="s">
        <v>1933</v>
      </c>
      <c r="I5" s="1070" t="s">
        <v>1934</v>
      </c>
      <c r="J5" s="1076" t="s">
        <v>1935</v>
      </c>
      <c r="K5" s="1074" t="s">
        <v>1936</v>
      </c>
      <c r="L5" s="1070" t="s">
        <v>1937</v>
      </c>
      <c r="M5" s="1070" t="s">
        <v>1938</v>
      </c>
      <c r="N5" s="1076" t="s">
        <v>1939</v>
      </c>
      <c r="O5" s="1074" t="s">
        <v>1940</v>
      </c>
      <c r="P5" s="1075" t="s">
        <v>1941</v>
      </c>
      <c r="Q5" s="1075" t="s">
        <v>1942</v>
      </c>
      <c r="R5" s="1077" t="s">
        <v>1943</v>
      </c>
      <c r="S5" s="1074" t="s">
        <v>1944</v>
      </c>
      <c r="T5" s="1070" t="s">
        <v>1945</v>
      </c>
      <c r="U5" s="1078" t="s">
        <v>1946</v>
      </c>
      <c r="V5" s="1077" t="s">
        <v>1947</v>
      </c>
      <c r="W5" s="1074" t="s">
        <v>1948</v>
      </c>
      <c r="X5" s="1070" t="s">
        <v>1949</v>
      </c>
      <c r="Y5" s="1078" t="s">
        <v>1950</v>
      </c>
      <c r="Z5" s="1077" t="s">
        <v>1951</v>
      </c>
      <c r="AA5" s="1079" t="s">
        <v>1952</v>
      </c>
      <c r="AB5" s="1070" t="s">
        <v>1953</v>
      </c>
      <c r="AC5" s="1070" t="s">
        <v>1954</v>
      </c>
      <c r="AD5" s="1076" t="s">
        <v>1955</v>
      </c>
      <c r="AE5" s="1074" t="s">
        <v>1971</v>
      </c>
      <c r="AF5" s="1075" t="s">
        <v>1972</v>
      </c>
      <c r="AG5" s="1075" t="s">
        <v>1973</v>
      </c>
      <c r="AH5" s="1077" t="s">
        <v>1974</v>
      </c>
      <c r="AI5" s="1074" t="s">
        <v>1975</v>
      </c>
      <c r="AJ5" s="1070" t="s">
        <v>1976</v>
      </c>
      <c r="AK5" s="1078" t="s">
        <v>1977</v>
      </c>
      <c r="AL5" s="1077" t="s">
        <v>1978</v>
      </c>
      <c r="AM5" s="1074" t="s">
        <v>1979</v>
      </c>
      <c r="AN5" s="1075" t="s">
        <v>1980</v>
      </c>
      <c r="AO5" s="1075" t="s">
        <v>1981</v>
      </c>
      <c r="AP5" s="1077" t="s">
        <v>1982</v>
      </c>
      <c r="AQ5" s="1074" t="s">
        <v>1979</v>
      </c>
      <c r="AR5" s="1075" t="s">
        <v>1980</v>
      </c>
      <c r="AS5" s="1070" t="s">
        <v>1981</v>
      </c>
      <c r="AT5" s="1076" t="s">
        <v>1982</v>
      </c>
      <c r="AU5" s="1079" t="s">
        <v>1983</v>
      </c>
      <c r="AV5" s="1078" t="s">
        <v>1984</v>
      </c>
      <c r="AW5" s="1075" t="s">
        <v>1985</v>
      </c>
      <c r="AX5" s="1077" t="s">
        <v>1986</v>
      </c>
      <c r="AY5" s="1079" t="s">
        <v>1987</v>
      </c>
      <c r="AZ5" s="1070" t="s">
        <v>1988</v>
      </c>
      <c r="BA5" s="1070" t="s">
        <v>1989</v>
      </c>
      <c r="BB5" s="1076" t="s">
        <v>1990</v>
      </c>
      <c r="BC5" s="1079" t="s">
        <v>1991</v>
      </c>
      <c r="BD5" s="1078" t="s">
        <v>1992</v>
      </c>
      <c r="BE5" s="1070" t="s">
        <v>1993</v>
      </c>
      <c r="BF5" s="1076" t="s">
        <v>1994</v>
      </c>
      <c r="BG5" s="1074" t="s">
        <v>2024</v>
      </c>
      <c r="BH5" s="1075" t="s">
        <v>2025</v>
      </c>
      <c r="BI5" s="1075" t="s">
        <v>2026</v>
      </c>
      <c r="BJ5" s="1077" t="s">
        <v>2027</v>
      </c>
    </row>
    <row r="6" spans="1:62" ht="17.25">
      <c r="A6" s="1700"/>
      <c r="B6" s="687"/>
      <c r="C6" s="688"/>
      <c r="D6" s="1080"/>
      <c r="E6" s="1081"/>
      <c r="F6" s="1082"/>
      <c r="G6" s="1083"/>
      <c r="H6" s="1084"/>
      <c r="I6" s="1084"/>
      <c r="J6" s="1085"/>
      <c r="K6" s="1083"/>
      <c r="L6" s="1084"/>
      <c r="M6" s="1086"/>
      <c r="N6" s="1087"/>
      <c r="O6" s="1666"/>
      <c r="P6" s="1667"/>
      <c r="Q6" s="1667"/>
      <c r="R6" s="1668"/>
      <c r="S6" s="1666"/>
      <c r="T6" s="1667"/>
      <c r="U6" s="1667"/>
      <c r="V6" s="1668"/>
      <c r="W6" s="1666"/>
      <c r="X6" s="1667"/>
      <c r="Y6" s="1667"/>
      <c r="Z6" s="1668"/>
      <c r="AA6" s="1666"/>
      <c r="AB6" s="1667"/>
      <c r="AC6" s="1667"/>
      <c r="AD6" s="1668"/>
      <c r="AE6" s="1666"/>
      <c r="AF6" s="1667"/>
      <c r="AG6" s="1667"/>
      <c r="AH6" s="1668"/>
      <c r="AI6" s="1666"/>
      <c r="AJ6" s="1667"/>
      <c r="AK6" s="1667"/>
      <c r="AL6" s="1668"/>
      <c r="AM6" s="1669"/>
      <c r="AN6" s="1670"/>
      <c r="AO6" s="1670"/>
      <c r="AP6" s="1671"/>
      <c r="AQ6" s="1669"/>
      <c r="AR6" s="1670"/>
      <c r="AS6" s="1670"/>
      <c r="AT6" s="1671"/>
      <c r="AU6" s="1090"/>
      <c r="AV6" s="1091"/>
      <c r="AW6" s="1091"/>
      <c r="AX6" s="1092"/>
      <c r="AY6" s="1090"/>
      <c r="AZ6" s="1091"/>
      <c r="BA6" s="1091"/>
      <c r="BB6" s="1092"/>
      <c r="BC6" s="1090"/>
      <c r="BD6" s="1091"/>
      <c r="BE6" s="1091"/>
      <c r="BF6" s="1092"/>
      <c r="BG6" s="1090"/>
      <c r="BH6" s="1091"/>
      <c r="BI6" s="1091"/>
      <c r="BJ6" s="1092"/>
    </row>
    <row r="7" spans="1:62" s="1104" customFormat="1" ht="17.25">
      <c r="A7" s="1701">
        <f>+IF(PRESUPUESTO!A13="","",PRESUPUESTO!A13)</f>
        <v>1</v>
      </c>
      <c r="B7" s="1093" t="str">
        <f>+IF(PRESUPUESTO!B13="","",PRESUPUESTO!B13)</f>
        <v>REDES DE COLECTORES DE ALCANTARILLADO SANITARIO</v>
      </c>
      <c r="C7" s="1093" t="str">
        <f>+IF(PRESUPUESTO!C13="","",PRESUPUESTO!C13)</f>
        <v/>
      </c>
      <c r="D7" s="1093" t="str">
        <f>+IF(PRESUPUESTO!D13="","",PRESUPUESTO!D13)</f>
        <v/>
      </c>
      <c r="E7" s="1093" t="str">
        <f>+IF(PRESUPUESTO!E13="","",PRESUPUESTO!E13)</f>
        <v/>
      </c>
      <c r="F7" s="1093" t="str">
        <f>+IF(PRESUPUESTO!F13="","",PRESUPUESTO!F13)</f>
        <v/>
      </c>
      <c r="G7" s="1094"/>
      <c r="H7" s="1095"/>
      <c r="I7" s="1095"/>
      <c r="J7" s="1096"/>
      <c r="K7" s="1094"/>
      <c r="L7" s="1095"/>
      <c r="M7" s="1097"/>
      <c r="N7" s="1098"/>
      <c r="O7" s="1666"/>
      <c r="P7" s="1667"/>
      <c r="Q7" s="1667"/>
      <c r="R7" s="1668"/>
      <c r="S7" s="1666"/>
      <c r="T7" s="1667"/>
      <c r="U7" s="1667"/>
      <c r="V7" s="1668"/>
      <c r="W7" s="1666"/>
      <c r="X7" s="1667"/>
      <c r="Y7" s="1667"/>
      <c r="Z7" s="1668"/>
      <c r="AA7" s="1666"/>
      <c r="AB7" s="1667"/>
      <c r="AC7" s="1667"/>
      <c r="AD7" s="1668"/>
      <c r="AE7" s="1666"/>
      <c r="AF7" s="1667"/>
      <c r="AG7" s="1667"/>
      <c r="AH7" s="1668"/>
      <c r="AI7" s="1666"/>
      <c r="AJ7" s="1667"/>
      <c r="AK7" s="1667"/>
      <c r="AL7" s="1668"/>
      <c r="AM7" s="1669"/>
      <c r="AN7" s="1670"/>
      <c r="AO7" s="1670"/>
      <c r="AP7" s="1671"/>
      <c r="AQ7" s="1669"/>
      <c r="AR7" s="1670"/>
      <c r="AS7" s="1670"/>
      <c r="AT7" s="1671"/>
      <c r="AU7" s="1101"/>
      <c r="AV7" s="1102"/>
      <c r="AW7" s="1102"/>
      <c r="AX7" s="1103"/>
      <c r="AY7" s="1101"/>
      <c r="AZ7" s="1102"/>
      <c r="BA7" s="1102"/>
      <c r="BB7" s="1103"/>
      <c r="BC7" s="1101"/>
      <c r="BD7" s="1102"/>
      <c r="BE7" s="1102"/>
      <c r="BF7" s="1103"/>
      <c r="BG7" s="1101"/>
      <c r="BH7" s="1102"/>
      <c r="BI7" s="1102"/>
      <c r="BJ7" s="1103"/>
    </row>
    <row r="8" spans="1:62" ht="17.25">
      <c r="A8" s="1702" t="str">
        <f>+IF(PRESUPUESTO!A14="","",PRESUPUESTO!A14)</f>
        <v/>
      </c>
      <c r="B8" s="1105" t="str">
        <f>+IF(PRESUPUESTO!B14="","",PRESUPUESTO!B14)</f>
        <v/>
      </c>
      <c r="C8" s="1106" t="str">
        <f>+IF(PRESUPUESTO!C14="","",PRESUPUESTO!C14)</f>
        <v/>
      </c>
      <c r="D8" s="1107" t="str">
        <f>+IF(PRESUPUESTO!D14="","",PRESUPUESTO!D14)</f>
        <v/>
      </c>
      <c r="E8" s="1108" t="str">
        <f>+IF(PRESUPUESTO!E14="","",PRESUPUESTO!E14)</f>
        <v/>
      </c>
      <c r="F8" s="1109" t="str">
        <f>+IF(PRESUPUESTO!F14="","",PRESUPUESTO!F14)</f>
        <v/>
      </c>
      <c r="G8" s="1110"/>
      <c r="H8" s="1111"/>
      <c r="I8" s="1111"/>
      <c r="J8" s="1112"/>
      <c r="K8" s="1113"/>
      <c r="L8" s="1111"/>
      <c r="M8" s="1086"/>
      <c r="N8" s="1087"/>
      <c r="O8" s="1672"/>
      <c r="P8" s="1673"/>
      <c r="Q8" s="1673"/>
      <c r="R8" s="1674"/>
      <c r="S8" s="1672"/>
      <c r="T8" s="1673"/>
      <c r="U8" s="1673"/>
      <c r="V8" s="1674"/>
      <c r="W8" s="1672"/>
      <c r="X8" s="1673"/>
      <c r="Y8" s="1673"/>
      <c r="Z8" s="1674"/>
      <c r="AA8" s="1672"/>
      <c r="AB8" s="1673"/>
      <c r="AC8" s="1673"/>
      <c r="AD8" s="1674"/>
      <c r="AE8" s="1672"/>
      <c r="AF8" s="1673"/>
      <c r="AG8" s="1673"/>
      <c r="AH8" s="1674"/>
      <c r="AI8" s="1672"/>
      <c r="AJ8" s="1673"/>
      <c r="AK8" s="1673"/>
      <c r="AL8" s="1674"/>
      <c r="AM8" s="1675"/>
      <c r="AN8" s="1676"/>
      <c r="AO8" s="1676"/>
      <c r="AP8" s="1677"/>
      <c r="AQ8" s="1675"/>
      <c r="AR8" s="1676"/>
      <c r="AS8" s="1678"/>
      <c r="AT8" s="1679"/>
      <c r="AU8" s="1090"/>
      <c r="AV8" s="1091"/>
      <c r="AW8" s="1091"/>
      <c r="AX8" s="1092"/>
      <c r="AY8" s="1090"/>
      <c r="AZ8" s="1091"/>
      <c r="BA8" s="1091"/>
      <c r="BB8" s="1092"/>
      <c r="BC8" s="1090"/>
      <c r="BD8" s="1091"/>
      <c r="BE8" s="1091"/>
      <c r="BF8" s="1092"/>
      <c r="BG8" s="1090"/>
      <c r="BH8" s="1091"/>
      <c r="BI8" s="1091"/>
      <c r="BJ8" s="1092"/>
    </row>
    <row r="9" spans="1:62" ht="18">
      <c r="A9" s="1703">
        <f>+IF(PRESUPUESTO!A15="","",PRESUPUESTO!A15)</f>
        <v>1.1000000000000001</v>
      </c>
      <c r="B9" s="1114" t="str">
        <f>+IF(PRESUPUESTO!B15="","",PRESUPUESTO!B15)</f>
        <v>PRELIMINARES Y MOVIMIENTO DE TIERRAS</v>
      </c>
      <c r="C9" s="1115" t="str">
        <f>+IF(PRESUPUESTO!C15="","",PRESUPUESTO!C15)</f>
        <v/>
      </c>
      <c r="D9" s="1601" t="str">
        <f>+IF(PRESUPUESTO!D15="","",PRESUPUESTO!D15)</f>
        <v/>
      </c>
      <c r="E9" s="1601" t="str">
        <f>+IF(PRESUPUESTO!E15="","",PRESUPUESTO!E15)</f>
        <v/>
      </c>
      <c r="F9" s="1605" t="str">
        <f>+IF(PRESUPUESTO!F15="","",PRESUPUESTO!F15)</f>
        <v/>
      </c>
      <c r="G9" s="1110"/>
      <c r="H9" s="1111"/>
      <c r="I9" s="1111"/>
      <c r="J9" s="1112"/>
      <c r="K9" s="1113"/>
      <c r="L9" s="1111"/>
      <c r="M9" s="1086"/>
      <c r="N9" s="1087"/>
      <c r="O9" s="1672"/>
      <c r="P9" s="1673"/>
      <c r="Q9" s="1673"/>
      <c r="R9" s="1674"/>
      <c r="S9" s="1672"/>
      <c r="T9" s="1673"/>
      <c r="U9" s="1673"/>
      <c r="V9" s="1674"/>
      <c r="W9" s="1672"/>
      <c r="X9" s="1673"/>
      <c r="Y9" s="1673"/>
      <c r="Z9" s="1674"/>
      <c r="AA9" s="1672"/>
      <c r="AB9" s="1673"/>
      <c r="AC9" s="1673"/>
      <c r="AD9" s="1674"/>
      <c r="AE9" s="1672"/>
      <c r="AF9" s="1673"/>
      <c r="AG9" s="1673"/>
      <c r="AH9" s="1674"/>
      <c r="AI9" s="1672"/>
      <c r="AJ9" s="1673"/>
      <c r="AK9" s="1673"/>
      <c r="AL9" s="1674"/>
      <c r="AM9" s="1675"/>
      <c r="AN9" s="1676"/>
      <c r="AO9" s="1676"/>
      <c r="AP9" s="1677"/>
      <c r="AQ9" s="1675"/>
      <c r="AR9" s="1676"/>
      <c r="AS9" s="1678"/>
      <c r="AT9" s="1679"/>
      <c r="AU9" s="1090"/>
      <c r="AV9" s="1091"/>
      <c r="AW9" s="1091"/>
      <c r="AX9" s="1092"/>
      <c r="AY9" s="1090"/>
      <c r="AZ9" s="1091"/>
      <c r="BA9" s="1091"/>
      <c r="BB9" s="1092"/>
      <c r="BC9" s="1090"/>
      <c r="BD9" s="1091"/>
      <c r="BE9" s="1091"/>
      <c r="BF9" s="1092"/>
      <c r="BG9" s="1090"/>
      <c r="BH9" s="1091"/>
      <c r="BI9" s="1091"/>
      <c r="BJ9" s="1092"/>
    </row>
    <row r="10" spans="1:62" ht="18">
      <c r="A10" s="1704" t="str">
        <f>+IF(PRESUPUESTO!A16="","",PRESUPUESTO!A16)</f>
        <v>1.1.1</v>
      </c>
      <c r="B10" s="1116" t="str">
        <f>+IF(PRESUPUESTO!B16="","",PRESUPUESTO!B16)</f>
        <v>Localización, replanteo topográfico y control de niveles</v>
      </c>
      <c r="C10" s="1117" t="str">
        <f>+IF(PRESUPUESTO!C16="","",PRESUPUESTO!C16)</f>
        <v>m</v>
      </c>
      <c r="D10" s="1606">
        <f>+IF(PRESUPUESTO!D16="","",PRESUPUESTO!D16)</f>
        <v>4383.1299999999992</v>
      </c>
      <c r="E10" s="1602">
        <f>+IF(PRESUPUESTO!E16="","",PRESUPUESTO!E16)</f>
        <v>4158.7</v>
      </c>
      <c r="F10" s="1603">
        <f>+IF(PRESUPUESTO!F16="","",PRESUPUESTO!F16)</f>
        <v>18228123</v>
      </c>
      <c r="G10" s="1110"/>
      <c r="H10" s="1111"/>
      <c r="I10" s="1111"/>
      <c r="J10" s="1112"/>
      <c r="K10" s="1113"/>
      <c r="L10" s="1111"/>
      <c r="M10" s="1086"/>
      <c r="N10" s="1087"/>
      <c r="O10" s="1672">
        <f>+$F$10/30</f>
        <v>607604.1</v>
      </c>
      <c r="P10" s="1673">
        <f t="shared" ref="P10:AR10" si="0">+$F$10/30</f>
        <v>607604.1</v>
      </c>
      <c r="Q10" s="1673">
        <f t="shared" si="0"/>
        <v>607604.1</v>
      </c>
      <c r="R10" s="1674">
        <f t="shared" si="0"/>
        <v>607604.1</v>
      </c>
      <c r="S10" s="1672">
        <f t="shared" si="0"/>
        <v>607604.1</v>
      </c>
      <c r="T10" s="1673">
        <f t="shared" si="0"/>
        <v>607604.1</v>
      </c>
      <c r="U10" s="1673">
        <f t="shared" si="0"/>
        <v>607604.1</v>
      </c>
      <c r="V10" s="1674">
        <f t="shared" si="0"/>
        <v>607604.1</v>
      </c>
      <c r="W10" s="1672">
        <f t="shared" si="0"/>
        <v>607604.1</v>
      </c>
      <c r="X10" s="1673">
        <f t="shared" si="0"/>
        <v>607604.1</v>
      </c>
      <c r="Y10" s="1673">
        <f t="shared" si="0"/>
        <v>607604.1</v>
      </c>
      <c r="Z10" s="1674">
        <f t="shared" si="0"/>
        <v>607604.1</v>
      </c>
      <c r="AA10" s="1672">
        <f t="shared" si="0"/>
        <v>607604.1</v>
      </c>
      <c r="AB10" s="1673">
        <f t="shared" si="0"/>
        <v>607604.1</v>
      </c>
      <c r="AC10" s="1673">
        <f t="shared" si="0"/>
        <v>607604.1</v>
      </c>
      <c r="AD10" s="1674">
        <f t="shared" si="0"/>
        <v>607604.1</v>
      </c>
      <c r="AE10" s="1672">
        <f t="shared" si="0"/>
        <v>607604.1</v>
      </c>
      <c r="AF10" s="1673">
        <f t="shared" si="0"/>
        <v>607604.1</v>
      </c>
      <c r="AG10" s="1673">
        <f t="shared" si="0"/>
        <v>607604.1</v>
      </c>
      <c r="AH10" s="1674">
        <f t="shared" si="0"/>
        <v>607604.1</v>
      </c>
      <c r="AI10" s="1672">
        <f t="shared" si="0"/>
        <v>607604.1</v>
      </c>
      <c r="AJ10" s="1673">
        <f t="shared" si="0"/>
        <v>607604.1</v>
      </c>
      <c r="AK10" s="1673">
        <f t="shared" si="0"/>
        <v>607604.1</v>
      </c>
      <c r="AL10" s="1674">
        <f t="shared" si="0"/>
        <v>607604.1</v>
      </c>
      <c r="AM10" s="1672">
        <f t="shared" si="0"/>
        <v>607604.1</v>
      </c>
      <c r="AN10" s="1673">
        <f t="shared" si="0"/>
        <v>607604.1</v>
      </c>
      <c r="AO10" s="1673">
        <f t="shared" si="0"/>
        <v>607604.1</v>
      </c>
      <c r="AP10" s="1674">
        <f t="shared" si="0"/>
        <v>607604.1</v>
      </c>
      <c r="AQ10" s="1672">
        <f t="shared" si="0"/>
        <v>607604.1</v>
      </c>
      <c r="AR10" s="1673">
        <f t="shared" si="0"/>
        <v>607604.1</v>
      </c>
      <c r="AS10" s="1678"/>
      <c r="AT10" s="1679"/>
      <c r="AU10" s="1090"/>
      <c r="AV10" s="1091"/>
      <c r="AW10" s="1091"/>
      <c r="AX10" s="1092"/>
      <c r="AY10" s="1090"/>
      <c r="AZ10" s="1091"/>
      <c r="BA10" s="1091"/>
      <c r="BB10" s="1092"/>
      <c r="BC10" s="1090"/>
      <c r="BD10" s="1091"/>
      <c r="BE10" s="1091"/>
      <c r="BF10" s="1092"/>
      <c r="BG10" s="1090"/>
      <c r="BH10" s="1091"/>
      <c r="BI10" s="1091"/>
      <c r="BJ10" s="1092"/>
    </row>
    <row r="11" spans="1:62" ht="18">
      <c r="A11" s="1704" t="str">
        <f>+IF(PRESUPUESTO!A17="","",PRESUPUESTO!A17)</f>
        <v>1.1.2</v>
      </c>
      <c r="B11" s="1116" t="str">
        <f>+IF(PRESUPUESTO!B17="","",PRESUPUESTO!B17)</f>
        <v xml:space="preserve">Excavación manual en material común a todo factor. </v>
      </c>
      <c r="C11" s="1117" t="str">
        <f>+IF(PRESUPUESTO!C17="","",PRESUPUESTO!C17)</f>
        <v>m3</v>
      </c>
      <c r="D11" s="1606">
        <f>+IF(PRESUPUESTO!D17="","",PRESUPUESTO!D17)</f>
        <v>3219.6</v>
      </c>
      <c r="E11" s="1602">
        <f>+IF(PRESUPUESTO!E17="","",PRESUPUESTO!E17)</f>
        <v>44305.3</v>
      </c>
      <c r="F11" s="1603">
        <f>+IF(PRESUPUESTO!F17="","",PRESUPUESTO!F17)</f>
        <v>142645344</v>
      </c>
      <c r="G11" s="1110"/>
      <c r="H11" s="1111"/>
      <c r="I11" s="1111"/>
      <c r="J11" s="1112"/>
      <c r="K11" s="1113"/>
      <c r="L11" s="1111"/>
      <c r="M11" s="1086"/>
      <c r="N11" s="1087"/>
      <c r="O11" s="1672">
        <f>+$F$11/30</f>
        <v>4754844.8</v>
      </c>
      <c r="P11" s="1673">
        <f t="shared" ref="P11:AR11" si="1">+$F$11/30</f>
        <v>4754844.8</v>
      </c>
      <c r="Q11" s="1673">
        <f t="shared" si="1"/>
        <v>4754844.8</v>
      </c>
      <c r="R11" s="1674">
        <f t="shared" si="1"/>
        <v>4754844.8</v>
      </c>
      <c r="S11" s="1672">
        <f t="shared" si="1"/>
        <v>4754844.8</v>
      </c>
      <c r="T11" s="1673">
        <f t="shared" si="1"/>
        <v>4754844.8</v>
      </c>
      <c r="U11" s="1673">
        <f t="shared" si="1"/>
        <v>4754844.8</v>
      </c>
      <c r="V11" s="1674">
        <f t="shared" si="1"/>
        <v>4754844.8</v>
      </c>
      <c r="W11" s="1672">
        <f t="shared" si="1"/>
        <v>4754844.8</v>
      </c>
      <c r="X11" s="1673">
        <f t="shared" si="1"/>
        <v>4754844.8</v>
      </c>
      <c r="Y11" s="1673">
        <f t="shared" si="1"/>
        <v>4754844.8</v>
      </c>
      <c r="Z11" s="1674">
        <f t="shared" si="1"/>
        <v>4754844.8</v>
      </c>
      <c r="AA11" s="1672">
        <f t="shared" si="1"/>
        <v>4754844.8</v>
      </c>
      <c r="AB11" s="1673">
        <f t="shared" si="1"/>
        <v>4754844.8</v>
      </c>
      <c r="AC11" s="1673">
        <f t="shared" si="1"/>
        <v>4754844.8</v>
      </c>
      <c r="AD11" s="1674">
        <f t="shared" si="1"/>
        <v>4754844.8</v>
      </c>
      <c r="AE11" s="1672">
        <f t="shared" si="1"/>
        <v>4754844.8</v>
      </c>
      <c r="AF11" s="1673">
        <f t="shared" si="1"/>
        <v>4754844.8</v>
      </c>
      <c r="AG11" s="1673">
        <f t="shared" si="1"/>
        <v>4754844.8</v>
      </c>
      <c r="AH11" s="1674">
        <f t="shared" si="1"/>
        <v>4754844.8</v>
      </c>
      <c r="AI11" s="1672">
        <f t="shared" si="1"/>
        <v>4754844.8</v>
      </c>
      <c r="AJ11" s="1673">
        <f t="shared" si="1"/>
        <v>4754844.8</v>
      </c>
      <c r="AK11" s="1673">
        <f t="shared" si="1"/>
        <v>4754844.8</v>
      </c>
      <c r="AL11" s="1674">
        <f t="shared" si="1"/>
        <v>4754844.8</v>
      </c>
      <c r="AM11" s="1672">
        <f t="shared" si="1"/>
        <v>4754844.8</v>
      </c>
      <c r="AN11" s="1673">
        <f t="shared" si="1"/>
        <v>4754844.8</v>
      </c>
      <c r="AO11" s="1673">
        <f t="shared" si="1"/>
        <v>4754844.8</v>
      </c>
      <c r="AP11" s="1674">
        <f t="shared" si="1"/>
        <v>4754844.8</v>
      </c>
      <c r="AQ11" s="1672">
        <f t="shared" si="1"/>
        <v>4754844.8</v>
      </c>
      <c r="AR11" s="1673">
        <f t="shared" si="1"/>
        <v>4754844.8</v>
      </c>
      <c r="AS11" s="1678"/>
      <c r="AT11" s="1679"/>
      <c r="AU11" s="1090"/>
      <c r="AV11" s="1091"/>
      <c r="AW11" s="1091"/>
      <c r="AX11" s="1092"/>
      <c r="AY11" s="1090"/>
      <c r="AZ11" s="1091"/>
      <c r="BA11" s="1091"/>
      <c r="BB11" s="1092"/>
      <c r="BC11" s="1090"/>
      <c r="BD11" s="1091"/>
      <c r="BE11" s="1091"/>
      <c r="BF11" s="1092"/>
      <c r="BG11" s="1090"/>
      <c r="BH11" s="1091"/>
      <c r="BI11" s="1091"/>
      <c r="BJ11" s="1092"/>
    </row>
    <row r="12" spans="1:62" ht="18">
      <c r="A12" s="1704" t="str">
        <f>+IF(PRESUPUESTO!A18="","",PRESUPUESTO!A18)</f>
        <v>1.1.3</v>
      </c>
      <c r="B12" s="1116" t="str">
        <f>+IF(PRESUPUESTO!B18="","",PRESUPUESTO!B18)</f>
        <v xml:space="preserve">Excavación manual en material conglomnerado a todo factor. </v>
      </c>
      <c r="C12" s="1117" t="str">
        <f>+IF(PRESUPUESTO!C18="","",PRESUPUESTO!C18)</f>
        <v>m3</v>
      </c>
      <c r="D12" s="1606">
        <f>+IF(PRESUPUESTO!D18="","",PRESUPUESTO!D18)</f>
        <v>779.12</v>
      </c>
      <c r="E12" s="1602">
        <f>+IF(PRESUPUESTO!E18="","",PRESUPUESTO!E18)</f>
        <v>59073.3</v>
      </c>
      <c r="F12" s="1603">
        <f>+IF(PRESUPUESTO!F18="","",PRESUPUESTO!F18)</f>
        <v>46025189</v>
      </c>
      <c r="G12" s="1113"/>
      <c r="H12" s="1111"/>
      <c r="I12" s="1111"/>
      <c r="J12" s="1112"/>
      <c r="K12" s="1113"/>
      <c r="L12" s="1111"/>
      <c r="M12" s="1086"/>
      <c r="N12" s="1087"/>
      <c r="O12" s="1672">
        <f>+$F$12/30</f>
        <v>1534172.9666666666</v>
      </c>
      <c r="P12" s="1673">
        <f t="shared" ref="P12:AR12" si="2">+$F$12/30</f>
        <v>1534172.9666666666</v>
      </c>
      <c r="Q12" s="1673">
        <f t="shared" si="2"/>
        <v>1534172.9666666666</v>
      </c>
      <c r="R12" s="1674">
        <f t="shared" si="2"/>
        <v>1534172.9666666666</v>
      </c>
      <c r="S12" s="1672">
        <f t="shared" si="2"/>
        <v>1534172.9666666666</v>
      </c>
      <c r="T12" s="1673">
        <f t="shared" si="2"/>
        <v>1534172.9666666666</v>
      </c>
      <c r="U12" s="1673">
        <f t="shared" si="2"/>
        <v>1534172.9666666666</v>
      </c>
      <c r="V12" s="1674">
        <f t="shared" si="2"/>
        <v>1534172.9666666666</v>
      </c>
      <c r="W12" s="1672">
        <f t="shared" si="2"/>
        <v>1534172.9666666666</v>
      </c>
      <c r="X12" s="1673">
        <f t="shared" si="2"/>
        <v>1534172.9666666666</v>
      </c>
      <c r="Y12" s="1673">
        <f t="shared" si="2"/>
        <v>1534172.9666666666</v>
      </c>
      <c r="Z12" s="1674">
        <f t="shared" si="2"/>
        <v>1534172.9666666666</v>
      </c>
      <c r="AA12" s="1672">
        <f t="shared" si="2"/>
        <v>1534172.9666666666</v>
      </c>
      <c r="AB12" s="1673">
        <f t="shared" si="2"/>
        <v>1534172.9666666666</v>
      </c>
      <c r="AC12" s="1673">
        <f t="shared" si="2"/>
        <v>1534172.9666666666</v>
      </c>
      <c r="AD12" s="1674">
        <f t="shared" si="2"/>
        <v>1534172.9666666666</v>
      </c>
      <c r="AE12" s="1672">
        <f t="shared" si="2"/>
        <v>1534172.9666666666</v>
      </c>
      <c r="AF12" s="1673">
        <f t="shared" si="2"/>
        <v>1534172.9666666666</v>
      </c>
      <c r="AG12" s="1673">
        <f t="shared" si="2"/>
        <v>1534172.9666666666</v>
      </c>
      <c r="AH12" s="1674">
        <f t="shared" si="2"/>
        <v>1534172.9666666666</v>
      </c>
      <c r="AI12" s="1672">
        <f t="shared" si="2"/>
        <v>1534172.9666666666</v>
      </c>
      <c r="AJ12" s="1673">
        <f t="shared" si="2"/>
        <v>1534172.9666666666</v>
      </c>
      <c r="AK12" s="1673">
        <f t="shared" si="2"/>
        <v>1534172.9666666666</v>
      </c>
      <c r="AL12" s="1674">
        <f t="shared" si="2"/>
        <v>1534172.9666666666</v>
      </c>
      <c r="AM12" s="1672">
        <f t="shared" si="2"/>
        <v>1534172.9666666666</v>
      </c>
      <c r="AN12" s="1673">
        <f t="shared" si="2"/>
        <v>1534172.9666666666</v>
      </c>
      <c r="AO12" s="1673">
        <f t="shared" si="2"/>
        <v>1534172.9666666666</v>
      </c>
      <c r="AP12" s="1674">
        <f t="shared" si="2"/>
        <v>1534172.9666666666</v>
      </c>
      <c r="AQ12" s="1672">
        <f t="shared" si="2"/>
        <v>1534172.9666666666</v>
      </c>
      <c r="AR12" s="1673">
        <f t="shared" si="2"/>
        <v>1534172.9666666666</v>
      </c>
      <c r="AS12" s="1678"/>
      <c r="AT12" s="1679"/>
      <c r="AU12" s="1090"/>
      <c r="AV12" s="1091"/>
      <c r="AW12" s="1091"/>
      <c r="AX12" s="1092"/>
      <c r="AY12" s="1090"/>
      <c r="AZ12" s="1091"/>
      <c r="BA12" s="1091"/>
      <c r="BB12" s="1092"/>
      <c r="BC12" s="1090"/>
      <c r="BD12" s="1091"/>
      <c r="BE12" s="1091"/>
      <c r="BF12" s="1092"/>
      <c r="BG12" s="1090"/>
      <c r="BH12" s="1091"/>
      <c r="BI12" s="1091"/>
      <c r="BJ12" s="1092"/>
    </row>
    <row r="13" spans="1:62" ht="18">
      <c r="A13" s="1704" t="str">
        <f>+IF(PRESUPUESTO!A19="","",PRESUPUESTO!A19)</f>
        <v>1.1.4</v>
      </c>
      <c r="B13" s="1116" t="str">
        <f>+IF(PRESUPUESTO!B19="","",PRESUPUESTO!B19)</f>
        <v>Excavación mecánica   de 2,0 a 4,0 m de profundidad.</v>
      </c>
      <c r="C13" s="1117" t="str">
        <f>+IF(PRESUPUESTO!C19="","",PRESUPUESTO!C19)</f>
        <v>m3</v>
      </c>
      <c r="D13" s="1606">
        <f>+IF(PRESUPUESTO!D19="","",PRESUPUESTO!D19)</f>
        <v>3666.45</v>
      </c>
      <c r="E13" s="1602">
        <f>+IF(PRESUPUESTO!E19="","",PRESUPUESTO!E19)</f>
        <v>23400</v>
      </c>
      <c r="F13" s="1603">
        <f>+IF(PRESUPUESTO!F19="","",PRESUPUESTO!F19)</f>
        <v>85794930</v>
      </c>
      <c r="G13" s="1113"/>
      <c r="H13" s="1111"/>
      <c r="I13" s="1111"/>
      <c r="J13" s="1112"/>
      <c r="K13" s="1113"/>
      <c r="L13" s="1111"/>
      <c r="M13" s="1086"/>
      <c r="N13" s="1087"/>
      <c r="O13" s="1672">
        <f>+$F$13/30</f>
        <v>2859831</v>
      </c>
      <c r="P13" s="1673">
        <f t="shared" ref="P13:AR13" si="3">+$F$13/30</f>
        <v>2859831</v>
      </c>
      <c r="Q13" s="1673">
        <f t="shared" si="3"/>
        <v>2859831</v>
      </c>
      <c r="R13" s="1674">
        <f t="shared" si="3"/>
        <v>2859831</v>
      </c>
      <c r="S13" s="1672">
        <f t="shared" si="3"/>
        <v>2859831</v>
      </c>
      <c r="T13" s="1673">
        <f t="shared" si="3"/>
        <v>2859831</v>
      </c>
      <c r="U13" s="1673">
        <f t="shared" si="3"/>
        <v>2859831</v>
      </c>
      <c r="V13" s="1674">
        <f t="shared" si="3"/>
        <v>2859831</v>
      </c>
      <c r="W13" s="1672">
        <f t="shared" si="3"/>
        <v>2859831</v>
      </c>
      <c r="X13" s="1673">
        <f t="shared" si="3"/>
        <v>2859831</v>
      </c>
      <c r="Y13" s="1673">
        <f t="shared" si="3"/>
        <v>2859831</v>
      </c>
      <c r="Z13" s="1674">
        <f t="shared" si="3"/>
        <v>2859831</v>
      </c>
      <c r="AA13" s="1672">
        <f t="shared" si="3"/>
        <v>2859831</v>
      </c>
      <c r="AB13" s="1673">
        <f t="shared" si="3"/>
        <v>2859831</v>
      </c>
      <c r="AC13" s="1673">
        <f t="shared" si="3"/>
        <v>2859831</v>
      </c>
      <c r="AD13" s="1674">
        <f t="shared" si="3"/>
        <v>2859831</v>
      </c>
      <c r="AE13" s="1672">
        <f t="shared" si="3"/>
        <v>2859831</v>
      </c>
      <c r="AF13" s="1673">
        <f t="shared" si="3"/>
        <v>2859831</v>
      </c>
      <c r="AG13" s="1673">
        <f t="shared" si="3"/>
        <v>2859831</v>
      </c>
      <c r="AH13" s="1674">
        <f t="shared" si="3"/>
        <v>2859831</v>
      </c>
      <c r="AI13" s="1672">
        <f t="shared" si="3"/>
        <v>2859831</v>
      </c>
      <c r="AJ13" s="1673">
        <f t="shared" si="3"/>
        <v>2859831</v>
      </c>
      <c r="AK13" s="1673">
        <f t="shared" si="3"/>
        <v>2859831</v>
      </c>
      <c r="AL13" s="1674">
        <f t="shared" si="3"/>
        <v>2859831</v>
      </c>
      <c r="AM13" s="1672">
        <f t="shared" si="3"/>
        <v>2859831</v>
      </c>
      <c r="AN13" s="1673">
        <f t="shared" si="3"/>
        <v>2859831</v>
      </c>
      <c r="AO13" s="1673">
        <f t="shared" si="3"/>
        <v>2859831</v>
      </c>
      <c r="AP13" s="1674">
        <f t="shared" si="3"/>
        <v>2859831</v>
      </c>
      <c r="AQ13" s="1672">
        <f t="shared" si="3"/>
        <v>2859831</v>
      </c>
      <c r="AR13" s="1673">
        <f t="shared" si="3"/>
        <v>2859831</v>
      </c>
      <c r="AS13" s="1678"/>
      <c r="AT13" s="1679"/>
      <c r="AU13" s="1090"/>
      <c r="AV13" s="1091"/>
      <c r="AW13" s="1091"/>
      <c r="AX13" s="1092"/>
      <c r="AY13" s="1090"/>
      <c r="AZ13" s="1091"/>
      <c r="BA13" s="1091"/>
      <c r="BB13" s="1092"/>
      <c r="BC13" s="1090"/>
      <c r="BD13" s="1091"/>
      <c r="BE13" s="1091"/>
      <c r="BF13" s="1092"/>
      <c r="BG13" s="1090"/>
      <c r="BH13" s="1091"/>
      <c r="BI13" s="1091"/>
      <c r="BJ13" s="1092"/>
    </row>
    <row r="14" spans="1:62" ht="34.5">
      <c r="A14" s="1704" t="str">
        <f>+IF(PRESUPUESTO!A20="","",PRESUPUESTO!A20)</f>
        <v>1.1.5</v>
      </c>
      <c r="B14" s="1116" t="str">
        <f>+IF(PRESUPUESTO!B20="","",PRESUPUESTO!B20)</f>
        <v>Excavación a todo costo en roca (compresor/polvora).  Incluye: mano de obra, materiales y equipo.</v>
      </c>
      <c r="C14" s="1117" t="str">
        <f>+IF(PRESUPUESTO!C20="","",PRESUPUESTO!C20)</f>
        <v>m3</v>
      </c>
      <c r="D14" s="1606">
        <f>+IF(PRESUPUESTO!D20="","",PRESUPUESTO!D20)</f>
        <v>137.49</v>
      </c>
      <c r="E14" s="1602">
        <f>+IF(PRESUPUESTO!E20="","",PRESUPUESTO!E20)</f>
        <v>152432.79999999999</v>
      </c>
      <c r="F14" s="1603">
        <f>+IF(PRESUPUESTO!F20="","",PRESUPUESTO!F20)</f>
        <v>20957986</v>
      </c>
      <c r="G14" s="1113"/>
      <c r="H14" s="1111"/>
      <c r="I14" s="1111"/>
      <c r="J14" s="1112"/>
      <c r="K14" s="1113"/>
      <c r="L14" s="1111"/>
      <c r="M14" s="1086"/>
      <c r="N14" s="1087"/>
      <c r="O14" s="1672">
        <f>+$F$14/30</f>
        <v>698599.53333333333</v>
      </c>
      <c r="P14" s="1673">
        <f t="shared" ref="P14:AR14" si="4">+$F$14/30</f>
        <v>698599.53333333333</v>
      </c>
      <c r="Q14" s="1673">
        <f t="shared" si="4"/>
        <v>698599.53333333333</v>
      </c>
      <c r="R14" s="1674">
        <f t="shared" si="4"/>
        <v>698599.53333333333</v>
      </c>
      <c r="S14" s="1672">
        <f t="shared" si="4"/>
        <v>698599.53333333333</v>
      </c>
      <c r="T14" s="1673">
        <f t="shared" si="4"/>
        <v>698599.53333333333</v>
      </c>
      <c r="U14" s="1673">
        <f t="shared" si="4"/>
        <v>698599.53333333333</v>
      </c>
      <c r="V14" s="1674">
        <f t="shared" si="4"/>
        <v>698599.53333333333</v>
      </c>
      <c r="W14" s="1672">
        <f t="shared" si="4"/>
        <v>698599.53333333333</v>
      </c>
      <c r="X14" s="1673">
        <f t="shared" si="4"/>
        <v>698599.53333333333</v>
      </c>
      <c r="Y14" s="1673">
        <f t="shared" si="4"/>
        <v>698599.53333333333</v>
      </c>
      <c r="Z14" s="1674">
        <f t="shared" si="4"/>
        <v>698599.53333333333</v>
      </c>
      <c r="AA14" s="1672">
        <f t="shared" si="4"/>
        <v>698599.53333333333</v>
      </c>
      <c r="AB14" s="1673">
        <f t="shared" si="4"/>
        <v>698599.53333333333</v>
      </c>
      <c r="AC14" s="1673">
        <f t="shared" si="4"/>
        <v>698599.53333333333</v>
      </c>
      <c r="AD14" s="1674">
        <f t="shared" si="4"/>
        <v>698599.53333333333</v>
      </c>
      <c r="AE14" s="1672">
        <f t="shared" si="4"/>
        <v>698599.53333333333</v>
      </c>
      <c r="AF14" s="1673">
        <f t="shared" si="4"/>
        <v>698599.53333333333</v>
      </c>
      <c r="AG14" s="1673">
        <f t="shared" si="4"/>
        <v>698599.53333333333</v>
      </c>
      <c r="AH14" s="1674">
        <f t="shared" si="4"/>
        <v>698599.53333333333</v>
      </c>
      <c r="AI14" s="1672">
        <f t="shared" si="4"/>
        <v>698599.53333333333</v>
      </c>
      <c r="AJ14" s="1673">
        <f t="shared" si="4"/>
        <v>698599.53333333333</v>
      </c>
      <c r="AK14" s="1673">
        <f t="shared" si="4"/>
        <v>698599.53333333333</v>
      </c>
      <c r="AL14" s="1674">
        <f t="shared" si="4"/>
        <v>698599.53333333333</v>
      </c>
      <c r="AM14" s="1672">
        <f t="shared" si="4"/>
        <v>698599.53333333333</v>
      </c>
      <c r="AN14" s="1673">
        <f t="shared" si="4"/>
        <v>698599.53333333333</v>
      </c>
      <c r="AO14" s="1673">
        <f t="shared" si="4"/>
        <v>698599.53333333333</v>
      </c>
      <c r="AP14" s="1674">
        <f t="shared" si="4"/>
        <v>698599.53333333333</v>
      </c>
      <c r="AQ14" s="1672">
        <f t="shared" si="4"/>
        <v>698599.53333333333</v>
      </c>
      <c r="AR14" s="1673">
        <f t="shared" si="4"/>
        <v>698599.53333333333</v>
      </c>
      <c r="AS14" s="1678"/>
      <c r="AT14" s="1679"/>
      <c r="AU14" s="1090"/>
      <c r="AV14" s="1091"/>
      <c r="AW14" s="1091"/>
      <c r="AX14" s="1092"/>
      <c r="AY14" s="1090"/>
      <c r="AZ14" s="1091"/>
      <c r="BA14" s="1091"/>
      <c r="BB14" s="1092"/>
      <c r="BC14" s="1090"/>
      <c r="BD14" s="1091"/>
      <c r="BE14" s="1091"/>
      <c r="BF14" s="1092"/>
      <c r="BG14" s="1090"/>
      <c r="BH14" s="1091"/>
      <c r="BI14" s="1091"/>
      <c r="BJ14" s="1092"/>
    </row>
    <row r="15" spans="1:62" s="826" customFormat="1" ht="34.5">
      <c r="A15" s="1704" t="str">
        <f>+IF(PRESUPUESTO!A21="","",PRESUPUESTO!A21)</f>
        <v>1.1.6</v>
      </c>
      <c r="B15" s="1116" t="str">
        <f>+IF(PRESUPUESTO!B21="","",PRESUPUESTO!B21)</f>
        <v xml:space="preserve">Cargue y retiro de material sobrante proveniente de la excavación y demolición hasta una distancia 5.0 Km del sitio de la obra. </v>
      </c>
      <c r="C15" s="1117" t="str">
        <f>+IF(PRESUPUESTO!C21="","",PRESUPUESTO!C21)</f>
        <v>m3</v>
      </c>
      <c r="D15" s="1606">
        <f>+IF(PRESUPUESTO!D21="","",PRESUPUESTO!D21)</f>
        <v>2490.7600000000002</v>
      </c>
      <c r="E15" s="1602">
        <f>+IF(PRESUPUESTO!E21="","",PRESUPUESTO!E21)</f>
        <v>34490.300000000003</v>
      </c>
      <c r="F15" s="1602">
        <f>+IF(PRESUPUESTO!F21="","",PRESUPUESTO!F21)</f>
        <v>85907060</v>
      </c>
      <c r="G15" s="1094"/>
      <c r="H15" s="1095"/>
      <c r="I15" s="1095"/>
      <c r="J15" s="1096"/>
      <c r="K15" s="1094"/>
      <c r="L15" s="1095"/>
      <c r="M15" s="1097"/>
      <c r="N15" s="1098"/>
      <c r="O15" s="1672">
        <f>+$F$15/30</f>
        <v>2863568.6666666665</v>
      </c>
      <c r="P15" s="1673">
        <f t="shared" ref="P15:AR15" si="5">+$F$15/30</f>
        <v>2863568.6666666665</v>
      </c>
      <c r="Q15" s="1673">
        <f t="shared" si="5"/>
        <v>2863568.6666666665</v>
      </c>
      <c r="R15" s="1674">
        <f t="shared" si="5"/>
        <v>2863568.6666666665</v>
      </c>
      <c r="S15" s="1672">
        <f t="shared" si="5"/>
        <v>2863568.6666666665</v>
      </c>
      <c r="T15" s="1673">
        <f t="shared" si="5"/>
        <v>2863568.6666666665</v>
      </c>
      <c r="U15" s="1673">
        <f t="shared" si="5"/>
        <v>2863568.6666666665</v>
      </c>
      <c r="V15" s="1674">
        <f t="shared" si="5"/>
        <v>2863568.6666666665</v>
      </c>
      <c r="W15" s="1672">
        <f t="shared" si="5"/>
        <v>2863568.6666666665</v>
      </c>
      <c r="X15" s="1673">
        <f t="shared" si="5"/>
        <v>2863568.6666666665</v>
      </c>
      <c r="Y15" s="1673">
        <f t="shared" si="5"/>
        <v>2863568.6666666665</v>
      </c>
      <c r="Z15" s="1674">
        <f t="shared" si="5"/>
        <v>2863568.6666666665</v>
      </c>
      <c r="AA15" s="1672">
        <f t="shared" si="5"/>
        <v>2863568.6666666665</v>
      </c>
      <c r="AB15" s="1673">
        <f t="shared" si="5"/>
        <v>2863568.6666666665</v>
      </c>
      <c r="AC15" s="1673">
        <f t="shared" si="5"/>
        <v>2863568.6666666665</v>
      </c>
      <c r="AD15" s="1674">
        <f t="shared" si="5"/>
        <v>2863568.6666666665</v>
      </c>
      <c r="AE15" s="1672">
        <f t="shared" si="5"/>
        <v>2863568.6666666665</v>
      </c>
      <c r="AF15" s="1673">
        <f t="shared" si="5"/>
        <v>2863568.6666666665</v>
      </c>
      <c r="AG15" s="1673">
        <f t="shared" si="5"/>
        <v>2863568.6666666665</v>
      </c>
      <c r="AH15" s="1674">
        <f t="shared" si="5"/>
        <v>2863568.6666666665</v>
      </c>
      <c r="AI15" s="1672">
        <f t="shared" si="5"/>
        <v>2863568.6666666665</v>
      </c>
      <c r="AJ15" s="1673">
        <f t="shared" si="5"/>
        <v>2863568.6666666665</v>
      </c>
      <c r="AK15" s="1673">
        <f t="shared" si="5"/>
        <v>2863568.6666666665</v>
      </c>
      <c r="AL15" s="1674">
        <f t="shared" si="5"/>
        <v>2863568.6666666665</v>
      </c>
      <c r="AM15" s="1675">
        <f t="shared" si="5"/>
        <v>2863568.6666666665</v>
      </c>
      <c r="AN15" s="1676">
        <f t="shared" si="5"/>
        <v>2863568.6666666665</v>
      </c>
      <c r="AO15" s="1676">
        <f t="shared" si="5"/>
        <v>2863568.6666666665</v>
      </c>
      <c r="AP15" s="1677">
        <f t="shared" si="5"/>
        <v>2863568.6666666665</v>
      </c>
      <c r="AQ15" s="1675">
        <f t="shared" si="5"/>
        <v>2863568.6666666665</v>
      </c>
      <c r="AR15" s="1676">
        <f t="shared" si="5"/>
        <v>2863568.6666666665</v>
      </c>
      <c r="AS15" s="1678"/>
      <c r="AT15" s="1679"/>
      <c r="AU15" s="1101"/>
      <c r="AV15" s="1102"/>
      <c r="AW15" s="1102"/>
      <c r="AX15" s="1103"/>
      <c r="AY15" s="1101"/>
      <c r="AZ15" s="1102"/>
      <c r="BA15" s="1102"/>
      <c r="BB15" s="1103"/>
      <c r="BC15" s="1101"/>
      <c r="BD15" s="1102"/>
      <c r="BE15" s="1102"/>
      <c r="BF15" s="1103"/>
      <c r="BG15" s="1101"/>
      <c r="BH15" s="1102"/>
      <c r="BI15" s="1102"/>
      <c r="BJ15" s="1103"/>
    </row>
    <row r="16" spans="1:62" s="826" customFormat="1" ht="18">
      <c r="A16" s="1705" t="str">
        <f>+IF(PRESUPUESTO!A22="","",PRESUPUESTO!A22)</f>
        <v/>
      </c>
      <c r="B16" s="1626" t="str">
        <f>+IF(PRESUPUESTO!B22="","",PRESUPUESTO!B22)</f>
        <v>SUBTOTAL MOVIMIENTO DE TIERRAS</v>
      </c>
      <c r="C16" s="1616" t="str">
        <f>+IF(PRESUPUESTO!C22="","",PRESUPUESTO!C22)</f>
        <v/>
      </c>
      <c r="D16" s="1617" t="str">
        <f>+IF(PRESUPUESTO!D22="","",PRESUPUESTO!D22)</f>
        <v/>
      </c>
      <c r="E16" s="1604" t="str">
        <f>+IF(PRESUPUESTO!E22="","",PRESUPUESTO!E22)</f>
        <v/>
      </c>
      <c r="F16" s="1604">
        <f>+IF(PRESUPUESTO!F22="","",PRESUPUESTO!F22)</f>
        <v>399558632</v>
      </c>
      <c r="G16" s="1094"/>
      <c r="H16" s="1095"/>
      <c r="I16" s="1095"/>
      <c r="J16" s="1096"/>
      <c r="K16" s="1094"/>
      <c r="L16" s="1095"/>
      <c r="M16" s="1097"/>
      <c r="N16" s="1098"/>
      <c r="O16" s="1672"/>
      <c r="P16" s="1673"/>
      <c r="Q16" s="1673"/>
      <c r="R16" s="1674"/>
      <c r="S16" s="1672"/>
      <c r="T16" s="1673"/>
      <c r="U16" s="1673"/>
      <c r="V16" s="1674"/>
      <c r="W16" s="1672"/>
      <c r="X16" s="1673"/>
      <c r="Y16" s="1673"/>
      <c r="Z16" s="1674"/>
      <c r="AA16" s="1672"/>
      <c r="AB16" s="1673"/>
      <c r="AC16" s="1673"/>
      <c r="AD16" s="1674"/>
      <c r="AE16" s="1672"/>
      <c r="AF16" s="1673"/>
      <c r="AG16" s="1673"/>
      <c r="AH16" s="1674"/>
      <c r="AI16" s="1672"/>
      <c r="AJ16" s="1673"/>
      <c r="AK16" s="1673"/>
      <c r="AL16" s="1674"/>
      <c r="AM16" s="1675"/>
      <c r="AN16" s="1676"/>
      <c r="AO16" s="1676"/>
      <c r="AP16" s="1677"/>
      <c r="AQ16" s="1675"/>
      <c r="AR16" s="1676"/>
      <c r="AS16" s="1678"/>
      <c r="AT16" s="1679"/>
      <c r="AU16" s="1101"/>
      <c r="AV16" s="1102"/>
      <c r="AW16" s="1102"/>
      <c r="AX16" s="1103"/>
      <c r="AY16" s="1101"/>
      <c r="AZ16" s="1102"/>
      <c r="BA16" s="1102"/>
      <c r="BB16" s="1103"/>
      <c r="BC16" s="1101"/>
      <c r="BD16" s="1102"/>
      <c r="BE16" s="1102"/>
      <c r="BF16" s="1103"/>
      <c r="BG16" s="1101"/>
      <c r="BH16" s="1102"/>
      <c r="BI16" s="1102"/>
      <c r="BJ16" s="1103"/>
    </row>
    <row r="17" spans="1:62" ht="18">
      <c r="A17" s="1706" t="str">
        <f>+IF(PRESUPUESTO!A23="","",PRESUPUESTO!A23)</f>
        <v/>
      </c>
      <c r="B17" s="1625" t="str">
        <f>+IF(PRESUPUESTO!B23="","",PRESUPUESTO!B23)</f>
        <v/>
      </c>
      <c r="C17" s="1612" t="str">
        <f>+IF(PRESUPUESTO!C23="","",PRESUPUESTO!C23)</f>
        <v/>
      </c>
      <c r="D17" s="1603" t="str">
        <f>+IF(PRESUPUESTO!D23="","",PRESUPUESTO!D23)</f>
        <v/>
      </c>
      <c r="E17" s="1603" t="str">
        <f>+IF(PRESUPUESTO!E23="","",PRESUPUESTO!E23)</f>
        <v/>
      </c>
      <c r="F17" s="1603" t="str">
        <f>+IF(PRESUPUESTO!F23="","",PRESUPUESTO!F23)</f>
        <v/>
      </c>
      <c r="G17" s="1113"/>
      <c r="H17" s="1111"/>
      <c r="I17" s="1111"/>
      <c r="J17" s="1112"/>
      <c r="K17" s="1113"/>
      <c r="L17" s="1111"/>
      <c r="M17" s="1086"/>
      <c r="N17" s="1087"/>
      <c r="O17" s="1672"/>
      <c r="P17" s="1673"/>
      <c r="Q17" s="1673"/>
      <c r="R17" s="1674"/>
      <c r="S17" s="1672"/>
      <c r="T17" s="1673"/>
      <c r="U17" s="1673"/>
      <c r="V17" s="1674"/>
      <c r="W17" s="1672"/>
      <c r="X17" s="1673"/>
      <c r="Y17" s="1673"/>
      <c r="Z17" s="1674"/>
      <c r="AA17" s="1672"/>
      <c r="AB17" s="1673"/>
      <c r="AC17" s="1673"/>
      <c r="AD17" s="1674"/>
      <c r="AE17" s="1672"/>
      <c r="AF17" s="1673"/>
      <c r="AG17" s="1673"/>
      <c r="AH17" s="1674"/>
      <c r="AI17" s="1672"/>
      <c r="AJ17" s="1673"/>
      <c r="AK17" s="1673"/>
      <c r="AL17" s="1674"/>
      <c r="AM17" s="1675"/>
      <c r="AN17" s="1676"/>
      <c r="AO17" s="1676"/>
      <c r="AP17" s="1677"/>
      <c r="AQ17" s="1675"/>
      <c r="AR17" s="1676"/>
      <c r="AS17" s="1678"/>
      <c r="AT17" s="1679"/>
      <c r="AU17" s="1090"/>
      <c r="AV17" s="1091"/>
      <c r="AW17" s="1091"/>
      <c r="AX17" s="1092"/>
      <c r="AY17" s="1090"/>
      <c r="AZ17" s="1091"/>
      <c r="BA17" s="1091"/>
      <c r="BB17" s="1092"/>
      <c r="BC17" s="1090"/>
      <c r="BD17" s="1091"/>
      <c r="BE17" s="1091"/>
      <c r="BF17" s="1092"/>
      <c r="BG17" s="1090"/>
      <c r="BH17" s="1091"/>
      <c r="BI17" s="1091"/>
      <c r="BJ17" s="1092"/>
    </row>
    <row r="18" spans="1:62" ht="18">
      <c r="A18" s="1703">
        <f>+IF(PRESUPUESTO!A24="","",PRESUPUESTO!A24)</f>
        <v>1.2</v>
      </c>
      <c r="B18" s="1627" t="str">
        <f>+IF(PRESUPUESTO!B24="","",PRESUPUESTO!B24)</f>
        <v>SUMINISTRO DE TUBERÍAS DE PVC</v>
      </c>
      <c r="C18" s="1115" t="str">
        <f>+IF(PRESUPUESTO!C24="","",PRESUPUESTO!C24)</f>
        <v/>
      </c>
      <c r="D18" s="1605" t="str">
        <f>+IF(PRESUPUESTO!D24="","",PRESUPUESTO!D24)</f>
        <v/>
      </c>
      <c r="E18" s="1605" t="str">
        <f>+IF(PRESUPUESTO!E24="","",PRESUPUESTO!E24)</f>
        <v/>
      </c>
      <c r="F18" s="1605" t="str">
        <f>+IF(PRESUPUESTO!F24="","",PRESUPUESTO!F24)</f>
        <v/>
      </c>
      <c r="G18" s="1113"/>
      <c r="H18" s="1111"/>
      <c r="I18" s="1111"/>
      <c r="J18" s="1112"/>
      <c r="K18" s="1113"/>
      <c r="L18" s="1111"/>
      <c r="M18" s="1086"/>
      <c r="N18" s="1087"/>
      <c r="O18" s="1672"/>
      <c r="P18" s="1673"/>
      <c r="Q18" s="1673"/>
      <c r="R18" s="1674"/>
      <c r="S18" s="1672"/>
      <c r="T18" s="1673"/>
      <c r="U18" s="1673"/>
      <c r="V18" s="1674"/>
      <c r="W18" s="1672"/>
      <c r="X18" s="1673"/>
      <c r="Y18" s="1673"/>
      <c r="Z18" s="1674"/>
      <c r="AA18" s="1672"/>
      <c r="AB18" s="1673"/>
      <c r="AC18" s="1673"/>
      <c r="AD18" s="1674"/>
      <c r="AE18" s="1672"/>
      <c r="AF18" s="1673"/>
      <c r="AG18" s="1673"/>
      <c r="AH18" s="1674"/>
      <c r="AI18" s="1672"/>
      <c r="AJ18" s="1673"/>
      <c r="AK18" s="1673"/>
      <c r="AL18" s="1674"/>
      <c r="AM18" s="1672"/>
      <c r="AN18" s="1673"/>
      <c r="AO18" s="1673"/>
      <c r="AP18" s="1674"/>
      <c r="AQ18" s="1672"/>
      <c r="AR18" s="1673"/>
      <c r="AS18" s="1678"/>
      <c r="AT18" s="1679"/>
      <c r="AU18" s="1090"/>
      <c r="AV18" s="1091"/>
      <c r="AW18" s="1091"/>
      <c r="AX18" s="1092"/>
      <c r="AY18" s="1090"/>
      <c r="AZ18" s="1091"/>
      <c r="BA18" s="1091"/>
      <c r="BB18" s="1092"/>
      <c r="BC18" s="1090"/>
      <c r="BD18" s="1091"/>
      <c r="BE18" s="1091"/>
      <c r="BF18" s="1092"/>
      <c r="BG18" s="1090"/>
      <c r="BH18" s="1091"/>
      <c r="BI18" s="1091"/>
      <c r="BJ18" s="1092"/>
    </row>
    <row r="19" spans="1:62" ht="18">
      <c r="A19" s="1707" t="str">
        <f>+IF(PRESUPUESTO!A25="","",PRESUPUESTO!A25)</f>
        <v>1.2.1</v>
      </c>
      <c r="B19" s="1116" t="str">
        <f>+IF(PRESUPUESTO!B25="","",PRESUPUESTO!B25)</f>
        <v>Suministro tubería de alcantarillado PVC ø 200 mm (8")</v>
      </c>
      <c r="C19" s="1117" t="str">
        <f>+IF(PRESUPUESTO!C25="","",PRESUPUESTO!C25)</f>
        <v>m</v>
      </c>
      <c r="D19" s="1606">
        <f>+IF(PRESUPUESTO!D25="","",PRESUPUESTO!D25)</f>
        <v>3281.7499999999995</v>
      </c>
      <c r="E19" s="1602">
        <f>+IF(PRESUPUESTO!E25="","",PRESUPUESTO!E25)</f>
        <v>79871</v>
      </c>
      <c r="F19" s="1603">
        <f>+IF(PRESUPUESTO!F25="","",PRESUPUESTO!F25)</f>
        <v>262116654</v>
      </c>
      <c r="G19" s="1113"/>
      <c r="H19" s="1634"/>
      <c r="I19" s="1111"/>
      <c r="J19" s="1112"/>
      <c r="K19" s="1113"/>
      <c r="L19" s="1111"/>
      <c r="M19" s="1086"/>
      <c r="N19" s="1087"/>
      <c r="O19" s="1672"/>
      <c r="P19" s="1673">
        <f>+$F$19/15</f>
        <v>17474443.600000001</v>
      </c>
      <c r="Q19" s="1673">
        <f t="shared" ref="Q19:AD19" si="6">+$F$19/15</f>
        <v>17474443.600000001</v>
      </c>
      <c r="R19" s="1674">
        <f t="shared" si="6"/>
        <v>17474443.600000001</v>
      </c>
      <c r="S19" s="1672">
        <f t="shared" si="6"/>
        <v>17474443.600000001</v>
      </c>
      <c r="T19" s="1673">
        <f t="shared" si="6"/>
        <v>17474443.600000001</v>
      </c>
      <c r="U19" s="1673">
        <f t="shared" si="6"/>
        <v>17474443.600000001</v>
      </c>
      <c r="V19" s="1674">
        <f t="shared" si="6"/>
        <v>17474443.600000001</v>
      </c>
      <c r="W19" s="1672">
        <f t="shared" si="6"/>
        <v>17474443.600000001</v>
      </c>
      <c r="X19" s="1673">
        <f t="shared" si="6"/>
        <v>17474443.600000001</v>
      </c>
      <c r="Y19" s="1673">
        <f t="shared" si="6"/>
        <v>17474443.600000001</v>
      </c>
      <c r="Z19" s="1674">
        <f t="shared" si="6"/>
        <v>17474443.600000001</v>
      </c>
      <c r="AA19" s="1672">
        <f t="shared" si="6"/>
        <v>17474443.600000001</v>
      </c>
      <c r="AB19" s="1673">
        <f t="shared" si="6"/>
        <v>17474443.600000001</v>
      </c>
      <c r="AC19" s="1673">
        <f t="shared" si="6"/>
        <v>17474443.600000001</v>
      </c>
      <c r="AD19" s="1674">
        <f t="shared" si="6"/>
        <v>17474443.600000001</v>
      </c>
      <c r="AE19" s="1672"/>
      <c r="AF19" s="1673"/>
      <c r="AG19" s="1673"/>
      <c r="AH19" s="1674"/>
      <c r="AI19" s="1672"/>
      <c r="AJ19" s="1673"/>
      <c r="AK19" s="1673"/>
      <c r="AL19" s="1674"/>
      <c r="AM19" s="1672"/>
      <c r="AN19" s="1673"/>
      <c r="AO19" s="1673"/>
      <c r="AP19" s="1674"/>
      <c r="AQ19" s="1672"/>
      <c r="AR19" s="1673"/>
      <c r="AS19" s="1678"/>
      <c r="AT19" s="1679"/>
      <c r="AU19" s="1090"/>
      <c r="AV19" s="1091"/>
      <c r="AW19" s="1091"/>
      <c r="AX19" s="1092"/>
      <c r="AY19" s="1090"/>
      <c r="AZ19" s="1091"/>
      <c r="BA19" s="1091"/>
      <c r="BB19" s="1092"/>
      <c r="BC19" s="1090"/>
      <c r="BD19" s="1091"/>
      <c r="BE19" s="1091"/>
      <c r="BF19" s="1092"/>
      <c r="BG19" s="1090"/>
      <c r="BH19" s="1091"/>
      <c r="BI19" s="1091"/>
      <c r="BJ19" s="1092"/>
    </row>
    <row r="20" spans="1:62" ht="18">
      <c r="A20" s="1707" t="str">
        <f>+IF(PRESUPUESTO!A26="","",PRESUPUESTO!A26)</f>
        <v>1.2.2</v>
      </c>
      <c r="B20" s="1624" t="str">
        <f>+IF(PRESUPUESTO!B26="","",PRESUPUESTO!B26)</f>
        <v>Suministro tubería de alcantarillado PVC ø 250 mm (10")</v>
      </c>
      <c r="C20" s="1610" t="str">
        <f>+IF(PRESUPUESTO!C26="","",PRESUPUESTO!C26)</f>
        <v>m</v>
      </c>
      <c r="D20" s="1611">
        <f>+IF(PRESUPUESTO!D26="","",PRESUPUESTO!D26)</f>
        <v>259.95</v>
      </c>
      <c r="E20" s="1602">
        <f>+IF(PRESUPUESTO!E26="","",PRESUPUESTO!E26)</f>
        <v>115517</v>
      </c>
      <c r="F20" s="1603">
        <f>+IF(PRESUPUESTO!F26="","",PRESUPUESTO!F26)</f>
        <v>30028644</v>
      </c>
      <c r="G20" s="1113"/>
      <c r="H20" s="1634"/>
      <c r="I20" s="1111"/>
      <c r="J20" s="1112"/>
      <c r="K20" s="1113"/>
      <c r="L20" s="1111"/>
      <c r="M20" s="1086"/>
      <c r="N20" s="1087"/>
      <c r="O20" s="1672"/>
      <c r="P20" s="1673"/>
      <c r="Q20" s="1673"/>
      <c r="R20" s="1674"/>
      <c r="S20" s="1672"/>
      <c r="T20" s="1673"/>
      <c r="U20" s="1673"/>
      <c r="V20" s="1674"/>
      <c r="W20" s="1672">
        <f>+$F$20/4</f>
        <v>7507161</v>
      </c>
      <c r="X20" s="1673">
        <f t="shared" ref="X20:Z20" si="7">+$F$20/4</f>
        <v>7507161</v>
      </c>
      <c r="Y20" s="1673">
        <f t="shared" si="7"/>
        <v>7507161</v>
      </c>
      <c r="Z20" s="1674">
        <f t="shared" si="7"/>
        <v>7507161</v>
      </c>
      <c r="AA20" s="1672"/>
      <c r="AB20" s="1673"/>
      <c r="AC20" s="1673"/>
      <c r="AD20" s="1674"/>
      <c r="AE20" s="1672"/>
      <c r="AF20" s="1673"/>
      <c r="AG20" s="1673"/>
      <c r="AH20" s="1674"/>
      <c r="AI20" s="1660"/>
      <c r="AJ20" s="1661"/>
      <c r="AK20" s="1661"/>
      <c r="AL20" s="1662"/>
      <c r="AM20" s="1660"/>
      <c r="AN20" s="1661"/>
      <c r="AO20" s="1661"/>
      <c r="AP20" s="1662"/>
      <c r="AQ20" s="1660"/>
      <c r="AR20" s="1661"/>
      <c r="AS20" s="1678"/>
      <c r="AT20" s="1679"/>
      <c r="AU20" s="1090"/>
      <c r="AV20" s="1091"/>
      <c r="AW20" s="1091"/>
      <c r="AX20" s="1092"/>
      <c r="AY20" s="1090"/>
      <c r="AZ20" s="1091"/>
      <c r="BA20" s="1091"/>
      <c r="BB20" s="1092"/>
      <c r="BC20" s="1090"/>
      <c r="BD20" s="1091"/>
      <c r="BE20" s="1091"/>
      <c r="BF20" s="1092"/>
      <c r="BG20" s="1090"/>
      <c r="BH20" s="1091"/>
      <c r="BI20" s="1091"/>
      <c r="BJ20" s="1092"/>
    </row>
    <row r="21" spans="1:62" ht="18">
      <c r="A21" s="1707" t="str">
        <f>+IF(PRESUPUESTO!A27="","",PRESUPUESTO!A27)</f>
        <v>1.2.3</v>
      </c>
      <c r="B21" s="1624" t="str">
        <f>+IF(PRESUPUESTO!B27="","",PRESUPUESTO!B27)</f>
        <v>Suministro tubería de alcantarillado PVC ø 315 mm (12")</v>
      </c>
      <c r="C21" s="1610" t="str">
        <f>+IF(PRESUPUESTO!C27="","",PRESUPUESTO!C27)</f>
        <v>m</v>
      </c>
      <c r="D21" s="1611">
        <f>+IF(PRESUPUESTO!D27="","",PRESUPUESTO!D27)</f>
        <v>639.9</v>
      </c>
      <c r="E21" s="1602">
        <f>+IF(PRESUPUESTO!E27="","",PRESUPUESTO!E27)</f>
        <v>165136</v>
      </c>
      <c r="F21" s="1603">
        <f>+IF(PRESUPUESTO!F27="","",PRESUPUESTO!F27)</f>
        <v>105670526</v>
      </c>
      <c r="G21" s="1113"/>
      <c r="H21" s="1634"/>
      <c r="I21" s="1111"/>
      <c r="J21" s="1112"/>
      <c r="K21" s="1113"/>
      <c r="L21" s="1111"/>
      <c r="M21" s="1086"/>
      <c r="N21" s="1087"/>
      <c r="O21" s="1672"/>
      <c r="P21" s="1673"/>
      <c r="Q21" s="1673"/>
      <c r="R21" s="1674"/>
      <c r="S21" s="1672"/>
      <c r="T21" s="1673"/>
      <c r="U21" s="1673"/>
      <c r="V21" s="1674"/>
      <c r="W21" s="1672"/>
      <c r="X21" s="1673"/>
      <c r="Y21" s="1673"/>
      <c r="Z21" s="1674"/>
      <c r="AA21" s="1672">
        <f>+$F$21/8</f>
        <v>13208815.75</v>
      </c>
      <c r="AB21" s="1673">
        <f t="shared" ref="AB21:AH21" si="8">+$F$21/8</f>
        <v>13208815.75</v>
      </c>
      <c r="AC21" s="1673">
        <f t="shared" si="8"/>
        <v>13208815.75</v>
      </c>
      <c r="AD21" s="1674">
        <f t="shared" si="8"/>
        <v>13208815.75</v>
      </c>
      <c r="AE21" s="1672">
        <f t="shared" si="8"/>
        <v>13208815.75</v>
      </c>
      <c r="AF21" s="1673">
        <f t="shared" si="8"/>
        <v>13208815.75</v>
      </c>
      <c r="AG21" s="1673">
        <f t="shared" si="8"/>
        <v>13208815.75</v>
      </c>
      <c r="AH21" s="1674">
        <f t="shared" si="8"/>
        <v>13208815.75</v>
      </c>
      <c r="AI21" s="1660"/>
      <c r="AJ21" s="1661"/>
      <c r="AK21" s="1661"/>
      <c r="AL21" s="1662"/>
      <c r="AM21" s="1660"/>
      <c r="AN21" s="1661"/>
      <c r="AO21" s="1661"/>
      <c r="AP21" s="1662"/>
      <c r="AQ21" s="1660"/>
      <c r="AR21" s="1661"/>
      <c r="AS21" s="1678"/>
      <c r="AT21" s="1679"/>
      <c r="AU21" s="1090"/>
      <c r="AV21" s="1091"/>
      <c r="AW21" s="1091"/>
      <c r="AX21" s="1092"/>
      <c r="AY21" s="1090"/>
      <c r="AZ21" s="1091"/>
      <c r="BA21" s="1091"/>
      <c r="BB21" s="1092"/>
      <c r="BC21" s="1090"/>
      <c r="BD21" s="1091"/>
      <c r="BE21" s="1091"/>
      <c r="BF21" s="1092"/>
      <c r="BG21" s="1090"/>
      <c r="BH21" s="1091"/>
      <c r="BI21" s="1091"/>
      <c r="BJ21" s="1092"/>
    </row>
    <row r="22" spans="1:62" s="826" customFormat="1" ht="18">
      <c r="A22" s="1707" t="str">
        <f>+IF(PRESUPUESTO!A28="","",PRESUPUESTO!A28)</f>
        <v>1.2.4</v>
      </c>
      <c r="B22" s="1625" t="str">
        <f>+IF(PRESUPUESTO!B28="","",PRESUPUESTO!B28)</f>
        <v>Suministro tubería de alcantarillado PVC ø 355 mm (14")</v>
      </c>
      <c r="C22" s="1610" t="str">
        <f>+IF(PRESUPUESTO!C28="","",PRESUPUESTO!C28)</f>
        <v>m</v>
      </c>
      <c r="D22" s="1611">
        <f>+IF(PRESUPUESTO!D28="","",PRESUPUESTO!D28)</f>
        <v>201.53</v>
      </c>
      <c r="E22" s="1602">
        <f>+IF(PRESUPUESTO!E28="","",PRESUPUESTO!E28)</f>
        <v>246246</v>
      </c>
      <c r="F22" s="1602">
        <f>+IF(PRESUPUESTO!F28="","",PRESUPUESTO!F28)</f>
        <v>49625956</v>
      </c>
      <c r="G22" s="1094"/>
      <c r="H22" s="1634"/>
      <c r="I22" s="1111"/>
      <c r="J22" s="1096"/>
      <c r="K22" s="1094"/>
      <c r="L22" s="1095"/>
      <c r="M22" s="1097"/>
      <c r="N22" s="1098"/>
      <c r="O22" s="1672"/>
      <c r="P22" s="1673"/>
      <c r="Q22" s="1673"/>
      <c r="R22" s="1674"/>
      <c r="S22" s="1672"/>
      <c r="T22" s="1673"/>
      <c r="U22" s="1673"/>
      <c r="V22" s="1674"/>
      <c r="W22" s="1672"/>
      <c r="X22" s="1673"/>
      <c r="Y22" s="1673"/>
      <c r="Z22" s="1674"/>
      <c r="AA22" s="1672"/>
      <c r="AB22" s="1673"/>
      <c r="AC22" s="1673"/>
      <c r="AD22" s="1674"/>
      <c r="AE22" s="1672"/>
      <c r="AF22" s="1673"/>
      <c r="AG22" s="1673"/>
      <c r="AH22" s="1674"/>
      <c r="AI22" s="1660">
        <f>+$F$22/8</f>
        <v>6203244.5</v>
      </c>
      <c r="AJ22" s="1661">
        <f t="shared" ref="AJ22:AP22" si="9">+$F$22/8</f>
        <v>6203244.5</v>
      </c>
      <c r="AK22" s="1661">
        <f t="shared" si="9"/>
        <v>6203244.5</v>
      </c>
      <c r="AL22" s="1662">
        <f t="shared" si="9"/>
        <v>6203244.5</v>
      </c>
      <c r="AM22" s="1663">
        <f t="shared" si="9"/>
        <v>6203244.5</v>
      </c>
      <c r="AN22" s="1664">
        <f t="shared" si="9"/>
        <v>6203244.5</v>
      </c>
      <c r="AO22" s="1664">
        <f t="shared" si="9"/>
        <v>6203244.5</v>
      </c>
      <c r="AP22" s="1665">
        <f t="shared" si="9"/>
        <v>6203244.5</v>
      </c>
      <c r="AQ22" s="1663"/>
      <c r="AR22" s="1664"/>
      <c r="AS22" s="1678"/>
      <c r="AT22" s="1679"/>
      <c r="AU22" s="1101"/>
      <c r="AV22" s="1102"/>
      <c r="AW22" s="1102"/>
      <c r="AX22" s="1103"/>
      <c r="AY22" s="1101"/>
      <c r="AZ22" s="1102"/>
      <c r="BA22" s="1102"/>
      <c r="BB22" s="1103"/>
      <c r="BC22" s="1101"/>
      <c r="BD22" s="1102"/>
      <c r="BE22" s="1102"/>
      <c r="BF22" s="1103"/>
      <c r="BG22" s="1101"/>
      <c r="BH22" s="1102"/>
      <c r="BI22" s="1102"/>
      <c r="BJ22" s="1103"/>
    </row>
    <row r="23" spans="1:62" s="826" customFormat="1" ht="18">
      <c r="A23" s="1706" t="str">
        <f>+IF(PRESUPUESTO!A29="","",PRESUPUESTO!A29)</f>
        <v/>
      </c>
      <c r="B23" s="1628" t="str">
        <f>+IF(PRESUPUESTO!B29="","",PRESUPUESTO!B29)</f>
        <v>SUBTOTAL SUMINISTROS DE TUBERÍA</v>
      </c>
      <c r="C23" s="1618" t="str">
        <f>+IF(PRESUPUESTO!C29="","",PRESUPUESTO!C29)</f>
        <v/>
      </c>
      <c r="D23" s="1619" t="str">
        <f>+IF(PRESUPUESTO!D29="","",PRESUPUESTO!D29)</f>
        <v/>
      </c>
      <c r="E23" s="1604" t="str">
        <f>+IF(PRESUPUESTO!E29="","",PRESUPUESTO!E29)</f>
        <v/>
      </c>
      <c r="F23" s="1609">
        <f>+IF(PRESUPUESTO!F29="","",PRESUPUESTO!F29)</f>
        <v>447441780</v>
      </c>
      <c r="G23" s="1094"/>
      <c r="H23" s="1095"/>
      <c r="I23" s="1095"/>
      <c r="J23" s="1096"/>
      <c r="K23" s="1094"/>
      <c r="L23" s="1095"/>
      <c r="M23" s="1097"/>
      <c r="N23" s="1098"/>
      <c r="O23" s="1672"/>
      <c r="P23" s="1673"/>
      <c r="Q23" s="1673"/>
      <c r="R23" s="1674"/>
      <c r="S23" s="1672"/>
      <c r="T23" s="1673"/>
      <c r="U23" s="1673"/>
      <c r="V23" s="1674"/>
      <c r="W23" s="1672"/>
      <c r="X23" s="1673"/>
      <c r="Y23" s="1673"/>
      <c r="Z23" s="1674"/>
      <c r="AA23" s="1672"/>
      <c r="AB23" s="1673"/>
      <c r="AC23" s="1673"/>
      <c r="AD23" s="1674"/>
      <c r="AE23" s="1672"/>
      <c r="AF23" s="1673"/>
      <c r="AG23" s="1673"/>
      <c r="AH23" s="1674"/>
      <c r="AI23" s="1660"/>
      <c r="AJ23" s="1661"/>
      <c r="AK23" s="1661"/>
      <c r="AL23" s="1662"/>
      <c r="AM23" s="1663"/>
      <c r="AN23" s="1664"/>
      <c r="AO23" s="1664"/>
      <c r="AP23" s="1665"/>
      <c r="AQ23" s="1663"/>
      <c r="AR23" s="1664"/>
      <c r="AS23" s="1678"/>
      <c r="AT23" s="1679"/>
      <c r="AU23" s="1101"/>
      <c r="AV23" s="1102"/>
      <c r="AW23" s="1102"/>
      <c r="AX23" s="1103"/>
      <c r="AY23" s="1101"/>
      <c r="AZ23" s="1102"/>
      <c r="BA23" s="1102"/>
      <c r="BB23" s="1103"/>
      <c r="BC23" s="1101"/>
      <c r="BD23" s="1102"/>
      <c r="BE23" s="1102"/>
      <c r="BF23" s="1103"/>
      <c r="BG23" s="1101"/>
      <c r="BH23" s="1102"/>
      <c r="BI23" s="1102"/>
      <c r="BJ23" s="1103"/>
    </row>
    <row r="24" spans="1:62" s="826" customFormat="1" ht="18">
      <c r="A24" s="1706" t="str">
        <f>+IF(PRESUPUESTO!A30="","",PRESUPUESTO!A30)</f>
        <v/>
      </c>
      <c r="B24" s="1625" t="str">
        <f>+IF(PRESUPUESTO!B30="","",PRESUPUESTO!B30)</f>
        <v/>
      </c>
      <c r="C24" s="1612" t="str">
        <f>+IF(PRESUPUESTO!C30="","",PRESUPUESTO!C30)</f>
        <v/>
      </c>
      <c r="D24" s="1603" t="str">
        <f>+IF(PRESUPUESTO!D30="","",PRESUPUESTO!D30)</f>
        <v/>
      </c>
      <c r="E24" s="1603" t="str">
        <f>+IF(PRESUPUESTO!E30="","",PRESUPUESTO!E30)</f>
        <v/>
      </c>
      <c r="F24" s="1603" t="str">
        <f>+IF(PRESUPUESTO!F30="","",PRESUPUESTO!F30)</f>
        <v/>
      </c>
      <c r="G24" s="1094"/>
      <c r="H24" s="1096"/>
      <c r="I24" s="1111"/>
      <c r="J24" s="1096"/>
      <c r="K24" s="1094"/>
      <c r="L24" s="1095"/>
      <c r="M24" s="1097"/>
      <c r="N24" s="1098"/>
      <c r="O24" s="1672"/>
      <c r="P24" s="1673"/>
      <c r="Q24" s="1673"/>
      <c r="R24" s="1674"/>
      <c r="S24" s="1672"/>
      <c r="T24" s="1673"/>
      <c r="U24" s="1673"/>
      <c r="V24" s="1674"/>
      <c r="W24" s="1672"/>
      <c r="X24" s="1673"/>
      <c r="Y24" s="1673"/>
      <c r="Z24" s="1674"/>
      <c r="AA24" s="1672"/>
      <c r="AB24" s="1673"/>
      <c r="AC24" s="1673"/>
      <c r="AD24" s="1674"/>
      <c r="AE24" s="1672"/>
      <c r="AF24" s="1673"/>
      <c r="AG24" s="1673"/>
      <c r="AH24" s="1674"/>
      <c r="AI24" s="1660"/>
      <c r="AJ24" s="1661"/>
      <c r="AK24" s="1661"/>
      <c r="AL24" s="1662"/>
      <c r="AM24" s="1663"/>
      <c r="AN24" s="1664"/>
      <c r="AO24" s="1664"/>
      <c r="AP24" s="1665"/>
      <c r="AQ24" s="1663"/>
      <c r="AR24" s="1664"/>
      <c r="AS24" s="1678"/>
      <c r="AT24" s="1679"/>
      <c r="AU24" s="1101"/>
      <c r="AV24" s="1102"/>
      <c r="AW24" s="1102"/>
      <c r="AX24" s="1103"/>
      <c r="AY24" s="1101"/>
      <c r="AZ24" s="1102"/>
      <c r="BA24" s="1102"/>
      <c r="BB24" s="1103"/>
      <c r="BC24" s="1101"/>
      <c r="BD24" s="1102"/>
      <c r="BE24" s="1102"/>
      <c r="BF24" s="1103"/>
      <c r="BG24" s="1101"/>
      <c r="BH24" s="1102"/>
      <c r="BI24" s="1102"/>
      <c r="BJ24" s="1103"/>
    </row>
    <row r="25" spans="1:62" s="826" customFormat="1" ht="18">
      <c r="A25" s="1703">
        <f>+IF(PRESUPUESTO!A31="","",PRESUPUESTO!A31)</f>
        <v>1.3</v>
      </c>
      <c r="B25" s="1627" t="str">
        <f>+IF(PRESUPUESTO!B31="","",PRESUPUESTO!B31)</f>
        <v>INSTALACIÓN DE TUBERÍA DE ALCANTARILLADO</v>
      </c>
      <c r="C25" s="1621" t="str">
        <f>+IF(PRESUPUESTO!C31="","",PRESUPUESTO!C31)</f>
        <v/>
      </c>
      <c r="D25" s="1622" t="str">
        <f>+IF(PRESUPUESTO!D31="","",PRESUPUESTO!D31)</f>
        <v/>
      </c>
      <c r="E25" s="1623" t="str">
        <f>+IF(PRESUPUESTO!E31="","",PRESUPUESTO!E31)</f>
        <v/>
      </c>
      <c r="F25" s="1605" t="str">
        <f>+IF(PRESUPUESTO!F31="","",PRESUPUESTO!F31)</f>
        <v/>
      </c>
      <c r="G25" s="1094"/>
      <c r="H25" s="1096"/>
      <c r="I25" s="1111"/>
      <c r="J25" s="1119"/>
      <c r="K25" s="1094"/>
      <c r="L25" s="1095"/>
      <c r="M25" s="1097"/>
      <c r="N25" s="1098"/>
      <c r="O25" s="1672"/>
      <c r="P25" s="1673"/>
      <c r="Q25" s="1673"/>
      <c r="R25" s="1674"/>
      <c r="S25" s="1672"/>
      <c r="T25" s="1673"/>
      <c r="U25" s="1673"/>
      <c r="V25" s="1674"/>
      <c r="W25" s="1672"/>
      <c r="X25" s="1673"/>
      <c r="Y25" s="1673"/>
      <c r="Z25" s="1674"/>
      <c r="AA25" s="1672"/>
      <c r="AB25" s="1673"/>
      <c r="AC25" s="1673"/>
      <c r="AD25" s="1674"/>
      <c r="AE25" s="1672"/>
      <c r="AF25" s="1673"/>
      <c r="AG25" s="1673"/>
      <c r="AH25" s="1674"/>
      <c r="AI25" s="1660"/>
      <c r="AJ25" s="1661"/>
      <c r="AK25" s="1661"/>
      <c r="AL25" s="1662"/>
      <c r="AM25" s="1660"/>
      <c r="AN25" s="1661"/>
      <c r="AO25" s="1661"/>
      <c r="AP25" s="1662"/>
      <c r="AQ25" s="1660"/>
      <c r="AR25" s="1661"/>
      <c r="AS25" s="1678"/>
      <c r="AT25" s="1679"/>
      <c r="AU25" s="1101"/>
      <c r="AV25" s="1102"/>
      <c r="AW25" s="1102"/>
      <c r="AX25" s="1103"/>
      <c r="AY25" s="1101"/>
      <c r="AZ25" s="1102"/>
      <c r="BA25" s="1102"/>
      <c r="BB25" s="1103"/>
      <c r="BC25" s="1101"/>
      <c r="BD25" s="1102"/>
      <c r="BE25" s="1102"/>
      <c r="BF25" s="1103"/>
      <c r="BG25" s="1101"/>
      <c r="BH25" s="1102"/>
      <c r="BI25" s="1102"/>
      <c r="BJ25" s="1103"/>
    </row>
    <row r="26" spans="1:62" s="826" customFormat="1" ht="69">
      <c r="A26" s="1707" t="str">
        <f>+IF(PRESUPUESTO!A32="","",PRESUPUESTO!A32)</f>
        <v>1.3.1</v>
      </c>
      <c r="B26" s="1625" t="str">
        <f>+IF(PRESUPUESTO!B32="","",PRESUPUESTO!B32)</f>
        <v>Instalación de tubería de alcantarillado PVC ø 200 mm (8") y accesorios. Incluye: Nivelación, arreglo del fondo de la zanja, bajada y empalme del tubo, uso de herramienta y mano de obra, lubricante, y todo lo necesario para la correcta ejecución de la obra.</v>
      </c>
      <c r="C26" s="1610" t="str">
        <f>+IF(PRESUPUESTO!C32="","",PRESUPUESTO!C32)</f>
        <v>m</v>
      </c>
      <c r="D26" s="1611">
        <f>+IF(PRESUPUESTO!D32="","",PRESUPUESTO!D32)</f>
        <v>3281.7499999999995</v>
      </c>
      <c r="E26" s="1602">
        <f>+IF(PRESUPUESTO!E32="","",PRESUPUESTO!E32)</f>
        <v>34398</v>
      </c>
      <c r="F26" s="1602">
        <f>+IF(PRESUPUESTO!F32="","",PRESUPUESTO!F32)</f>
        <v>112885637</v>
      </c>
      <c r="G26" s="1094"/>
      <c r="H26" s="1095"/>
      <c r="I26" s="1095"/>
      <c r="J26" s="1096"/>
      <c r="K26" s="1094"/>
      <c r="L26" s="1095"/>
      <c r="M26" s="1097"/>
      <c r="N26" s="1098"/>
      <c r="O26" s="1672"/>
      <c r="P26" s="1673">
        <f>+$F$26/15</f>
        <v>7525709.1333333338</v>
      </c>
      <c r="Q26" s="1673">
        <f t="shared" ref="Q26:AD26" si="10">+$F$26/15</f>
        <v>7525709.1333333338</v>
      </c>
      <c r="R26" s="1674">
        <f t="shared" si="10"/>
        <v>7525709.1333333338</v>
      </c>
      <c r="S26" s="1672">
        <f t="shared" si="10"/>
        <v>7525709.1333333338</v>
      </c>
      <c r="T26" s="1673">
        <f t="shared" si="10"/>
        <v>7525709.1333333338</v>
      </c>
      <c r="U26" s="1673">
        <f t="shared" si="10"/>
        <v>7525709.1333333338</v>
      </c>
      <c r="V26" s="1674">
        <f t="shared" si="10"/>
        <v>7525709.1333333338</v>
      </c>
      <c r="W26" s="1672">
        <f t="shared" si="10"/>
        <v>7525709.1333333338</v>
      </c>
      <c r="X26" s="1673">
        <f t="shared" si="10"/>
        <v>7525709.1333333338</v>
      </c>
      <c r="Y26" s="1673">
        <f t="shared" si="10"/>
        <v>7525709.1333333338</v>
      </c>
      <c r="Z26" s="1674">
        <f t="shared" si="10"/>
        <v>7525709.1333333338</v>
      </c>
      <c r="AA26" s="1672">
        <f t="shared" si="10"/>
        <v>7525709.1333333338</v>
      </c>
      <c r="AB26" s="1673">
        <f t="shared" si="10"/>
        <v>7525709.1333333338</v>
      </c>
      <c r="AC26" s="1673">
        <f t="shared" si="10"/>
        <v>7525709.1333333338</v>
      </c>
      <c r="AD26" s="1674">
        <f t="shared" si="10"/>
        <v>7525709.1333333338</v>
      </c>
      <c r="AE26" s="1672"/>
      <c r="AF26" s="1673"/>
      <c r="AG26" s="1673"/>
      <c r="AH26" s="1674"/>
      <c r="AI26" s="1672"/>
      <c r="AJ26" s="1673"/>
      <c r="AK26" s="1673"/>
      <c r="AL26" s="1674"/>
      <c r="AM26" s="1675"/>
      <c r="AN26" s="1676"/>
      <c r="AO26" s="1676"/>
      <c r="AP26" s="1677"/>
      <c r="AQ26" s="1675"/>
      <c r="AR26" s="1676"/>
      <c r="AS26" s="1678"/>
      <c r="AT26" s="1679"/>
      <c r="AU26" s="1101"/>
      <c r="AV26" s="1102"/>
      <c r="AW26" s="1102"/>
      <c r="AX26" s="1103"/>
      <c r="AY26" s="1101"/>
      <c r="AZ26" s="1102"/>
      <c r="BA26" s="1102"/>
      <c r="BB26" s="1103"/>
      <c r="BC26" s="1101"/>
      <c r="BD26" s="1102"/>
      <c r="BE26" s="1102"/>
      <c r="BF26" s="1103"/>
      <c r="BG26" s="1101"/>
      <c r="BH26" s="1102"/>
      <c r="BI26" s="1102"/>
      <c r="BJ26" s="1103"/>
    </row>
    <row r="27" spans="1:62" s="826" customFormat="1" ht="69">
      <c r="A27" s="1707" t="str">
        <f>+IF(PRESUPUESTO!A33="","",PRESUPUESTO!A33)</f>
        <v>1.3.2</v>
      </c>
      <c r="B27" s="1625" t="str">
        <f>+IF(PRESUPUESTO!B33="","",PRESUPUESTO!B33)</f>
        <v>Instalación de tubería de alcantarillado PVC ø 250 mm (10") y accesorios. Incluye: Nivelación, arreglo del fondo de la zanja, bajada y empalme del tubo, uso de herramienta y mano de obra, lubricante,  y todo lo necesario para la correcta ejecución de la obra.</v>
      </c>
      <c r="C27" s="1610" t="str">
        <f>+IF(PRESUPUESTO!C33="","",PRESUPUESTO!C33)</f>
        <v>m</v>
      </c>
      <c r="D27" s="1611">
        <f>+IF(PRESUPUESTO!D33="","",PRESUPUESTO!D33)</f>
        <v>259.95</v>
      </c>
      <c r="E27" s="1602">
        <f>+IF(PRESUPUESTO!E33="","",PRESUPUESTO!E33)</f>
        <v>40095.9</v>
      </c>
      <c r="F27" s="1602">
        <f>+IF(PRESUPUESTO!F33="","",PRESUPUESTO!F33)</f>
        <v>10422929</v>
      </c>
      <c r="G27" s="1094"/>
      <c r="H27" s="1095"/>
      <c r="I27" s="1095"/>
      <c r="J27" s="1096"/>
      <c r="K27" s="1094"/>
      <c r="L27" s="1095"/>
      <c r="M27" s="1097"/>
      <c r="N27" s="1098"/>
      <c r="O27" s="1672"/>
      <c r="P27" s="1673"/>
      <c r="Q27" s="1673"/>
      <c r="R27" s="1674"/>
      <c r="S27" s="1672"/>
      <c r="T27" s="1673"/>
      <c r="U27" s="1673"/>
      <c r="V27" s="1674"/>
      <c r="W27" s="1672">
        <f>+$F$27/4</f>
        <v>2605732.25</v>
      </c>
      <c r="X27" s="1673">
        <f t="shared" ref="X27:Z27" si="11">+$F$27/4</f>
        <v>2605732.25</v>
      </c>
      <c r="Y27" s="1673">
        <f t="shared" si="11"/>
        <v>2605732.25</v>
      </c>
      <c r="Z27" s="1674">
        <f t="shared" si="11"/>
        <v>2605732.25</v>
      </c>
      <c r="AA27" s="1672"/>
      <c r="AB27" s="1673"/>
      <c r="AC27" s="1673"/>
      <c r="AD27" s="1674"/>
      <c r="AE27" s="1672"/>
      <c r="AF27" s="1673"/>
      <c r="AG27" s="1673"/>
      <c r="AH27" s="1674"/>
      <c r="AI27" s="1672"/>
      <c r="AJ27" s="1673"/>
      <c r="AK27" s="1673"/>
      <c r="AL27" s="1674"/>
      <c r="AM27" s="1675"/>
      <c r="AN27" s="1676"/>
      <c r="AO27" s="1676"/>
      <c r="AP27" s="1677"/>
      <c r="AQ27" s="1675"/>
      <c r="AR27" s="1676"/>
      <c r="AS27" s="1678"/>
      <c r="AT27" s="1679"/>
      <c r="AU27" s="1101"/>
      <c r="AV27" s="1102"/>
      <c r="AW27" s="1102"/>
      <c r="AX27" s="1103"/>
      <c r="AY27" s="1101"/>
      <c r="AZ27" s="1102"/>
      <c r="BA27" s="1102"/>
      <c r="BB27" s="1103"/>
      <c r="BC27" s="1101"/>
      <c r="BD27" s="1102"/>
      <c r="BE27" s="1102"/>
      <c r="BF27" s="1103"/>
      <c r="BG27" s="1101"/>
      <c r="BH27" s="1102"/>
      <c r="BI27" s="1102"/>
      <c r="BJ27" s="1103"/>
    </row>
    <row r="28" spans="1:62" s="826" customFormat="1" ht="69">
      <c r="A28" s="1706" t="str">
        <f>+IF(PRESUPUESTO!A34="","",PRESUPUESTO!A34)</f>
        <v>1.3.3</v>
      </c>
      <c r="B28" s="1625" t="str">
        <f>+IF(PRESUPUESTO!B34="","",PRESUPUESTO!B34)</f>
        <v>Instalación de tubería de alcantarillado PVC ø 315 mm (12") y accesorios. Incluye: Nivelación, arreglo del fondo de la zanja, bajada y empalme del tubo, uso de herramienta y mano de obra, lubricante,  y todo lo necesario para la correcta ejecución de la obra.</v>
      </c>
      <c r="C28" s="1612" t="str">
        <f>+IF(PRESUPUESTO!C34="","",PRESUPUESTO!C34)</f>
        <v>m</v>
      </c>
      <c r="D28" s="1603">
        <f>+IF(PRESUPUESTO!D34="","",PRESUPUESTO!D34)</f>
        <v>639.9</v>
      </c>
      <c r="E28" s="1603">
        <f>+IF(PRESUPUESTO!E34="","",PRESUPUESTO!E34)</f>
        <v>47378.5</v>
      </c>
      <c r="F28" s="1603">
        <f>+IF(PRESUPUESTO!F34="","",PRESUPUESTO!F34)</f>
        <v>30317502</v>
      </c>
      <c r="G28" s="1094"/>
      <c r="H28" s="1095"/>
      <c r="I28" s="1095"/>
      <c r="J28" s="1096"/>
      <c r="K28" s="1094"/>
      <c r="L28" s="1095"/>
      <c r="M28" s="1097"/>
      <c r="N28" s="1098"/>
      <c r="O28" s="1672"/>
      <c r="P28" s="1673"/>
      <c r="Q28" s="1673"/>
      <c r="R28" s="1674"/>
      <c r="S28" s="1672"/>
      <c r="T28" s="1673"/>
      <c r="U28" s="1673"/>
      <c r="V28" s="1674"/>
      <c r="W28" s="1672"/>
      <c r="X28" s="1673"/>
      <c r="Y28" s="1673"/>
      <c r="Z28" s="1674"/>
      <c r="AA28" s="1672">
        <f>+$F$28/8</f>
        <v>3789687.75</v>
      </c>
      <c r="AB28" s="1673">
        <f t="shared" ref="AB28:AH28" si="12">+$F$28/8</f>
        <v>3789687.75</v>
      </c>
      <c r="AC28" s="1673">
        <f t="shared" si="12"/>
        <v>3789687.75</v>
      </c>
      <c r="AD28" s="1674">
        <f t="shared" si="12"/>
        <v>3789687.75</v>
      </c>
      <c r="AE28" s="1672">
        <f t="shared" si="12"/>
        <v>3789687.75</v>
      </c>
      <c r="AF28" s="1673">
        <f t="shared" si="12"/>
        <v>3789687.75</v>
      </c>
      <c r="AG28" s="1673">
        <f t="shared" si="12"/>
        <v>3789687.75</v>
      </c>
      <c r="AH28" s="1674">
        <f t="shared" si="12"/>
        <v>3789687.75</v>
      </c>
      <c r="AI28" s="1672"/>
      <c r="AJ28" s="1673"/>
      <c r="AK28" s="1673"/>
      <c r="AL28" s="1674"/>
      <c r="AM28" s="1675"/>
      <c r="AN28" s="1676"/>
      <c r="AO28" s="1676"/>
      <c r="AP28" s="1677"/>
      <c r="AQ28" s="1675"/>
      <c r="AR28" s="1676"/>
      <c r="AS28" s="1678"/>
      <c r="AT28" s="1679"/>
      <c r="AU28" s="1101"/>
      <c r="AV28" s="1102"/>
      <c r="AW28" s="1102"/>
      <c r="AX28" s="1103"/>
      <c r="AY28" s="1101"/>
      <c r="AZ28" s="1102"/>
      <c r="BA28" s="1102"/>
      <c r="BB28" s="1103"/>
      <c r="BC28" s="1101"/>
      <c r="BD28" s="1102"/>
      <c r="BE28" s="1102"/>
      <c r="BF28" s="1103"/>
      <c r="BG28" s="1101"/>
      <c r="BH28" s="1102"/>
      <c r="BI28" s="1102"/>
      <c r="BJ28" s="1103"/>
    </row>
    <row r="29" spans="1:62" s="826" customFormat="1" ht="69">
      <c r="A29" s="1707" t="str">
        <f>+IF(PRESUPUESTO!A35="","",PRESUPUESTO!A35)</f>
        <v>1.3.4</v>
      </c>
      <c r="B29" s="1624" t="str">
        <f>+IF(PRESUPUESTO!B35="","",PRESUPUESTO!B35)</f>
        <v>Instalación de tubería de alcantarillado PVC ø 355 mm (14") y accesorios. Incluye: Nivelación, arreglo del fondo de la zanja, bajada y empalme del tubo, uso de herramienta y mano de obra, lubricante  y todo lo necesario para la correcta ejecución de la obra.</v>
      </c>
      <c r="C29" s="1610" t="str">
        <f>+IF(PRESUPUESTO!C35="","",PRESUPUESTO!C35)</f>
        <v>m</v>
      </c>
      <c r="D29" s="1611">
        <f>+IF(PRESUPUESTO!D35="","",PRESUPUESTO!D35)</f>
        <v>201.53</v>
      </c>
      <c r="E29" s="1602">
        <f>+IF(PRESUPUESTO!E35="","",PRESUPUESTO!E35)</f>
        <v>57417.1</v>
      </c>
      <c r="F29" s="1603">
        <f>+IF(PRESUPUESTO!F35="","",PRESUPUESTO!F35)</f>
        <v>11571268</v>
      </c>
      <c r="G29" s="1094"/>
      <c r="H29" s="1095"/>
      <c r="I29" s="1095"/>
      <c r="J29" s="1096"/>
      <c r="K29" s="1094"/>
      <c r="L29" s="1095"/>
      <c r="M29" s="1097"/>
      <c r="N29" s="1098"/>
      <c r="O29" s="1672"/>
      <c r="P29" s="1673"/>
      <c r="Q29" s="1673"/>
      <c r="R29" s="1674"/>
      <c r="S29" s="1672"/>
      <c r="T29" s="1673"/>
      <c r="U29" s="1673"/>
      <c r="V29" s="1674"/>
      <c r="W29" s="1672"/>
      <c r="X29" s="1673"/>
      <c r="Y29" s="1673"/>
      <c r="Z29" s="1674"/>
      <c r="AA29" s="1672"/>
      <c r="AB29" s="1673"/>
      <c r="AC29" s="1673"/>
      <c r="AD29" s="1674"/>
      <c r="AE29" s="1672"/>
      <c r="AF29" s="1673"/>
      <c r="AG29" s="1673"/>
      <c r="AH29" s="1674"/>
      <c r="AI29" s="1672">
        <f>+$F$29/8</f>
        <v>1446408.5</v>
      </c>
      <c r="AJ29" s="1673">
        <f t="shared" ref="AJ29:AP29" si="13">+$F$29/8</f>
        <v>1446408.5</v>
      </c>
      <c r="AK29" s="1673">
        <f t="shared" si="13"/>
        <v>1446408.5</v>
      </c>
      <c r="AL29" s="1674">
        <f t="shared" si="13"/>
        <v>1446408.5</v>
      </c>
      <c r="AM29" s="1675">
        <f t="shared" si="13"/>
        <v>1446408.5</v>
      </c>
      <c r="AN29" s="1676">
        <f t="shared" si="13"/>
        <v>1446408.5</v>
      </c>
      <c r="AO29" s="1676">
        <f t="shared" si="13"/>
        <v>1446408.5</v>
      </c>
      <c r="AP29" s="1677">
        <f t="shared" si="13"/>
        <v>1446408.5</v>
      </c>
      <c r="AQ29" s="1675"/>
      <c r="AR29" s="1676"/>
      <c r="AS29" s="1678"/>
      <c r="AT29" s="1679"/>
      <c r="AU29" s="1101"/>
      <c r="AV29" s="1102"/>
      <c r="AW29" s="1102"/>
      <c r="AX29" s="1103"/>
      <c r="AY29" s="1101"/>
      <c r="AZ29" s="1102"/>
      <c r="BA29" s="1102"/>
      <c r="BB29" s="1103"/>
      <c r="BC29" s="1101"/>
      <c r="BD29" s="1102"/>
      <c r="BE29" s="1102"/>
      <c r="BF29" s="1103"/>
      <c r="BG29" s="1101"/>
      <c r="BH29" s="1102"/>
      <c r="BI29" s="1102"/>
      <c r="BJ29" s="1103"/>
    </row>
    <row r="30" spans="1:62" s="826" customFormat="1" ht="34.5">
      <c r="A30" s="1706" t="str">
        <f>+IF(PRESUPUESTO!A36="","",PRESUPUESTO!A36)</f>
        <v/>
      </c>
      <c r="B30" s="1628" t="str">
        <f>+IF(PRESUPUESTO!B36="","",PRESUPUESTO!B36)</f>
        <v>SUBTOTAL   SUMINISTRO E INSTALACIÓN DE TUBERÍA DE ALCANTARILLADO</v>
      </c>
      <c r="C30" s="1618" t="str">
        <f>+IF(PRESUPUESTO!C36="","",PRESUPUESTO!C36)</f>
        <v/>
      </c>
      <c r="D30" s="1619" t="str">
        <f>+IF(PRESUPUESTO!D36="","",PRESUPUESTO!D36)</f>
        <v/>
      </c>
      <c r="E30" s="1604" t="str">
        <f>+IF(PRESUPUESTO!E36="","",PRESUPUESTO!E36)</f>
        <v/>
      </c>
      <c r="F30" s="1609">
        <f>+IF(PRESUPUESTO!F36="","",PRESUPUESTO!F36)</f>
        <v>165197336</v>
      </c>
      <c r="G30" s="1094"/>
      <c r="H30" s="1095"/>
      <c r="I30" s="1095"/>
      <c r="J30" s="1096"/>
      <c r="K30" s="1094"/>
      <c r="L30" s="1095"/>
      <c r="M30" s="1097"/>
      <c r="N30" s="1098"/>
      <c r="O30" s="1672"/>
      <c r="P30" s="1673"/>
      <c r="Q30" s="1673"/>
      <c r="R30" s="1674"/>
      <c r="S30" s="1672"/>
      <c r="T30" s="1673"/>
      <c r="U30" s="1673"/>
      <c r="V30" s="1674"/>
      <c r="W30" s="1672"/>
      <c r="X30" s="1673"/>
      <c r="Y30" s="1673"/>
      <c r="Z30" s="1674"/>
      <c r="AA30" s="1672"/>
      <c r="AB30" s="1673"/>
      <c r="AC30" s="1673"/>
      <c r="AD30" s="1674"/>
      <c r="AE30" s="1672"/>
      <c r="AF30" s="1673"/>
      <c r="AG30" s="1673"/>
      <c r="AH30" s="1674"/>
      <c r="AI30" s="1672"/>
      <c r="AJ30" s="1673"/>
      <c r="AK30" s="1673"/>
      <c r="AL30" s="1674"/>
      <c r="AM30" s="1675"/>
      <c r="AN30" s="1676"/>
      <c r="AO30" s="1676"/>
      <c r="AP30" s="1677"/>
      <c r="AQ30" s="1675"/>
      <c r="AR30" s="1676"/>
      <c r="AS30" s="1678"/>
      <c r="AT30" s="1679"/>
      <c r="AU30" s="1101"/>
      <c r="AV30" s="1102"/>
      <c r="AW30" s="1102"/>
      <c r="AX30" s="1103"/>
      <c r="AY30" s="1101"/>
      <c r="AZ30" s="1102"/>
      <c r="BA30" s="1102"/>
      <c r="BB30" s="1103"/>
      <c r="BC30" s="1101"/>
      <c r="BD30" s="1102"/>
      <c r="BE30" s="1102"/>
      <c r="BF30" s="1103"/>
      <c r="BG30" s="1101"/>
      <c r="BH30" s="1102"/>
      <c r="BI30" s="1102"/>
      <c r="BJ30" s="1103"/>
    </row>
    <row r="31" spans="1:62" s="826" customFormat="1" ht="18">
      <c r="A31" s="1707" t="str">
        <f>+IF(PRESUPUESTO!A37="","",PRESUPUESTO!A37)</f>
        <v/>
      </c>
      <c r="B31" s="1624" t="str">
        <f>+IF(PRESUPUESTO!B37="","",PRESUPUESTO!B37)</f>
        <v/>
      </c>
      <c r="C31" s="1610" t="str">
        <f>+IF(PRESUPUESTO!C37="","",PRESUPUESTO!C37)</f>
        <v/>
      </c>
      <c r="D31" s="1611" t="str">
        <f>+IF(PRESUPUESTO!D37="","",PRESUPUESTO!D37)</f>
        <v/>
      </c>
      <c r="E31" s="1602" t="str">
        <f>+IF(PRESUPUESTO!E37="","",PRESUPUESTO!E37)</f>
        <v/>
      </c>
      <c r="F31" s="1603" t="str">
        <f>+IF(PRESUPUESTO!F37="","",PRESUPUESTO!F37)</f>
        <v/>
      </c>
      <c r="G31" s="1094"/>
      <c r="H31" s="1095"/>
      <c r="I31" s="1095"/>
      <c r="J31" s="1096"/>
      <c r="K31" s="1094"/>
      <c r="L31" s="1095"/>
      <c r="M31" s="1097"/>
      <c r="N31" s="1098"/>
      <c r="O31" s="1672"/>
      <c r="P31" s="1673"/>
      <c r="Q31" s="1673"/>
      <c r="R31" s="1674"/>
      <c r="S31" s="1683"/>
      <c r="T31" s="1680"/>
      <c r="U31" s="1680"/>
      <c r="V31" s="1674"/>
      <c r="W31" s="1672"/>
      <c r="X31" s="1673"/>
      <c r="Y31" s="1682"/>
      <c r="Z31" s="1674"/>
      <c r="AA31" s="1672"/>
      <c r="AB31" s="1682"/>
      <c r="AC31" s="1673"/>
      <c r="AD31" s="1684"/>
      <c r="AE31" s="1683"/>
      <c r="AF31" s="1673"/>
      <c r="AG31" s="1682"/>
      <c r="AH31" s="1674"/>
      <c r="AI31" s="1672"/>
      <c r="AJ31" s="1673"/>
      <c r="AK31" s="1682"/>
      <c r="AL31" s="1674"/>
      <c r="AM31" s="1672"/>
      <c r="AN31" s="1682"/>
      <c r="AO31" s="1680"/>
      <c r="AP31" s="1674"/>
      <c r="AQ31" s="1672"/>
      <c r="AR31" s="1684"/>
      <c r="AS31" s="1678"/>
      <c r="AT31" s="1679"/>
      <c r="AU31" s="1101"/>
      <c r="AV31" s="1102"/>
      <c r="AW31" s="1102"/>
      <c r="AX31" s="1103"/>
      <c r="AY31" s="1101"/>
      <c r="AZ31" s="1102"/>
      <c r="BA31" s="1102"/>
      <c r="BB31" s="1103"/>
      <c r="BC31" s="1101"/>
      <c r="BD31" s="1102"/>
      <c r="BE31" s="1102"/>
      <c r="BF31" s="1103"/>
      <c r="BG31" s="1101"/>
      <c r="BH31" s="1102"/>
      <c r="BI31" s="1102"/>
      <c r="BJ31" s="1103"/>
    </row>
    <row r="32" spans="1:62" s="826" customFormat="1" ht="18">
      <c r="A32" s="1708">
        <f>+IF(PRESUPUESTO!A38="","",PRESUPUESTO!A38)</f>
        <v>1.4</v>
      </c>
      <c r="B32" s="1114" t="str">
        <f>+IF(PRESUPUESTO!B38="","",PRESUPUESTO!B38)</f>
        <v>ENTIBADOS</v>
      </c>
      <c r="C32" s="1621" t="str">
        <f>+IF(PRESUPUESTO!C38="","",PRESUPUESTO!C38)</f>
        <v/>
      </c>
      <c r="D32" s="1622" t="str">
        <f>+IF(PRESUPUESTO!D38="","",PRESUPUESTO!D38)</f>
        <v/>
      </c>
      <c r="E32" s="1623" t="str">
        <f>+IF(PRESUPUESTO!E38="","",PRESUPUESTO!E38)</f>
        <v/>
      </c>
      <c r="F32" s="1623" t="str">
        <f>+IF(PRESUPUESTO!F38="","",PRESUPUESTO!F38)</f>
        <v/>
      </c>
      <c r="G32" s="1094"/>
      <c r="H32" s="1095"/>
      <c r="I32" s="1095"/>
      <c r="J32" s="1096"/>
      <c r="K32" s="1094"/>
      <c r="L32" s="1095"/>
      <c r="M32" s="1097"/>
      <c r="N32" s="1098"/>
      <c r="O32" s="1672"/>
      <c r="P32" s="1673"/>
      <c r="Q32" s="1673"/>
      <c r="R32" s="1674"/>
      <c r="S32" s="1672"/>
      <c r="T32" s="1673"/>
      <c r="U32" s="1673"/>
      <c r="V32" s="1674"/>
      <c r="W32" s="1672"/>
      <c r="X32" s="1673"/>
      <c r="Y32" s="1673"/>
      <c r="Z32" s="1674"/>
      <c r="AA32" s="1672"/>
      <c r="AB32" s="1673"/>
      <c r="AC32" s="1673"/>
      <c r="AD32" s="1674"/>
      <c r="AE32" s="1672"/>
      <c r="AF32" s="1673"/>
      <c r="AG32" s="1673"/>
      <c r="AH32" s="1674"/>
      <c r="AI32" s="1672"/>
      <c r="AJ32" s="1673"/>
      <c r="AK32" s="1673"/>
      <c r="AL32" s="1674"/>
      <c r="AM32" s="1675"/>
      <c r="AN32" s="1676"/>
      <c r="AO32" s="1676"/>
      <c r="AP32" s="1677"/>
      <c r="AQ32" s="1675"/>
      <c r="AR32" s="1676"/>
      <c r="AS32" s="1678"/>
      <c r="AT32" s="1679"/>
      <c r="AU32" s="1101"/>
      <c r="AV32" s="1102"/>
      <c r="AW32" s="1102"/>
      <c r="AX32" s="1103"/>
      <c r="AY32" s="1101"/>
      <c r="AZ32" s="1102"/>
      <c r="BA32" s="1102"/>
      <c r="BB32" s="1103"/>
      <c r="BC32" s="1101"/>
      <c r="BD32" s="1102"/>
      <c r="BE32" s="1102"/>
      <c r="BF32" s="1103"/>
      <c r="BG32" s="1101"/>
      <c r="BH32" s="1102"/>
      <c r="BI32" s="1102"/>
      <c r="BJ32" s="1103"/>
    </row>
    <row r="33" spans="1:62" s="826" customFormat="1" ht="51.75">
      <c r="A33" s="1709" t="str">
        <f>+IF(PRESUPUESTO!A39="","",PRESUPUESTO!A39)</f>
        <v>1.4.1</v>
      </c>
      <c r="B33" s="1624" t="str">
        <f>+IF(PRESUPUESTO!B39="","",PRESUPUESTO!B39)</f>
        <v>Entibado en madera Tipo 1A : Discontinuo en madera -Profundidades de entre 1.50-4.0 m ;para protección de excavaciones. 5 Usos(de ser necesario), por ambas caras</v>
      </c>
      <c r="C33" s="1612" t="str">
        <f>+IF(PRESUPUESTO!C39="","",PRESUPUESTO!C39)</f>
        <v>m2</v>
      </c>
      <c r="D33" s="1602">
        <f>+IF(PRESUPUESTO!D39="","",PRESUPUESTO!D39)</f>
        <v>5166.08</v>
      </c>
      <c r="E33" s="1602">
        <f>+IF(PRESUPUESTO!E39="","",PRESUPUESTO!E39)</f>
        <v>65834.600000000006</v>
      </c>
      <c r="F33" s="1602">
        <f>+IF(PRESUPUESTO!F39="","",PRESUPUESTO!F39)</f>
        <v>340106810</v>
      </c>
      <c r="G33" s="1094"/>
      <c r="H33" s="1095"/>
      <c r="I33" s="1095"/>
      <c r="J33" s="1096"/>
      <c r="K33" s="1094"/>
      <c r="L33" s="1095"/>
      <c r="M33" s="1097"/>
      <c r="N33" s="1098"/>
      <c r="O33" s="1672"/>
      <c r="P33" s="1673">
        <f>+$F$33/29</f>
        <v>11727821.034482758</v>
      </c>
      <c r="Q33" s="1673">
        <f t="shared" ref="Q33:AR33" si="14">+$F$33/29</f>
        <v>11727821.034482758</v>
      </c>
      <c r="R33" s="1674">
        <f t="shared" si="14"/>
        <v>11727821.034482758</v>
      </c>
      <c r="S33" s="1672">
        <f t="shared" si="14"/>
        <v>11727821.034482758</v>
      </c>
      <c r="T33" s="1673">
        <f t="shared" si="14"/>
        <v>11727821.034482758</v>
      </c>
      <c r="U33" s="1673">
        <f t="shared" si="14"/>
        <v>11727821.034482758</v>
      </c>
      <c r="V33" s="1674">
        <f t="shared" si="14"/>
        <v>11727821.034482758</v>
      </c>
      <c r="W33" s="1672">
        <f t="shared" si="14"/>
        <v>11727821.034482758</v>
      </c>
      <c r="X33" s="1673">
        <f t="shared" si="14"/>
        <v>11727821.034482758</v>
      </c>
      <c r="Y33" s="1673">
        <f t="shared" si="14"/>
        <v>11727821.034482758</v>
      </c>
      <c r="Z33" s="1674">
        <f t="shared" si="14"/>
        <v>11727821.034482758</v>
      </c>
      <c r="AA33" s="1672">
        <f t="shared" si="14"/>
        <v>11727821.034482758</v>
      </c>
      <c r="AB33" s="1673">
        <f t="shared" si="14"/>
        <v>11727821.034482758</v>
      </c>
      <c r="AC33" s="1673">
        <f t="shared" si="14"/>
        <v>11727821.034482758</v>
      </c>
      <c r="AD33" s="1674">
        <f t="shared" si="14"/>
        <v>11727821.034482758</v>
      </c>
      <c r="AE33" s="1672">
        <f t="shared" si="14"/>
        <v>11727821.034482758</v>
      </c>
      <c r="AF33" s="1673">
        <f t="shared" si="14"/>
        <v>11727821.034482758</v>
      </c>
      <c r="AG33" s="1673">
        <f t="shared" si="14"/>
        <v>11727821.034482758</v>
      </c>
      <c r="AH33" s="1674">
        <f t="shared" si="14"/>
        <v>11727821.034482758</v>
      </c>
      <c r="AI33" s="1672">
        <f t="shared" si="14"/>
        <v>11727821.034482758</v>
      </c>
      <c r="AJ33" s="1673">
        <f t="shared" si="14"/>
        <v>11727821.034482758</v>
      </c>
      <c r="AK33" s="1673">
        <f t="shared" si="14"/>
        <v>11727821.034482758</v>
      </c>
      <c r="AL33" s="1674">
        <f t="shared" si="14"/>
        <v>11727821.034482758</v>
      </c>
      <c r="AM33" s="1675">
        <f t="shared" si="14"/>
        <v>11727821.034482758</v>
      </c>
      <c r="AN33" s="1676">
        <f t="shared" si="14"/>
        <v>11727821.034482758</v>
      </c>
      <c r="AO33" s="1676">
        <f t="shared" si="14"/>
        <v>11727821.034482758</v>
      </c>
      <c r="AP33" s="1677">
        <f t="shared" si="14"/>
        <v>11727821.034482758</v>
      </c>
      <c r="AQ33" s="1675">
        <f t="shared" si="14"/>
        <v>11727821.034482758</v>
      </c>
      <c r="AR33" s="1676">
        <f t="shared" si="14"/>
        <v>11727821.034482758</v>
      </c>
      <c r="AS33" s="1678"/>
      <c r="AT33" s="1679"/>
      <c r="AU33" s="1101"/>
      <c r="AV33" s="1102"/>
      <c r="AW33" s="1102"/>
      <c r="AX33" s="1103"/>
      <c r="AY33" s="1101"/>
      <c r="AZ33" s="1102"/>
      <c r="BA33" s="1102"/>
      <c r="BB33" s="1103"/>
      <c r="BC33" s="1101"/>
      <c r="BD33" s="1102"/>
      <c r="BE33" s="1102"/>
      <c r="BF33" s="1103"/>
      <c r="BG33" s="1101"/>
      <c r="BH33" s="1102"/>
      <c r="BI33" s="1102"/>
      <c r="BJ33" s="1103"/>
    </row>
    <row r="34" spans="1:62" s="826" customFormat="1" ht="34.5">
      <c r="A34" s="1706" t="str">
        <f>+IF(PRESUPUESTO!A40="","",PRESUPUESTO!A40)</f>
        <v>1.4.2</v>
      </c>
      <c r="B34" s="1625" t="str">
        <f>+IF(PRESUPUESTO!B40="","",PRESUPUESTO!B40)</f>
        <v>Entibado metálico -Profundidades mayores a 3.0 m ;para protección de excavaciones. por ambas caras.</v>
      </c>
      <c r="C34" s="1612" t="str">
        <f>+IF(PRESUPUESTO!C40="","",PRESUPUESTO!C40)</f>
        <v>m2</v>
      </c>
      <c r="D34" s="1603">
        <f>+IF(PRESUPUESTO!D40="","",PRESUPUESTO!D40)</f>
        <v>1503.97</v>
      </c>
      <c r="E34" s="1603">
        <f>+IF(PRESUPUESTO!E40="","",PRESUPUESTO!E40)</f>
        <v>204972.3</v>
      </c>
      <c r="F34" s="1603">
        <f>+IF(PRESUPUESTO!F40="","",PRESUPUESTO!F40)</f>
        <v>308272190</v>
      </c>
      <c r="G34" s="1094"/>
      <c r="H34" s="1095"/>
      <c r="I34" s="1111"/>
      <c r="J34" s="1111"/>
      <c r="K34" s="1094"/>
      <c r="L34" s="1095"/>
      <c r="M34" s="1097"/>
      <c r="N34" s="1098"/>
      <c r="O34" s="1672"/>
      <c r="P34" s="1673">
        <f>+$F$34/29</f>
        <v>10630075.517241379</v>
      </c>
      <c r="Q34" s="1673">
        <f t="shared" ref="Q34:AR34" si="15">+$F$34/29</f>
        <v>10630075.517241379</v>
      </c>
      <c r="R34" s="1674">
        <f t="shared" si="15"/>
        <v>10630075.517241379</v>
      </c>
      <c r="S34" s="1672">
        <f t="shared" si="15"/>
        <v>10630075.517241379</v>
      </c>
      <c r="T34" s="1673">
        <f t="shared" si="15"/>
        <v>10630075.517241379</v>
      </c>
      <c r="U34" s="1673">
        <f t="shared" si="15"/>
        <v>10630075.517241379</v>
      </c>
      <c r="V34" s="1674">
        <f t="shared" si="15"/>
        <v>10630075.517241379</v>
      </c>
      <c r="W34" s="1672">
        <f t="shared" si="15"/>
        <v>10630075.517241379</v>
      </c>
      <c r="X34" s="1673">
        <f t="shared" si="15"/>
        <v>10630075.517241379</v>
      </c>
      <c r="Y34" s="1673">
        <f t="shared" si="15"/>
        <v>10630075.517241379</v>
      </c>
      <c r="Z34" s="1674">
        <f t="shared" si="15"/>
        <v>10630075.517241379</v>
      </c>
      <c r="AA34" s="1672">
        <f t="shared" si="15"/>
        <v>10630075.517241379</v>
      </c>
      <c r="AB34" s="1673">
        <f t="shared" si="15"/>
        <v>10630075.517241379</v>
      </c>
      <c r="AC34" s="1673">
        <f t="shared" si="15"/>
        <v>10630075.517241379</v>
      </c>
      <c r="AD34" s="1674">
        <f t="shared" si="15"/>
        <v>10630075.517241379</v>
      </c>
      <c r="AE34" s="1672">
        <f t="shared" si="15"/>
        <v>10630075.517241379</v>
      </c>
      <c r="AF34" s="1673">
        <f t="shared" si="15"/>
        <v>10630075.517241379</v>
      </c>
      <c r="AG34" s="1673">
        <f t="shared" si="15"/>
        <v>10630075.517241379</v>
      </c>
      <c r="AH34" s="1674">
        <f t="shared" si="15"/>
        <v>10630075.517241379</v>
      </c>
      <c r="AI34" s="1672">
        <f t="shared" si="15"/>
        <v>10630075.517241379</v>
      </c>
      <c r="AJ34" s="1673">
        <f t="shared" si="15"/>
        <v>10630075.517241379</v>
      </c>
      <c r="AK34" s="1673">
        <f t="shared" si="15"/>
        <v>10630075.517241379</v>
      </c>
      <c r="AL34" s="1674">
        <f t="shared" si="15"/>
        <v>10630075.517241379</v>
      </c>
      <c r="AM34" s="1675">
        <f t="shared" si="15"/>
        <v>10630075.517241379</v>
      </c>
      <c r="AN34" s="1676">
        <f t="shared" si="15"/>
        <v>10630075.517241379</v>
      </c>
      <c r="AO34" s="1676">
        <f t="shared" si="15"/>
        <v>10630075.517241379</v>
      </c>
      <c r="AP34" s="1677">
        <f t="shared" si="15"/>
        <v>10630075.517241379</v>
      </c>
      <c r="AQ34" s="1675">
        <f t="shared" si="15"/>
        <v>10630075.517241379</v>
      </c>
      <c r="AR34" s="1676">
        <f t="shared" si="15"/>
        <v>10630075.517241379</v>
      </c>
      <c r="AS34" s="1678"/>
      <c r="AT34" s="1679"/>
      <c r="AU34" s="1101"/>
      <c r="AV34" s="1102"/>
      <c r="AW34" s="1102"/>
      <c r="AX34" s="1103"/>
      <c r="AY34" s="1101"/>
      <c r="AZ34" s="1102"/>
      <c r="BA34" s="1102"/>
      <c r="BB34" s="1103"/>
      <c r="BC34" s="1101"/>
      <c r="BD34" s="1102"/>
      <c r="BE34" s="1102"/>
      <c r="BF34" s="1103"/>
      <c r="BG34" s="1101"/>
      <c r="BH34" s="1102"/>
      <c r="BI34" s="1102"/>
      <c r="BJ34" s="1103"/>
    </row>
    <row r="35" spans="1:62" s="826" customFormat="1" ht="18">
      <c r="A35" s="1706" t="str">
        <f>+IF(PRESUPUESTO!A41="","",PRESUPUESTO!A41)</f>
        <v/>
      </c>
      <c r="B35" s="1628" t="str">
        <f>+IF(PRESUPUESTO!B41="","",PRESUPUESTO!B41)</f>
        <v>SUBTOTAL   ENTIBADOS</v>
      </c>
      <c r="C35" s="1618" t="str">
        <f>+IF(PRESUPUESTO!C41="","",PRESUPUESTO!C41)</f>
        <v/>
      </c>
      <c r="D35" s="1619" t="str">
        <f>+IF(PRESUPUESTO!D41="","",PRESUPUESTO!D41)</f>
        <v/>
      </c>
      <c r="E35" s="1604" t="str">
        <f>+IF(PRESUPUESTO!E41="","",PRESUPUESTO!E41)</f>
        <v/>
      </c>
      <c r="F35" s="1609">
        <f>+IF(PRESUPUESTO!F41="","",PRESUPUESTO!F41)</f>
        <v>648379000</v>
      </c>
      <c r="G35" s="1094"/>
      <c r="H35" s="1095"/>
      <c r="I35" s="1095"/>
      <c r="J35" s="1096"/>
      <c r="K35" s="1094"/>
      <c r="L35" s="1095"/>
      <c r="M35" s="1097"/>
      <c r="N35" s="1098"/>
      <c r="O35" s="1672"/>
      <c r="P35" s="1673"/>
      <c r="Q35" s="1673"/>
      <c r="R35" s="1674"/>
      <c r="S35" s="1684"/>
      <c r="T35" s="1673"/>
      <c r="U35" s="1673"/>
      <c r="V35" s="1680"/>
      <c r="W35" s="1672"/>
      <c r="X35" s="1673"/>
      <c r="Y35" s="1673"/>
      <c r="Z35" s="1680"/>
      <c r="AA35" s="1672"/>
      <c r="AB35" s="1673"/>
      <c r="AC35" s="1673"/>
      <c r="AD35" s="1674"/>
      <c r="AE35" s="1684"/>
      <c r="AF35" s="1673"/>
      <c r="AG35" s="1673"/>
      <c r="AH35" s="1680"/>
      <c r="AI35" s="1672"/>
      <c r="AJ35" s="1673"/>
      <c r="AK35" s="1673"/>
      <c r="AL35" s="1674"/>
      <c r="AM35" s="1684"/>
      <c r="AN35" s="1673"/>
      <c r="AO35" s="1673"/>
      <c r="AP35" s="1674"/>
      <c r="AQ35" s="1684"/>
      <c r="AR35" s="1673"/>
      <c r="AS35" s="1678"/>
      <c r="AT35" s="1679"/>
      <c r="AU35" s="1101"/>
      <c r="AV35" s="1102"/>
      <c r="AW35" s="1102"/>
      <c r="AX35" s="1103"/>
      <c r="AY35" s="1101"/>
      <c r="AZ35" s="1102"/>
      <c r="BA35" s="1102"/>
      <c r="BB35" s="1103"/>
      <c r="BC35" s="1101"/>
      <c r="BD35" s="1102"/>
      <c r="BE35" s="1102"/>
      <c r="BF35" s="1103"/>
      <c r="BG35" s="1101"/>
      <c r="BH35" s="1102"/>
      <c r="BI35" s="1102"/>
      <c r="BJ35" s="1103"/>
    </row>
    <row r="36" spans="1:62" s="826" customFormat="1" ht="18">
      <c r="A36" s="1706" t="str">
        <f>+IF(PRESUPUESTO!A42="","",PRESUPUESTO!A42)</f>
        <v/>
      </c>
      <c r="B36" s="1628" t="str">
        <f>+IF(PRESUPUESTO!B42="","",PRESUPUESTO!B42)</f>
        <v/>
      </c>
      <c r="C36" s="1618" t="str">
        <f>+IF(PRESUPUESTO!C42="","",PRESUPUESTO!C42)</f>
        <v/>
      </c>
      <c r="D36" s="1619" t="str">
        <f>+IF(PRESUPUESTO!D42="","",PRESUPUESTO!D42)</f>
        <v/>
      </c>
      <c r="E36" s="1604" t="str">
        <f>+IF(PRESUPUESTO!E42="","",PRESUPUESTO!E42)</f>
        <v/>
      </c>
      <c r="F36" s="1609" t="str">
        <f>+IF(PRESUPUESTO!F42="","",PRESUPUESTO!F42)</f>
        <v/>
      </c>
      <c r="G36" s="1094"/>
      <c r="H36" s="1095"/>
      <c r="I36" s="1095"/>
      <c r="J36" s="1096"/>
      <c r="K36" s="1094"/>
      <c r="L36" s="1095"/>
      <c r="M36" s="1097"/>
      <c r="N36" s="1098"/>
      <c r="O36" s="1672"/>
      <c r="P36" s="1673"/>
      <c r="Q36" s="1673"/>
      <c r="R36" s="1674"/>
      <c r="S36" s="1672"/>
      <c r="T36" s="1673"/>
      <c r="U36" s="1673"/>
      <c r="V36" s="1674"/>
      <c r="W36" s="1672"/>
      <c r="X36" s="1673"/>
      <c r="Y36" s="1673"/>
      <c r="Z36" s="1674"/>
      <c r="AA36" s="1672"/>
      <c r="AB36" s="1673"/>
      <c r="AC36" s="1673"/>
      <c r="AD36" s="1674"/>
      <c r="AE36" s="1672"/>
      <c r="AF36" s="1673"/>
      <c r="AG36" s="1673"/>
      <c r="AH36" s="1674"/>
      <c r="AI36" s="1672"/>
      <c r="AJ36" s="1673"/>
      <c r="AK36" s="1673"/>
      <c r="AL36" s="1674"/>
      <c r="AM36" s="1672"/>
      <c r="AN36" s="1673"/>
      <c r="AO36" s="1673"/>
      <c r="AP36" s="1674"/>
      <c r="AQ36" s="1672"/>
      <c r="AR36" s="1673"/>
      <c r="AS36" s="1678"/>
      <c r="AT36" s="1679"/>
      <c r="AU36" s="1101"/>
      <c r="AV36" s="1102"/>
      <c r="AW36" s="1102"/>
      <c r="AX36" s="1103"/>
      <c r="AY36" s="1101"/>
      <c r="AZ36" s="1102"/>
      <c r="BA36" s="1102"/>
      <c r="BB36" s="1103"/>
      <c r="BC36" s="1101"/>
      <c r="BD36" s="1102"/>
      <c r="BE36" s="1102"/>
      <c r="BF36" s="1103"/>
      <c r="BG36" s="1101"/>
      <c r="BH36" s="1102"/>
      <c r="BI36" s="1102"/>
      <c r="BJ36" s="1103"/>
    </row>
    <row r="37" spans="1:62" s="826" customFormat="1" ht="18">
      <c r="A37" s="1703">
        <f>+IF(PRESUPUESTO!A43="","",PRESUPUESTO!A43)</f>
        <v>1.5</v>
      </c>
      <c r="B37" s="1627" t="str">
        <f>+IF(PRESUPUESTO!B43="","",PRESUPUESTO!B43)</f>
        <v>POZOS DE INSPECCIÓN</v>
      </c>
      <c r="C37" s="1621" t="str">
        <f>+IF(PRESUPUESTO!C43="","",PRESUPUESTO!C43)</f>
        <v/>
      </c>
      <c r="D37" s="1622" t="str">
        <f>+IF(PRESUPUESTO!D43="","",PRESUPUESTO!D43)</f>
        <v/>
      </c>
      <c r="E37" s="1623" t="str">
        <f>+IF(PRESUPUESTO!E43="","",PRESUPUESTO!E43)</f>
        <v/>
      </c>
      <c r="F37" s="1605" t="str">
        <f>+IF(PRESUPUESTO!F43="","",PRESUPUESTO!F43)</f>
        <v/>
      </c>
      <c r="G37" s="1094"/>
      <c r="H37" s="1095"/>
      <c r="I37" s="1095"/>
      <c r="J37" s="1096"/>
      <c r="K37" s="1094"/>
      <c r="L37" s="1095"/>
      <c r="M37" s="1097"/>
      <c r="N37" s="1098"/>
      <c r="O37" s="1672"/>
      <c r="P37" s="1673"/>
      <c r="Q37" s="1673"/>
      <c r="R37" s="1674"/>
      <c r="S37" s="1672"/>
      <c r="T37" s="1673"/>
      <c r="U37" s="1673"/>
      <c r="V37" s="1674"/>
      <c r="W37" s="1672"/>
      <c r="X37" s="1673"/>
      <c r="Y37" s="1673"/>
      <c r="Z37" s="1674"/>
      <c r="AA37" s="1672"/>
      <c r="AB37" s="1673"/>
      <c r="AC37" s="1673"/>
      <c r="AD37" s="1674"/>
      <c r="AE37" s="1672"/>
      <c r="AF37" s="1673"/>
      <c r="AG37" s="1673"/>
      <c r="AH37" s="1674"/>
      <c r="AI37" s="1672"/>
      <c r="AJ37" s="1673"/>
      <c r="AK37" s="1673"/>
      <c r="AL37" s="1674"/>
      <c r="AM37" s="1672"/>
      <c r="AN37" s="1673"/>
      <c r="AO37" s="1673"/>
      <c r="AP37" s="1674"/>
      <c r="AQ37" s="1672"/>
      <c r="AR37" s="1673"/>
      <c r="AS37" s="1678"/>
      <c r="AT37" s="1679"/>
      <c r="AU37" s="1101"/>
      <c r="AV37" s="1102"/>
      <c r="AW37" s="1102"/>
      <c r="AX37" s="1103"/>
      <c r="AY37" s="1101"/>
      <c r="AZ37" s="1102"/>
      <c r="BA37" s="1102"/>
      <c r="BB37" s="1103"/>
      <c r="BC37" s="1101"/>
      <c r="BD37" s="1102"/>
      <c r="BE37" s="1102"/>
      <c r="BF37" s="1103"/>
      <c r="BG37" s="1101"/>
      <c r="BH37" s="1102"/>
      <c r="BI37" s="1102"/>
      <c r="BJ37" s="1103"/>
    </row>
    <row r="38" spans="1:62" s="826" customFormat="1" ht="155.25">
      <c r="A38" s="1707" t="str">
        <f>+IF(PRESUPUESTO!A44="","",PRESUPUESTO!A44)</f>
        <v>1.5.1</v>
      </c>
      <c r="B38" s="1624" t="str">
        <f>+IF(PRESUPUESTO!B44="","",PRESUPUESTO!B44)</f>
        <v>Construcción de pozo de inspección a todo costo, en concreto impermeabilizado de 4000 PSI de resistencia a los 28 días, espesor de 0,20 m. Incluye: formaleta,  producción, mezcla, vaciado, desencofrado, cañuelas pulidas en concreto puro, escalones en hierro de 3/4" separados cada 0,40 m. Llevará cono de reducción, diámetro interno de 1,20 m. y espesor 0,20 m., suministro e instalación de  aro tapa HD clase D400, mano de obra, curado, desencofrada, equipo, herramientas y todo lo relacionado para la correcta ejecución de la obra; diametro total 1,60 m. incluye: Base y cañuela.Pozo de Inspección de 0 a 2.00 metros de altura, desde la cota batea.</v>
      </c>
      <c r="C38" s="1610" t="str">
        <f>+IF(PRESUPUESTO!C44="","",PRESUPUESTO!C44)</f>
        <v>Und.</v>
      </c>
      <c r="D38" s="1611">
        <f>+IF(PRESUPUESTO!D44="","",PRESUPUESTO!D44)</f>
        <v>67</v>
      </c>
      <c r="E38" s="1602">
        <f>+IF(PRESUPUESTO!E44="","",PRESUPUESTO!E44)</f>
        <v>5207276.0999999996</v>
      </c>
      <c r="F38" s="1603">
        <f>+IF(PRESUPUESTO!F44="","",PRESUPUESTO!F44)</f>
        <v>348887499</v>
      </c>
      <c r="G38" s="1094"/>
      <c r="H38" s="1095"/>
      <c r="I38" s="1095"/>
      <c r="J38" s="1096"/>
      <c r="K38" s="1094"/>
      <c r="L38" s="1095"/>
      <c r="M38" s="1097"/>
      <c r="N38" s="1098"/>
      <c r="O38" s="1672"/>
      <c r="P38" s="1673">
        <f>+$F$38/15</f>
        <v>23259166.600000001</v>
      </c>
      <c r="Q38" s="1673">
        <f t="shared" ref="Q38:AD38" si="16">+$F$38/15</f>
        <v>23259166.600000001</v>
      </c>
      <c r="R38" s="1674">
        <f t="shared" si="16"/>
        <v>23259166.600000001</v>
      </c>
      <c r="S38" s="1680">
        <f t="shared" si="16"/>
        <v>23259166.600000001</v>
      </c>
      <c r="T38" s="1680">
        <f t="shared" si="16"/>
        <v>23259166.600000001</v>
      </c>
      <c r="U38" s="1673">
        <f t="shared" si="16"/>
        <v>23259166.600000001</v>
      </c>
      <c r="V38" s="1681">
        <f t="shared" si="16"/>
        <v>23259166.600000001</v>
      </c>
      <c r="W38" s="1672">
        <f t="shared" si="16"/>
        <v>23259166.600000001</v>
      </c>
      <c r="X38" s="1673">
        <f t="shared" si="16"/>
        <v>23259166.600000001</v>
      </c>
      <c r="Y38" s="1673">
        <f t="shared" si="16"/>
        <v>23259166.600000001</v>
      </c>
      <c r="Z38" s="1681">
        <f t="shared" si="16"/>
        <v>23259166.600000001</v>
      </c>
      <c r="AA38" s="1680">
        <f t="shared" si="16"/>
        <v>23259166.600000001</v>
      </c>
      <c r="AB38" s="1680">
        <f t="shared" si="16"/>
        <v>23259166.600000001</v>
      </c>
      <c r="AC38" s="1673">
        <f t="shared" si="16"/>
        <v>23259166.600000001</v>
      </c>
      <c r="AD38" s="1681">
        <f t="shared" si="16"/>
        <v>23259166.600000001</v>
      </c>
      <c r="AE38" s="1672"/>
      <c r="AF38" s="1682"/>
      <c r="AG38" s="1680"/>
      <c r="AH38" s="1674"/>
      <c r="AI38" s="1672"/>
      <c r="AJ38" s="1673"/>
      <c r="AK38" s="1673"/>
      <c r="AL38" s="1681"/>
      <c r="AM38" s="1672"/>
      <c r="AN38" s="1673"/>
      <c r="AO38" s="1673"/>
      <c r="AP38" s="1681"/>
      <c r="AQ38" s="1672"/>
      <c r="AR38" s="1682"/>
      <c r="AS38" s="1678"/>
      <c r="AT38" s="1679"/>
      <c r="AU38" s="1101"/>
      <c r="AV38" s="1102"/>
      <c r="AW38" s="1102"/>
      <c r="AX38" s="1103"/>
      <c r="AY38" s="1101"/>
      <c r="AZ38" s="1102"/>
      <c r="BA38" s="1102"/>
      <c r="BB38" s="1103"/>
      <c r="BC38" s="1101"/>
      <c r="BD38" s="1102"/>
      <c r="BE38" s="1102"/>
      <c r="BF38" s="1103"/>
      <c r="BG38" s="1101"/>
      <c r="BH38" s="1102"/>
      <c r="BI38" s="1102"/>
      <c r="BJ38" s="1103"/>
    </row>
    <row r="39" spans="1:62" ht="155.25">
      <c r="A39" s="1707" t="str">
        <f>+IF(PRESUPUESTO!A45="","",PRESUPUESTO!A45)</f>
        <v>1.5.2</v>
      </c>
      <c r="B39" s="1624" t="str">
        <f>+IF(PRESUPUESTO!B45="","",PRESUPUESTO!B45)</f>
        <v>Construcción de pozo de inspección a todo costo, en concreto impermeabilizado de 4000 PSI de resistencia a los 28 días, espesor de 0,20 m. Incluye: formaleta,  producción, mezcla, vaciado, desencofrado, cañuelas pulidas en concreto puro, escalones en hierro de 3/4" separados cada 0,40 m. Llevará cono de reducción, diámetro interno de 1,20 m. y espesor 0,20 m., suministro e instalación de aro base y tapa HD clase D400, mano de obra, curado, desencofrada, equipo, herramientas y todo lo relacionado para la correcta ejecución de la obra; diametro total 1,60 m. incluye: Base y canuela. Pozo de Inspección de 0 a 3.00 metros de altura, desde la cota batea.</v>
      </c>
      <c r="C39" s="1610" t="str">
        <f>+IF(PRESUPUESTO!C45="","",PRESUPUESTO!C45)</f>
        <v>Und.</v>
      </c>
      <c r="D39" s="1611">
        <f>+IF(PRESUPUESTO!D45="","",PRESUPUESTO!D45)</f>
        <v>15</v>
      </c>
      <c r="E39" s="1602">
        <f>+IF(PRESUPUESTO!E45="","",PRESUPUESTO!E45)</f>
        <v>6477747.9000000004</v>
      </c>
      <c r="F39" s="1603">
        <f>+IF(PRESUPUESTO!F45="","",PRESUPUESTO!F45)</f>
        <v>97166219</v>
      </c>
      <c r="G39" s="1113"/>
      <c r="H39" s="1111"/>
      <c r="I39" s="1111"/>
      <c r="J39" s="1111"/>
      <c r="K39" s="1113"/>
      <c r="L39" s="1111"/>
      <c r="M39" s="1086"/>
      <c r="N39" s="1087"/>
      <c r="O39" s="1672"/>
      <c r="P39" s="1673"/>
      <c r="Q39" s="1673"/>
      <c r="R39" s="1674"/>
      <c r="S39" s="1672"/>
      <c r="T39" s="1673"/>
      <c r="U39" s="1673"/>
      <c r="V39" s="1674"/>
      <c r="W39" s="1672"/>
      <c r="X39" s="1673"/>
      <c r="Y39" s="1673"/>
      <c r="Z39" s="1674"/>
      <c r="AA39" s="1672"/>
      <c r="AB39" s="1673"/>
      <c r="AC39" s="1673"/>
      <c r="AD39" s="1674"/>
      <c r="AE39" s="1672">
        <f>+$F$39/8</f>
        <v>12145777.375</v>
      </c>
      <c r="AF39" s="1685">
        <f t="shared" ref="AF39:AL39" si="17">+$F$39/8</f>
        <v>12145777.375</v>
      </c>
      <c r="AG39" s="1673">
        <f t="shared" si="17"/>
        <v>12145777.375</v>
      </c>
      <c r="AH39" s="1674">
        <f t="shared" si="17"/>
        <v>12145777.375</v>
      </c>
      <c r="AI39" s="1672">
        <f t="shared" si="17"/>
        <v>12145777.375</v>
      </c>
      <c r="AJ39" s="1673">
        <f t="shared" si="17"/>
        <v>12145777.375</v>
      </c>
      <c r="AK39" s="1673">
        <f t="shared" si="17"/>
        <v>12145777.375</v>
      </c>
      <c r="AL39" s="1674">
        <f t="shared" si="17"/>
        <v>12145777.375</v>
      </c>
      <c r="AM39" s="1672"/>
      <c r="AN39" s="1673"/>
      <c r="AO39" s="1673"/>
      <c r="AP39" s="1674"/>
      <c r="AQ39" s="1672"/>
      <c r="AR39" s="1673"/>
      <c r="AS39" s="1678"/>
      <c r="AT39" s="1679"/>
      <c r="AU39" s="1090"/>
      <c r="AV39" s="1091"/>
      <c r="AW39" s="1091"/>
      <c r="AX39" s="1092"/>
      <c r="AY39" s="1090"/>
      <c r="AZ39" s="1091"/>
      <c r="BA39" s="1091"/>
      <c r="BB39" s="1092"/>
      <c r="BC39" s="1090"/>
      <c r="BD39" s="1091"/>
      <c r="BE39" s="1091"/>
      <c r="BF39" s="1092"/>
      <c r="BG39" s="1090"/>
      <c r="BH39" s="1091"/>
      <c r="BI39" s="1091"/>
      <c r="BJ39" s="1092"/>
    </row>
    <row r="40" spans="1:62" ht="155.25">
      <c r="A40" s="1707" t="str">
        <f>+IF(PRESUPUESTO!A46="","",PRESUPUESTO!A46)</f>
        <v>1.5.3</v>
      </c>
      <c r="B40" s="1624" t="str">
        <f>+IF(PRESUPUESTO!B46="","",PRESUPUESTO!B46)</f>
        <v>Construcción de pozo de inspección a todo costo, en concreto impermeabilizado de 4000 PSI de resistencia a los 28 días, espesor de 0,20 m. Incluye: formaleta,  producción, mezcla, vaciado, desencofrado, cañuelas pulidas en concreto puro, escalones en hierro de 3/4" separados cada 0,40 m. Llevará cono de reducción, diámetro interno de 1,20 m. y espesor 0,20 m., suministro e instalación de aro base y tapa HD clase D400, mano de obra, curado, desencofrada, equipo, herramientas y todo lo relacionado para la correcta ejecución de la obra; diametro total 1,60 m. incluye: Base y canuela. Pozo de Inspección de 0 a 4.00 metros de altura, desde la cota batea.</v>
      </c>
      <c r="C40" s="1610" t="str">
        <f>+IF(PRESUPUESTO!C46="","",PRESUPUESTO!C46)</f>
        <v>Und.</v>
      </c>
      <c r="D40" s="1611">
        <f>+IF(PRESUPUESTO!D46="","",PRESUPUESTO!D46)</f>
        <v>2</v>
      </c>
      <c r="E40" s="1602">
        <f>+IF(PRESUPUESTO!E46="","",PRESUPUESTO!E46)</f>
        <v>7983419.5999999996</v>
      </c>
      <c r="F40" s="1603">
        <f>+IF(PRESUPUESTO!F46="","",PRESUPUESTO!F46)</f>
        <v>15966839</v>
      </c>
      <c r="G40" s="1113"/>
      <c r="H40" s="1111"/>
      <c r="I40" s="1111"/>
      <c r="J40" s="1112"/>
      <c r="K40" s="1113"/>
      <c r="L40" s="1111"/>
      <c r="M40" s="1086"/>
      <c r="N40" s="1087"/>
      <c r="O40" s="1672"/>
      <c r="P40" s="1673"/>
      <c r="Q40" s="1673"/>
      <c r="R40" s="1674"/>
      <c r="S40" s="1672"/>
      <c r="T40" s="1673"/>
      <c r="U40" s="1673"/>
      <c r="V40" s="1674"/>
      <c r="W40" s="1672"/>
      <c r="X40" s="1673"/>
      <c r="Y40" s="1673"/>
      <c r="Z40" s="1674"/>
      <c r="AA40" s="1672"/>
      <c r="AB40" s="1673"/>
      <c r="AC40" s="1673"/>
      <c r="AD40" s="1674"/>
      <c r="AE40" s="1672"/>
      <c r="AF40" s="1673"/>
      <c r="AG40" s="1673"/>
      <c r="AH40" s="1674"/>
      <c r="AI40" s="1672"/>
      <c r="AJ40" s="1673"/>
      <c r="AK40" s="1673"/>
      <c r="AL40" s="1674"/>
      <c r="AM40" s="1672">
        <f>+$F$40/6</f>
        <v>2661139.8333333335</v>
      </c>
      <c r="AN40" s="1673">
        <f t="shared" ref="AN40:AR40" si="18">+$F$40/6</f>
        <v>2661139.8333333335</v>
      </c>
      <c r="AO40" s="1673">
        <f t="shared" si="18"/>
        <v>2661139.8333333335</v>
      </c>
      <c r="AP40" s="1674">
        <f t="shared" si="18"/>
        <v>2661139.8333333335</v>
      </c>
      <c r="AQ40" s="1672">
        <f t="shared" si="18"/>
        <v>2661139.8333333335</v>
      </c>
      <c r="AR40" s="1673">
        <f t="shared" si="18"/>
        <v>2661139.8333333335</v>
      </c>
      <c r="AS40" s="1678"/>
      <c r="AT40" s="1679"/>
      <c r="AU40" s="1090"/>
      <c r="AV40" s="1091"/>
      <c r="AW40" s="1091"/>
      <c r="AX40" s="1092"/>
      <c r="AY40" s="1090"/>
      <c r="AZ40" s="1091"/>
      <c r="BA40" s="1091"/>
      <c r="BB40" s="1092"/>
      <c r="BC40" s="1090"/>
      <c r="BD40" s="1091"/>
      <c r="BE40" s="1091"/>
      <c r="BF40" s="1092"/>
      <c r="BG40" s="1090"/>
      <c r="BH40" s="1091"/>
      <c r="BI40" s="1091"/>
      <c r="BJ40" s="1092"/>
    </row>
    <row r="41" spans="1:62" s="826" customFormat="1" ht="18">
      <c r="A41" s="1706" t="str">
        <f>+IF(PRESUPUESTO!A47="","",PRESUPUESTO!A47)</f>
        <v/>
      </c>
      <c r="B41" s="1628" t="str">
        <f>+IF(PRESUPUESTO!B47="","",PRESUPUESTO!B47)</f>
        <v>SUBTOTAL  POZOS DE INSPECCIÓN</v>
      </c>
      <c r="C41" s="1618" t="str">
        <f>+IF(PRESUPUESTO!C47="","",PRESUPUESTO!C47)</f>
        <v/>
      </c>
      <c r="D41" s="1619" t="str">
        <f>+IF(PRESUPUESTO!D47="","",PRESUPUESTO!D47)</f>
        <v/>
      </c>
      <c r="E41" s="1604" t="str">
        <f>+IF(PRESUPUESTO!E47="","",PRESUPUESTO!E47)</f>
        <v/>
      </c>
      <c r="F41" s="1609">
        <f>+IF(PRESUPUESTO!F47="","",PRESUPUESTO!F47)</f>
        <v>462020557</v>
      </c>
      <c r="G41" s="1094"/>
      <c r="H41" s="1095"/>
      <c r="I41" s="1095"/>
      <c r="J41" s="1096"/>
      <c r="K41" s="1094"/>
      <c r="L41" s="1095"/>
      <c r="M41" s="1097"/>
      <c r="N41" s="1098"/>
      <c r="O41" s="1672"/>
      <c r="P41" s="1673"/>
      <c r="Q41" s="1673"/>
      <c r="R41" s="1674"/>
      <c r="S41" s="1672"/>
      <c r="T41" s="1673"/>
      <c r="U41" s="1673"/>
      <c r="V41" s="1674"/>
      <c r="W41" s="1672"/>
      <c r="X41" s="1673"/>
      <c r="Y41" s="1673"/>
      <c r="Z41" s="1674"/>
      <c r="AA41" s="1672"/>
      <c r="AB41" s="1673"/>
      <c r="AC41" s="1673"/>
      <c r="AD41" s="1674"/>
      <c r="AE41" s="1672"/>
      <c r="AF41" s="1673"/>
      <c r="AG41" s="1673"/>
      <c r="AH41" s="1674"/>
      <c r="AI41" s="1672"/>
      <c r="AJ41" s="1673"/>
      <c r="AK41" s="1673"/>
      <c r="AL41" s="1674"/>
      <c r="AM41" s="1672"/>
      <c r="AN41" s="1673"/>
      <c r="AO41" s="1673"/>
      <c r="AP41" s="1674"/>
      <c r="AQ41" s="1672"/>
      <c r="AR41" s="1673"/>
      <c r="AS41" s="1678"/>
      <c r="AT41" s="1679"/>
      <c r="AU41" s="1101"/>
      <c r="AV41" s="1102"/>
      <c r="AW41" s="1102"/>
      <c r="AX41" s="1103"/>
      <c r="AY41" s="1101"/>
      <c r="AZ41" s="1102"/>
      <c r="BA41" s="1102"/>
      <c r="BB41" s="1103"/>
      <c r="BC41" s="1101"/>
      <c r="BD41" s="1102"/>
      <c r="BE41" s="1102"/>
      <c r="BF41" s="1103"/>
      <c r="BG41" s="1101"/>
      <c r="BH41" s="1102"/>
      <c r="BI41" s="1102"/>
      <c r="BJ41" s="1103"/>
    </row>
    <row r="42" spans="1:62" s="826" customFormat="1" ht="18">
      <c r="A42" s="1706" t="str">
        <f>+IF(PRESUPUESTO!A48="","",PRESUPUESTO!A48)</f>
        <v/>
      </c>
      <c r="B42" s="1629" t="str">
        <f>+IF(PRESUPUESTO!B48="","",PRESUPUESTO!B48)</f>
        <v/>
      </c>
      <c r="C42" s="1618" t="str">
        <f>+IF(PRESUPUESTO!C48="","",PRESUPUESTO!C48)</f>
        <v/>
      </c>
      <c r="D42" s="1619" t="str">
        <f>+IF(PRESUPUESTO!D48="","",PRESUPUESTO!D48)</f>
        <v/>
      </c>
      <c r="E42" s="1604" t="str">
        <f>+IF(PRESUPUESTO!E48="","",PRESUPUESTO!E48)</f>
        <v/>
      </c>
      <c r="F42" s="1604" t="str">
        <f>+IF(PRESUPUESTO!F48="","",PRESUPUESTO!F48)</f>
        <v/>
      </c>
      <c r="G42" s="1094"/>
      <c r="H42" s="1095"/>
      <c r="I42" s="1095"/>
      <c r="J42" s="1630"/>
      <c r="K42" s="1631"/>
      <c r="L42" s="1095"/>
      <c r="M42" s="1097"/>
      <c r="N42" s="1098"/>
      <c r="O42" s="1672"/>
      <c r="P42" s="1673"/>
      <c r="Q42" s="1673"/>
      <c r="R42" s="1674"/>
      <c r="S42" s="1672"/>
      <c r="T42" s="1673"/>
      <c r="U42" s="1673"/>
      <c r="V42" s="1674"/>
      <c r="W42" s="1672"/>
      <c r="X42" s="1673"/>
      <c r="Y42" s="1673"/>
      <c r="Z42" s="1674"/>
      <c r="AA42" s="1672"/>
      <c r="AB42" s="1673"/>
      <c r="AC42" s="1673"/>
      <c r="AD42" s="1674"/>
      <c r="AE42" s="1672"/>
      <c r="AF42" s="1673"/>
      <c r="AG42" s="1673"/>
      <c r="AH42" s="1674"/>
      <c r="AI42" s="1672"/>
      <c r="AJ42" s="1673"/>
      <c r="AK42" s="1673"/>
      <c r="AL42" s="1674"/>
      <c r="AM42" s="1675"/>
      <c r="AN42" s="1676"/>
      <c r="AO42" s="1676"/>
      <c r="AP42" s="1677"/>
      <c r="AQ42" s="1675"/>
      <c r="AR42" s="1676"/>
      <c r="AS42" s="1678"/>
      <c r="AT42" s="1679"/>
      <c r="AU42" s="1101"/>
      <c r="AV42" s="1102"/>
      <c r="AW42" s="1102"/>
      <c r="AX42" s="1103"/>
      <c r="AY42" s="1101"/>
      <c r="AZ42" s="1102"/>
      <c r="BA42" s="1102"/>
      <c r="BB42" s="1103"/>
      <c r="BC42" s="1101"/>
      <c r="BD42" s="1102"/>
      <c r="BE42" s="1102"/>
      <c r="BF42" s="1103"/>
      <c r="BG42" s="1101"/>
      <c r="BH42" s="1102"/>
      <c r="BI42" s="1102"/>
      <c r="BJ42" s="1103"/>
    </row>
    <row r="43" spans="1:62" s="826" customFormat="1" ht="18">
      <c r="A43" s="1703">
        <f>+IF(PRESUPUESTO!A49="","",PRESUPUESTO!A49)</f>
        <v>1.6</v>
      </c>
      <c r="B43" s="1114" t="str">
        <f>+IF(PRESUPUESTO!B49="","",PRESUPUESTO!B49)</f>
        <v>SUMINISTROS DE ELEMENTOS PVC PARA DOMICILIARIAS</v>
      </c>
      <c r="C43" s="1621" t="str">
        <f>+IF(PRESUPUESTO!C49="","",PRESUPUESTO!C49)</f>
        <v/>
      </c>
      <c r="D43" s="1622" t="str">
        <f>+IF(PRESUPUESTO!D49="","",PRESUPUESTO!D49)</f>
        <v/>
      </c>
      <c r="E43" s="1623" t="str">
        <f>+IF(PRESUPUESTO!E49="","",PRESUPUESTO!E49)</f>
        <v/>
      </c>
      <c r="F43" s="1623" t="str">
        <f>+IF(PRESUPUESTO!F49="","",PRESUPUESTO!F49)</f>
        <v/>
      </c>
      <c r="G43" s="1094"/>
      <c r="H43" s="1095"/>
      <c r="I43" s="1095"/>
      <c r="J43" s="1630"/>
      <c r="K43" s="1631"/>
      <c r="L43" s="1095"/>
      <c r="M43" s="1097"/>
      <c r="N43" s="1098"/>
      <c r="O43" s="1672"/>
      <c r="P43" s="1673"/>
      <c r="Q43" s="1673"/>
      <c r="R43" s="1674"/>
      <c r="S43" s="1672"/>
      <c r="T43" s="1673"/>
      <c r="U43" s="1673"/>
      <c r="V43" s="1674"/>
      <c r="W43" s="1672"/>
      <c r="X43" s="1673"/>
      <c r="Y43" s="1673"/>
      <c r="Z43" s="1674"/>
      <c r="AA43" s="1672"/>
      <c r="AB43" s="1673"/>
      <c r="AC43" s="1673"/>
      <c r="AD43" s="1674"/>
      <c r="AE43" s="1672"/>
      <c r="AF43" s="1673"/>
      <c r="AG43" s="1673"/>
      <c r="AH43" s="1674"/>
      <c r="AI43" s="1672"/>
      <c r="AJ43" s="1673"/>
      <c r="AK43" s="1673"/>
      <c r="AL43" s="1674"/>
      <c r="AM43" s="1675"/>
      <c r="AN43" s="1676"/>
      <c r="AO43" s="1676"/>
      <c r="AP43" s="1677"/>
      <c r="AQ43" s="1675"/>
      <c r="AR43" s="1676"/>
      <c r="AS43" s="1678"/>
      <c r="AT43" s="1679"/>
      <c r="AU43" s="1101"/>
      <c r="AV43" s="1102"/>
      <c r="AW43" s="1102"/>
      <c r="AX43" s="1103"/>
      <c r="AY43" s="1101"/>
      <c r="AZ43" s="1102"/>
      <c r="BA43" s="1102"/>
      <c r="BB43" s="1103"/>
      <c r="BC43" s="1101"/>
      <c r="BD43" s="1102"/>
      <c r="BE43" s="1102"/>
      <c r="BF43" s="1103"/>
      <c r="BG43" s="1101"/>
      <c r="BH43" s="1102"/>
      <c r="BI43" s="1102"/>
      <c r="BJ43" s="1103"/>
    </row>
    <row r="44" spans="1:62" ht="18">
      <c r="A44" s="1707" t="str">
        <f>+IF(PRESUPUESTO!A50="","",PRESUPUESTO!A50)</f>
        <v>1.6.1</v>
      </c>
      <c r="B44" s="1625" t="str">
        <f>+IF(PRESUPUESTO!B50="","",PRESUPUESTO!B50)</f>
        <v xml:space="preserve">Suministro  de tubería de alcantarillado PVC ø 160 mm (6") </v>
      </c>
      <c r="C44" s="1612" t="str">
        <f>+IF(PRESUPUESTO!C50="","",PRESUPUESTO!C50)</f>
        <v>m</v>
      </c>
      <c r="D44" s="1603">
        <f>+IF(PRESUPUESTO!D50="","",PRESUPUESTO!D50)</f>
        <v>3656.65</v>
      </c>
      <c r="E44" s="1603">
        <f>+IF(PRESUPUESTO!E50="","",PRESUPUESTO!E50)</f>
        <v>56616</v>
      </c>
      <c r="F44" s="1603">
        <f>+IF(PRESUPUESTO!F50="","",PRESUPUESTO!F50)</f>
        <v>207024896</v>
      </c>
      <c r="G44" s="1113"/>
      <c r="H44" s="1111"/>
      <c r="I44" s="1111"/>
      <c r="J44" s="1112"/>
      <c r="K44" s="1113"/>
      <c r="L44" s="1111"/>
      <c r="M44" s="1086"/>
      <c r="N44" s="1087"/>
      <c r="O44" s="1672"/>
      <c r="P44" s="1673"/>
      <c r="Q44" s="1673">
        <f>+$F$44/28</f>
        <v>7393746.2857142854</v>
      </c>
      <c r="R44" s="1674">
        <f t="shared" ref="R44:AR44" si="19">+$F$44/28</f>
        <v>7393746.2857142854</v>
      </c>
      <c r="S44" s="1672">
        <f t="shared" si="19"/>
        <v>7393746.2857142854</v>
      </c>
      <c r="T44" s="1673">
        <f t="shared" si="19"/>
        <v>7393746.2857142854</v>
      </c>
      <c r="U44" s="1673">
        <f t="shared" si="19"/>
        <v>7393746.2857142854</v>
      </c>
      <c r="V44" s="1674">
        <f t="shared" si="19"/>
        <v>7393746.2857142854</v>
      </c>
      <c r="W44" s="1672">
        <f t="shared" si="19"/>
        <v>7393746.2857142854</v>
      </c>
      <c r="X44" s="1673">
        <f t="shared" si="19"/>
        <v>7393746.2857142854</v>
      </c>
      <c r="Y44" s="1673">
        <f t="shared" si="19"/>
        <v>7393746.2857142854</v>
      </c>
      <c r="Z44" s="1674">
        <f t="shared" si="19"/>
        <v>7393746.2857142854</v>
      </c>
      <c r="AA44" s="1672">
        <f t="shared" si="19"/>
        <v>7393746.2857142854</v>
      </c>
      <c r="AB44" s="1673">
        <f t="shared" si="19"/>
        <v>7393746.2857142854</v>
      </c>
      <c r="AC44" s="1673">
        <f t="shared" si="19"/>
        <v>7393746.2857142854</v>
      </c>
      <c r="AD44" s="1674">
        <f t="shared" si="19"/>
        <v>7393746.2857142854</v>
      </c>
      <c r="AE44" s="1672">
        <f t="shared" si="19"/>
        <v>7393746.2857142854</v>
      </c>
      <c r="AF44" s="1673">
        <f t="shared" si="19"/>
        <v>7393746.2857142854</v>
      </c>
      <c r="AG44" s="1673">
        <f t="shared" si="19"/>
        <v>7393746.2857142854</v>
      </c>
      <c r="AH44" s="1674">
        <f t="shared" si="19"/>
        <v>7393746.2857142854</v>
      </c>
      <c r="AI44" s="1672">
        <f t="shared" si="19"/>
        <v>7393746.2857142854</v>
      </c>
      <c r="AJ44" s="1673">
        <f t="shared" si="19"/>
        <v>7393746.2857142854</v>
      </c>
      <c r="AK44" s="1673">
        <f t="shared" si="19"/>
        <v>7393746.2857142854</v>
      </c>
      <c r="AL44" s="1674">
        <f t="shared" si="19"/>
        <v>7393746.2857142854</v>
      </c>
      <c r="AM44" s="1675">
        <f t="shared" si="19"/>
        <v>7393746.2857142854</v>
      </c>
      <c r="AN44" s="1676">
        <f t="shared" si="19"/>
        <v>7393746.2857142854</v>
      </c>
      <c r="AO44" s="1676">
        <f t="shared" si="19"/>
        <v>7393746.2857142854</v>
      </c>
      <c r="AP44" s="1677">
        <f t="shared" si="19"/>
        <v>7393746.2857142854</v>
      </c>
      <c r="AQ44" s="1675">
        <f t="shared" si="19"/>
        <v>7393746.2857142854</v>
      </c>
      <c r="AR44" s="1676">
        <f t="shared" si="19"/>
        <v>7393746.2857142854</v>
      </c>
      <c r="AS44" s="1678"/>
      <c r="AT44" s="1679"/>
      <c r="AU44" s="1090"/>
      <c r="AV44" s="1091"/>
      <c r="AW44" s="1091"/>
      <c r="AX44" s="1092"/>
      <c r="AY44" s="1090"/>
      <c r="AZ44" s="1091"/>
      <c r="BA44" s="1091"/>
      <c r="BB44" s="1092"/>
      <c r="BC44" s="1090"/>
      <c r="BD44" s="1091"/>
      <c r="BE44" s="1091"/>
      <c r="BF44" s="1092"/>
      <c r="BG44" s="1090"/>
      <c r="BH44" s="1091"/>
      <c r="BI44" s="1091"/>
      <c r="BJ44" s="1092"/>
    </row>
    <row r="45" spans="1:62" ht="18">
      <c r="A45" s="1707" t="str">
        <f>+IF(PRESUPUESTO!A51="","",PRESUPUESTO!A51)</f>
        <v>1.6.2</v>
      </c>
      <c r="B45" s="1624" t="str">
        <f>+IF(PRESUPUESTO!B51="","",PRESUPUESTO!B51)</f>
        <v xml:space="preserve">Suministro de Kit Silla Yee de 200 mm x 160 mm para conexión de domiciliarias </v>
      </c>
      <c r="C45" s="1610" t="str">
        <f>+IF(PRESUPUESTO!C51="","",PRESUPUESTO!C51)</f>
        <v>Und.</v>
      </c>
      <c r="D45" s="1611">
        <f>+IF(PRESUPUESTO!D51="","",PRESUPUESTO!D51)</f>
        <v>136</v>
      </c>
      <c r="E45" s="1611">
        <f>+IF(PRESUPUESTO!E51="","",PRESUPUESTO!E51)</f>
        <v>217902</v>
      </c>
      <c r="F45" s="1603">
        <f>+IF(PRESUPUESTO!F51="","",PRESUPUESTO!F51)</f>
        <v>29634672</v>
      </c>
      <c r="G45" s="1113"/>
      <c r="H45" s="1111"/>
      <c r="I45" s="1111"/>
      <c r="J45" s="1112"/>
      <c r="K45" s="1113"/>
      <c r="L45" s="1111"/>
      <c r="M45" s="1086"/>
      <c r="N45" s="1087"/>
      <c r="O45" s="1672"/>
      <c r="P45" s="1673"/>
      <c r="Q45" s="1673">
        <f>+$F$45/21</f>
        <v>1411174.857142857</v>
      </c>
      <c r="R45" s="1674">
        <f t="shared" ref="R45:AK45" si="20">+$F$45/21</f>
        <v>1411174.857142857</v>
      </c>
      <c r="S45" s="1672">
        <f t="shared" si="20"/>
        <v>1411174.857142857</v>
      </c>
      <c r="T45" s="1673">
        <f t="shared" si="20"/>
        <v>1411174.857142857</v>
      </c>
      <c r="U45" s="1673">
        <f t="shared" si="20"/>
        <v>1411174.857142857</v>
      </c>
      <c r="V45" s="1674">
        <f t="shared" si="20"/>
        <v>1411174.857142857</v>
      </c>
      <c r="W45" s="1672">
        <f t="shared" si="20"/>
        <v>1411174.857142857</v>
      </c>
      <c r="X45" s="1673">
        <f t="shared" si="20"/>
        <v>1411174.857142857</v>
      </c>
      <c r="Y45" s="1673">
        <f t="shared" si="20"/>
        <v>1411174.857142857</v>
      </c>
      <c r="Z45" s="1674">
        <f t="shared" si="20"/>
        <v>1411174.857142857</v>
      </c>
      <c r="AA45" s="1672">
        <f t="shared" si="20"/>
        <v>1411174.857142857</v>
      </c>
      <c r="AB45" s="1673">
        <f t="shared" si="20"/>
        <v>1411174.857142857</v>
      </c>
      <c r="AC45" s="1673">
        <f t="shared" si="20"/>
        <v>1411174.857142857</v>
      </c>
      <c r="AD45" s="1674">
        <f t="shared" si="20"/>
        <v>1411174.857142857</v>
      </c>
      <c r="AE45" s="1672">
        <f t="shared" si="20"/>
        <v>1411174.857142857</v>
      </c>
      <c r="AF45" s="1673">
        <f t="shared" si="20"/>
        <v>1411174.857142857</v>
      </c>
      <c r="AG45" s="1673">
        <f t="shared" si="20"/>
        <v>1411174.857142857</v>
      </c>
      <c r="AH45" s="1674">
        <f t="shared" si="20"/>
        <v>1411174.857142857</v>
      </c>
      <c r="AI45" s="1672">
        <f t="shared" si="20"/>
        <v>1411174.857142857</v>
      </c>
      <c r="AJ45" s="1673">
        <f t="shared" si="20"/>
        <v>1411174.857142857</v>
      </c>
      <c r="AK45" s="1673">
        <f t="shared" si="20"/>
        <v>1411174.857142857</v>
      </c>
      <c r="AL45" s="1674"/>
      <c r="AM45" s="1672"/>
      <c r="AN45" s="1673"/>
      <c r="AO45" s="1673"/>
      <c r="AP45" s="1674"/>
      <c r="AQ45" s="1672"/>
      <c r="AR45" s="1673"/>
      <c r="AS45" s="1678"/>
      <c r="AT45" s="1679"/>
      <c r="AU45" s="1090"/>
      <c r="AV45" s="1091"/>
      <c r="AW45" s="1091"/>
      <c r="AX45" s="1092"/>
      <c r="AY45" s="1090"/>
      <c r="AZ45" s="1091"/>
      <c r="BA45" s="1091"/>
      <c r="BB45" s="1092"/>
      <c r="BC45" s="1090"/>
      <c r="BD45" s="1091"/>
      <c r="BE45" s="1091"/>
      <c r="BF45" s="1092"/>
      <c r="BG45" s="1090"/>
      <c r="BH45" s="1091"/>
      <c r="BI45" s="1091"/>
      <c r="BJ45" s="1092"/>
    </row>
    <row r="46" spans="1:62" ht="18">
      <c r="A46" s="1707" t="str">
        <f>+IF(PRESUPUESTO!A52="","",PRESUPUESTO!A52)</f>
        <v>1.6.3</v>
      </c>
      <c r="B46" s="1624" t="str">
        <f>+IF(PRESUPUESTO!B52="","",PRESUPUESTO!B52)</f>
        <v xml:space="preserve">Suministro de Kit Silla Yee de 250 mm x 160 mm para conexión de domiciliarias </v>
      </c>
      <c r="C46" s="1610" t="str">
        <f>+IF(PRESUPUESTO!C52="","",PRESUPUESTO!C52)</f>
        <v>Und.</v>
      </c>
      <c r="D46" s="1611">
        <f>+IF(PRESUPUESTO!D52="","",PRESUPUESTO!D52)</f>
        <v>8</v>
      </c>
      <c r="E46" s="1611">
        <f>+IF(PRESUPUESTO!E52="","",PRESUPUESTO!E52)</f>
        <v>246331</v>
      </c>
      <c r="F46" s="1603">
        <f>+IF(PRESUPUESTO!F52="","",PRESUPUESTO!F52)</f>
        <v>1970648</v>
      </c>
      <c r="G46" s="1113"/>
      <c r="H46" s="1111"/>
      <c r="I46" s="1111"/>
      <c r="J46" s="1112"/>
      <c r="K46" s="1113"/>
      <c r="L46" s="1111"/>
      <c r="M46" s="1086"/>
      <c r="N46" s="1087"/>
      <c r="O46" s="1672"/>
      <c r="P46" s="1673"/>
      <c r="Q46" s="1673"/>
      <c r="R46" s="1674"/>
      <c r="S46" s="1672"/>
      <c r="T46" s="1673"/>
      <c r="U46" s="1673"/>
      <c r="V46" s="1674"/>
      <c r="W46" s="1672"/>
      <c r="X46" s="1673"/>
      <c r="Y46" s="1673"/>
      <c r="Z46" s="1674"/>
      <c r="AA46" s="1672"/>
      <c r="AB46" s="1673"/>
      <c r="AC46" s="1673"/>
      <c r="AD46" s="1674"/>
      <c r="AE46" s="1672"/>
      <c r="AF46" s="1673"/>
      <c r="AG46" s="1673"/>
      <c r="AH46" s="1674"/>
      <c r="AI46" s="1672"/>
      <c r="AJ46" s="1673"/>
      <c r="AK46" s="1673"/>
      <c r="AL46" s="1674">
        <f>+$F$46/3</f>
        <v>656882.66666666663</v>
      </c>
      <c r="AM46" s="1672">
        <f t="shared" ref="AM46:AN46" si="21">+$F$46/3</f>
        <v>656882.66666666663</v>
      </c>
      <c r="AN46" s="1673">
        <f t="shared" si="21"/>
        <v>656882.66666666663</v>
      </c>
      <c r="AO46" s="1673"/>
      <c r="AP46" s="1674"/>
      <c r="AQ46" s="1672"/>
      <c r="AR46" s="1673"/>
      <c r="AS46" s="1678"/>
      <c r="AT46" s="1679"/>
      <c r="AU46" s="1090"/>
      <c r="AV46" s="1091"/>
      <c r="AW46" s="1091"/>
      <c r="AX46" s="1092"/>
      <c r="AY46" s="1090"/>
      <c r="AZ46" s="1091"/>
      <c r="BA46" s="1091"/>
      <c r="BB46" s="1092"/>
      <c r="BC46" s="1090"/>
      <c r="BD46" s="1091"/>
      <c r="BE46" s="1091"/>
      <c r="BF46" s="1092"/>
      <c r="BG46" s="1090"/>
      <c r="BH46" s="1091"/>
      <c r="BI46" s="1091"/>
      <c r="BJ46" s="1092"/>
    </row>
    <row r="47" spans="1:62" ht="18">
      <c r="A47" s="1707" t="str">
        <f>+IF(PRESUPUESTO!A53="","",PRESUPUESTO!A53)</f>
        <v>1.6.4</v>
      </c>
      <c r="B47" s="1625" t="str">
        <f>+IF(PRESUPUESTO!B53="","",PRESUPUESTO!B53)</f>
        <v xml:space="preserve">Suministro de Kit Silla Yee de 315 mm x 160 mm para conexión de domiciliarias </v>
      </c>
      <c r="C47" s="1610" t="str">
        <f>+IF(PRESUPUESTO!C53="","",PRESUPUESTO!C53)</f>
        <v>Und.</v>
      </c>
      <c r="D47" s="1611">
        <f>+IF(PRESUPUESTO!D53="","",PRESUPUESTO!D53)</f>
        <v>17</v>
      </c>
      <c r="E47" s="1602">
        <f>+IF(PRESUPUESTO!E53="","",PRESUPUESTO!E53)</f>
        <v>370391</v>
      </c>
      <c r="F47" s="1602">
        <f>+IF(PRESUPUESTO!F53="","",PRESUPUESTO!F53)</f>
        <v>6296647</v>
      </c>
      <c r="G47" s="1113"/>
      <c r="H47" s="1111"/>
      <c r="I47" s="1111"/>
      <c r="J47" s="1112"/>
      <c r="K47" s="1113"/>
      <c r="L47" s="1111"/>
      <c r="M47" s="1086"/>
      <c r="N47" s="1087"/>
      <c r="O47" s="1672"/>
      <c r="P47" s="1673"/>
      <c r="Q47" s="1673"/>
      <c r="R47" s="1674"/>
      <c r="S47" s="1672"/>
      <c r="T47" s="1673"/>
      <c r="U47" s="1673"/>
      <c r="V47" s="1674"/>
      <c r="W47" s="1672"/>
      <c r="X47" s="1673"/>
      <c r="Y47" s="1673"/>
      <c r="Z47" s="1674"/>
      <c r="AA47" s="1672"/>
      <c r="AB47" s="1673"/>
      <c r="AC47" s="1673"/>
      <c r="AD47" s="1674"/>
      <c r="AE47" s="1672"/>
      <c r="AF47" s="1673"/>
      <c r="AG47" s="1673"/>
      <c r="AH47" s="1674"/>
      <c r="AI47" s="1672"/>
      <c r="AJ47" s="1673"/>
      <c r="AL47" s="1674"/>
      <c r="AM47" s="1675"/>
      <c r="AN47" s="1676"/>
      <c r="AO47" s="1676">
        <f>+$F$47/4</f>
        <v>1574161.75</v>
      </c>
      <c r="AP47" s="1677">
        <f t="shared" ref="AP47:AR47" si="22">+$F$47/4</f>
        <v>1574161.75</v>
      </c>
      <c r="AQ47" s="1675">
        <f t="shared" si="22"/>
        <v>1574161.75</v>
      </c>
      <c r="AR47" s="1676">
        <f t="shared" si="22"/>
        <v>1574161.75</v>
      </c>
      <c r="AS47" s="1678"/>
      <c r="AT47" s="1679"/>
      <c r="AU47" s="1090"/>
      <c r="AV47" s="1091"/>
      <c r="AW47" s="1091"/>
      <c r="AX47" s="1092"/>
      <c r="AY47" s="1090"/>
      <c r="AZ47" s="1091"/>
      <c r="BA47" s="1091"/>
      <c r="BB47" s="1092"/>
      <c r="BC47" s="1090"/>
      <c r="BD47" s="1091"/>
      <c r="BE47" s="1091"/>
      <c r="BF47" s="1092"/>
      <c r="BG47" s="1090"/>
      <c r="BH47" s="1091"/>
      <c r="BI47" s="1091"/>
      <c r="BJ47" s="1092"/>
    </row>
    <row r="48" spans="1:62" s="826" customFormat="1" ht="18">
      <c r="A48" s="1706" t="str">
        <f>+IF(PRESUPUESTO!A54="","",PRESUPUESTO!A54)</f>
        <v/>
      </c>
      <c r="B48" s="1629" t="str">
        <f>+IF(PRESUPUESTO!B54="","",PRESUPUESTO!B54)</f>
        <v xml:space="preserve">SUB TOTAL SUMINISTROS DE ELEMENTOS PVC PARA DOMICILIARIAS </v>
      </c>
      <c r="C48" s="1618" t="str">
        <f>+IF(PRESUPUESTO!C54="","",PRESUPUESTO!C54)</f>
        <v/>
      </c>
      <c r="D48" s="1619" t="str">
        <f>+IF(PRESUPUESTO!D54="","",PRESUPUESTO!D54)</f>
        <v/>
      </c>
      <c r="E48" s="1604" t="str">
        <f>+IF(PRESUPUESTO!E54="","",PRESUPUESTO!E54)</f>
        <v/>
      </c>
      <c r="F48" s="1604">
        <f>+IF(PRESUPUESTO!F54="","",PRESUPUESTO!F54)</f>
        <v>244926863</v>
      </c>
      <c r="G48" s="1094"/>
      <c r="H48" s="1095"/>
      <c r="I48" s="1095"/>
      <c r="J48" s="1096"/>
      <c r="K48" s="1094"/>
      <c r="L48" s="1095"/>
      <c r="M48" s="1097"/>
      <c r="N48" s="1098"/>
      <c r="O48" s="1672"/>
      <c r="P48" s="1673"/>
      <c r="Q48" s="1673"/>
      <c r="R48" s="1674"/>
      <c r="S48" s="1672"/>
      <c r="T48" s="1673"/>
      <c r="U48" s="1673"/>
      <c r="V48" s="1674"/>
      <c r="W48" s="1672"/>
      <c r="X48" s="1673"/>
      <c r="Y48" s="1673"/>
      <c r="Z48" s="1674"/>
      <c r="AA48" s="1672"/>
      <c r="AB48" s="1673"/>
      <c r="AC48" s="1673"/>
      <c r="AD48" s="1674"/>
      <c r="AE48" s="1672"/>
      <c r="AF48" s="1673"/>
      <c r="AG48" s="1673"/>
      <c r="AH48" s="1674"/>
      <c r="AI48" s="1672"/>
      <c r="AJ48" s="1673"/>
      <c r="AK48" s="1673"/>
      <c r="AL48" s="1674"/>
      <c r="AM48" s="1675"/>
      <c r="AN48" s="1676"/>
      <c r="AO48" s="1676"/>
      <c r="AP48" s="1677"/>
      <c r="AQ48" s="1675"/>
      <c r="AR48" s="1676"/>
      <c r="AS48" s="1678"/>
      <c r="AT48" s="1679"/>
      <c r="AU48" s="1101"/>
      <c r="AV48" s="1102"/>
      <c r="AW48" s="1102"/>
      <c r="AX48" s="1103"/>
      <c r="AY48" s="1101"/>
      <c r="AZ48" s="1102"/>
      <c r="BA48" s="1102"/>
      <c r="BB48" s="1103"/>
      <c r="BC48" s="1101"/>
      <c r="BD48" s="1102"/>
      <c r="BE48" s="1102"/>
      <c r="BF48" s="1103"/>
      <c r="BG48" s="1101"/>
      <c r="BH48" s="1102"/>
      <c r="BI48" s="1102"/>
      <c r="BJ48" s="1103"/>
    </row>
    <row r="49" spans="1:62" s="826" customFormat="1" ht="18">
      <c r="A49" s="1710" t="str">
        <f>+IF(PRESUPUESTO!A55="","",PRESUPUESTO!A55)</f>
        <v/>
      </c>
      <c r="B49" s="1629" t="str">
        <f>+IF(PRESUPUESTO!B55="","",PRESUPUESTO!B55)</f>
        <v/>
      </c>
      <c r="C49" s="1608" t="str">
        <f>+IF(PRESUPUESTO!C55="","",PRESUPUESTO!C55)</f>
        <v/>
      </c>
      <c r="D49" s="1614" t="str">
        <f>+IF(PRESUPUESTO!D55="","",PRESUPUESTO!D55)</f>
        <v/>
      </c>
      <c r="E49" s="1614" t="str">
        <f>+IF(PRESUPUESTO!E55="","",PRESUPUESTO!E55)</f>
        <v/>
      </c>
      <c r="F49" s="1614" t="str">
        <f>+IF(PRESUPUESTO!F55="","",PRESUPUESTO!F55)</f>
        <v/>
      </c>
      <c r="G49" s="1094"/>
      <c r="H49" s="1095"/>
      <c r="I49" s="1095"/>
      <c r="J49" s="1096"/>
      <c r="K49" s="1094"/>
      <c r="L49" s="1095"/>
      <c r="M49" s="1097"/>
      <c r="N49" s="1098"/>
      <c r="O49" s="1672"/>
      <c r="P49" s="1673"/>
      <c r="Q49" s="1673"/>
      <c r="R49" s="1674"/>
      <c r="S49" s="1672"/>
      <c r="T49" s="1673"/>
      <c r="U49" s="1673"/>
      <c r="V49" s="1674"/>
      <c r="W49" s="1672"/>
      <c r="X49" s="1673"/>
      <c r="Y49" s="1673"/>
      <c r="Z49" s="1674"/>
      <c r="AA49" s="1672"/>
      <c r="AB49" s="1673"/>
      <c r="AC49" s="1673"/>
      <c r="AD49" s="1674"/>
      <c r="AE49" s="1672"/>
      <c r="AF49" s="1673"/>
      <c r="AG49" s="1673"/>
      <c r="AH49" s="1674"/>
      <c r="AI49" s="1672"/>
      <c r="AJ49" s="1673"/>
      <c r="AK49" s="1673"/>
      <c r="AL49" s="1674"/>
      <c r="AM49" s="1675"/>
      <c r="AN49" s="1676"/>
      <c r="AO49" s="1676"/>
      <c r="AP49" s="1677"/>
      <c r="AQ49" s="1675"/>
      <c r="AR49" s="1676"/>
      <c r="AS49" s="1678"/>
      <c r="AT49" s="1679"/>
      <c r="AU49" s="1101"/>
      <c r="AV49" s="1102"/>
      <c r="AW49" s="1102"/>
      <c r="AX49" s="1103"/>
      <c r="AY49" s="1101"/>
      <c r="AZ49" s="1102"/>
      <c r="BA49" s="1102"/>
      <c r="BB49" s="1103"/>
      <c r="BC49" s="1101"/>
      <c r="BD49" s="1102"/>
      <c r="BE49" s="1102"/>
      <c r="BF49" s="1103"/>
      <c r="BG49" s="1101"/>
      <c r="BH49" s="1102"/>
      <c r="BI49" s="1102"/>
      <c r="BJ49" s="1103"/>
    </row>
    <row r="50" spans="1:62" s="826" customFormat="1" ht="18">
      <c r="A50" s="1711">
        <f>+IF(PRESUPUESTO!A56="","",PRESUPUESTO!A56)</f>
        <v>1.7</v>
      </c>
      <c r="B50" s="1114" t="str">
        <f>+IF(PRESUPUESTO!B56="","",PRESUPUESTO!B56)</f>
        <v>DOMICILIARIAS</v>
      </c>
      <c r="C50" s="1115" t="str">
        <f>+IF(PRESUPUESTO!C56="","",PRESUPUESTO!C56)</f>
        <v/>
      </c>
      <c r="D50" s="1632" t="str">
        <f>+IF(PRESUPUESTO!D56="","",PRESUPUESTO!D56)</f>
        <v/>
      </c>
      <c r="E50" s="1632" t="str">
        <f>+IF(PRESUPUESTO!E56="","",PRESUPUESTO!E56)</f>
        <v/>
      </c>
      <c r="F50" s="1633" t="str">
        <f>+IF(PRESUPUESTO!F56="","",PRESUPUESTO!F56)</f>
        <v/>
      </c>
      <c r="G50" s="1094"/>
      <c r="H50" s="1095"/>
      <c r="I50" s="1095"/>
      <c r="J50" s="1096"/>
      <c r="K50" s="1094"/>
      <c r="L50" s="1095"/>
      <c r="M50" s="1097"/>
      <c r="N50" s="1098"/>
      <c r="O50" s="1672"/>
      <c r="P50" s="1673"/>
      <c r="Q50" s="1673"/>
      <c r="R50" s="1674"/>
      <c r="S50" s="1672"/>
      <c r="T50" s="1673"/>
      <c r="U50" s="1673"/>
      <c r="V50" s="1674"/>
      <c r="W50" s="1672"/>
      <c r="X50" s="1673"/>
      <c r="Y50" s="1673"/>
      <c r="Z50" s="1674"/>
      <c r="AA50" s="1672"/>
      <c r="AB50" s="1673"/>
      <c r="AC50" s="1673"/>
      <c r="AD50" s="1674"/>
      <c r="AE50" s="1672"/>
      <c r="AF50" s="1673"/>
      <c r="AG50" s="1673"/>
      <c r="AH50" s="1674"/>
      <c r="AI50" s="1672"/>
      <c r="AJ50" s="1673"/>
      <c r="AK50" s="1673"/>
      <c r="AL50" s="1674"/>
      <c r="AM50" s="1675"/>
      <c r="AN50" s="1676"/>
      <c r="AO50" s="1676"/>
      <c r="AP50" s="1677"/>
      <c r="AQ50" s="1675"/>
      <c r="AR50" s="1676"/>
      <c r="AS50" s="1678"/>
      <c r="AT50" s="1679"/>
      <c r="AU50" s="1101"/>
      <c r="AV50" s="1102"/>
      <c r="AW50" s="1102"/>
      <c r="AX50" s="1103"/>
      <c r="AY50" s="1101"/>
      <c r="AZ50" s="1102"/>
      <c r="BA50" s="1102"/>
      <c r="BB50" s="1103"/>
      <c r="BC50" s="1101"/>
      <c r="BD50" s="1102"/>
      <c r="BE50" s="1102"/>
      <c r="BF50" s="1103"/>
      <c r="BG50" s="1101"/>
      <c r="BH50" s="1102"/>
      <c r="BI50" s="1102"/>
      <c r="BJ50" s="1103"/>
    </row>
    <row r="51" spans="1:62" ht="69">
      <c r="A51" s="1712" t="str">
        <f>+IF(PRESUPUESTO!A57="","",PRESUPUESTO!A57)</f>
        <v>1.7.1</v>
      </c>
      <c r="B51" s="1625" t="str">
        <f>+IF(PRESUPUESTO!B57="","",PRESUPUESTO!B57)</f>
        <v>Instalación de tubería de alcantarillado PVC ø 160 mm (6") y accesorios. Incluye: Nivelación, arreglo del fondo de la zanja, bajada y empalme del tubo, uso de herramienta y mano de obra, lubricante,y todo lo necesario para la correcta ejecución de la obra.</v>
      </c>
      <c r="C51" s="1612" t="str">
        <f>+IF(PRESUPUESTO!C57="","",PRESUPUESTO!C57)</f>
        <v>m</v>
      </c>
      <c r="D51" s="1613">
        <f>+IF(PRESUPUESTO!D57="","",PRESUPUESTO!D57)</f>
        <v>3656.65</v>
      </c>
      <c r="E51" s="1613">
        <f>+IF(PRESUPUESTO!E57="","",PRESUPUESTO!E57)</f>
        <v>28155.4</v>
      </c>
      <c r="F51" s="1620">
        <f>+IF(PRESUPUESTO!F57="","",PRESUPUESTO!F57)</f>
        <v>102954443</v>
      </c>
      <c r="G51" s="1113"/>
      <c r="H51" s="1111"/>
      <c r="I51" s="1111"/>
      <c r="J51" s="1112"/>
      <c r="K51" s="1113"/>
      <c r="L51" s="1111"/>
      <c r="M51" s="1086"/>
      <c r="N51" s="1087"/>
      <c r="O51" s="1672"/>
      <c r="P51" s="1673"/>
      <c r="Q51" s="1673">
        <f>+$F$51/28</f>
        <v>3676944.3928571427</v>
      </c>
      <c r="R51" s="1674">
        <f t="shared" ref="R51:AR51" si="23">+$F$51/28</f>
        <v>3676944.3928571427</v>
      </c>
      <c r="S51" s="1672">
        <f t="shared" si="23"/>
        <v>3676944.3928571427</v>
      </c>
      <c r="T51" s="1673">
        <f t="shared" si="23"/>
        <v>3676944.3928571427</v>
      </c>
      <c r="U51" s="1673">
        <f t="shared" si="23"/>
        <v>3676944.3928571427</v>
      </c>
      <c r="V51" s="1674">
        <f t="shared" si="23"/>
        <v>3676944.3928571427</v>
      </c>
      <c r="W51" s="1672">
        <f t="shared" si="23"/>
        <v>3676944.3928571427</v>
      </c>
      <c r="X51" s="1673">
        <f t="shared" si="23"/>
        <v>3676944.3928571427</v>
      </c>
      <c r="Y51" s="1673">
        <f t="shared" si="23"/>
        <v>3676944.3928571427</v>
      </c>
      <c r="Z51" s="1674">
        <f t="shared" si="23"/>
        <v>3676944.3928571427</v>
      </c>
      <c r="AA51" s="1672">
        <f t="shared" si="23"/>
        <v>3676944.3928571427</v>
      </c>
      <c r="AB51" s="1673">
        <f t="shared" si="23"/>
        <v>3676944.3928571427</v>
      </c>
      <c r="AC51" s="1673">
        <f t="shared" si="23"/>
        <v>3676944.3928571427</v>
      </c>
      <c r="AD51" s="1674">
        <f t="shared" si="23"/>
        <v>3676944.3928571427</v>
      </c>
      <c r="AE51" s="1672">
        <f t="shared" si="23"/>
        <v>3676944.3928571427</v>
      </c>
      <c r="AF51" s="1673">
        <f t="shared" si="23"/>
        <v>3676944.3928571427</v>
      </c>
      <c r="AG51" s="1673">
        <f t="shared" si="23"/>
        <v>3676944.3928571427</v>
      </c>
      <c r="AH51" s="1674">
        <f t="shared" si="23"/>
        <v>3676944.3928571427</v>
      </c>
      <c r="AI51" s="1672">
        <f t="shared" si="23"/>
        <v>3676944.3928571427</v>
      </c>
      <c r="AJ51" s="1673">
        <f t="shared" si="23"/>
        <v>3676944.3928571427</v>
      </c>
      <c r="AK51" s="1673">
        <f t="shared" si="23"/>
        <v>3676944.3928571427</v>
      </c>
      <c r="AL51" s="1674">
        <f t="shared" si="23"/>
        <v>3676944.3928571427</v>
      </c>
      <c r="AM51" s="1675">
        <f t="shared" si="23"/>
        <v>3676944.3928571427</v>
      </c>
      <c r="AN51" s="1676">
        <f t="shared" si="23"/>
        <v>3676944.3928571427</v>
      </c>
      <c r="AO51" s="1676">
        <f t="shared" si="23"/>
        <v>3676944.3928571427</v>
      </c>
      <c r="AP51" s="1677">
        <f t="shared" si="23"/>
        <v>3676944.3928571427</v>
      </c>
      <c r="AQ51" s="1675">
        <f t="shared" si="23"/>
        <v>3676944.3928571427</v>
      </c>
      <c r="AR51" s="1676">
        <f t="shared" si="23"/>
        <v>3676944.3928571427</v>
      </c>
      <c r="AS51" s="1678"/>
      <c r="AT51" s="1679"/>
      <c r="AU51" s="1090"/>
      <c r="AV51" s="1091"/>
      <c r="AW51" s="1091"/>
      <c r="AX51" s="1092"/>
      <c r="AY51" s="1090"/>
      <c r="AZ51" s="1091"/>
      <c r="BA51" s="1091"/>
      <c r="BB51" s="1092"/>
      <c r="BC51" s="1090"/>
      <c r="BD51" s="1091"/>
      <c r="BE51" s="1091"/>
      <c r="BF51" s="1092"/>
      <c r="BG51" s="1090"/>
      <c r="BH51" s="1091"/>
      <c r="BI51" s="1091"/>
      <c r="BJ51" s="1092"/>
    </row>
    <row r="52" spans="1:62" ht="34.5">
      <c r="A52" s="1712" t="str">
        <f>+IF(PRESUPUESTO!A58="","",PRESUPUESTO!A58)</f>
        <v>1.7.2</v>
      </c>
      <c r="B52" s="1625" t="str">
        <f>+IF(PRESUPUESTO!B58="","",PRESUPUESTO!B58)</f>
        <v>Instalación de Kit Silla Yee 200 mm x 160 mm.  Incluye: Codo de 6x45, accesorios adecuados para su correcta conexión y sello hermético.</v>
      </c>
      <c r="C52" s="1612" t="str">
        <f>+IF(PRESUPUESTO!C58="","",PRESUPUESTO!C58)</f>
        <v>Und.</v>
      </c>
      <c r="D52" s="1613">
        <f>+IF(PRESUPUESTO!D58="","",PRESUPUESTO!D58)</f>
        <v>136</v>
      </c>
      <c r="E52" s="1613">
        <f>+IF(PRESUPUESTO!E58="","",PRESUPUESTO!E58)</f>
        <v>104863.2</v>
      </c>
      <c r="F52" s="1620">
        <f>+IF(PRESUPUESTO!F58="","",PRESUPUESTO!F58)</f>
        <v>14261395</v>
      </c>
      <c r="G52" s="1113"/>
      <c r="H52" s="1111"/>
      <c r="I52" s="1111"/>
      <c r="J52" s="1112"/>
      <c r="K52" s="1113"/>
      <c r="L52" s="1111"/>
      <c r="M52" s="1086"/>
      <c r="N52" s="1087"/>
      <c r="O52" s="1672"/>
      <c r="P52" s="1673"/>
      <c r="Q52" s="1673">
        <f>+$F$52/21</f>
        <v>679114.04761904757</v>
      </c>
      <c r="R52" s="1674">
        <f t="shared" ref="R52:AK52" si="24">+$F$52/21</f>
        <v>679114.04761904757</v>
      </c>
      <c r="S52" s="1672">
        <f t="shared" si="24"/>
        <v>679114.04761904757</v>
      </c>
      <c r="T52" s="1673">
        <f t="shared" si="24"/>
        <v>679114.04761904757</v>
      </c>
      <c r="U52" s="1673">
        <f t="shared" si="24"/>
        <v>679114.04761904757</v>
      </c>
      <c r="V52" s="1674">
        <f t="shared" si="24"/>
        <v>679114.04761904757</v>
      </c>
      <c r="W52" s="1672">
        <f t="shared" si="24"/>
        <v>679114.04761904757</v>
      </c>
      <c r="X52" s="1673">
        <f t="shared" si="24"/>
        <v>679114.04761904757</v>
      </c>
      <c r="Y52" s="1673">
        <f t="shared" si="24"/>
        <v>679114.04761904757</v>
      </c>
      <c r="Z52" s="1674">
        <f t="shared" si="24"/>
        <v>679114.04761904757</v>
      </c>
      <c r="AA52" s="1672">
        <f t="shared" si="24"/>
        <v>679114.04761904757</v>
      </c>
      <c r="AB52" s="1673">
        <f t="shared" si="24"/>
        <v>679114.04761904757</v>
      </c>
      <c r="AC52" s="1673">
        <f t="shared" si="24"/>
        <v>679114.04761904757</v>
      </c>
      <c r="AD52" s="1674">
        <f t="shared" si="24"/>
        <v>679114.04761904757</v>
      </c>
      <c r="AE52" s="1672">
        <f t="shared" si="24"/>
        <v>679114.04761904757</v>
      </c>
      <c r="AF52" s="1673">
        <f t="shared" si="24"/>
        <v>679114.04761904757</v>
      </c>
      <c r="AG52" s="1673">
        <f t="shared" si="24"/>
        <v>679114.04761904757</v>
      </c>
      <c r="AH52" s="1674">
        <f t="shared" si="24"/>
        <v>679114.04761904757</v>
      </c>
      <c r="AI52" s="1672">
        <f t="shared" si="24"/>
        <v>679114.04761904757</v>
      </c>
      <c r="AJ52" s="1673">
        <f t="shared" si="24"/>
        <v>679114.04761904757</v>
      </c>
      <c r="AK52" s="1673">
        <f t="shared" si="24"/>
        <v>679114.04761904757</v>
      </c>
      <c r="AL52" s="1674"/>
      <c r="AM52" s="1686"/>
      <c r="AN52" s="1678"/>
      <c r="AO52" s="1678"/>
      <c r="AP52" s="1679"/>
      <c r="AQ52" s="1686"/>
      <c r="AR52" s="1678"/>
      <c r="AS52" s="1678"/>
      <c r="AT52" s="1679"/>
      <c r="AU52" s="1090"/>
      <c r="AV52" s="1091"/>
      <c r="AW52" s="1091"/>
      <c r="AX52" s="1092"/>
      <c r="AY52" s="1090"/>
      <c r="AZ52" s="1091"/>
      <c r="BA52" s="1091"/>
      <c r="BB52" s="1092"/>
      <c r="BC52" s="1090"/>
      <c r="BD52" s="1091"/>
      <c r="BE52" s="1091"/>
      <c r="BF52" s="1092"/>
      <c r="BG52" s="1090"/>
      <c r="BH52" s="1091"/>
      <c r="BI52" s="1091"/>
      <c r="BJ52" s="1092"/>
    </row>
    <row r="53" spans="1:62" ht="34.5">
      <c r="A53" s="1712" t="str">
        <f>+IF(PRESUPUESTO!A59="","",PRESUPUESTO!A59)</f>
        <v>1.7.3</v>
      </c>
      <c r="B53" s="1625" t="str">
        <f>+IF(PRESUPUESTO!B59="","",PRESUPUESTO!B59)</f>
        <v>Instalación de Kit Silla Yee 250 mm x 160 mm.  Incluye: Codo de 6x45, accesorios adecuados para su correcta conexión y sello hermético.</v>
      </c>
      <c r="C53" s="1612" t="str">
        <f>+IF(PRESUPUESTO!C59="","",PRESUPUESTO!C59)</f>
        <v>Und.</v>
      </c>
      <c r="D53" s="1613">
        <f>+IF(PRESUPUESTO!D59="","",PRESUPUESTO!D59)</f>
        <v>8</v>
      </c>
      <c r="E53" s="1613">
        <f>+IF(PRESUPUESTO!E59="","",PRESUPUESTO!E59)</f>
        <v>105422.2</v>
      </c>
      <c r="F53" s="1620">
        <f>+IF(PRESUPUESTO!F59="","",PRESUPUESTO!F59)</f>
        <v>843378</v>
      </c>
      <c r="G53" s="1113"/>
      <c r="H53" s="1111"/>
      <c r="I53" s="1111"/>
      <c r="J53" s="1112"/>
      <c r="K53" s="1113"/>
      <c r="L53" s="1111"/>
      <c r="M53" s="1086"/>
      <c r="N53" s="1087"/>
      <c r="O53" s="1672"/>
      <c r="P53" s="1673"/>
      <c r="Q53" s="1673"/>
      <c r="R53" s="1674"/>
      <c r="S53" s="1672"/>
      <c r="T53" s="1673"/>
      <c r="U53" s="1673"/>
      <c r="V53" s="1674"/>
      <c r="W53" s="1672"/>
      <c r="X53" s="1673"/>
      <c r="Y53" s="1673"/>
      <c r="Z53" s="1674"/>
      <c r="AA53" s="1672"/>
      <c r="AB53" s="1673"/>
      <c r="AC53" s="1673"/>
      <c r="AD53" s="1674"/>
      <c r="AE53" s="1672"/>
      <c r="AF53" s="1673"/>
      <c r="AG53" s="1673"/>
      <c r="AH53" s="1674"/>
      <c r="AI53" s="1672"/>
      <c r="AJ53" s="1673"/>
      <c r="AK53" s="1673"/>
      <c r="AL53" s="1674">
        <f>+$F$53/3</f>
        <v>281126</v>
      </c>
      <c r="AM53" s="1672">
        <f t="shared" ref="AM53:AN53" si="25">+$F$53/3</f>
        <v>281126</v>
      </c>
      <c r="AN53" s="1673">
        <f t="shared" si="25"/>
        <v>281126</v>
      </c>
      <c r="AO53" s="1673"/>
      <c r="AP53" s="1674"/>
      <c r="AQ53" s="1672"/>
      <c r="AR53" s="1673"/>
      <c r="AS53" s="1678"/>
      <c r="AT53" s="1679"/>
      <c r="AU53" s="1090"/>
      <c r="AV53" s="1091"/>
      <c r="AW53" s="1091"/>
      <c r="AX53" s="1092"/>
      <c r="AY53" s="1090"/>
      <c r="AZ53" s="1091"/>
      <c r="BA53" s="1091"/>
      <c r="BB53" s="1092"/>
      <c r="BC53" s="1090"/>
      <c r="BD53" s="1091"/>
      <c r="BE53" s="1091"/>
      <c r="BF53" s="1092"/>
      <c r="BG53" s="1090"/>
      <c r="BH53" s="1091"/>
      <c r="BI53" s="1091"/>
      <c r="BJ53" s="1092"/>
    </row>
    <row r="54" spans="1:62" ht="34.5">
      <c r="A54" s="1712" t="str">
        <f>+IF(PRESUPUESTO!A60="","",PRESUPUESTO!A60)</f>
        <v>1.7.4</v>
      </c>
      <c r="B54" s="1625" t="str">
        <f>+IF(PRESUPUESTO!B60="","",PRESUPUESTO!B60)</f>
        <v>Instalación de Kit Silla Yee 315 mm x 160 mm.  Incluye: Codo de 6x45, accesorios adecuados para su correcta conexión y sello hermético.</v>
      </c>
      <c r="C54" s="1612" t="str">
        <f>+IF(PRESUPUESTO!C60="","",PRESUPUESTO!C60)</f>
        <v>Und.</v>
      </c>
      <c r="D54" s="1613">
        <f>+IF(PRESUPUESTO!D60="","",PRESUPUESTO!D60)</f>
        <v>17</v>
      </c>
      <c r="E54" s="1613">
        <f>+IF(PRESUPUESTO!E60="","",PRESUPUESTO!E60)</f>
        <v>109512</v>
      </c>
      <c r="F54" s="1620">
        <f>+IF(PRESUPUESTO!F60="","",PRESUPUESTO!F60)</f>
        <v>1861704</v>
      </c>
      <c r="G54" s="1113"/>
      <c r="H54" s="1111"/>
      <c r="I54" s="1111"/>
      <c r="J54" s="1112"/>
      <c r="K54" s="1113"/>
      <c r="L54" s="1111"/>
      <c r="M54" s="1086"/>
      <c r="N54" s="1087"/>
      <c r="O54" s="1672"/>
      <c r="P54" s="1673"/>
      <c r="Q54" s="1673"/>
      <c r="R54" s="1674"/>
      <c r="S54" s="1672"/>
      <c r="T54" s="1673"/>
      <c r="U54" s="1673"/>
      <c r="V54" s="1674"/>
      <c r="W54" s="1672"/>
      <c r="X54" s="1673"/>
      <c r="Y54" s="1673"/>
      <c r="Z54" s="1674"/>
      <c r="AA54" s="1672"/>
      <c r="AB54" s="1673"/>
      <c r="AC54" s="1673"/>
      <c r="AD54" s="1674"/>
      <c r="AE54" s="1672"/>
      <c r="AF54" s="1673"/>
      <c r="AG54" s="1673"/>
      <c r="AH54" s="1674"/>
      <c r="AI54" s="1672"/>
      <c r="AJ54" s="1673"/>
      <c r="AK54" s="1673"/>
      <c r="AL54" s="1674"/>
      <c r="AM54" s="1672"/>
      <c r="AN54" s="1673"/>
      <c r="AO54" s="1673">
        <f>+$F$54/4</f>
        <v>465426</v>
      </c>
      <c r="AP54" s="1674">
        <f t="shared" ref="AP54:AR54" si="26">+$F$54/4</f>
        <v>465426</v>
      </c>
      <c r="AQ54" s="1672">
        <f t="shared" si="26"/>
        <v>465426</v>
      </c>
      <c r="AR54" s="1673">
        <f t="shared" si="26"/>
        <v>465426</v>
      </c>
      <c r="AS54" s="1678"/>
      <c r="AT54" s="1679"/>
      <c r="AU54" s="1090"/>
      <c r="AV54" s="1091"/>
      <c r="AW54" s="1091"/>
      <c r="AX54" s="1092"/>
      <c r="AY54" s="1090"/>
      <c r="AZ54" s="1091"/>
      <c r="BA54" s="1091"/>
      <c r="BB54" s="1092"/>
      <c r="BC54" s="1090"/>
      <c r="BD54" s="1091"/>
      <c r="BE54" s="1091"/>
      <c r="BF54" s="1092"/>
      <c r="BG54" s="1090"/>
      <c r="BH54" s="1091"/>
      <c r="BI54" s="1091"/>
      <c r="BJ54" s="1092"/>
    </row>
    <row r="55" spans="1:62" ht="86.25">
      <c r="A55" s="1712" t="str">
        <f>+IF(PRESUPUESTO!A61="","",PRESUPUESTO!A61)</f>
        <v>1.7.5</v>
      </c>
      <c r="B55" s="1625" t="str">
        <f>+IF(PRESUPUESTO!B61="","",PRESUPUESTO!B61)</f>
        <v>Construcción de cajillas a todo costo en concreto simple de 3000 PSI de dimensión libres de 0.60 x 0.60, espesor de 0.10 mts Tapa en concreto reforzado en hierro de 3/8 separados cada 0.15 mts. en ambos sentidos, base de 0.80 * 0.80 * 0.15 mts, superficie y cañuela esmaltadas en concreto  puro . Incluye: produccion, formaleta , vaciado,  desencofrado y todo lo necesario para la correcta ejecución de la obra.</v>
      </c>
      <c r="C55" s="1612" t="str">
        <f>+IF(PRESUPUESTO!C61="","",PRESUPUESTO!C61)</f>
        <v>Und.</v>
      </c>
      <c r="D55" s="1613">
        <f>+IF(PRESUPUESTO!D61="","",PRESUPUESTO!D61)</f>
        <v>112</v>
      </c>
      <c r="E55" s="1613">
        <f>+IF(PRESUPUESTO!E61="","",PRESUPUESTO!E61)</f>
        <v>869514.1</v>
      </c>
      <c r="F55" s="1620">
        <f>+IF(PRESUPUESTO!F61="","",PRESUPUESTO!F61)</f>
        <v>97385579</v>
      </c>
      <c r="G55" s="1113"/>
      <c r="H55" s="1111"/>
      <c r="I55" s="1111"/>
      <c r="J55" s="1112"/>
      <c r="K55" s="1113"/>
      <c r="L55" s="1111"/>
      <c r="M55" s="1086"/>
      <c r="N55" s="1087"/>
      <c r="O55" s="1672"/>
      <c r="P55" s="1673"/>
      <c r="Q55" s="1673">
        <f>+$F$55/20</f>
        <v>4869278.95</v>
      </c>
      <c r="R55" s="1674">
        <f t="shared" ref="R55:AJ55" si="27">+$F$55/20</f>
        <v>4869278.95</v>
      </c>
      <c r="S55" s="1672">
        <f t="shared" si="27"/>
        <v>4869278.95</v>
      </c>
      <c r="T55" s="1673">
        <f t="shared" si="27"/>
        <v>4869278.95</v>
      </c>
      <c r="U55" s="1673">
        <f t="shared" si="27"/>
        <v>4869278.95</v>
      </c>
      <c r="V55" s="1674">
        <f t="shared" si="27"/>
        <v>4869278.95</v>
      </c>
      <c r="W55" s="1672">
        <f t="shared" si="27"/>
        <v>4869278.95</v>
      </c>
      <c r="X55" s="1673">
        <f t="shared" si="27"/>
        <v>4869278.95</v>
      </c>
      <c r="Y55" s="1673">
        <f t="shared" si="27"/>
        <v>4869278.95</v>
      </c>
      <c r="Z55" s="1674">
        <f t="shared" si="27"/>
        <v>4869278.95</v>
      </c>
      <c r="AA55" s="1672">
        <f t="shared" si="27"/>
        <v>4869278.95</v>
      </c>
      <c r="AB55" s="1673">
        <f t="shared" si="27"/>
        <v>4869278.95</v>
      </c>
      <c r="AC55" s="1673">
        <f t="shared" si="27"/>
        <v>4869278.95</v>
      </c>
      <c r="AD55" s="1674">
        <f t="shared" si="27"/>
        <v>4869278.95</v>
      </c>
      <c r="AE55" s="1672">
        <f t="shared" si="27"/>
        <v>4869278.95</v>
      </c>
      <c r="AF55" s="1673">
        <f t="shared" si="27"/>
        <v>4869278.95</v>
      </c>
      <c r="AG55" s="1673">
        <f t="shared" si="27"/>
        <v>4869278.95</v>
      </c>
      <c r="AH55" s="1674">
        <f t="shared" si="27"/>
        <v>4869278.95</v>
      </c>
      <c r="AI55" s="1672">
        <f t="shared" si="27"/>
        <v>4869278.95</v>
      </c>
      <c r="AJ55" s="1673">
        <f t="shared" si="27"/>
        <v>4869278.95</v>
      </c>
      <c r="AK55" s="1673"/>
      <c r="AL55" s="1674"/>
      <c r="AM55" s="1672"/>
      <c r="AN55" s="1673"/>
      <c r="AO55" s="1673"/>
      <c r="AP55" s="1674"/>
      <c r="AQ55" s="1672"/>
      <c r="AR55" s="1673"/>
      <c r="AS55" s="1678"/>
      <c r="AT55" s="1679"/>
      <c r="AU55" s="1090"/>
      <c r="AV55" s="1091"/>
      <c r="AW55" s="1091"/>
      <c r="AX55" s="1092"/>
      <c r="AY55" s="1090"/>
      <c r="AZ55" s="1091"/>
      <c r="BA55" s="1091"/>
      <c r="BB55" s="1092"/>
      <c r="BC55" s="1090"/>
      <c r="BD55" s="1091"/>
      <c r="BE55" s="1091"/>
      <c r="BF55" s="1092"/>
      <c r="BG55" s="1090"/>
      <c r="BH55" s="1091"/>
      <c r="BI55" s="1091"/>
      <c r="BJ55" s="1092"/>
    </row>
    <row r="56" spans="1:62" ht="103.5">
      <c r="A56" s="1712" t="str">
        <f>+IF(PRESUPUESTO!A62="","",PRESUPUESTO!A62)</f>
        <v>1.7.6</v>
      </c>
      <c r="B56" s="1625" t="str">
        <f>+IF(PRESUPUESTO!B62="","",PRESUPUESTO!B62)</f>
        <v>Construcción de cajilla de domiciliaria inspección  para alcantarillado sanitario a todo costo en concreto de 3000 PSI impermeablizado ,de dimensión 0,60*0,60m libres; espesor de paredes de 0,10m, profundidad superior a 0,80 m. Tapa en concreto reforzado en hierro de 3/8"  separados cada  0,15 m. en  ambos sentidos, base 0,9*0,9*0,15 m .  Incluye: producción, formaleta, vaciado, desencofrado y todo lo necesario para la correcta ejecución de la obra .</v>
      </c>
      <c r="C56" s="1612" t="str">
        <f>+IF(PRESUPUESTO!C62="","",PRESUPUESTO!C62)</f>
        <v>Und.</v>
      </c>
      <c r="D56" s="1613">
        <f>+IF(PRESUPUESTO!D62="","",PRESUPUESTO!D62)</f>
        <v>48</v>
      </c>
      <c r="E56" s="1613">
        <f>+IF(PRESUPUESTO!E62="","",PRESUPUESTO!E62)</f>
        <v>1173539.8999999999</v>
      </c>
      <c r="F56" s="1620">
        <f>+IF(PRESUPUESTO!F62="","",PRESUPUESTO!F62)</f>
        <v>56329915</v>
      </c>
      <c r="G56" s="1113"/>
      <c r="H56" s="1111"/>
      <c r="I56" s="1111"/>
      <c r="J56" s="1112"/>
      <c r="K56" s="1113"/>
      <c r="L56" s="1111"/>
      <c r="M56" s="1086"/>
      <c r="N56" s="1087"/>
      <c r="O56" s="1672"/>
      <c r="P56" s="1673"/>
      <c r="Q56" s="1673"/>
      <c r="R56" s="1674"/>
      <c r="S56" s="1672"/>
      <c r="T56" s="1673"/>
      <c r="U56" s="1673"/>
      <c r="V56" s="1674"/>
      <c r="W56" s="1672"/>
      <c r="X56" s="1673"/>
      <c r="Y56" s="1673"/>
      <c r="Z56" s="1674"/>
      <c r="AA56" s="1672"/>
      <c r="AB56" s="1673"/>
      <c r="AC56" s="1673"/>
      <c r="AD56" s="1674"/>
      <c r="AE56" s="1672"/>
      <c r="AF56" s="1673"/>
      <c r="AG56" s="1673"/>
      <c r="AH56" s="1674"/>
      <c r="AI56" s="1672"/>
      <c r="AJ56" s="1673"/>
      <c r="AK56" s="1673">
        <f>+$F$56/8</f>
        <v>7041239.375</v>
      </c>
      <c r="AL56" s="1674">
        <f t="shared" ref="AL56:AR56" si="28">+$F$56/8</f>
        <v>7041239.375</v>
      </c>
      <c r="AM56" s="1672">
        <f t="shared" si="28"/>
        <v>7041239.375</v>
      </c>
      <c r="AN56" s="1673">
        <f t="shared" si="28"/>
        <v>7041239.375</v>
      </c>
      <c r="AO56" s="1673">
        <f t="shared" si="28"/>
        <v>7041239.375</v>
      </c>
      <c r="AP56" s="1674">
        <f t="shared" si="28"/>
        <v>7041239.375</v>
      </c>
      <c r="AQ56" s="1672">
        <f t="shared" si="28"/>
        <v>7041239.375</v>
      </c>
      <c r="AR56" s="1673">
        <f t="shared" si="28"/>
        <v>7041239.375</v>
      </c>
      <c r="AS56" s="1678"/>
      <c r="AT56" s="1679"/>
      <c r="AU56" s="1090"/>
      <c r="AV56" s="1091"/>
      <c r="AW56" s="1091"/>
      <c r="AX56" s="1092"/>
      <c r="AY56" s="1090"/>
      <c r="AZ56" s="1091"/>
      <c r="BA56" s="1091"/>
      <c r="BB56" s="1092"/>
      <c r="BC56" s="1090"/>
      <c r="BD56" s="1091"/>
      <c r="BE56" s="1091"/>
      <c r="BF56" s="1092"/>
      <c r="BG56" s="1090"/>
      <c r="BH56" s="1091"/>
      <c r="BI56" s="1091"/>
      <c r="BJ56" s="1092"/>
    </row>
    <row r="57" spans="1:62" s="826" customFormat="1" ht="18">
      <c r="A57" s="1710" t="str">
        <f>+IF(PRESUPUESTO!A63="","",PRESUPUESTO!A63)</f>
        <v/>
      </c>
      <c r="B57" s="1629" t="str">
        <f>+IF(PRESUPUESTO!B63="","",PRESUPUESTO!B63)</f>
        <v>SUBTOTAL  DOMICILIARIAS</v>
      </c>
      <c r="C57" s="1608" t="str">
        <f>+IF(PRESUPUESTO!C63="","",PRESUPUESTO!C63)</f>
        <v/>
      </c>
      <c r="D57" s="1614" t="str">
        <f>+IF(PRESUPUESTO!D63="","",PRESUPUESTO!D63)</f>
        <v/>
      </c>
      <c r="E57" s="1614" t="str">
        <f>+IF(PRESUPUESTO!E63="","",PRESUPUESTO!E63)</f>
        <v/>
      </c>
      <c r="F57" s="1615">
        <f>+IF(PRESUPUESTO!F63="","",PRESUPUESTO!F63)</f>
        <v>273636414</v>
      </c>
      <c r="G57" s="1094"/>
      <c r="H57" s="1095"/>
      <c r="I57" s="1095"/>
      <c r="J57" s="1096"/>
      <c r="K57" s="1094"/>
      <c r="L57" s="1095"/>
      <c r="M57" s="1097"/>
      <c r="N57" s="1098"/>
      <c r="O57" s="1672"/>
      <c r="P57" s="1673"/>
      <c r="Q57" s="1673"/>
      <c r="R57" s="1674"/>
      <c r="S57" s="1672"/>
      <c r="T57" s="1673"/>
      <c r="U57" s="1673"/>
      <c r="V57" s="1674"/>
      <c r="W57" s="1672"/>
      <c r="X57" s="1673"/>
      <c r="Y57" s="1673"/>
      <c r="Z57" s="1674"/>
      <c r="AA57" s="1672"/>
      <c r="AB57" s="1673"/>
      <c r="AC57" s="1673"/>
      <c r="AD57" s="1674"/>
      <c r="AE57" s="1672"/>
      <c r="AF57" s="1673"/>
      <c r="AG57" s="1673"/>
      <c r="AH57" s="1674"/>
      <c r="AI57" s="1672"/>
      <c r="AJ57" s="1673"/>
      <c r="AK57" s="1673"/>
      <c r="AL57" s="1674"/>
      <c r="AM57" s="1686"/>
      <c r="AN57" s="1678"/>
      <c r="AO57" s="1678"/>
      <c r="AP57" s="1679"/>
      <c r="AQ57" s="1686"/>
      <c r="AR57" s="1678"/>
      <c r="AS57" s="1678"/>
      <c r="AT57" s="1679"/>
      <c r="AU57" s="1101"/>
      <c r="AV57" s="1102"/>
      <c r="AW57" s="1102"/>
      <c r="AX57" s="1103"/>
      <c r="AY57" s="1101"/>
      <c r="AZ57" s="1102"/>
      <c r="BA57" s="1102"/>
      <c r="BB57" s="1103"/>
      <c r="BC57" s="1101"/>
      <c r="BD57" s="1102"/>
      <c r="BE57" s="1102"/>
      <c r="BF57" s="1103"/>
      <c r="BG57" s="1101"/>
      <c r="BH57" s="1102"/>
      <c r="BI57" s="1102"/>
      <c r="BJ57" s="1103"/>
    </row>
    <row r="58" spans="1:62" s="826" customFormat="1" ht="18">
      <c r="A58" s="1710" t="str">
        <f>+IF(PRESUPUESTO!A64="","",PRESUPUESTO!A64)</f>
        <v/>
      </c>
      <c r="B58" s="1629" t="str">
        <f>+IF(PRESUPUESTO!B64="","",PRESUPUESTO!B64)</f>
        <v/>
      </c>
      <c r="C58" s="1608" t="str">
        <f>+IF(PRESUPUESTO!C64="","",PRESUPUESTO!C64)</f>
        <v/>
      </c>
      <c r="D58" s="1614" t="str">
        <f>+IF(PRESUPUESTO!D64="","",PRESUPUESTO!D64)</f>
        <v/>
      </c>
      <c r="E58" s="1614" t="str">
        <f>+IF(PRESUPUESTO!E64="","",PRESUPUESTO!E64)</f>
        <v/>
      </c>
      <c r="F58" s="1615" t="str">
        <f>+IF(PRESUPUESTO!F64="","",PRESUPUESTO!F64)</f>
        <v/>
      </c>
      <c r="G58" s="1094"/>
      <c r="H58" s="1095"/>
      <c r="I58" s="1095"/>
      <c r="J58" s="1096"/>
      <c r="K58" s="1094"/>
      <c r="L58" s="1095"/>
      <c r="M58" s="1097"/>
      <c r="N58" s="1098"/>
      <c r="O58" s="1672"/>
      <c r="P58" s="1673"/>
      <c r="Q58" s="1673"/>
      <c r="R58" s="1674"/>
      <c r="S58" s="1672"/>
      <c r="T58" s="1673"/>
      <c r="U58" s="1673"/>
      <c r="V58" s="1674"/>
      <c r="W58" s="1672"/>
      <c r="X58" s="1673"/>
      <c r="Y58" s="1673"/>
      <c r="Z58" s="1674"/>
      <c r="AA58" s="1672"/>
      <c r="AB58" s="1673"/>
      <c r="AC58" s="1673"/>
      <c r="AD58" s="1674"/>
      <c r="AE58" s="1672"/>
      <c r="AF58" s="1673"/>
      <c r="AG58" s="1673"/>
      <c r="AH58" s="1674"/>
      <c r="AI58" s="1672"/>
      <c r="AJ58" s="1673"/>
      <c r="AK58" s="1673"/>
      <c r="AL58" s="1674"/>
      <c r="AM58" s="1686"/>
      <c r="AN58" s="1678"/>
      <c r="AO58" s="1678"/>
      <c r="AP58" s="1679"/>
      <c r="AQ58" s="1686"/>
      <c r="AR58" s="1678"/>
      <c r="AS58" s="1678"/>
      <c r="AT58" s="1679"/>
      <c r="AU58" s="1101"/>
      <c r="AV58" s="1102"/>
      <c r="AW58" s="1102"/>
      <c r="AX58" s="1103"/>
      <c r="AY58" s="1101"/>
      <c r="AZ58" s="1102"/>
      <c r="BA58" s="1102"/>
      <c r="BB58" s="1103"/>
      <c r="BC58" s="1101"/>
      <c r="BD58" s="1102"/>
      <c r="BE58" s="1102"/>
      <c r="BF58" s="1103"/>
      <c r="BG58" s="1101"/>
      <c r="BH58" s="1102"/>
      <c r="BI58" s="1102"/>
      <c r="BJ58" s="1103"/>
    </row>
    <row r="59" spans="1:62" s="826" customFormat="1" ht="18">
      <c r="A59" s="1711">
        <f>+IF(PRESUPUESTO!A65="","",PRESUPUESTO!A65)</f>
        <v>1.8</v>
      </c>
      <c r="B59" s="1114" t="str">
        <f>+IF(PRESUPUESTO!B65="","",PRESUPUESTO!B65)</f>
        <v>RELLENOS</v>
      </c>
      <c r="C59" s="1115" t="str">
        <f>+IF(PRESUPUESTO!C65="","",PRESUPUESTO!C65)</f>
        <v/>
      </c>
      <c r="D59" s="1632" t="str">
        <f>+IF(PRESUPUESTO!D65="","",PRESUPUESTO!D65)</f>
        <v/>
      </c>
      <c r="E59" s="1632" t="str">
        <f>+IF(PRESUPUESTO!E65="","",PRESUPUESTO!E65)</f>
        <v/>
      </c>
      <c r="F59" s="1633" t="str">
        <f>+IF(PRESUPUESTO!F65="","",PRESUPUESTO!F65)</f>
        <v/>
      </c>
      <c r="G59" s="1094"/>
      <c r="H59" s="1095"/>
      <c r="I59" s="1095"/>
      <c r="J59" s="1096"/>
      <c r="K59" s="1094"/>
      <c r="L59" s="1095"/>
      <c r="M59" s="1097"/>
      <c r="N59" s="1098"/>
      <c r="O59" s="1672"/>
      <c r="P59" s="1673"/>
      <c r="Q59" s="1673"/>
      <c r="R59" s="1674"/>
      <c r="S59" s="1672"/>
      <c r="T59" s="1673"/>
      <c r="U59" s="1673"/>
      <c r="V59" s="1674"/>
      <c r="W59" s="1672"/>
      <c r="X59" s="1673"/>
      <c r="Y59" s="1673"/>
      <c r="Z59" s="1674"/>
      <c r="AA59" s="1672"/>
      <c r="AB59" s="1673"/>
      <c r="AC59" s="1673"/>
      <c r="AD59" s="1674"/>
      <c r="AE59" s="1672"/>
      <c r="AF59" s="1673"/>
      <c r="AG59" s="1673"/>
      <c r="AH59" s="1674"/>
      <c r="AI59" s="1672"/>
      <c r="AJ59" s="1673"/>
      <c r="AK59" s="1673"/>
      <c r="AL59" s="1674"/>
      <c r="AM59" s="1686"/>
      <c r="AN59" s="1678"/>
      <c r="AO59" s="1678"/>
      <c r="AP59" s="1679"/>
      <c r="AQ59" s="1686"/>
      <c r="AR59" s="1678"/>
      <c r="AS59" s="1678"/>
      <c r="AT59" s="1679"/>
      <c r="AU59" s="1101"/>
      <c r="AV59" s="1102"/>
      <c r="AW59" s="1102"/>
      <c r="AX59" s="1103"/>
      <c r="AY59" s="1101"/>
      <c r="AZ59" s="1102"/>
      <c r="BA59" s="1102"/>
      <c r="BB59" s="1103"/>
      <c r="BC59" s="1101"/>
      <c r="BD59" s="1102"/>
      <c r="BE59" s="1102"/>
      <c r="BF59" s="1103"/>
      <c r="BG59" s="1101"/>
      <c r="BH59" s="1102"/>
      <c r="BI59" s="1102"/>
      <c r="BJ59" s="1103"/>
    </row>
    <row r="60" spans="1:62" ht="34.5">
      <c r="A60" s="1712" t="str">
        <f>+IF(PRESUPUESTO!A66="","",PRESUPUESTO!A66)</f>
        <v>1.8.1</v>
      </c>
      <c r="B60" s="1625" t="str">
        <f>+IF(PRESUPUESTO!B66="","",PRESUPUESTO!B66)</f>
        <v>Cama en arena para soporte de tubería. Espesor: 15 cm por debajo de la cota batea.</v>
      </c>
      <c r="C60" s="1612" t="str">
        <f>+IF(PRESUPUESTO!C66="","",PRESUPUESTO!C66)</f>
        <v>m3</v>
      </c>
      <c r="D60" s="1613">
        <f>+IF(PRESUPUESTO!D66="","",PRESUPUESTO!D66)</f>
        <v>492.09</v>
      </c>
      <c r="E60" s="1613">
        <f>+IF(PRESUPUESTO!E66="","",PRESUPUESTO!E66)</f>
        <v>166283</v>
      </c>
      <c r="F60" s="1620">
        <f>+IF(PRESUPUESTO!F66="","",PRESUPUESTO!F66)</f>
        <v>81826201</v>
      </c>
      <c r="G60" s="1113"/>
      <c r="H60" s="1111"/>
      <c r="I60" s="1111"/>
      <c r="J60" s="1112"/>
      <c r="K60" s="1113"/>
      <c r="L60" s="1111"/>
      <c r="M60" s="1086"/>
      <c r="N60" s="1087"/>
      <c r="O60" s="1672"/>
      <c r="P60" s="1673"/>
      <c r="Q60" s="1673">
        <f>+$F$60/28</f>
        <v>2922364.3214285714</v>
      </c>
      <c r="R60" s="1674">
        <f t="shared" ref="R60:AR60" si="29">+$F$60/28</f>
        <v>2922364.3214285714</v>
      </c>
      <c r="S60" s="1672">
        <f t="shared" si="29"/>
        <v>2922364.3214285714</v>
      </c>
      <c r="T60" s="1673">
        <f t="shared" si="29"/>
        <v>2922364.3214285714</v>
      </c>
      <c r="U60" s="1673">
        <f t="shared" si="29"/>
        <v>2922364.3214285714</v>
      </c>
      <c r="V60" s="1674">
        <f t="shared" si="29"/>
        <v>2922364.3214285714</v>
      </c>
      <c r="W60" s="1672">
        <f t="shared" si="29"/>
        <v>2922364.3214285714</v>
      </c>
      <c r="X60" s="1673">
        <f t="shared" si="29"/>
        <v>2922364.3214285714</v>
      </c>
      <c r="Y60" s="1673">
        <f t="shared" si="29"/>
        <v>2922364.3214285714</v>
      </c>
      <c r="Z60" s="1674">
        <f t="shared" si="29"/>
        <v>2922364.3214285714</v>
      </c>
      <c r="AA60" s="1672">
        <f t="shared" si="29"/>
        <v>2922364.3214285714</v>
      </c>
      <c r="AB60" s="1673">
        <f t="shared" si="29"/>
        <v>2922364.3214285714</v>
      </c>
      <c r="AC60" s="1673">
        <f t="shared" si="29"/>
        <v>2922364.3214285714</v>
      </c>
      <c r="AD60" s="1674">
        <f t="shared" si="29"/>
        <v>2922364.3214285714</v>
      </c>
      <c r="AE60" s="1672">
        <f t="shared" si="29"/>
        <v>2922364.3214285714</v>
      </c>
      <c r="AF60" s="1673">
        <f t="shared" si="29"/>
        <v>2922364.3214285714</v>
      </c>
      <c r="AG60" s="1673">
        <f t="shared" si="29"/>
        <v>2922364.3214285714</v>
      </c>
      <c r="AH60" s="1674">
        <f t="shared" si="29"/>
        <v>2922364.3214285714</v>
      </c>
      <c r="AI60" s="1672">
        <f t="shared" si="29"/>
        <v>2922364.3214285714</v>
      </c>
      <c r="AJ60" s="1673">
        <f t="shared" si="29"/>
        <v>2922364.3214285714</v>
      </c>
      <c r="AK60" s="1673">
        <f t="shared" si="29"/>
        <v>2922364.3214285714</v>
      </c>
      <c r="AL60" s="1674">
        <f t="shared" si="29"/>
        <v>2922364.3214285714</v>
      </c>
      <c r="AM60" s="1672">
        <f t="shared" si="29"/>
        <v>2922364.3214285714</v>
      </c>
      <c r="AN60" s="1673">
        <f t="shared" si="29"/>
        <v>2922364.3214285714</v>
      </c>
      <c r="AO60" s="1673">
        <f t="shared" si="29"/>
        <v>2922364.3214285714</v>
      </c>
      <c r="AP60" s="1674">
        <f t="shared" si="29"/>
        <v>2922364.3214285714</v>
      </c>
      <c r="AQ60" s="1672">
        <f t="shared" si="29"/>
        <v>2922364.3214285714</v>
      </c>
      <c r="AR60" s="1673">
        <f t="shared" si="29"/>
        <v>2922364.3214285714</v>
      </c>
      <c r="AS60" s="1678"/>
      <c r="AT60" s="1679"/>
      <c r="AU60" s="1090"/>
      <c r="AV60" s="1091"/>
      <c r="AW60" s="1091"/>
      <c r="AX60" s="1092"/>
      <c r="AY60" s="1090"/>
      <c r="AZ60" s="1091"/>
      <c r="BA60" s="1091"/>
      <c r="BB60" s="1092"/>
      <c r="BC60" s="1090"/>
      <c r="BD60" s="1091"/>
      <c r="BE60" s="1091"/>
      <c r="BF60" s="1092"/>
      <c r="BG60" s="1090"/>
      <c r="BH60" s="1091"/>
      <c r="BI60" s="1091"/>
      <c r="BJ60" s="1092"/>
    </row>
    <row r="61" spans="1:62" ht="69">
      <c r="A61" s="1712" t="str">
        <f>+IF(PRESUPUESTO!A67="","",PRESUPUESTO!A67)</f>
        <v>1.8.2</v>
      </c>
      <c r="B61" s="1625" t="str">
        <f>+IF(PRESUPUESTO!B67="","",PRESUPUESTO!B67)</f>
        <v>Relleno de brechas con material seleccionado de la misma excavación, compactación mecánica, capa máxima 10cm, IP &lt; 10%, Dm = 95% según PM. Incluye: uso de herramientas, maquinaria, equipos, apisonado y demás actividades y elementos que se requieren para ejecutar correctamente la obra.</v>
      </c>
      <c r="C61" s="1612" t="str">
        <f>+IF(PRESUPUESTO!C67="","",PRESUPUESTO!C67)</f>
        <v>m3</v>
      </c>
      <c r="D61" s="1613">
        <f>+IF(PRESUPUESTO!D67="","",PRESUPUESTO!D67)</f>
        <v>5245.19</v>
      </c>
      <c r="E61" s="1613">
        <f>+IF(PRESUPUESTO!E67="","",PRESUPUESTO!E67)</f>
        <v>27487.200000000001</v>
      </c>
      <c r="F61" s="1620">
        <f>+IF(PRESUPUESTO!F67="","",PRESUPUESTO!F67)</f>
        <v>144175587</v>
      </c>
      <c r="G61" s="1113"/>
      <c r="H61" s="1111"/>
      <c r="I61" s="1111"/>
      <c r="J61" s="1112"/>
      <c r="K61" s="1113"/>
      <c r="L61" s="1111"/>
      <c r="M61" s="1086"/>
      <c r="N61" s="1087"/>
      <c r="O61" s="1672"/>
      <c r="P61" s="1673"/>
      <c r="Q61" s="1673">
        <f>+$F$61/28</f>
        <v>5149128.1071428573</v>
      </c>
      <c r="R61" s="1674">
        <f t="shared" ref="R61:AR61" si="30">+$F$61/28</f>
        <v>5149128.1071428573</v>
      </c>
      <c r="S61" s="1672">
        <f t="shared" si="30"/>
        <v>5149128.1071428573</v>
      </c>
      <c r="T61" s="1673">
        <f t="shared" si="30"/>
        <v>5149128.1071428573</v>
      </c>
      <c r="U61" s="1673">
        <f t="shared" si="30"/>
        <v>5149128.1071428573</v>
      </c>
      <c r="V61" s="1674">
        <f t="shared" si="30"/>
        <v>5149128.1071428573</v>
      </c>
      <c r="W61" s="1672">
        <f t="shared" si="30"/>
        <v>5149128.1071428573</v>
      </c>
      <c r="X61" s="1673">
        <f t="shared" si="30"/>
        <v>5149128.1071428573</v>
      </c>
      <c r="Y61" s="1673">
        <f t="shared" si="30"/>
        <v>5149128.1071428573</v>
      </c>
      <c r="Z61" s="1674">
        <f t="shared" si="30"/>
        <v>5149128.1071428573</v>
      </c>
      <c r="AA61" s="1672">
        <f t="shared" si="30"/>
        <v>5149128.1071428573</v>
      </c>
      <c r="AB61" s="1673">
        <f t="shared" si="30"/>
        <v>5149128.1071428573</v>
      </c>
      <c r="AC61" s="1673">
        <f t="shared" si="30"/>
        <v>5149128.1071428573</v>
      </c>
      <c r="AD61" s="1674">
        <f t="shared" si="30"/>
        <v>5149128.1071428573</v>
      </c>
      <c r="AE61" s="1672">
        <f t="shared" si="30"/>
        <v>5149128.1071428573</v>
      </c>
      <c r="AF61" s="1673">
        <f t="shared" si="30"/>
        <v>5149128.1071428573</v>
      </c>
      <c r="AG61" s="1673">
        <f t="shared" si="30"/>
        <v>5149128.1071428573</v>
      </c>
      <c r="AH61" s="1674">
        <f t="shared" si="30"/>
        <v>5149128.1071428573</v>
      </c>
      <c r="AI61" s="1672">
        <f t="shared" si="30"/>
        <v>5149128.1071428573</v>
      </c>
      <c r="AJ61" s="1673">
        <f t="shared" si="30"/>
        <v>5149128.1071428573</v>
      </c>
      <c r="AK61" s="1673">
        <f t="shared" si="30"/>
        <v>5149128.1071428573</v>
      </c>
      <c r="AL61" s="1674">
        <f t="shared" si="30"/>
        <v>5149128.1071428573</v>
      </c>
      <c r="AM61" s="1672">
        <f t="shared" si="30"/>
        <v>5149128.1071428573</v>
      </c>
      <c r="AN61" s="1673">
        <f t="shared" si="30"/>
        <v>5149128.1071428573</v>
      </c>
      <c r="AO61" s="1673">
        <f t="shared" si="30"/>
        <v>5149128.1071428573</v>
      </c>
      <c r="AP61" s="1674">
        <f t="shared" si="30"/>
        <v>5149128.1071428573</v>
      </c>
      <c r="AQ61" s="1672">
        <f t="shared" si="30"/>
        <v>5149128.1071428573</v>
      </c>
      <c r="AR61" s="1673">
        <f t="shared" si="30"/>
        <v>5149128.1071428573</v>
      </c>
      <c r="AS61" s="1678"/>
      <c r="AT61" s="1679"/>
      <c r="AU61" s="1090"/>
      <c r="AV61" s="1091"/>
      <c r="AW61" s="1091"/>
      <c r="AX61" s="1092"/>
      <c r="AY61" s="1090"/>
      <c r="AZ61" s="1091"/>
      <c r="BA61" s="1091"/>
      <c r="BB61" s="1092"/>
      <c r="BC61" s="1090"/>
      <c r="BD61" s="1091"/>
      <c r="BE61" s="1091"/>
      <c r="BF61" s="1092"/>
      <c r="BG61" s="1090"/>
      <c r="BH61" s="1091"/>
      <c r="BI61" s="1091"/>
      <c r="BJ61" s="1092"/>
    </row>
    <row r="62" spans="1:62" ht="34.5">
      <c r="A62" s="1712" t="str">
        <f>+IF(PRESUPUESTO!A68="","",PRESUPUESTO!A68)</f>
        <v>1.8.3</v>
      </c>
      <c r="B62" s="1625" t="str">
        <f>+IF(PRESUPUESTO!B68="","",PRESUPUESTO!B68)</f>
        <v>Relleno de la brecha con material recebo seleccionado, incluye transporte al sitio de la obra, extendido, humedecido y apisonado mecánicamente en capas de 0.20 m.</v>
      </c>
      <c r="C62" s="1612" t="str">
        <f>+IF(PRESUPUESTO!C68="","",PRESUPUESTO!C68)</f>
        <v>m3</v>
      </c>
      <c r="D62" s="1613">
        <f>+IF(PRESUPUESTO!D68="","",PRESUPUESTO!D68)</f>
        <v>1815.49</v>
      </c>
      <c r="E62" s="1613">
        <f>+IF(PRESUPUESTO!E68="","",PRESUPUESTO!E68)</f>
        <v>333283.59999999998</v>
      </c>
      <c r="F62" s="1620">
        <f>+IF(PRESUPUESTO!F68="","",PRESUPUESTO!F68)</f>
        <v>605073043</v>
      </c>
      <c r="G62" s="1113"/>
      <c r="H62" s="1111"/>
      <c r="I62" s="1111"/>
      <c r="J62" s="1112"/>
      <c r="K62" s="1113"/>
      <c r="L62" s="1111"/>
      <c r="M62" s="1086"/>
      <c r="N62" s="1087"/>
      <c r="O62" s="1672"/>
      <c r="P62" s="1673"/>
      <c r="Q62" s="1673">
        <f>+$F$62/28</f>
        <v>21609751.535714287</v>
      </c>
      <c r="R62" s="1674">
        <f t="shared" ref="R62:AR62" si="31">+$F$62/28</f>
        <v>21609751.535714287</v>
      </c>
      <c r="S62" s="1672">
        <f t="shared" si="31"/>
        <v>21609751.535714287</v>
      </c>
      <c r="T62" s="1673">
        <f t="shared" si="31"/>
        <v>21609751.535714287</v>
      </c>
      <c r="U62" s="1673">
        <f t="shared" si="31"/>
        <v>21609751.535714287</v>
      </c>
      <c r="V62" s="1674">
        <f t="shared" si="31"/>
        <v>21609751.535714287</v>
      </c>
      <c r="W62" s="1672">
        <f t="shared" si="31"/>
        <v>21609751.535714287</v>
      </c>
      <c r="X62" s="1673">
        <f t="shared" si="31"/>
        <v>21609751.535714287</v>
      </c>
      <c r="Y62" s="1673">
        <f t="shared" si="31"/>
        <v>21609751.535714287</v>
      </c>
      <c r="Z62" s="1674">
        <f t="shared" si="31"/>
        <v>21609751.535714287</v>
      </c>
      <c r="AA62" s="1672">
        <f t="shared" si="31"/>
        <v>21609751.535714287</v>
      </c>
      <c r="AB62" s="1673">
        <f t="shared" si="31"/>
        <v>21609751.535714287</v>
      </c>
      <c r="AC62" s="1673">
        <f t="shared" si="31"/>
        <v>21609751.535714287</v>
      </c>
      <c r="AD62" s="1674">
        <f t="shared" si="31"/>
        <v>21609751.535714287</v>
      </c>
      <c r="AE62" s="1672">
        <f t="shared" si="31"/>
        <v>21609751.535714287</v>
      </c>
      <c r="AF62" s="1673">
        <f t="shared" si="31"/>
        <v>21609751.535714287</v>
      </c>
      <c r="AG62" s="1673">
        <f t="shared" si="31"/>
        <v>21609751.535714287</v>
      </c>
      <c r="AH62" s="1674">
        <f t="shared" si="31"/>
        <v>21609751.535714287</v>
      </c>
      <c r="AI62" s="1672">
        <f t="shared" si="31"/>
        <v>21609751.535714287</v>
      </c>
      <c r="AJ62" s="1673">
        <f t="shared" si="31"/>
        <v>21609751.535714287</v>
      </c>
      <c r="AK62" s="1673">
        <f t="shared" si="31"/>
        <v>21609751.535714287</v>
      </c>
      <c r="AL62" s="1674">
        <f t="shared" si="31"/>
        <v>21609751.535714287</v>
      </c>
      <c r="AM62" s="1672">
        <f t="shared" si="31"/>
        <v>21609751.535714287</v>
      </c>
      <c r="AN62" s="1673">
        <f t="shared" si="31"/>
        <v>21609751.535714287</v>
      </c>
      <c r="AO62" s="1673">
        <f t="shared" si="31"/>
        <v>21609751.535714287</v>
      </c>
      <c r="AP62" s="1674">
        <f t="shared" si="31"/>
        <v>21609751.535714287</v>
      </c>
      <c r="AQ62" s="1672">
        <f t="shared" si="31"/>
        <v>21609751.535714287</v>
      </c>
      <c r="AR62" s="1673">
        <f t="shared" si="31"/>
        <v>21609751.535714287</v>
      </c>
      <c r="AS62" s="1678"/>
      <c r="AT62" s="1679"/>
      <c r="AU62" s="1090"/>
      <c r="AV62" s="1091"/>
      <c r="AW62" s="1091"/>
      <c r="AX62" s="1092"/>
      <c r="AY62" s="1090"/>
      <c r="AZ62" s="1091"/>
      <c r="BA62" s="1091"/>
      <c r="BB62" s="1092"/>
      <c r="BC62" s="1090"/>
      <c r="BD62" s="1091"/>
      <c r="BE62" s="1091"/>
      <c r="BF62" s="1092"/>
      <c r="BG62" s="1090"/>
      <c r="BH62" s="1091"/>
      <c r="BI62" s="1091"/>
      <c r="BJ62" s="1092"/>
    </row>
    <row r="63" spans="1:62" s="826" customFormat="1" ht="18">
      <c r="A63" s="1710" t="str">
        <f>+IF(PRESUPUESTO!A69="","",PRESUPUESTO!A69)</f>
        <v/>
      </c>
      <c r="B63" s="1629" t="str">
        <f>+IF(PRESUPUESTO!B69="","",PRESUPUESTO!B69)</f>
        <v>SUBTOTAL RELLENOS</v>
      </c>
      <c r="C63" s="1608" t="str">
        <f>+IF(PRESUPUESTO!C69="","",PRESUPUESTO!C69)</f>
        <v/>
      </c>
      <c r="D63" s="1614" t="str">
        <f>+IF(PRESUPUESTO!D69="","",PRESUPUESTO!D69)</f>
        <v/>
      </c>
      <c r="E63" s="1614" t="str">
        <f>+IF(PRESUPUESTO!E69="","",PRESUPUESTO!E69)</f>
        <v/>
      </c>
      <c r="F63" s="1615">
        <f>+IF(PRESUPUESTO!F69="","",PRESUPUESTO!F69)</f>
        <v>831074831</v>
      </c>
      <c r="G63" s="1094"/>
      <c r="H63" s="1095"/>
      <c r="I63" s="1095"/>
      <c r="J63" s="1096"/>
      <c r="K63" s="1094"/>
      <c r="L63" s="1095"/>
      <c r="M63" s="1097"/>
      <c r="N63" s="1098"/>
      <c r="O63" s="1672"/>
      <c r="P63" s="1673"/>
      <c r="Q63" s="1673"/>
      <c r="R63" s="1674"/>
      <c r="S63" s="1672"/>
      <c r="T63" s="1673"/>
      <c r="U63" s="1673"/>
      <c r="V63" s="1674"/>
      <c r="W63" s="1672"/>
      <c r="X63" s="1673"/>
      <c r="Y63" s="1673"/>
      <c r="Z63" s="1674"/>
      <c r="AA63" s="1672"/>
      <c r="AB63" s="1673"/>
      <c r="AC63" s="1673"/>
      <c r="AD63" s="1674"/>
      <c r="AE63" s="1672"/>
      <c r="AF63" s="1673"/>
      <c r="AG63" s="1673"/>
      <c r="AH63" s="1674"/>
      <c r="AI63" s="1672"/>
      <c r="AJ63" s="1673"/>
      <c r="AK63" s="1673"/>
      <c r="AL63" s="1674"/>
      <c r="AM63" s="1686"/>
      <c r="AN63" s="1678"/>
      <c r="AO63" s="1678"/>
      <c r="AP63" s="1679"/>
      <c r="AQ63" s="1686"/>
      <c r="AR63" s="1678"/>
      <c r="AS63" s="1678"/>
      <c r="AT63" s="1679"/>
      <c r="AU63" s="1101"/>
      <c r="AV63" s="1102"/>
      <c r="AW63" s="1102"/>
      <c r="AX63" s="1103"/>
      <c r="AY63" s="1101"/>
      <c r="AZ63" s="1102"/>
      <c r="BA63" s="1102"/>
      <c r="BB63" s="1103"/>
      <c r="BC63" s="1101"/>
      <c r="BD63" s="1102"/>
      <c r="BE63" s="1102"/>
      <c r="BF63" s="1103"/>
      <c r="BG63" s="1101"/>
      <c r="BH63" s="1102"/>
      <c r="BI63" s="1102"/>
      <c r="BJ63" s="1103"/>
    </row>
    <row r="64" spans="1:62" s="826" customFormat="1" ht="18">
      <c r="A64" s="1710" t="str">
        <f>+IF(PRESUPUESTO!A70="","",PRESUPUESTO!A70)</f>
        <v/>
      </c>
      <c r="B64" s="1629" t="str">
        <f>+IF(PRESUPUESTO!B70="","",PRESUPUESTO!B70)</f>
        <v/>
      </c>
      <c r="C64" s="1608" t="str">
        <f>+IF(PRESUPUESTO!C70="","",PRESUPUESTO!C70)</f>
        <v/>
      </c>
      <c r="D64" s="1614" t="str">
        <f>+IF(PRESUPUESTO!D70="","",PRESUPUESTO!D70)</f>
        <v/>
      </c>
      <c r="E64" s="1614" t="str">
        <f>+IF(PRESUPUESTO!E70="","",PRESUPUESTO!E70)</f>
        <v/>
      </c>
      <c r="F64" s="1615" t="str">
        <f>+IF(PRESUPUESTO!F70="","",PRESUPUESTO!F70)</f>
        <v/>
      </c>
      <c r="G64" s="1094"/>
      <c r="H64" s="1095"/>
      <c r="I64" s="1095"/>
      <c r="J64" s="1096"/>
      <c r="K64" s="1094"/>
      <c r="L64" s="1095"/>
      <c r="M64" s="1097"/>
      <c r="N64" s="1098"/>
      <c r="O64" s="1672"/>
      <c r="P64" s="1673"/>
      <c r="Q64" s="1673"/>
      <c r="R64" s="1674"/>
      <c r="S64" s="1672"/>
      <c r="T64" s="1673"/>
      <c r="U64" s="1673"/>
      <c r="V64" s="1674"/>
      <c r="W64" s="1672"/>
      <c r="X64" s="1673"/>
      <c r="Y64" s="1673"/>
      <c r="Z64" s="1674"/>
      <c r="AA64" s="1672"/>
      <c r="AB64" s="1673"/>
      <c r="AC64" s="1673"/>
      <c r="AD64" s="1674"/>
      <c r="AE64" s="1672"/>
      <c r="AF64" s="1673"/>
      <c r="AG64" s="1673"/>
      <c r="AH64" s="1674"/>
      <c r="AI64" s="1672"/>
      <c r="AJ64" s="1673"/>
      <c r="AK64" s="1673"/>
      <c r="AL64" s="1674"/>
      <c r="AM64" s="1686"/>
      <c r="AN64" s="1678"/>
      <c r="AO64" s="1678"/>
      <c r="AP64" s="1679"/>
      <c r="AQ64" s="1686"/>
      <c r="AR64" s="1678"/>
      <c r="AS64" s="1678"/>
      <c r="AT64" s="1679"/>
      <c r="AU64" s="1101"/>
      <c r="AV64" s="1102"/>
      <c r="AW64" s="1102"/>
      <c r="AX64" s="1103"/>
      <c r="AY64" s="1101"/>
      <c r="AZ64" s="1102"/>
      <c r="BA64" s="1102"/>
      <c r="BB64" s="1103"/>
      <c r="BC64" s="1101"/>
      <c r="BD64" s="1102"/>
      <c r="BE64" s="1102"/>
      <c r="BF64" s="1103"/>
      <c r="BG64" s="1101"/>
      <c r="BH64" s="1102"/>
      <c r="BI64" s="1102"/>
      <c r="BJ64" s="1103"/>
    </row>
    <row r="65" spans="1:62" s="826" customFormat="1" ht="18">
      <c r="A65" s="1711">
        <f>+IF(PRESUPUESTO!A71="","",PRESUPUESTO!A71)</f>
        <v>1.9</v>
      </c>
      <c r="B65" s="1114" t="str">
        <f>+IF(PRESUPUESTO!B71="","",PRESUPUESTO!B71)</f>
        <v>PASOS ELEVADOS</v>
      </c>
      <c r="C65" s="1115" t="str">
        <f>+IF(PRESUPUESTO!C71="","",PRESUPUESTO!C71)</f>
        <v/>
      </c>
      <c r="D65" s="1632" t="str">
        <f>+IF(PRESUPUESTO!D71="","",PRESUPUESTO!D71)</f>
        <v/>
      </c>
      <c r="E65" s="1632" t="str">
        <f>+IF(PRESUPUESTO!E71="","",PRESUPUESTO!E71)</f>
        <v/>
      </c>
      <c r="F65" s="1633" t="str">
        <f>+IF(PRESUPUESTO!F71="","",PRESUPUESTO!F71)</f>
        <v/>
      </c>
      <c r="G65" s="1094"/>
      <c r="H65" s="1095"/>
      <c r="I65" s="1095"/>
      <c r="J65" s="1096"/>
      <c r="K65" s="1094"/>
      <c r="L65" s="1095"/>
      <c r="M65" s="1097"/>
      <c r="N65" s="1098"/>
      <c r="O65" s="1672"/>
      <c r="P65" s="1673"/>
      <c r="Q65" s="1673"/>
      <c r="R65" s="1674"/>
      <c r="S65" s="1672"/>
      <c r="T65" s="1673"/>
      <c r="U65" s="1673"/>
      <c r="V65" s="1674"/>
      <c r="W65" s="1672"/>
      <c r="X65" s="1673"/>
      <c r="Y65" s="1673"/>
      <c r="Z65" s="1674"/>
      <c r="AA65" s="1672"/>
      <c r="AB65" s="1673"/>
      <c r="AC65" s="1673"/>
      <c r="AD65" s="1674"/>
      <c r="AE65" s="1672"/>
      <c r="AF65" s="1673"/>
      <c r="AG65" s="1673"/>
      <c r="AH65" s="1674"/>
      <c r="AI65" s="1672"/>
      <c r="AJ65" s="1673"/>
      <c r="AK65" s="1673"/>
      <c r="AL65" s="1674"/>
      <c r="AM65" s="1686"/>
      <c r="AN65" s="1678"/>
      <c r="AO65" s="1678"/>
      <c r="AP65" s="1679"/>
      <c r="AQ65" s="1686"/>
      <c r="AR65" s="1678"/>
      <c r="AS65" s="1678"/>
      <c r="AT65" s="1679"/>
      <c r="AU65" s="1101"/>
      <c r="AV65" s="1102"/>
      <c r="AW65" s="1102"/>
      <c r="AX65" s="1103"/>
      <c r="AY65" s="1101"/>
      <c r="AZ65" s="1102"/>
      <c r="BA65" s="1102"/>
      <c r="BB65" s="1103"/>
      <c r="BC65" s="1101"/>
      <c r="BD65" s="1102"/>
      <c r="BE65" s="1102"/>
      <c r="BF65" s="1103"/>
      <c r="BG65" s="1101"/>
      <c r="BH65" s="1102"/>
      <c r="BI65" s="1102"/>
      <c r="BJ65" s="1103"/>
    </row>
    <row r="66" spans="1:62" ht="69">
      <c r="A66" s="1712" t="str">
        <f>+IF(PRESUPUESTO!A72="","",PRESUPUESTO!A72)</f>
        <v>1.9.1</v>
      </c>
      <c r="B66" s="1625" t="str">
        <f>+IF(PRESUPUESTO!B72="","",PRESUPUESTO!B72)</f>
        <v>Viaducto en estructura metálica tipo cercha, en ángulo de 1"x3/16"  de sección 0,50 m de ancho x 1,50 de alto para paso de tubería PVC alcantarillado de  Ø8" a Ø14" y Luz máxima de L:22.0 m . Incluye: Protección en lámina Cold rolled Cal.18,  pintura anticorrosiva, tornillos de fijación a pedestales de concreto.</v>
      </c>
      <c r="C66" s="1612" t="str">
        <f>+IF(PRESUPUESTO!C72="","",PRESUPUESTO!C72)</f>
        <v>m</v>
      </c>
      <c r="D66" s="1613">
        <f>+IF(PRESUPUESTO!D72="","",PRESUPUESTO!D72)</f>
        <v>23.83</v>
      </c>
      <c r="E66" s="1613">
        <f>+IF(PRESUPUESTO!E72="","",PRESUPUESTO!E72)</f>
        <v>1041868.1</v>
      </c>
      <c r="F66" s="1620">
        <f>+IF(PRESUPUESTO!F72="","",PRESUPUESTO!F72)</f>
        <v>24827717</v>
      </c>
      <c r="G66" s="1113"/>
      <c r="H66" s="1111"/>
      <c r="I66" s="1111"/>
      <c r="J66" s="1112"/>
      <c r="K66" s="1113"/>
      <c r="L66" s="1111"/>
      <c r="M66" s="1086"/>
      <c r="N66" s="1087"/>
      <c r="O66" s="1672"/>
      <c r="P66" s="1673"/>
      <c r="Q66" s="1673"/>
      <c r="R66" s="1674"/>
      <c r="S66" s="1672"/>
      <c r="T66" s="1673"/>
      <c r="U66" s="1673"/>
      <c r="V66" s="1674"/>
      <c r="W66" s="1672"/>
      <c r="X66" s="1673"/>
      <c r="Y66" s="1673"/>
      <c r="Z66" s="1674"/>
      <c r="AA66" s="1672"/>
      <c r="AB66" s="1673"/>
      <c r="AC66" s="1673"/>
      <c r="AD66" s="1674"/>
      <c r="AE66" s="1672"/>
      <c r="AF66" s="1673"/>
      <c r="AG66" s="1673"/>
      <c r="AH66" s="1674"/>
      <c r="AI66" s="1672"/>
      <c r="AJ66" s="1673"/>
      <c r="AK66" s="1673"/>
      <c r="AL66" s="1674"/>
      <c r="AM66" s="1686"/>
      <c r="AN66" s="1678"/>
      <c r="AO66" s="1673">
        <f>+$F$66/6</f>
        <v>4137952.8333333335</v>
      </c>
      <c r="AP66" s="1674">
        <f t="shared" ref="AP66:AT66" si="32">+$F$66/6</f>
        <v>4137952.8333333335</v>
      </c>
      <c r="AQ66" s="1672">
        <f t="shared" si="32"/>
        <v>4137952.8333333335</v>
      </c>
      <c r="AR66" s="1673">
        <f t="shared" si="32"/>
        <v>4137952.8333333335</v>
      </c>
      <c r="AS66" s="1673">
        <f t="shared" si="32"/>
        <v>4137952.8333333335</v>
      </c>
      <c r="AT66" s="1674">
        <f t="shared" si="32"/>
        <v>4137952.8333333335</v>
      </c>
      <c r="AU66" s="1090"/>
      <c r="AV66" s="1091"/>
      <c r="AW66" s="1091"/>
      <c r="AX66" s="1092"/>
      <c r="AY66" s="1090"/>
      <c r="AZ66" s="1091"/>
      <c r="BA66" s="1091"/>
      <c r="BB66" s="1092"/>
      <c r="BC66" s="1090"/>
      <c r="BD66" s="1091"/>
      <c r="BE66" s="1091"/>
      <c r="BF66" s="1092"/>
      <c r="BG66" s="1090"/>
      <c r="BH66" s="1091"/>
      <c r="BI66" s="1091"/>
      <c r="BJ66" s="1092"/>
    </row>
    <row r="67" spans="1:62" ht="103.5">
      <c r="A67" s="1712" t="str">
        <f>+IF(PRESUPUESTO!A73="","",PRESUPUESTO!A73)</f>
        <v>1.9.2</v>
      </c>
      <c r="B67" s="1625" t="str">
        <f>+IF(PRESUPUESTO!B73="","",PRESUPUESTO!B73)</f>
        <v>Encofrado a todo costo en concreto reforzado en hierro de 1/2" para varilla principal y flejes de 3/8" separados cada 0.17 m. de 3000 PSI impermeabilizado, sección de 0.45 x 0.45 m. , para proteger tuberías en pasos de zanjones y demás, para diámetro de tubería PVC Ø 6", Ø 8" y Ø 10" según los planos.  Incluye: materiales, mano de obra, formaleta, vaciado y todo lo relacionado para la correcta ejecución de la obra.</v>
      </c>
      <c r="C67" s="1612" t="str">
        <f>+IF(PRESUPUESTO!C73="","",PRESUPUESTO!C73)</f>
        <v>m</v>
      </c>
      <c r="D67" s="1613">
        <f>+IF(PRESUPUESTO!D73="","",PRESUPUESTO!D73)</f>
        <v>140</v>
      </c>
      <c r="E67" s="1613">
        <f>+IF(PRESUPUESTO!E73="","",PRESUPUESTO!E73)</f>
        <v>353905.5</v>
      </c>
      <c r="F67" s="1620">
        <f>+IF(PRESUPUESTO!F73="","",PRESUPUESTO!F73)</f>
        <v>49546770</v>
      </c>
      <c r="G67" s="1113"/>
      <c r="H67" s="1111"/>
      <c r="I67" s="1111"/>
      <c r="J67" s="1112"/>
      <c r="K67" s="1113"/>
      <c r="L67" s="1111"/>
      <c r="M67" s="1086"/>
      <c r="N67" s="1087"/>
      <c r="O67" s="1672"/>
      <c r="P67" s="1673"/>
      <c r="Q67" s="1673"/>
      <c r="R67" s="1674"/>
      <c r="S67" s="1672"/>
      <c r="T67" s="1673"/>
      <c r="U67" s="1673"/>
      <c r="V67" s="1674"/>
      <c r="W67" s="1672"/>
      <c r="X67" s="1673"/>
      <c r="Y67" s="1673"/>
      <c r="Z67" s="1674"/>
      <c r="AA67" s="1672"/>
      <c r="AB67" s="1673"/>
      <c r="AC67" s="1673"/>
      <c r="AD67" s="1674"/>
      <c r="AE67" s="1672"/>
      <c r="AF67" s="1673"/>
      <c r="AG67" s="1673"/>
      <c r="AH67" s="1674"/>
      <c r="AI67" s="1672"/>
      <c r="AJ67" s="1673"/>
      <c r="AK67" s="1673"/>
      <c r="AL67" s="1674"/>
      <c r="AM67" s="1686"/>
      <c r="AN67" s="1678"/>
      <c r="AO67" s="1673">
        <f>+$F$67/6</f>
        <v>8257795</v>
      </c>
      <c r="AP67" s="1674">
        <f t="shared" ref="AP67:AT67" si="33">+$F$67/6</f>
        <v>8257795</v>
      </c>
      <c r="AQ67" s="1672">
        <f t="shared" si="33"/>
        <v>8257795</v>
      </c>
      <c r="AR67" s="1673">
        <f t="shared" si="33"/>
        <v>8257795</v>
      </c>
      <c r="AS67" s="1673">
        <f t="shared" si="33"/>
        <v>8257795</v>
      </c>
      <c r="AT67" s="1674">
        <f t="shared" si="33"/>
        <v>8257795</v>
      </c>
      <c r="AU67" s="1090"/>
      <c r="AV67" s="1091"/>
      <c r="AW67" s="1091"/>
      <c r="AX67" s="1092"/>
      <c r="AY67" s="1090"/>
      <c r="AZ67" s="1091"/>
      <c r="BA67" s="1091"/>
      <c r="BB67" s="1092"/>
      <c r="BC67" s="1090"/>
      <c r="BD67" s="1091"/>
      <c r="BE67" s="1091"/>
      <c r="BF67" s="1092"/>
      <c r="BG67" s="1090"/>
      <c r="BH67" s="1091"/>
      <c r="BI67" s="1091"/>
      <c r="BJ67" s="1092"/>
    </row>
    <row r="68" spans="1:62" ht="103.5">
      <c r="A68" s="1712" t="str">
        <f>+IF(PRESUPUESTO!A74="","",PRESUPUESTO!A74)</f>
        <v>1.9.3</v>
      </c>
      <c r="B68" s="1625" t="str">
        <f>+IF(PRESUPUESTO!B74="","",PRESUPUESTO!B74)</f>
        <v>Encofrado a todo costo en concreto reforzado en hierro de 1/2" para varilla principal y flejes de 3/8" separados cada 0.17 m. de 3000 PSI impermeabilizado, sección de 0.55 x 0.55 m. , para proteger tuberías en pasos de zanjones y demás, para diámetro de tubería PVC Ø 12" y  Ø 14" según los planos.  Incluye: materiales, mano de obra, formaleta, vaciado y todo lo relacionado para la correcta ejecución de la obra.</v>
      </c>
      <c r="C68" s="1612" t="str">
        <f>+IF(PRESUPUESTO!C74="","",PRESUPUESTO!C74)</f>
        <v>m</v>
      </c>
      <c r="D68" s="1613">
        <f>+IF(PRESUPUESTO!D74="","",PRESUPUESTO!D74)</f>
        <v>233.98</v>
      </c>
      <c r="E68" s="1613">
        <f>+IF(PRESUPUESTO!E74="","",PRESUPUESTO!E74)</f>
        <v>508137.5</v>
      </c>
      <c r="F68" s="1620">
        <f>+IF(PRESUPUESTO!F74="","",PRESUPUESTO!F74)</f>
        <v>118894012</v>
      </c>
      <c r="G68" s="1113"/>
      <c r="H68" s="1111"/>
      <c r="I68" s="1111"/>
      <c r="J68" s="1112"/>
      <c r="K68" s="1113"/>
      <c r="L68" s="1111"/>
      <c r="M68" s="1086"/>
      <c r="N68" s="1087"/>
      <c r="O68" s="1672"/>
      <c r="P68" s="1673"/>
      <c r="Q68" s="1673"/>
      <c r="R68" s="1674"/>
      <c r="S68" s="1672"/>
      <c r="T68" s="1673"/>
      <c r="U68" s="1673"/>
      <c r="V68" s="1674"/>
      <c r="W68" s="1672"/>
      <c r="X68" s="1673"/>
      <c r="Y68" s="1673"/>
      <c r="Z68" s="1674"/>
      <c r="AA68" s="1672"/>
      <c r="AB68" s="1673"/>
      <c r="AC68" s="1673"/>
      <c r="AD68" s="1674"/>
      <c r="AE68" s="1672"/>
      <c r="AF68" s="1673"/>
      <c r="AG68" s="1673"/>
      <c r="AH68" s="1674"/>
      <c r="AI68" s="1672"/>
      <c r="AJ68" s="1673"/>
      <c r="AK68" s="1673"/>
      <c r="AL68" s="1674"/>
      <c r="AM68" s="1686"/>
      <c r="AN68" s="1678"/>
      <c r="AO68" s="1673">
        <f>+$F$68/6</f>
        <v>19815668.666666668</v>
      </c>
      <c r="AP68" s="1674">
        <f t="shared" ref="AP68:AT68" si="34">+$F$68/6</f>
        <v>19815668.666666668</v>
      </c>
      <c r="AQ68" s="1672">
        <f t="shared" si="34"/>
        <v>19815668.666666668</v>
      </c>
      <c r="AR68" s="1673">
        <f t="shared" si="34"/>
        <v>19815668.666666668</v>
      </c>
      <c r="AS68" s="1673">
        <f t="shared" si="34"/>
        <v>19815668.666666668</v>
      </c>
      <c r="AT68" s="1674">
        <f t="shared" si="34"/>
        <v>19815668.666666668</v>
      </c>
      <c r="AU68" s="1090"/>
      <c r="AV68" s="1091"/>
      <c r="AW68" s="1091"/>
      <c r="AX68" s="1092"/>
      <c r="AY68" s="1090"/>
      <c r="AZ68" s="1091"/>
      <c r="BA68" s="1091"/>
      <c r="BB68" s="1092"/>
      <c r="BC68" s="1090"/>
      <c r="BD68" s="1091"/>
      <c r="BE68" s="1091"/>
      <c r="BF68" s="1092"/>
      <c r="BG68" s="1090"/>
      <c r="BH68" s="1091"/>
      <c r="BI68" s="1091"/>
      <c r="BJ68" s="1092"/>
    </row>
    <row r="69" spans="1:62" s="826" customFormat="1" ht="18">
      <c r="A69" s="1710" t="str">
        <f>+IF(PRESUPUESTO!A75="","",PRESUPUESTO!A75)</f>
        <v/>
      </c>
      <c r="B69" s="1607" t="str">
        <f>+IF(PRESUPUESTO!B75="","",PRESUPUESTO!B75)</f>
        <v>SUBTOTAL PASOS ELEVADOS</v>
      </c>
      <c r="C69" s="1608" t="str">
        <f>+IF(PRESUPUESTO!C75="","",PRESUPUESTO!C75)</f>
        <v/>
      </c>
      <c r="D69" s="1614" t="str">
        <f>+IF(PRESUPUESTO!D75="","",PRESUPUESTO!D75)</f>
        <v/>
      </c>
      <c r="E69" s="1614" t="str">
        <f>+IF(PRESUPUESTO!E75="","",PRESUPUESTO!E75)</f>
        <v/>
      </c>
      <c r="F69" s="1615">
        <f>+IF(PRESUPUESTO!F75="","",PRESUPUESTO!F75)</f>
        <v>193268499</v>
      </c>
      <c r="G69" s="1094"/>
      <c r="H69" s="1095"/>
      <c r="I69" s="1095"/>
      <c r="J69" s="1096"/>
      <c r="K69" s="1094"/>
      <c r="L69" s="1095"/>
      <c r="M69" s="1097"/>
      <c r="N69" s="1098"/>
      <c r="O69" s="1099"/>
      <c r="P69" s="1097"/>
      <c r="Q69" s="1097"/>
      <c r="R69" s="1100"/>
      <c r="S69" s="1099"/>
      <c r="T69" s="1097"/>
      <c r="U69" s="1097"/>
      <c r="V69" s="1100"/>
      <c r="W69" s="1099"/>
      <c r="X69" s="1097"/>
      <c r="Y69" s="1097"/>
      <c r="Z69" s="1100"/>
      <c r="AA69" s="1099"/>
      <c r="AB69" s="1097"/>
      <c r="AC69" s="1097"/>
      <c r="AD69" s="1100"/>
      <c r="AE69" s="1099"/>
      <c r="AF69" s="1097"/>
      <c r="AG69" s="1097"/>
      <c r="AH69" s="1100"/>
      <c r="AI69" s="1099"/>
      <c r="AJ69" s="1097"/>
      <c r="AK69" s="1097"/>
      <c r="AL69" s="1100"/>
      <c r="AM69" s="1101"/>
      <c r="AN69" s="1102"/>
      <c r="AO69" s="1102"/>
      <c r="AP69" s="1103"/>
      <c r="AQ69" s="1101"/>
      <c r="AR69" s="1102"/>
      <c r="AS69" s="1102"/>
      <c r="AT69" s="1103"/>
      <c r="AU69" s="1101"/>
      <c r="AV69" s="1102"/>
      <c r="AW69" s="1102"/>
      <c r="AX69" s="1103"/>
      <c r="AY69" s="1101"/>
      <c r="AZ69" s="1102"/>
      <c r="BA69" s="1102"/>
      <c r="BB69" s="1103"/>
      <c r="BC69" s="1101"/>
      <c r="BD69" s="1102"/>
      <c r="BE69" s="1102"/>
      <c r="BF69" s="1103"/>
      <c r="BG69" s="1101"/>
      <c r="BH69" s="1102"/>
      <c r="BI69" s="1102"/>
      <c r="BJ69" s="1103"/>
    </row>
    <row r="70" spans="1:62" ht="17.25">
      <c r="A70" s="1713"/>
      <c r="B70" s="1118"/>
      <c r="C70" s="1121"/>
      <c r="D70" s="1125"/>
      <c r="E70" s="1126"/>
      <c r="F70" s="1600"/>
      <c r="G70" s="1113"/>
      <c r="H70" s="1111"/>
      <c r="I70" s="1111"/>
      <c r="J70" s="1112"/>
      <c r="K70" s="1113"/>
      <c r="L70" s="1111"/>
      <c r="M70" s="1086"/>
      <c r="N70" s="1087"/>
      <c r="O70" s="1088"/>
      <c r="P70" s="1086"/>
      <c r="Q70" s="1086"/>
      <c r="R70" s="1089"/>
      <c r="S70" s="1088"/>
      <c r="T70" s="1086"/>
      <c r="U70" s="1086"/>
      <c r="V70" s="1089"/>
      <c r="W70" s="1088"/>
      <c r="X70" s="1086"/>
      <c r="Y70" s="1086"/>
      <c r="Z70" s="1089"/>
      <c r="AA70" s="1088"/>
      <c r="AB70" s="1086"/>
      <c r="AC70" s="1086"/>
      <c r="AD70" s="1089"/>
      <c r="AE70" s="1088"/>
      <c r="AF70" s="1086"/>
      <c r="AG70" s="1086"/>
      <c r="AH70" s="1089"/>
      <c r="AI70" s="1088"/>
      <c r="AJ70" s="1086"/>
      <c r="AK70" s="1086"/>
      <c r="AL70" s="1089"/>
      <c r="AM70" s="1090"/>
      <c r="AN70" s="1091"/>
      <c r="AO70" s="1091"/>
      <c r="AP70" s="1092"/>
      <c r="AQ70" s="1090"/>
      <c r="AR70" s="1091"/>
      <c r="AS70" s="1091"/>
      <c r="AT70" s="1092"/>
      <c r="AU70" s="1090"/>
      <c r="AV70" s="1091"/>
      <c r="AW70" s="1091"/>
      <c r="AX70" s="1092"/>
      <c r="AY70" s="1090"/>
      <c r="AZ70" s="1091"/>
      <c r="BA70" s="1091"/>
      <c r="BB70" s="1092"/>
      <c r="BC70" s="1090"/>
      <c r="BD70" s="1091"/>
      <c r="BE70" s="1091"/>
      <c r="BF70" s="1092"/>
      <c r="BG70" s="1090"/>
      <c r="BH70" s="1091"/>
      <c r="BI70" s="1091"/>
      <c r="BJ70" s="1092"/>
    </row>
    <row r="71" spans="1:62" ht="17.25">
      <c r="A71" s="1714"/>
      <c r="B71" s="1128"/>
      <c r="C71" s="1127"/>
      <c r="D71" s="1129"/>
      <c r="E71" s="1130"/>
      <c r="F71" s="1131"/>
      <c r="G71" s="1113"/>
      <c r="H71" s="1111"/>
      <c r="I71" s="1111"/>
      <c r="J71" s="1112"/>
      <c r="K71" s="1113"/>
      <c r="L71" s="1111"/>
      <c r="M71" s="1086"/>
      <c r="N71" s="1087"/>
      <c r="O71" s="1088"/>
      <c r="P71" s="1086"/>
      <c r="Q71" s="1086"/>
      <c r="R71" s="1089"/>
      <c r="S71" s="1088"/>
      <c r="T71" s="1086"/>
      <c r="U71" s="1086"/>
      <c r="V71" s="1089"/>
      <c r="W71" s="1088"/>
      <c r="X71" s="1086"/>
      <c r="Y71" s="1086"/>
      <c r="Z71" s="1089"/>
      <c r="AA71" s="1088"/>
      <c r="AB71" s="1086"/>
      <c r="AC71" s="1086"/>
      <c r="AD71" s="1089"/>
      <c r="AE71" s="1088"/>
      <c r="AF71" s="1086"/>
      <c r="AG71" s="1086"/>
      <c r="AH71" s="1089"/>
      <c r="AI71" s="1088"/>
      <c r="AJ71" s="1086"/>
      <c r="AK71" s="1086"/>
      <c r="AL71" s="1089"/>
      <c r="AM71" s="1090"/>
      <c r="AN71" s="1091"/>
      <c r="AO71" s="1091"/>
      <c r="AP71" s="1092"/>
      <c r="AQ71" s="1090"/>
      <c r="AR71" s="1091"/>
      <c r="AS71" s="1091"/>
      <c r="AT71" s="1092"/>
      <c r="AU71" s="1090"/>
      <c r="AV71" s="1091"/>
      <c r="AW71" s="1091"/>
      <c r="AX71" s="1092"/>
      <c r="AY71" s="1090"/>
      <c r="AZ71" s="1091"/>
      <c r="BA71" s="1091"/>
      <c r="BB71" s="1092"/>
      <c r="BC71" s="1090"/>
      <c r="BD71" s="1091"/>
      <c r="BE71" s="1091"/>
      <c r="BF71" s="1092"/>
      <c r="BG71" s="1090"/>
      <c r="BH71" s="1091"/>
      <c r="BI71" s="1091"/>
      <c r="BJ71" s="1092"/>
    </row>
    <row r="72" spans="1:62" ht="17.25" hidden="1">
      <c r="A72" s="2136" t="str">
        <f>+PRESUPUESTO!A77</f>
        <v>SUB TOTAL COSTOS DIRECTOS OBRA CIVIL + AIU</v>
      </c>
      <c r="B72" s="2137"/>
      <c r="C72" s="1132"/>
      <c r="D72" s="1133"/>
      <c r="E72" s="1134"/>
      <c r="F72" s="1135">
        <f>+PRESUPUESTO!F77</f>
        <v>2973135269</v>
      </c>
      <c r="G72" s="1136">
        <f t="shared" ref="G72:N72" si="35">SUM(G8:G49)</f>
        <v>0</v>
      </c>
      <c r="H72" s="1137">
        <f t="shared" si="35"/>
        <v>0</v>
      </c>
      <c r="I72" s="1137">
        <f t="shared" si="35"/>
        <v>0</v>
      </c>
      <c r="J72" s="1138">
        <f t="shared" si="35"/>
        <v>0</v>
      </c>
      <c r="K72" s="1139">
        <f t="shared" si="35"/>
        <v>0</v>
      </c>
      <c r="L72" s="1140">
        <f t="shared" si="35"/>
        <v>0</v>
      </c>
      <c r="M72" s="1137">
        <f t="shared" si="35"/>
        <v>0</v>
      </c>
      <c r="N72" s="1138">
        <f t="shared" si="35"/>
        <v>0</v>
      </c>
      <c r="O72" s="1139">
        <f>SUM(O10:O71)</f>
        <v>13318621.066666666</v>
      </c>
      <c r="P72" s="1141">
        <f t="shared" ref="P72:BJ72" si="36">SUM(P10:P71)</f>
        <v>83935836.951724142</v>
      </c>
      <c r="Q72" s="1140">
        <f t="shared" si="36"/>
        <v>131647339.44934317</v>
      </c>
      <c r="R72" s="1138">
        <f t="shared" si="36"/>
        <v>131647339.44934317</v>
      </c>
      <c r="S72" s="1136">
        <f t="shared" si="36"/>
        <v>131647339.44934317</v>
      </c>
      <c r="T72" s="1137">
        <f t="shared" si="36"/>
        <v>131647339.44934317</v>
      </c>
      <c r="U72" s="1137">
        <f t="shared" si="36"/>
        <v>131647339.44934317</v>
      </c>
      <c r="V72" s="1138">
        <f t="shared" si="36"/>
        <v>131647339.44934317</v>
      </c>
      <c r="W72" s="1136">
        <f t="shared" si="36"/>
        <v>141760232.69934317</v>
      </c>
      <c r="X72" s="1137">
        <f t="shared" si="36"/>
        <v>141760232.69934317</v>
      </c>
      <c r="Y72" s="1137">
        <f t="shared" si="36"/>
        <v>141760232.69934317</v>
      </c>
      <c r="Z72" s="1138">
        <f t="shared" si="36"/>
        <v>141760232.69934317</v>
      </c>
      <c r="AA72" s="1139">
        <f t="shared" si="36"/>
        <v>148645842.94934317</v>
      </c>
      <c r="AB72" s="1141">
        <f t="shared" si="36"/>
        <v>148645842.94934317</v>
      </c>
      <c r="AC72" s="1142">
        <f t="shared" si="36"/>
        <v>148645842.94934317</v>
      </c>
      <c r="AD72" s="1142">
        <f t="shared" si="36"/>
        <v>148645842.94934317</v>
      </c>
      <c r="AE72" s="1136">
        <f t="shared" si="36"/>
        <v>112532300.99100985</v>
      </c>
      <c r="AF72" s="1141">
        <f t="shared" si="36"/>
        <v>112532300.99100985</v>
      </c>
      <c r="AG72" s="1140">
        <f t="shared" si="36"/>
        <v>112532300.99100985</v>
      </c>
      <c r="AH72" s="1138">
        <f t="shared" si="36"/>
        <v>112532300.99100985</v>
      </c>
      <c r="AI72" s="1139">
        <f t="shared" si="36"/>
        <v>103183450.49100985</v>
      </c>
      <c r="AJ72" s="1141">
        <f t="shared" si="36"/>
        <v>103183450.49100985</v>
      </c>
      <c r="AK72" s="1140">
        <f t="shared" si="36"/>
        <v>105355410.91600984</v>
      </c>
      <c r="AL72" s="1138">
        <f t="shared" si="36"/>
        <v>104203130.6779146</v>
      </c>
      <c r="AM72" s="1139">
        <f t="shared" si="36"/>
        <v>94718493.136247933</v>
      </c>
      <c r="AN72" s="1141">
        <f t="shared" si="36"/>
        <v>94718493.136247933</v>
      </c>
      <c r="AO72" s="1141">
        <f t="shared" si="36"/>
        <v>128031488.71958128</v>
      </c>
      <c r="AP72" s="1142">
        <f t="shared" si="36"/>
        <v>128031488.71958128</v>
      </c>
      <c r="AQ72" s="1139">
        <f t="shared" si="36"/>
        <v>120381835.71958129</v>
      </c>
      <c r="AR72" s="1141">
        <f t="shared" si="36"/>
        <v>120381835.71958129</v>
      </c>
      <c r="AS72" s="1141">
        <f t="shared" si="36"/>
        <v>32211416.5</v>
      </c>
      <c r="AT72" s="1142">
        <f t="shared" si="36"/>
        <v>32211416.5</v>
      </c>
      <c r="AU72" s="1139">
        <f t="shared" si="36"/>
        <v>0</v>
      </c>
      <c r="AV72" s="1141">
        <f t="shared" si="36"/>
        <v>0</v>
      </c>
      <c r="AW72" s="1141">
        <f t="shared" si="36"/>
        <v>0</v>
      </c>
      <c r="AX72" s="1142">
        <f t="shared" si="36"/>
        <v>0</v>
      </c>
      <c r="AY72" s="1139">
        <f t="shared" si="36"/>
        <v>0</v>
      </c>
      <c r="AZ72" s="1141">
        <f t="shared" si="36"/>
        <v>0</v>
      </c>
      <c r="BA72" s="1141">
        <f t="shared" si="36"/>
        <v>0</v>
      </c>
      <c r="BB72" s="1142">
        <f t="shared" si="36"/>
        <v>0</v>
      </c>
      <c r="BC72" s="1139">
        <f t="shared" si="36"/>
        <v>0</v>
      </c>
      <c r="BD72" s="1141">
        <f t="shared" si="36"/>
        <v>0</v>
      </c>
      <c r="BE72" s="1141">
        <f t="shared" si="36"/>
        <v>0</v>
      </c>
      <c r="BF72" s="1142">
        <f t="shared" si="36"/>
        <v>0</v>
      </c>
      <c r="BG72" s="1139">
        <f t="shared" si="36"/>
        <v>0</v>
      </c>
      <c r="BH72" s="1141">
        <f t="shared" si="36"/>
        <v>0</v>
      </c>
      <c r="BI72" s="1141">
        <f t="shared" si="36"/>
        <v>0</v>
      </c>
      <c r="BJ72" s="1715">
        <f t="shared" si="36"/>
        <v>0</v>
      </c>
    </row>
    <row r="73" spans="1:62" ht="17.25">
      <c r="A73" s="1714"/>
      <c r="B73" s="1128"/>
      <c r="C73" s="1127"/>
      <c r="D73" s="1129"/>
      <c r="E73" s="1130"/>
      <c r="F73" s="1131"/>
      <c r="G73" s="1113"/>
      <c r="H73" s="1111"/>
      <c r="I73" s="1111"/>
      <c r="J73" s="1112"/>
      <c r="K73" s="1113"/>
      <c r="L73" s="1111"/>
      <c r="M73" s="1086"/>
      <c r="N73" s="1087"/>
      <c r="O73" s="1088"/>
      <c r="P73" s="1086"/>
      <c r="Q73" s="1086"/>
      <c r="R73" s="1089"/>
      <c r="S73" s="1088"/>
      <c r="T73" s="1086"/>
      <c r="U73" s="1086"/>
      <c r="V73" s="1089"/>
      <c r="W73" s="1088"/>
      <c r="X73" s="1086"/>
      <c r="Y73" s="1086"/>
      <c r="Z73" s="1089"/>
      <c r="AA73" s="1088"/>
      <c r="AB73" s="1086"/>
      <c r="AC73" s="1086"/>
      <c r="AD73" s="1089"/>
      <c r="AE73" s="1088"/>
      <c r="AF73" s="1086"/>
      <c r="AG73" s="1086"/>
      <c r="AH73" s="1089"/>
      <c r="AI73" s="1088"/>
      <c r="AJ73" s="1086"/>
      <c r="AK73" s="1086"/>
      <c r="AL73" s="1089"/>
      <c r="AM73" s="1090"/>
      <c r="AN73" s="1091"/>
      <c r="AO73" s="1091"/>
      <c r="AP73" s="1092"/>
      <c r="AQ73" s="1090"/>
      <c r="AR73" s="1091"/>
      <c r="AS73" s="1091"/>
      <c r="AT73" s="1092"/>
      <c r="AU73" s="1090"/>
      <c r="AV73" s="1091"/>
      <c r="AW73" s="1091"/>
      <c r="AX73" s="1092"/>
      <c r="AY73" s="1090"/>
      <c r="AZ73" s="1091"/>
      <c r="BA73" s="1091"/>
      <c r="BB73" s="1092"/>
      <c r="BC73" s="1090"/>
      <c r="BD73" s="1091"/>
      <c r="BE73" s="1091"/>
      <c r="BF73" s="1092"/>
      <c r="BG73" s="1090"/>
      <c r="BH73" s="1091"/>
      <c r="BI73" s="1091"/>
      <c r="BJ73" s="1092"/>
    </row>
    <row r="74" spans="1:62" ht="17.25">
      <c r="A74" s="1714"/>
      <c r="B74" s="1698" t="s">
        <v>1956</v>
      </c>
      <c r="C74" s="1144"/>
      <c r="D74" s="1145"/>
      <c r="E74" s="1130"/>
      <c r="F74" s="1131">
        <f>F72</f>
        <v>2973135269</v>
      </c>
      <c r="G74" s="1123">
        <f>+G72</f>
        <v>0</v>
      </c>
      <c r="H74" s="1112">
        <f>+H72</f>
        <v>0</v>
      </c>
      <c r="I74" s="1111">
        <f t="shared" ref="I74:N74" si="37">+I72</f>
        <v>0</v>
      </c>
      <c r="J74" s="1122">
        <f t="shared" si="37"/>
        <v>0</v>
      </c>
      <c r="K74" s="1123">
        <f t="shared" si="37"/>
        <v>0</v>
      </c>
      <c r="L74" s="1111">
        <f t="shared" si="37"/>
        <v>0</v>
      </c>
      <c r="M74" s="1111">
        <f t="shared" si="37"/>
        <v>0</v>
      </c>
      <c r="N74" s="1146">
        <f t="shared" si="37"/>
        <v>0</v>
      </c>
      <c r="O74" s="1123">
        <f>+SUM(O10:O15)+SUM(O26:O40)+SUM(O51:O68)</f>
        <v>13318621.066666666</v>
      </c>
      <c r="P74" s="1112">
        <f t="shared" ref="P74:AT74" si="38">+SUM(P10:P15)+SUM(P26:P40)+SUM(P51:P68)</f>
        <v>66461393.351724133</v>
      </c>
      <c r="Q74" s="1111">
        <f t="shared" si="38"/>
        <v>105367974.70648605</v>
      </c>
      <c r="R74" s="1122">
        <f t="shared" si="38"/>
        <v>105367974.70648605</v>
      </c>
      <c r="S74" s="1123">
        <f t="shared" si="38"/>
        <v>105367974.70648605</v>
      </c>
      <c r="T74" s="1112">
        <f t="shared" si="38"/>
        <v>105367974.70648605</v>
      </c>
      <c r="U74" s="1112">
        <f t="shared" si="38"/>
        <v>105367974.70648605</v>
      </c>
      <c r="V74" s="1119">
        <f t="shared" si="38"/>
        <v>105367974.70648605</v>
      </c>
      <c r="W74" s="1123">
        <f t="shared" si="38"/>
        <v>107973706.95648605</v>
      </c>
      <c r="X74" s="1111">
        <f t="shared" si="38"/>
        <v>107973706.95648605</v>
      </c>
      <c r="Y74" s="1124">
        <f t="shared" si="38"/>
        <v>107973706.95648605</v>
      </c>
      <c r="Z74" s="1119">
        <f t="shared" si="38"/>
        <v>107973706.95648605</v>
      </c>
      <c r="AA74" s="1113">
        <f t="shared" si="38"/>
        <v>109157662.45648605</v>
      </c>
      <c r="AB74" s="1124">
        <f t="shared" si="38"/>
        <v>109157662.45648605</v>
      </c>
      <c r="AC74" s="1111">
        <f t="shared" si="38"/>
        <v>109157662.45648605</v>
      </c>
      <c r="AD74" s="1122">
        <f t="shared" si="38"/>
        <v>109157662.45648605</v>
      </c>
      <c r="AE74" s="1113">
        <f t="shared" si="38"/>
        <v>90518564.098152697</v>
      </c>
      <c r="AF74" s="1124">
        <f t="shared" si="38"/>
        <v>90518564.098152697</v>
      </c>
      <c r="AG74" s="1112">
        <f t="shared" si="38"/>
        <v>90518564.098152697</v>
      </c>
      <c r="AH74" s="1119">
        <f t="shared" si="38"/>
        <v>90518564.098152697</v>
      </c>
      <c r="AI74" s="1113">
        <f t="shared" si="38"/>
        <v>88175284.848152697</v>
      </c>
      <c r="AJ74" s="1111">
        <f t="shared" si="38"/>
        <v>88175284.848152697</v>
      </c>
      <c r="AK74" s="1124">
        <f t="shared" si="38"/>
        <v>90347245.273152709</v>
      </c>
      <c r="AL74" s="1119">
        <f t="shared" si="38"/>
        <v>89949257.225533664</v>
      </c>
      <c r="AM74" s="1123">
        <f t="shared" si="38"/>
        <v>80464619.683866993</v>
      </c>
      <c r="AN74" s="1111">
        <f t="shared" si="38"/>
        <v>80464619.683866993</v>
      </c>
      <c r="AO74" s="1124">
        <f t="shared" si="38"/>
        <v>112860336.18386701</v>
      </c>
      <c r="AP74" s="1111">
        <f t="shared" si="38"/>
        <v>112860336.18386701</v>
      </c>
      <c r="AQ74" s="1123">
        <f t="shared" si="38"/>
        <v>111413927.68386701</v>
      </c>
      <c r="AR74" s="1111">
        <f t="shared" si="38"/>
        <v>111413927.68386701</v>
      </c>
      <c r="AS74" s="1124">
        <f t="shared" si="38"/>
        <v>32211416.5</v>
      </c>
      <c r="AT74" s="1111">
        <f t="shared" si="38"/>
        <v>32211416.5</v>
      </c>
      <c r="AU74" s="1123"/>
      <c r="AV74" s="1111"/>
      <c r="AW74" s="1124"/>
      <c r="AX74" s="1111"/>
      <c r="AY74" s="1123"/>
      <c r="AZ74" s="1111"/>
      <c r="BA74" s="1124"/>
      <c r="BB74" s="1111"/>
      <c r="BC74" s="1123"/>
      <c r="BD74" s="1111"/>
      <c r="BE74" s="1124"/>
      <c r="BF74" s="1111"/>
      <c r="BG74" s="1123"/>
      <c r="BH74" s="1111"/>
      <c r="BI74" s="1124"/>
      <c r="BJ74" s="1119"/>
    </row>
    <row r="75" spans="1:62" ht="17.25">
      <c r="A75" s="1714"/>
      <c r="B75" s="1143" t="s">
        <v>2286</v>
      </c>
      <c r="C75" s="1144" t="s">
        <v>0</v>
      </c>
      <c r="D75" s="1145">
        <v>24</v>
      </c>
      <c r="E75" s="1130"/>
      <c r="F75" s="1131" t="e">
        <f>+PRESUPUESTO!#REF!</f>
        <v>#REF!</v>
      </c>
      <c r="G75" s="1113">
        <f>G74*($D$75/100)</f>
        <v>0</v>
      </c>
      <c r="H75" s="1111">
        <f>H74*($D$75/100)</f>
        <v>0</v>
      </c>
      <c r="I75" s="1111">
        <f>I74*($D$75/100)</f>
        <v>0</v>
      </c>
      <c r="J75" s="1122">
        <f t="shared" ref="J75:AT75" si="39">J74*($D$75/100)</f>
        <v>0</v>
      </c>
      <c r="K75" s="1113">
        <f t="shared" si="39"/>
        <v>0</v>
      </c>
      <c r="L75" s="1124">
        <f t="shared" si="39"/>
        <v>0</v>
      </c>
      <c r="M75" s="1111">
        <f t="shared" si="39"/>
        <v>0</v>
      </c>
      <c r="N75" s="1122">
        <f t="shared" si="39"/>
        <v>0</v>
      </c>
      <c r="O75" s="1113">
        <f t="shared" si="39"/>
        <v>3196469.0559999999</v>
      </c>
      <c r="P75" s="1111">
        <f t="shared" si="39"/>
        <v>15950734.404413791</v>
      </c>
      <c r="Q75" s="1111">
        <f t="shared" si="39"/>
        <v>25288313.929556649</v>
      </c>
      <c r="R75" s="1122">
        <f t="shared" si="39"/>
        <v>25288313.929556649</v>
      </c>
      <c r="S75" s="1113">
        <f t="shared" si="39"/>
        <v>25288313.929556649</v>
      </c>
      <c r="T75" s="1124">
        <f t="shared" si="39"/>
        <v>25288313.929556649</v>
      </c>
      <c r="U75" s="1111">
        <f t="shared" si="39"/>
        <v>25288313.929556649</v>
      </c>
      <c r="V75" s="1122">
        <f t="shared" si="39"/>
        <v>25288313.929556649</v>
      </c>
      <c r="W75" s="1123">
        <f t="shared" si="39"/>
        <v>25913689.669556651</v>
      </c>
      <c r="X75" s="1112">
        <f t="shared" si="39"/>
        <v>25913689.669556651</v>
      </c>
      <c r="Y75" s="1111">
        <f t="shared" si="39"/>
        <v>25913689.669556651</v>
      </c>
      <c r="Z75" s="1122">
        <f t="shared" si="39"/>
        <v>25913689.669556651</v>
      </c>
      <c r="AA75" s="1113">
        <f t="shared" si="39"/>
        <v>26197838.989556652</v>
      </c>
      <c r="AB75" s="1111">
        <f t="shared" si="39"/>
        <v>26197838.989556652</v>
      </c>
      <c r="AC75" s="1111">
        <f t="shared" si="39"/>
        <v>26197838.989556652</v>
      </c>
      <c r="AD75" s="1122">
        <f t="shared" si="39"/>
        <v>26197838.989556652</v>
      </c>
      <c r="AE75" s="1113">
        <f t="shared" si="39"/>
        <v>21724455.383556645</v>
      </c>
      <c r="AF75" s="1124">
        <f t="shared" si="39"/>
        <v>21724455.383556645</v>
      </c>
      <c r="AG75" s="1112">
        <f t="shared" si="39"/>
        <v>21724455.383556645</v>
      </c>
      <c r="AH75" s="1119">
        <f t="shared" si="39"/>
        <v>21724455.383556645</v>
      </c>
      <c r="AI75" s="1113">
        <f t="shared" si="39"/>
        <v>21162068.363556646</v>
      </c>
      <c r="AJ75" s="1124">
        <f t="shared" si="39"/>
        <v>21162068.363556646</v>
      </c>
      <c r="AK75" s="1111">
        <f t="shared" si="39"/>
        <v>21683338.86555665</v>
      </c>
      <c r="AL75" s="1122">
        <f t="shared" si="39"/>
        <v>21587821.73412808</v>
      </c>
      <c r="AM75" s="1113">
        <f t="shared" si="39"/>
        <v>19311508.724128079</v>
      </c>
      <c r="AN75" s="1111">
        <f t="shared" si="39"/>
        <v>19311508.724128079</v>
      </c>
      <c r="AO75" s="1111">
        <f t="shared" si="39"/>
        <v>27086480.68412808</v>
      </c>
      <c r="AP75" s="1111">
        <f t="shared" si="39"/>
        <v>27086480.68412808</v>
      </c>
      <c r="AQ75" s="1113">
        <f t="shared" si="39"/>
        <v>26739342.64412808</v>
      </c>
      <c r="AR75" s="1111">
        <f t="shared" si="39"/>
        <v>26739342.64412808</v>
      </c>
      <c r="AS75" s="1111">
        <f t="shared" si="39"/>
        <v>7730739.96</v>
      </c>
      <c r="AT75" s="1111">
        <f t="shared" si="39"/>
        <v>7730739.96</v>
      </c>
      <c r="AU75" s="1113"/>
      <c r="AV75" s="1111"/>
      <c r="AW75" s="1111"/>
      <c r="AX75" s="1111"/>
      <c r="AY75" s="1113"/>
      <c r="AZ75" s="1111"/>
      <c r="BA75" s="1111"/>
      <c r="BB75" s="1111"/>
      <c r="BC75" s="1113"/>
      <c r="BD75" s="1111"/>
      <c r="BE75" s="1111"/>
      <c r="BF75" s="1111"/>
      <c r="BG75" s="1113"/>
      <c r="BH75" s="1111"/>
      <c r="BI75" s="1111"/>
      <c r="BJ75" s="1119"/>
    </row>
    <row r="76" spans="1:62" ht="17.25">
      <c r="A76" s="1714"/>
      <c r="B76" s="1143" t="s">
        <v>1957</v>
      </c>
      <c r="C76" s="1144" t="s">
        <v>0</v>
      </c>
      <c r="D76" s="1145">
        <v>1</v>
      </c>
      <c r="E76" s="1130"/>
      <c r="F76" s="1131" t="e">
        <f>+PRESUPUESTO!#REF!</f>
        <v>#REF!</v>
      </c>
      <c r="G76" s="1113">
        <f>G74*($D$76/100)</f>
        <v>0</v>
      </c>
      <c r="H76" s="1111">
        <f t="shared" ref="H76:AT76" si="40">H74*($D$76/100)</f>
        <v>0</v>
      </c>
      <c r="I76" s="1111">
        <f t="shared" si="40"/>
        <v>0</v>
      </c>
      <c r="J76" s="1122">
        <f t="shared" si="40"/>
        <v>0</v>
      </c>
      <c r="K76" s="1113">
        <f t="shared" si="40"/>
        <v>0</v>
      </c>
      <c r="L76" s="1124">
        <f t="shared" si="40"/>
        <v>0</v>
      </c>
      <c r="M76" s="1112">
        <f t="shared" si="40"/>
        <v>0</v>
      </c>
      <c r="N76" s="1119">
        <f t="shared" si="40"/>
        <v>0</v>
      </c>
      <c r="O76" s="1113">
        <f t="shared" si="40"/>
        <v>133186.21066666668</v>
      </c>
      <c r="P76" s="1111">
        <f t="shared" si="40"/>
        <v>664613.93351724138</v>
      </c>
      <c r="Q76" s="1111">
        <f t="shared" si="40"/>
        <v>1053679.7470648605</v>
      </c>
      <c r="R76" s="1122">
        <f t="shared" si="40"/>
        <v>1053679.7470648605</v>
      </c>
      <c r="S76" s="1113">
        <f t="shared" si="40"/>
        <v>1053679.7470648605</v>
      </c>
      <c r="T76" s="1111">
        <f t="shared" si="40"/>
        <v>1053679.7470648605</v>
      </c>
      <c r="U76" s="1111">
        <f t="shared" si="40"/>
        <v>1053679.7470648605</v>
      </c>
      <c r="V76" s="1122">
        <f t="shared" si="40"/>
        <v>1053679.7470648605</v>
      </c>
      <c r="W76" s="1113">
        <f t="shared" si="40"/>
        <v>1079737.0695648605</v>
      </c>
      <c r="X76" s="1124">
        <f t="shared" si="40"/>
        <v>1079737.0695648605</v>
      </c>
      <c r="Y76" s="1111">
        <f t="shared" si="40"/>
        <v>1079737.0695648605</v>
      </c>
      <c r="Z76" s="1122">
        <f t="shared" si="40"/>
        <v>1079737.0695648605</v>
      </c>
      <c r="AA76" s="1113">
        <f t="shared" si="40"/>
        <v>1091576.6245648605</v>
      </c>
      <c r="AB76" s="1111">
        <f t="shared" si="40"/>
        <v>1091576.6245648605</v>
      </c>
      <c r="AC76" s="1111">
        <f t="shared" si="40"/>
        <v>1091576.6245648605</v>
      </c>
      <c r="AD76" s="1122">
        <f t="shared" si="40"/>
        <v>1091576.6245648605</v>
      </c>
      <c r="AE76" s="1113">
        <f t="shared" si="40"/>
        <v>905185.64098152705</v>
      </c>
      <c r="AF76" s="1124">
        <f t="shared" si="40"/>
        <v>905185.64098152705</v>
      </c>
      <c r="AG76" s="1111">
        <f t="shared" si="40"/>
        <v>905185.64098152705</v>
      </c>
      <c r="AH76" s="1122">
        <f t="shared" si="40"/>
        <v>905185.64098152705</v>
      </c>
      <c r="AI76" s="1113">
        <f t="shared" si="40"/>
        <v>881752.84848152695</v>
      </c>
      <c r="AJ76" s="1111">
        <f t="shared" si="40"/>
        <v>881752.84848152695</v>
      </c>
      <c r="AK76" s="1124">
        <f t="shared" si="40"/>
        <v>903472.45273152716</v>
      </c>
      <c r="AL76" s="1119">
        <f t="shared" si="40"/>
        <v>899492.57225533668</v>
      </c>
      <c r="AM76" s="1113">
        <f t="shared" si="40"/>
        <v>804646.19683866994</v>
      </c>
      <c r="AN76" s="1111">
        <f t="shared" si="40"/>
        <v>804646.19683866994</v>
      </c>
      <c r="AO76" s="1124">
        <f t="shared" si="40"/>
        <v>1128603.3618386702</v>
      </c>
      <c r="AP76" s="1111">
        <f t="shared" si="40"/>
        <v>1128603.3618386702</v>
      </c>
      <c r="AQ76" s="1113">
        <f t="shared" si="40"/>
        <v>1114139.27683867</v>
      </c>
      <c r="AR76" s="1111">
        <f t="shared" si="40"/>
        <v>1114139.27683867</v>
      </c>
      <c r="AS76" s="1124">
        <f t="shared" si="40"/>
        <v>322114.16499999998</v>
      </c>
      <c r="AT76" s="1111">
        <f t="shared" si="40"/>
        <v>322114.16499999998</v>
      </c>
      <c r="AU76" s="1113"/>
      <c r="AV76" s="1111"/>
      <c r="AW76" s="1124"/>
      <c r="AX76" s="1111"/>
      <c r="AY76" s="1113"/>
      <c r="AZ76" s="1111"/>
      <c r="BA76" s="1124"/>
      <c r="BB76" s="1111"/>
      <c r="BC76" s="1113"/>
      <c r="BD76" s="1111"/>
      <c r="BE76" s="1124"/>
      <c r="BF76" s="1111"/>
      <c r="BG76" s="1113"/>
      <c r="BH76" s="1111"/>
      <c r="BI76" s="1124"/>
      <c r="BJ76" s="1119"/>
    </row>
    <row r="77" spans="1:62" ht="17.25">
      <c r="A77" s="1714"/>
      <c r="B77" s="1143" t="s">
        <v>1958</v>
      </c>
      <c r="C77" s="1144" t="s">
        <v>0</v>
      </c>
      <c r="D77" s="1145">
        <v>5</v>
      </c>
      <c r="E77" s="1130"/>
      <c r="F77" s="1131" t="e">
        <f>+PRESUPUESTO!#REF!</f>
        <v>#REF!</v>
      </c>
      <c r="G77" s="1113">
        <f>G74*($D$77/100)</f>
        <v>0</v>
      </c>
      <c r="H77" s="1111">
        <f t="shared" ref="H77:AT77" si="41">H74*($D$77/100)</f>
        <v>0</v>
      </c>
      <c r="I77" s="1124">
        <f t="shared" si="41"/>
        <v>0</v>
      </c>
      <c r="J77" s="1119">
        <f t="shared" si="41"/>
        <v>0</v>
      </c>
      <c r="K77" s="1113">
        <f t="shared" si="41"/>
        <v>0</v>
      </c>
      <c r="L77" s="1111">
        <f t="shared" si="41"/>
        <v>0</v>
      </c>
      <c r="M77" s="1124">
        <f t="shared" si="41"/>
        <v>0</v>
      </c>
      <c r="N77" s="1119">
        <f t="shared" si="41"/>
        <v>0</v>
      </c>
      <c r="O77" s="1113">
        <f t="shared" si="41"/>
        <v>665931.05333333334</v>
      </c>
      <c r="P77" s="1111">
        <f t="shared" si="41"/>
        <v>3323069.6675862069</v>
      </c>
      <c r="Q77" s="1111">
        <f t="shared" si="41"/>
        <v>5268398.7353243027</v>
      </c>
      <c r="R77" s="1122">
        <f t="shared" si="41"/>
        <v>5268398.7353243027</v>
      </c>
      <c r="S77" s="1113">
        <f t="shared" si="41"/>
        <v>5268398.7353243027</v>
      </c>
      <c r="T77" s="1124">
        <f t="shared" si="41"/>
        <v>5268398.7353243027</v>
      </c>
      <c r="U77" s="1111">
        <f t="shared" si="41"/>
        <v>5268398.7353243027</v>
      </c>
      <c r="V77" s="1122">
        <f t="shared" si="41"/>
        <v>5268398.7353243027</v>
      </c>
      <c r="W77" s="1123">
        <f t="shared" si="41"/>
        <v>5398685.3478243025</v>
      </c>
      <c r="X77" s="1112">
        <f t="shared" si="41"/>
        <v>5398685.3478243025</v>
      </c>
      <c r="Y77" s="1112">
        <f t="shared" si="41"/>
        <v>5398685.3478243025</v>
      </c>
      <c r="Z77" s="1119">
        <f t="shared" si="41"/>
        <v>5398685.3478243025</v>
      </c>
      <c r="AA77" s="1113">
        <f t="shared" si="41"/>
        <v>5457883.1228243029</v>
      </c>
      <c r="AB77" s="1111">
        <f t="shared" si="41"/>
        <v>5457883.1228243029</v>
      </c>
      <c r="AC77" s="1124">
        <f t="shared" si="41"/>
        <v>5457883.1228243029</v>
      </c>
      <c r="AD77" s="1119">
        <f t="shared" si="41"/>
        <v>5457883.1228243029</v>
      </c>
      <c r="AE77" s="1113">
        <f t="shared" si="41"/>
        <v>4525928.2049076352</v>
      </c>
      <c r="AF77" s="1111">
        <f t="shared" si="41"/>
        <v>4525928.2049076352</v>
      </c>
      <c r="AG77" s="1124">
        <f t="shared" si="41"/>
        <v>4525928.2049076352</v>
      </c>
      <c r="AH77" s="1119">
        <f t="shared" si="41"/>
        <v>4525928.2049076352</v>
      </c>
      <c r="AI77" s="1113">
        <f t="shared" si="41"/>
        <v>4408764.2424076349</v>
      </c>
      <c r="AJ77" s="1111">
        <f t="shared" si="41"/>
        <v>4408764.2424076349</v>
      </c>
      <c r="AK77" s="1124">
        <f t="shared" si="41"/>
        <v>4517362.263657636</v>
      </c>
      <c r="AL77" s="1119">
        <f t="shared" si="41"/>
        <v>4497462.8612766834</v>
      </c>
      <c r="AM77" s="1113">
        <f t="shared" si="41"/>
        <v>4023230.9841933497</v>
      </c>
      <c r="AN77" s="1111">
        <f t="shared" si="41"/>
        <v>4023230.9841933497</v>
      </c>
      <c r="AO77" s="1124">
        <f t="shared" si="41"/>
        <v>5643016.8091933504</v>
      </c>
      <c r="AP77" s="1111">
        <f t="shared" si="41"/>
        <v>5643016.8091933504</v>
      </c>
      <c r="AQ77" s="1113">
        <f t="shared" si="41"/>
        <v>5570696.3841933506</v>
      </c>
      <c r="AR77" s="1111">
        <f t="shared" si="41"/>
        <v>5570696.3841933506</v>
      </c>
      <c r="AS77" s="1124">
        <f t="shared" si="41"/>
        <v>1610570.8250000002</v>
      </c>
      <c r="AT77" s="1111">
        <f t="shared" si="41"/>
        <v>1610570.8250000002</v>
      </c>
      <c r="AU77" s="1113"/>
      <c r="AV77" s="1111"/>
      <c r="AW77" s="1124"/>
      <c r="AX77" s="1111"/>
      <c r="AY77" s="1113"/>
      <c r="AZ77" s="1111"/>
      <c r="BA77" s="1124"/>
      <c r="BB77" s="1111"/>
      <c r="BC77" s="1113"/>
      <c r="BD77" s="1111"/>
      <c r="BE77" s="1124"/>
      <c r="BF77" s="1111"/>
      <c r="BG77" s="1113"/>
      <c r="BH77" s="1111"/>
      <c r="BI77" s="1124"/>
      <c r="BJ77" s="1119"/>
    </row>
    <row r="78" spans="1:62" ht="17.25">
      <c r="A78" s="1714"/>
      <c r="B78" s="1143"/>
      <c r="C78" s="1144"/>
      <c r="D78" s="1145"/>
      <c r="E78" s="1130"/>
      <c r="F78" s="1147"/>
      <c r="G78" s="1113"/>
      <c r="H78" s="1111"/>
      <c r="I78" s="1124"/>
      <c r="J78" s="1112"/>
      <c r="K78" s="1113"/>
      <c r="L78" s="1111"/>
      <c r="M78" s="1124"/>
      <c r="N78" s="1112"/>
      <c r="O78" s="1113"/>
      <c r="P78" s="1111"/>
      <c r="Q78" s="1111"/>
      <c r="R78" s="1124"/>
      <c r="S78" s="1113"/>
      <c r="T78" s="1124"/>
      <c r="U78" s="1111"/>
      <c r="V78" s="1124"/>
      <c r="W78" s="1123"/>
      <c r="X78" s="1112"/>
      <c r="Y78" s="1112"/>
      <c r="Z78" s="1119"/>
      <c r="AA78" s="1113"/>
      <c r="AB78" s="1122"/>
      <c r="AC78" s="1124"/>
      <c r="AD78" s="1119"/>
      <c r="AE78" s="1113"/>
      <c r="AF78" s="1122"/>
      <c r="AG78" s="1124"/>
      <c r="AH78" s="1119"/>
      <c r="AI78" s="1113"/>
      <c r="AJ78" s="1122"/>
      <c r="AK78" s="1124"/>
      <c r="AL78" s="1119"/>
      <c r="AM78" s="1113"/>
      <c r="AN78" s="1111"/>
      <c r="AO78" s="1124"/>
      <c r="AP78" s="1112"/>
      <c r="AQ78" s="1113"/>
      <c r="AR78" s="1111"/>
      <c r="AS78" s="1124"/>
      <c r="AT78" s="1112"/>
      <c r="AU78" s="1113"/>
      <c r="AV78" s="1111"/>
      <c r="AW78" s="1124"/>
      <c r="AX78" s="1112"/>
      <c r="AY78" s="1113"/>
      <c r="AZ78" s="1111"/>
      <c r="BA78" s="1124"/>
      <c r="BB78" s="1112"/>
      <c r="BC78" s="1113"/>
      <c r="BD78" s="1111"/>
      <c r="BE78" s="1124"/>
      <c r="BF78" s="1112"/>
      <c r="BG78" s="1113"/>
      <c r="BH78" s="1111"/>
      <c r="BI78" s="1124"/>
      <c r="BJ78" s="1119"/>
    </row>
    <row r="79" spans="1:62" ht="17.25">
      <c r="A79" s="1714"/>
      <c r="B79" s="1698" t="s">
        <v>2692</v>
      </c>
      <c r="C79" s="1144"/>
      <c r="D79" s="1145"/>
      <c r="E79" s="1130"/>
      <c r="F79" s="1131">
        <f>+PRESUPUESTO!F80</f>
        <v>761605507</v>
      </c>
      <c r="G79" s="1113"/>
      <c r="H79" s="1111"/>
      <c r="I79" s="1124"/>
      <c r="J79" s="1112"/>
      <c r="K79" s="1113"/>
      <c r="L79" s="1111"/>
      <c r="M79" s="1124"/>
      <c r="N79" s="1112"/>
      <c r="O79" s="1113">
        <f t="shared" ref="O79:AT79" si="42">+SUM(O19:O22)+SUM(O44:O47)</f>
        <v>0</v>
      </c>
      <c r="P79" s="1111">
        <f t="shared" si="42"/>
        <v>17474443.600000001</v>
      </c>
      <c r="Q79" s="1111">
        <f t="shared" si="42"/>
        <v>26279364.742857143</v>
      </c>
      <c r="R79" s="1124">
        <f t="shared" si="42"/>
        <v>26279364.742857143</v>
      </c>
      <c r="S79" s="1113">
        <f t="shared" si="42"/>
        <v>26279364.742857143</v>
      </c>
      <c r="T79" s="1124">
        <f t="shared" si="42"/>
        <v>26279364.742857143</v>
      </c>
      <c r="U79" s="1111">
        <f t="shared" si="42"/>
        <v>26279364.742857143</v>
      </c>
      <c r="V79" s="1124">
        <f t="shared" si="42"/>
        <v>26279364.742857143</v>
      </c>
      <c r="W79" s="1123">
        <f t="shared" si="42"/>
        <v>33786525.742857143</v>
      </c>
      <c r="X79" s="1112">
        <f t="shared" si="42"/>
        <v>33786525.742857143</v>
      </c>
      <c r="Y79" s="1112">
        <f t="shared" si="42"/>
        <v>33786525.742857143</v>
      </c>
      <c r="Z79" s="1119">
        <f t="shared" si="42"/>
        <v>33786525.742857143</v>
      </c>
      <c r="AA79" s="1113">
        <f t="shared" si="42"/>
        <v>39488180.492857143</v>
      </c>
      <c r="AB79" s="1122">
        <f t="shared" si="42"/>
        <v>39488180.492857143</v>
      </c>
      <c r="AC79" s="1124">
        <f t="shared" si="42"/>
        <v>39488180.492857143</v>
      </c>
      <c r="AD79" s="1119">
        <f t="shared" si="42"/>
        <v>39488180.492857143</v>
      </c>
      <c r="AE79" s="1113">
        <f t="shared" si="42"/>
        <v>22013736.892857142</v>
      </c>
      <c r="AF79" s="1122">
        <f t="shared" si="42"/>
        <v>22013736.892857142</v>
      </c>
      <c r="AG79" s="1124">
        <f t="shared" si="42"/>
        <v>22013736.892857142</v>
      </c>
      <c r="AH79" s="1119">
        <f t="shared" si="42"/>
        <v>22013736.892857142</v>
      </c>
      <c r="AI79" s="1113">
        <f t="shared" si="42"/>
        <v>15008165.642857142</v>
      </c>
      <c r="AJ79" s="1122">
        <f t="shared" si="42"/>
        <v>15008165.642857142</v>
      </c>
      <c r="AK79" s="1124">
        <f t="shared" si="42"/>
        <v>15008165.642857142</v>
      </c>
      <c r="AL79" s="1119">
        <f t="shared" si="42"/>
        <v>14253873.452380951</v>
      </c>
      <c r="AM79" s="1113">
        <f t="shared" si="42"/>
        <v>14253873.452380951</v>
      </c>
      <c r="AN79" s="1111">
        <f t="shared" si="42"/>
        <v>14253873.452380951</v>
      </c>
      <c r="AO79" s="1124">
        <f t="shared" si="42"/>
        <v>15171152.535714285</v>
      </c>
      <c r="AP79" s="1112">
        <f t="shared" si="42"/>
        <v>15171152.535714285</v>
      </c>
      <c r="AQ79" s="1113">
        <f t="shared" si="42"/>
        <v>8967908.0357142854</v>
      </c>
      <c r="AR79" s="1111">
        <f t="shared" si="42"/>
        <v>8967908.0357142854</v>
      </c>
      <c r="AS79" s="1124">
        <f t="shared" si="42"/>
        <v>0</v>
      </c>
      <c r="AT79" s="1112">
        <f t="shared" si="42"/>
        <v>0</v>
      </c>
      <c r="AU79" s="1113"/>
      <c r="AV79" s="1111"/>
      <c r="AW79" s="1124"/>
      <c r="AX79" s="1112"/>
      <c r="AY79" s="1113"/>
      <c r="AZ79" s="1111"/>
      <c r="BA79" s="1124"/>
      <c r="BB79" s="1112"/>
      <c r="BC79" s="1113"/>
      <c r="BD79" s="1111"/>
      <c r="BE79" s="1124"/>
      <c r="BF79" s="1112"/>
      <c r="BG79" s="1113"/>
      <c r="BH79" s="1111"/>
      <c r="BI79" s="1124"/>
      <c r="BJ79" s="1119"/>
    </row>
    <row r="80" spans="1:62" ht="17.25">
      <c r="A80" s="1714"/>
      <c r="B80" s="1698" t="s">
        <v>2550</v>
      </c>
      <c r="C80" s="1144" t="s">
        <v>0</v>
      </c>
      <c r="D80" s="1145">
        <v>14</v>
      </c>
      <c r="E80" s="1130"/>
      <c r="F80" s="1147"/>
      <c r="G80" s="1113"/>
      <c r="H80" s="1111"/>
      <c r="I80" s="1124"/>
      <c r="J80" s="1112"/>
      <c r="K80" s="1113"/>
      <c r="L80" s="1111"/>
      <c r="M80" s="1124"/>
      <c r="N80" s="1112"/>
      <c r="O80" s="1113">
        <f>+O79*($D$80/100)</f>
        <v>0</v>
      </c>
      <c r="P80" s="1111">
        <f t="shared" ref="P80:R80" si="43">+P79*($D$80/100)</f>
        <v>2446422.1040000003</v>
      </c>
      <c r="Q80" s="1111">
        <f t="shared" si="43"/>
        <v>3679111.0640000002</v>
      </c>
      <c r="R80" s="1124">
        <f t="shared" si="43"/>
        <v>3679111.0640000002</v>
      </c>
      <c r="S80" s="1113">
        <f t="shared" ref="S80" si="44">+S79*($D$80/100)</f>
        <v>3679111.0640000002</v>
      </c>
      <c r="T80" s="1124">
        <f t="shared" ref="T80" si="45">+T79*($D$80/100)</f>
        <v>3679111.0640000002</v>
      </c>
      <c r="U80" s="1111">
        <f t="shared" ref="U80" si="46">+U79*($D$80/100)</f>
        <v>3679111.0640000002</v>
      </c>
      <c r="V80" s="1124">
        <f t="shared" ref="V80" si="47">+V79*($D$80/100)</f>
        <v>3679111.0640000002</v>
      </c>
      <c r="W80" s="1123">
        <f t="shared" ref="W80" si="48">+W79*($D$80/100)</f>
        <v>4730113.6040000003</v>
      </c>
      <c r="X80" s="1112">
        <f t="shared" ref="X80" si="49">+X79*($D$80/100)</f>
        <v>4730113.6040000003</v>
      </c>
      <c r="Y80" s="1112">
        <f t="shared" ref="Y80" si="50">+Y79*($D$80/100)</f>
        <v>4730113.6040000003</v>
      </c>
      <c r="Z80" s="1119">
        <f t="shared" ref="Z80" si="51">+Z79*($D$80/100)</f>
        <v>4730113.6040000003</v>
      </c>
      <c r="AA80" s="1113">
        <f t="shared" ref="AA80" si="52">+AA79*($D$80/100)</f>
        <v>5528345.2690000003</v>
      </c>
      <c r="AB80" s="1122">
        <f t="shared" ref="AB80" si="53">+AB79*($D$80/100)</f>
        <v>5528345.2690000003</v>
      </c>
      <c r="AC80" s="1124">
        <f t="shared" ref="AC80" si="54">+AC79*($D$80/100)</f>
        <v>5528345.2690000003</v>
      </c>
      <c r="AD80" s="1119">
        <f t="shared" ref="AD80" si="55">+AD79*($D$80/100)</f>
        <v>5528345.2690000003</v>
      </c>
      <c r="AE80" s="1113">
        <f t="shared" ref="AE80" si="56">+AE79*($D$80/100)</f>
        <v>3081923.165</v>
      </c>
      <c r="AF80" s="1122">
        <f t="shared" ref="AF80" si="57">+AF79*($D$80/100)</f>
        <v>3081923.165</v>
      </c>
      <c r="AG80" s="1124">
        <f t="shared" ref="AG80" si="58">+AG79*($D$80/100)</f>
        <v>3081923.165</v>
      </c>
      <c r="AH80" s="1119">
        <f t="shared" ref="AH80" si="59">+AH79*($D$80/100)</f>
        <v>3081923.165</v>
      </c>
      <c r="AI80" s="1113">
        <f t="shared" ref="AI80" si="60">+AI79*($D$80/100)</f>
        <v>2101143.19</v>
      </c>
      <c r="AJ80" s="1122">
        <f t="shared" ref="AJ80" si="61">+AJ79*($D$80/100)</f>
        <v>2101143.19</v>
      </c>
      <c r="AK80" s="1124">
        <f t="shared" ref="AK80" si="62">+AK79*($D$80/100)</f>
        <v>2101143.19</v>
      </c>
      <c r="AL80" s="1119">
        <f t="shared" ref="AL80" si="63">+AL79*($D$80/100)</f>
        <v>1995542.2833333334</v>
      </c>
      <c r="AM80" s="1113">
        <f t="shared" ref="AM80" si="64">+AM79*($D$80/100)</f>
        <v>1995542.2833333334</v>
      </c>
      <c r="AN80" s="1111">
        <f t="shared" ref="AN80" si="65">+AN79*($D$80/100)</f>
        <v>1995542.2833333334</v>
      </c>
      <c r="AO80" s="1124">
        <f t="shared" ref="AO80" si="66">+AO79*($D$80/100)</f>
        <v>2123961.355</v>
      </c>
      <c r="AP80" s="1112">
        <f t="shared" ref="AP80" si="67">+AP79*($D$80/100)</f>
        <v>2123961.355</v>
      </c>
      <c r="AQ80" s="1113">
        <f t="shared" ref="AQ80" si="68">+AQ79*($D$80/100)</f>
        <v>1255507.125</v>
      </c>
      <c r="AR80" s="1111">
        <f t="shared" ref="AR80" si="69">+AR79*($D$80/100)</f>
        <v>1255507.125</v>
      </c>
      <c r="AS80" s="1124">
        <f t="shared" ref="AS80" si="70">+AS79*($D$80/100)</f>
        <v>0</v>
      </c>
      <c r="AT80" s="1112">
        <f t="shared" ref="AT80" si="71">+AT79*($D$80/100)</f>
        <v>0</v>
      </c>
      <c r="AU80" s="1113"/>
      <c r="AV80" s="1111"/>
      <c r="AW80" s="1124"/>
      <c r="AX80" s="1112"/>
      <c r="AY80" s="1113"/>
      <c r="AZ80" s="1111"/>
      <c r="BA80" s="1124"/>
      <c r="BB80" s="1112"/>
      <c r="BC80" s="1113"/>
      <c r="BD80" s="1111"/>
      <c r="BE80" s="1124"/>
      <c r="BF80" s="1112"/>
      <c r="BG80" s="1113"/>
      <c r="BH80" s="1111"/>
      <c r="BI80" s="1124"/>
      <c r="BJ80" s="1119"/>
    </row>
    <row r="81" spans="1:62" ht="17.25">
      <c r="A81" s="1714"/>
      <c r="B81" s="1143"/>
      <c r="C81" s="1144"/>
      <c r="D81" s="1145"/>
      <c r="E81" s="1130"/>
      <c r="F81" s="1147"/>
      <c r="G81" s="1113"/>
      <c r="H81" s="1111"/>
      <c r="I81" s="1124"/>
      <c r="J81" s="1112"/>
      <c r="K81" s="1113"/>
      <c r="L81" s="1111"/>
      <c r="M81" s="1124"/>
      <c r="N81" s="1112"/>
      <c r="O81" s="1113"/>
      <c r="P81" s="1111"/>
      <c r="Q81" s="1111"/>
      <c r="R81" s="1124"/>
      <c r="S81" s="1113"/>
      <c r="T81" s="1124"/>
      <c r="U81" s="1111"/>
      <c r="V81" s="1124"/>
      <c r="W81" s="1123"/>
      <c r="X81" s="1112"/>
      <c r="Y81" s="1112"/>
      <c r="Z81" s="1119"/>
      <c r="AA81" s="1113"/>
      <c r="AB81" s="1122"/>
      <c r="AC81" s="1124"/>
      <c r="AD81" s="1119"/>
      <c r="AE81" s="1113"/>
      <c r="AF81" s="1122"/>
      <c r="AG81" s="1124"/>
      <c r="AH81" s="1119"/>
      <c r="AI81" s="1113"/>
      <c r="AJ81" s="1122"/>
      <c r="AK81" s="1124"/>
      <c r="AL81" s="1119"/>
      <c r="AM81" s="1113"/>
      <c r="AN81" s="1111"/>
      <c r="AO81" s="1124"/>
      <c r="AP81" s="1112"/>
      <c r="AQ81" s="1113"/>
      <c r="AR81" s="1111"/>
      <c r="AS81" s="1124"/>
      <c r="AT81" s="1112"/>
      <c r="AU81" s="1113"/>
      <c r="AV81" s="1111"/>
      <c r="AW81" s="1124"/>
      <c r="AX81" s="1112"/>
      <c r="AY81" s="1113"/>
      <c r="AZ81" s="1111"/>
      <c r="BA81" s="1124"/>
      <c r="BB81" s="1112"/>
      <c r="BC81" s="1113"/>
      <c r="BD81" s="1111"/>
      <c r="BE81" s="1124"/>
      <c r="BF81" s="1112"/>
      <c r="BG81" s="1113"/>
      <c r="BH81" s="1111"/>
      <c r="BI81" s="1124"/>
      <c r="BJ81" s="1119"/>
    </row>
    <row r="82" spans="1:62" ht="17.25">
      <c r="A82" s="1714"/>
      <c r="B82" s="1697" t="str">
        <f>+PRESUPUESTO!A83</f>
        <v>PLAN DE ADAPTACIÓN A LA GUÍA AMBIENTAL (PAGA)</v>
      </c>
      <c r="C82" s="1149"/>
      <c r="D82" s="1129"/>
      <c r="E82" s="1130"/>
      <c r="F82" s="1150">
        <f>+PRESUPUESTO!F83</f>
        <v>19446000</v>
      </c>
      <c r="G82" s="1113"/>
      <c r="H82" s="1111"/>
      <c r="I82" s="1111"/>
      <c r="J82" s="1112"/>
      <c r="K82" s="1113"/>
      <c r="L82" s="1111"/>
      <c r="M82" s="1086"/>
      <c r="N82" s="1087"/>
      <c r="O82" s="1113">
        <f>+$F$82/32</f>
        <v>607687.5</v>
      </c>
      <c r="P82" s="1111">
        <f t="shared" ref="P82:AT82" si="72">+$F$82/32</f>
        <v>607687.5</v>
      </c>
      <c r="Q82" s="1111">
        <f t="shared" si="72"/>
        <v>607687.5</v>
      </c>
      <c r="R82" s="1124">
        <f t="shared" si="72"/>
        <v>607687.5</v>
      </c>
      <c r="S82" s="1113">
        <f t="shared" si="72"/>
        <v>607687.5</v>
      </c>
      <c r="T82" s="1124">
        <f t="shared" si="72"/>
        <v>607687.5</v>
      </c>
      <c r="U82" s="1111">
        <f t="shared" si="72"/>
        <v>607687.5</v>
      </c>
      <c r="V82" s="1124">
        <f t="shared" si="72"/>
        <v>607687.5</v>
      </c>
      <c r="W82" s="1123">
        <f t="shared" si="72"/>
        <v>607687.5</v>
      </c>
      <c r="X82" s="1112">
        <f t="shared" si="72"/>
        <v>607687.5</v>
      </c>
      <c r="Y82" s="1112">
        <f t="shared" si="72"/>
        <v>607687.5</v>
      </c>
      <c r="Z82" s="1119">
        <f t="shared" si="72"/>
        <v>607687.5</v>
      </c>
      <c r="AA82" s="1113">
        <f t="shared" si="72"/>
        <v>607687.5</v>
      </c>
      <c r="AB82" s="1122">
        <f t="shared" si="72"/>
        <v>607687.5</v>
      </c>
      <c r="AC82" s="1124">
        <f t="shared" si="72"/>
        <v>607687.5</v>
      </c>
      <c r="AD82" s="1119">
        <f t="shared" si="72"/>
        <v>607687.5</v>
      </c>
      <c r="AE82" s="1113">
        <f t="shared" si="72"/>
        <v>607687.5</v>
      </c>
      <c r="AF82" s="1122">
        <f t="shared" si="72"/>
        <v>607687.5</v>
      </c>
      <c r="AG82" s="1124">
        <f t="shared" si="72"/>
        <v>607687.5</v>
      </c>
      <c r="AH82" s="1119">
        <f t="shared" si="72"/>
        <v>607687.5</v>
      </c>
      <c r="AI82" s="1113">
        <f t="shared" si="72"/>
        <v>607687.5</v>
      </c>
      <c r="AJ82" s="1122">
        <f t="shared" si="72"/>
        <v>607687.5</v>
      </c>
      <c r="AK82" s="1124">
        <f t="shared" si="72"/>
        <v>607687.5</v>
      </c>
      <c r="AL82" s="1119">
        <f t="shared" si="72"/>
        <v>607687.5</v>
      </c>
      <c r="AM82" s="1113">
        <f t="shared" si="72"/>
        <v>607687.5</v>
      </c>
      <c r="AN82" s="1111">
        <f t="shared" si="72"/>
        <v>607687.5</v>
      </c>
      <c r="AO82" s="1124">
        <f t="shared" si="72"/>
        <v>607687.5</v>
      </c>
      <c r="AP82" s="1112">
        <f t="shared" si="72"/>
        <v>607687.5</v>
      </c>
      <c r="AQ82" s="1113">
        <f t="shared" si="72"/>
        <v>607687.5</v>
      </c>
      <c r="AR82" s="1111">
        <f t="shared" si="72"/>
        <v>607687.5</v>
      </c>
      <c r="AS82" s="1124">
        <f t="shared" si="72"/>
        <v>607687.5</v>
      </c>
      <c r="AT82" s="1112">
        <f t="shared" si="72"/>
        <v>607687.5</v>
      </c>
      <c r="AU82" s="1113"/>
      <c r="AV82" s="1111"/>
      <c r="AW82" s="1124"/>
      <c r="AX82" s="1112"/>
      <c r="AY82" s="1113"/>
      <c r="AZ82" s="1111"/>
      <c r="BA82" s="1124"/>
      <c r="BB82" s="1112"/>
      <c r="BC82" s="1113"/>
      <c r="BD82" s="1111"/>
      <c r="BE82" s="1124"/>
      <c r="BF82" s="1112"/>
      <c r="BG82" s="1113"/>
      <c r="BH82" s="1111"/>
      <c r="BI82" s="1124"/>
      <c r="BJ82" s="1119"/>
    </row>
    <row r="83" spans="1:62" ht="17.25">
      <c r="A83" s="1716"/>
      <c r="B83" s="1697" t="str">
        <f>+PRESUPUESTO!A84</f>
        <v>PLAN DE MANEJO DE TRÁNSITO (PMT)</v>
      </c>
      <c r="C83" s="1149"/>
      <c r="D83" s="1129"/>
      <c r="E83" s="1130"/>
      <c r="F83" s="1150">
        <f>+PRESUPUESTO!F84</f>
        <v>32413000</v>
      </c>
      <c r="G83" s="1136">
        <f t="shared" ref="G83:N83" si="73">SUM(G74:G77)</f>
        <v>0</v>
      </c>
      <c r="H83" s="1137">
        <f t="shared" si="73"/>
        <v>0</v>
      </c>
      <c r="I83" s="1137">
        <f t="shared" si="73"/>
        <v>0</v>
      </c>
      <c r="J83" s="1138">
        <f t="shared" si="73"/>
        <v>0</v>
      </c>
      <c r="K83" s="1136">
        <f t="shared" si="73"/>
        <v>0</v>
      </c>
      <c r="L83" s="1137">
        <f t="shared" si="73"/>
        <v>0</v>
      </c>
      <c r="M83" s="1137">
        <f t="shared" si="73"/>
        <v>0</v>
      </c>
      <c r="N83" s="1138">
        <f t="shared" si="73"/>
        <v>0</v>
      </c>
      <c r="O83" s="1113">
        <f>+$F$83/32</f>
        <v>1012906.25</v>
      </c>
      <c r="P83" s="1111">
        <f t="shared" ref="P83:AT83" si="74">+$F$83/32</f>
        <v>1012906.25</v>
      </c>
      <c r="Q83" s="1111">
        <f t="shared" si="74"/>
        <v>1012906.25</v>
      </c>
      <c r="R83" s="1124">
        <f t="shared" si="74"/>
        <v>1012906.25</v>
      </c>
      <c r="S83" s="1113">
        <f t="shared" si="74"/>
        <v>1012906.25</v>
      </c>
      <c r="T83" s="1124">
        <f t="shared" si="74"/>
        <v>1012906.25</v>
      </c>
      <c r="U83" s="1111">
        <f t="shared" si="74"/>
        <v>1012906.25</v>
      </c>
      <c r="V83" s="1124">
        <f t="shared" si="74"/>
        <v>1012906.25</v>
      </c>
      <c r="W83" s="1123">
        <f t="shared" si="74"/>
        <v>1012906.25</v>
      </c>
      <c r="X83" s="1112">
        <f t="shared" si="74"/>
        <v>1012906.25</v>
      </c>
      <c r="Y83" s="1112">
        <f t="shared" si="74"/>
        <v>1012906.25</v>
      </c>
      <c r="Z83" s="1119">
        <f t="shared" si="74"/>
        <v>1012906.25</v>
      </c>
      <c r="AA83" s="1113">
        <f t="shared" si="74"/>
        <v>1012906.25</v>
      </c>
      <c r="AB83" s="1122">
        <f t="shared" si="74"/>
        <v>1012906.25</v>
      </c>
      <c r="AC83" s="1124">
        <f t="shared" si="74"/>
        <v>1012906.25</v>
      </c>
      <c r="AD83" s="1119">
        <f t="shared" si="74"/>
        <v>1012906.25</v>
      </c>
      <c r="AE83" s="1113">
        <f t="shared" si="74"/>
        <v>1012906.25</v>
      </c>
      <c r="AF83" s="1122">
        <f t="shared" si="74"/>
        <v>1012906.25</v>
      </c>
      <c r="AG83" s="1124">
        <f t="shared" si="74"/>
        <v>1012906.25</v>
      </c>
      <c r="AH83" s="1119">
        <f t="shared" si="74"/>
        <v>1012906.25</v>
      </c>
      <c r="AI83" s="1113">
        <f t="shared" si="74"/>
        <v>1012906.25</v>
      </c>
      <c r="AJ83" s="1122">
        <f t="shared" si="74"/>
        <v>1012906.25</v>
      </c>
      <c r="AK83" s="1124">
        <f t="shared" si="74"/>
        <v>1012906.25</v>
      </c>
      <c r="AL83" s="1119">
        <f t="shared" si="74"/>
        <v>1012906.25</v>
      </c>
      <c r="AM83" s="1113">
        <f t="shared" si="74"/>
        <v>1012906.25</v>
      </c>
      <c r="AN83" s="1111">
        <f t="shared" si="74"/>
        <v>1012906.25</v>
      </c>
      <c r="AO83" s="1124">
        <f t="shared" si="74"/>
        <v>1012906.25</v>
      </c>
      <c r="AP83" s="1112">
        <f t="shared" si="74"/>
        <v>1012906.25</v>
      </c>
      <c r="AQ83" s="1113">
        <f t="shared" si="74"/>
        <v>1012906.25</v>
      </c>
      <c r="AR83" s="1111">
        <f t="shared" si="74"/>
        <v>1012906.25</v>
      </c>
      <c r="AS83" s="1124">
        <f t="shared" si="74"/>
        <v>1012906.25</v>
      </c>
      <c r="AT83" s="1112">
        <f t="shared" si="74"/>
        <v>1012906.25</v>
      </c>
      <c r="AU83" s="1113"/>
      <c r="AV83" s="1111"/>
      <c r="AW83" s="1124"/>
      <c r="AX83" s="1112"/>
      <c r="AY83" s="1113"/>
      <c r="AZ83" s="1111"/>
      <c r="BA83" s="1124"/>
      <c r="BB83" s="1112"/>
      <c r="BC83" s="1113"/>
      <c r="BD83" s="1111"/>
      <c r="BE83" s="1124"/>
      <c r="BF83" s="1112"/>
      <c r="BG83" s="1113"/>
      <c r="BH83" s="1111"/>
      <c r="BI83" s="1124"/>
      <c r="BJ83" s="1119"/>
    </row>
    <row r="84" spans="1:62" ht="17.25">
      <c r="A84" s="1716"/>
      <c r="B84" s="1697" t="str">
        <f>+PRESUPUESTO!A85</f>
        <v>COSTO LEGALIZACIÓN INTERVENCIÓN DE SERVIDUMBRE INVIAS</v>
      </c>
      <c r="C84" s="1149"/>
      <c r="D84" s="1129"/>
      <c r="E84" s="1130"/>
      <c r="F84" s="1150">
        <f>+PRESUPUESTO!F85</f>
        <v>10405973</v>
      </c>
      <c r="G84" s="1136"/>
      <c r="H84" s="1137"/>
      <c r="I84" s="1137"/>
      <c r="J84" s="1137"/>
      <c r="K84" s="1136"/>
      <c r="L84" s="1137"/>
      <c r="M84" s="1137"/>
      <c r="N84" s="1137"/>
      <c r="O84" s="1113">
        <f>+$F$84/32</f>
        <v>325186.65625</v>
      </c>
      <c r="P84" s="1111">
        <f t="shared" ref="P84:AT84" si="75">+$F$84/32</f>
        <v>325186.65625</v>
      </c>
      <c r="Q84" s="1111">
        <f t="shared" si="75"/>
        <v>325186.65625</v>
      </c>
      <c r="R84" s="1124">
        <f t="shared" si="75"/>
        <v>325186.65625</v>
      </c>
      <c r="S84" s="1113">
        <f t="shared" si="75"/>
        <v>325186.65625</v>
      </c>
      <c r="T84" s="1124">
        <f t="shared" si="75"/>
        <v>325186.65625</v>
      </c>
      <c r="U84" s="1111">
        <f t="shared" si="75"/>
        <v>325186.65625</v>
      </c>
      <c r="V84" s="1124">
        <f t="shared" si="75"/>
        <v>325186.65625</v>
      </c>
      <c r="W84" s="1123">
        <f t="shared" si="75"/>
        <v>325186.65625</v>
      </c>
      <c r="X84" s="1112">
        <f t="shared" si="75"/>
        <v>325186.65625</v>
      </c>
      <c r="Y84" s="1112">
        <f t="shared" si="75"/>
        <v>325186.65625</v>
      </c>
      <c r="Z84" s="1119">
        <f t="shared" si="75"/>
        <v>325186.65625</v>
      </c>
      <c r="AA84" s="1113">
        <f t="shared" si="75"/>
        <v>325186.65625</v>
      </c>
      <c r="AB84" s="1122">
        <f t="shared" si="75"/>
        <v>325186.65625</v>
      </c>
      <c r="AC84" s="1124">
        <f t="shared" si="75"/>
        <v>325186.65625</v>
      </c>
      <c r="AD84" s="1119">
        <f t="shared" si="75"/>
        <v>325186.65625</v>
      </c>
      <c r="AE84" s="1113">
        <f t="shared" si="75"/>
        <v>325186.65625</v>
      </c>
      <c r="AF84" s="1122">
        <f t="shared" si="75"/>
        <v>325186.65625</v>
      </c>
      <c r="AG84" s="1124">
        <f t="shared" si="75"/>
        <v>325186.65625</v>
      </c>
      <c r="AH84" s="1119">
        <f t="shared" si="75"/>
        <v>325186.65625</v>
      </c>
      <c r="AI84" s="1113">
        <f t="shared" si="75"/>
        <v>325186.65625</v>
      </c>
      <c r="AJ84" s="1122">
        <f t="shared" si="75"/>
        <v>325186.65625</v>
      </c>
      <c r="AK84" s="1124">
        <f t="shared" si="75"/>
        <v>325186.65625</v>
      </c>
      <c r="AL84" s="1119">
        <f t="shared" si="75"/>
        <v>325186.65625</v>
      </c>
      <c r="AM84" s="1113">
        <f t="shared" si="75"/>
        <v>325186.65625</v>
      </c>
      <c r="AN84" s="1111">
        <f t="shared" si="75"/>
        <v>325186.65625</v>
      </c>
      <c r="AO84" s="1124">
        <f t="shared" si="75"/>
        <v>325186.65625</v>
      </c>
      <c r="AP84" s="1112">
        <f t="shared" si="75"/>
        <v>325186.65625</v>
      </c>
      <c r="AQ84" s="1113">
        <f t="shared" si="75"/>
        <v>325186.65625</v>
      </c>
      <c r="AR84" s="1111">
        <f t="shared" si="75"/>
        <v>325186.65625</v>
      </c>
      <c r="AS84" s="1124">
        <f t="shared" si="75"/>
        <v>325186.65625</v>
      </c>
      <c r="AT84" s="1112">
        <f t="shared" si="75"/>
        <v>325186.65625</v>
      </c>
      <c r="AU84" s="1113"/>
      <c r="AV84" s="1111"/>
      <c r="AW84" s="1124"/>
      <c r="AX84" s="1112"/>
      <c r="AY84" s="1113"/>
      <c r="AZ84" s="1111"/>
      <c r="BA84" s="1124"/>
      <c r="BB84" s="1112"/>
      <c r="BC84" s="1113"/>
      <c r="BD84" s="1111"/>
      <c r="BE84" s="1124"/>
      <c r="BF84" s="1112"/>
      <c r="BG84" s="1113"/>
      <c r="BH84" s="1111"/>
      <c r="BI84" s="1124"/>
      <c r="BJ84" s="1119"/>
    </row>
    <row r="85" spans="1:62" ht="17.25">
      <c r="A85" s="1716"/>
      <c r="B85" s="1697" t="str">
        <f>+PRESUPUESTO!A86</f>
        <v>ADMINISTRACION DEL PAGA+PMT, + LEGALIZACION SERVIDUMBRE INVIAS</v>
      </c>
      <c r="C85" s="1149"/>
      <c r="D85" s="1129"/>
      <c r="E85" s="1130"/>
      <c r="F85" s="1150">
        <f>+PRESUPUESTO!F86</f>
        <v>5915172</v>
      </c>
      <c r="G85" s="1136"/>
      <c r="H85" s="1137"/>
      <c r="I85" s="1137"/>
      <c r="J85" s="1137"/>
      <c r="K85" s="1136"/>
      <c r="L85" s="1137"/>
      <c r="M85" s="1137"/>
      <c r="N85" s="1137"/>
      <c r="O85" s="1113">
        <f>+$F$85/32</f>
        <v>184849.125</v>
      </c>
      <c r="P85" s="1111">
        <f t="shared" ref="P85:AT85" si="76">+$F$85/32</f>
        <v>184849.125</v>
      </c>
      <c r="Q85" s="1111">
        <f t="shared" si="76"/>
        <v>184849.125</v>
      </c>
      <c r="R85" s="1124">
        <f t="shared" si="76"/>
        <v>184849.125</v>
      </c>
      <c r="S85" s="1113">
        <f t="shared" si="76"/>
        <v>184849.125</v>
      </c>
      <c r="T85" s="1124">
        <f t="shared" si="76"/>
        <v>184849.125</v>
      </c>
      <c r="U85" s="1111">
        <f t="shared" si="76"/>
        <v>184849.125</v>
      </c>
      <c r="V85" s="1124">
        <f t="shared" si="76"/>
        <v>184849.125</v>
      </c>
      <c r="W85" s="1123">
        <f t="shared" si="76"/>
        <v>184849.125</v>
      </c>
      <c r="X85" s="1112">
        <f t="shared" si="76"/>
        <v>184849.125</v>
      </c>
      <c r="Y85" s="1112">
        <f t="shared" si="76"/>
        <v>184849.125</v>
      </c>
      <c r="Z85" s="1119">
        <f t="shared" si="76"/>
        <v>184849.125</v>
      </c>
      <c r="AA85" s="1113">
        <f t="shared" si="76"/>
        <v>184849.125</v>
      </c>
      <c r="AB85" s="1122">
        <f t="shared" si="76"/>
        <v>184849.125</v>
      </c>
      <c r="AC85" s="1124">
        <f t="shared" si="76"/>
        <v>184849.125</v>
      </c>
      <c r="AD85" s="1119">
        <f t="shared" si="76"/>
        <v>184849.125</v>
      </c>
      <c r="AE85" s="1113">
        <f t="shared" si="76"/>
        <v>184849.125</v>
      </c>
      <c r="AF85" s="1122">
        <f t="shared" si="76"/>
        <v>184849.125</v>
      </c>
      <c r="AG85" s="1124">
        <f t="shared" si="76"/>
        <v>184849.125</v>
      </c>
      <c r="AH85" s="1119">
        <f t="shared" si="76"/>
        <v>184849.125</v>
      </c>
      <c r="AI85" s="1113">
        <f t="shared" si="76"/>
        <v>184849.125</v>
      </c>
      <c r="AJ85" s="1122">
        <f t="shared" si="76"/>
        <v>184849.125</v>
      </c>
      <c r="AK85" s="1124">
        <f t="shared" si="76"/>
        <v>184849.125</v>
      </c>
      <c r="AL85" s="1119">
        <f t="shared" si="76"/>
        <v>184849.125</v>
      </c>
      <c r="AM85" s="1113">
        <f t="shared" si="76"/>
        <v>184849.125</v>
      </c>
      <c r="AN85" s="1111">
        <f t="shared" si="76"/>
        <v>184849.125</v>
      </c>
      <c r="AO85" s="1124">
        <f t="shared" si="76"/>
        <v>184849.125</v>
      </c>
      <c r="AP85" s="1112">
        <f t="shared" si="76"/>
        <v>184849.125</v>
      </c>
      <c r="AQ85" s="1113">
        <f t="shared" si="76"/>
        <v>184849.125</v>
      </c>
      <c r="AR85" s="1111">
        <f t="shared" si="76"/>
        <v>184849.125</v>
      </c>
      <c r="AS85" s="1124">
        <f t="shared" si="76"/>
        <v>184849.125</v>
      </c>
      <c r="AT85" s="1112">
        <f t="shared" si="76"/>
        <v>184849.125</v>
      </c>
      <c r="AU85" s="1113"/>
      <c r="AV85" s="1111"/>
      <c r="AW85" s="1124"/>
      <c r="AX85" s="1112"/>
      <c r="AY85" s="1113"/>
      <c r="AZ85" s="1111"/>
      <c r="BA85" s="1124"/>
      <c r="BB85" s="1112"/>
      <c r="BC85" s="1113"/>
      <c r="BD85" s="1111"/>
      <c r="BE85" s="1124"/>
      <c r="BF85" s="1112"/>
      <c r="BG85" s="1113"/>
      <c r="BH85" s="1111"/>
      <c r="BI85" s="1124"/>
      <c r="BJ85" s="1119"/>
    </row>
    <row r="86" spans="1:62" ht="17.25">
      <c r="A86" s="1717"/>
      <c r="B86" s="1128"/>
      <c r="C86" s="1127"/>
      <c r="D86" s="1129"/>
      <c r="E86" s="1130"/>
      <c r="F86" s="1131"/>
      <c r="G86" s="1123"/>
      <c r="H86" s="1112"/>
      <c r="I86" s="1112"/>
      <c r="J86" s="1112"/>
      <c r="K86" s="1123"/>
      <c r="L86" s="1112"/>
      <c r="M86" s="1112"/>
      <c r="N86" s="1112"/>
      <c r="O86" s="1088"/>
      <c r="P86" s="1086"/>
      <c r="Q86" s="1086"/>
      <c r="R86" s="1089"/>
      <c r="S86" s="1088"/>
      <c r="T86" s="1086"/>
      <c r="U86" s="1086"/>
      <c r="V86" s="1089"/>
      <c r="W86" s="1088"/>
      <c r="X86" s="1086"/>
      <c r="Y86" s="1086"/>
      <c r="Z86" s="1089"/>
      <c r="AA86" s="1088"/>
      <c r="AB86" s="1120"/>
      <c r="AC86" s="1086"/>
      <c r="AD86" s="1089"/>
      <c r="AE86" s="1088"/>
      <c r="AF86" s="1120"/>
      <c r="AG86" s="1086"/>
      <c r="AH86" s="1089"/>
      <c r="AI86" s="1088"/>
      <c r="AJ86" s="1120"/>
      <c r="AK86" s="1086"/>
      <c r="AL86" s="1089"/>
      <c r="AM86" s="1090"/>
      <c r="AN86" s="1091"/>
      <c r="AO86" s="1091"/>
      <c r="AP86" s="1092"/>
      <c r="AQ86" s="1090"/>
      <c r="AR86" s="1091"/>
      <c r="AS86" s="1091"/>
      <c r="AT86" s="1092"/>
      <c r="AU86" s="1090"/>
      <c r="AV86" s="1091"/>
      <c r="AW86" s="1091"/>
      <c r="AX86" s="1092"/>
      <c r="AY86" s="1090"/>
      <c r="AZ86" s="1091"/>
      <c r="BA86" s="1091"/>
      <c r="BB86" s="1092"/>
      <c r="BC86" s="1090"/>
      <c r="BD86" s="1091"/>
      <c r="BE86" s="1091"/>
      <c r="BF86" s="1092"/>
      <c r="BG86" s="1090"/>
      <c r="BH86" s="1091"/>
      <c r="BI86" s="1091"/>
      <c r="BJ86" s="1092"/>
    </row>
    <row r="87" spans="1:62" ht="17.25">
      <c r="A87" s="1717"/>
      <c r="B87" s="1151" t="s">
        <v>2504</v>
      </c>
      <c r="C87" s="1132"/>
      <c r="D87" s="1133"/>
      <c r="E87" s="1134"/>
      <c r="F87" s="1135">
        <f>+PRESUPUESTO!F89</f>
        <v>3734740776</v>
      </c>
      <c r="G87" s="1123"/>
      <c r="H87" s="1112"/>
      <c r="I87" s="1112"/>
      <c r="J87" s="1112"/>
      <c r="K87" s="1123"/>
      <c r="L87" s="1112"/>
      <c r="M87" s="1112"/>
      <c r="N87" s="1112"/>
      <c r="O87" s="1139">
        <f>SUM(O74:O85)</f>
        <v>19444836.917916667</v>
      </c>
      <c r="P87" s="1141">
        <f t="shared" ref="P87:BJ87" si="77">SUM(P74:P85)</f>
        <v>108451306.59249139</v>
      </c>
      <c r="Q87" s="1140">
        <f t="shared" si="77"/>
        <v>169067472.45653903</v>
      </c>
      <c r="R87" s="1138">
        <f t="shared" si="77"/>
        <v>169067472.45653903</v>
      </c>
      <c r="S87" s="1139">
        <f t="shared" si="77"/>
        <v>169067472.45653903</v>
      </c>
      <c r="T87" s="1141">
        <f t="shared" si="77"/>
        <v>169067472.45653903</v>
      </c>
      <c r="U87" s="1140">
        <f t="shared" si="77"/>
        <v>169067472.45653903</v>
      </c>
      <c r="V87" s="1138">
        <f t="shared" si="77"/>
        <v>169067472.45653903</v>
      </c>
      <c r="W87" s="1139">
        <f t="shared" si="77"/>
        <v>181013087.92153898</v>
      </c>
      <c r="X87" s="1141">
        <f t="shared" si="77"/>
        <v>181013087.92153898</v>
      </c>
      <c r="Y87" s="1140">
        <f t="shared" si="77"/>
        <v>181013087.92153898</v>
      </c>
      <c r="Z87" s="1138">
        <f t="shared" si="77"/>
        <v>181013087.92153898</v>
      </c>
      <c r="AA87" s="1136">
        <f t="shared" si="77"/>
        <v>189052116.48653901</v>
      </c>
      <c r="AB87" s="1141">
        <f t="shared" si="77"/>
        <v>189052116.48653901</v>
      </c>
      <c r="AC87" s="1140">
        <f t="shared" si="77"/>
        <v>189052116.48653901</v>
      </c>
      <c r="AD87" s="1138">
        <f t="shared" si="77"/>
        <v>189052116.48653901</v>
      </c>
      <c r="AE87" s="1139">
        <f t="shared" si="77"/>
        <v>144900422.91670564</v>
      </c>
      <c r="AF87" s="1141">
        <f t="shared" si="77"/>
        <v>144900422.91670564</v>
      </c>
      <c r="AG87" s="1140">
        <f t="shared" si="77"/>
        <v>144900422.91670564</v>
      </c>
      <c r="AH87" s="1138">
        <f t="shared" si="77"/>
        <v>144900422.91670564</v>
      </c>
      <c r="AI87" s="1136">
        <f t="shared" si="77"/>
        <v>133867808.66670564</v>
      </c>
      <c r="AJ87" s="1137">
        <f t="shared" si="77"/>
        <v>133867808.66670564</v>
      </c>
      <c r="AK87" s="1137">
        <f t="shared" si="77"/>
        <v>136691357.21920565</v>
      </c>
      <c r="AL87" s="1138">
        <f t="shared" si="77"/>
        <v>135314079.66015807</v>
      </c>
      <c r="AM87" s="1136">
        <f t="shared" si="77"/>
        <v>122984050.85599139</v>
      </c>
      <c r="AN87" s="1141">
        <f t="shared" si="77"/>
        <v>122984050.85599139</v>
      </c>
      <c r="AO87" s="1141">
        <f t="shared" si="77"/>
        <v>166144180.46099138</v>
      </c>
      <c r="AP87" s="1142">
        <f t="shared" si="77"/>
        <v>166144180.46099138</v>
      </c>
      <c r="AQ87" s="1136">
        <f t="shared" si="77"/>
        <v>157192150.68099141</v>
      </c>
      <c r="AR87" s="1141">
        <f t="shared" si="77"/>
        <v>157192150.68099141</v>
      </c>
      <c r="AS87" s="1141">
        <f t="shared" si="77"/>
        <v>44005470.981250003</v>
      </c>
      <c r="AT87" s="1142">
        <f t="shared" si="77"/>
        <v>44005470.981250003</v>
      </c>
      <c r="AU87" s="1136">
        <f t="shared" si="77"/>
        <v>0</v>
      </c>
      <c r="AV87" s="1141">
        <f t="shared" si="77"/>
        <v>0</v>
      </c>
      <c r="AW87" s="1141">
        <f t="shared" si="77"/>
        <v>0</v>
      </c>
      <c r="AX87" s="1142">
        <f t="shared" si="77"/>
        <v>0</v>
      </c>
      <c r="AY87" s="1136">
        <f t="shared" si="77"/>
        <v>0</v>
      </c>
      <c r="AZ87" s="1141">
        <f t="shared" si="77"/>
        <v>0</v>
      </c>
      <c r="BA87" s="1141">
        <f t="shared" si="77"/>
        <v>0</v>
      </c>
      <c r="BB87" s="1142">
        <f t="shared" si="77"/>
        <v>0</v>
      </c>
      <c r="BC87" s="1136">
        <f t="shared" si="77"/>
        <v>0</v>
      </c>
      <c r="BD87" s="1141">
        <f t="shared" si="77"/>
        <v>0</v>
      </c>
      <c r="BE87" s="1141">
        <f t="shared" si="77"/>
        <v>0</v>
      </c>
      <c r="BF87" s="1142">
        <f t="shared" si="77"/>
        <v>0</v>
      </c>
      <c r="BG87" s="1136">
        <f t="shared" si="77"/>
        <v>0</v>
      </c>
      <c r="BH87" s="1141">
        <f t="shared" si="77"/>
        <v>0</v>
      </c>
      <c r="BI87" s="1141">
        <f t="shared" si="77"/>
        <v>0</v>
      </c>
      <c r="BJ87" s="1715">
        <f t="shared" si="77"/>
        <v>0</v>
      </c>
    </row>
    <row r="88" spans="1:62" ht="17.25">
      <c r="A88" s="1717"/>
      <c r="B88" s="1148"/>
      <c r="C88" s="1149"/>
      <c r="D88" s="1129"/>
      <c r="E88" s="1130"/>
      <c r="F88" s="1131"/>
      <c r="G88" s="1123"/>
      <c r="H88" s="1112"/>
      <c r="I88" s="1112"/>
      <c r="J88" s="1112"/>
      <c r="K88" s="1123"/>
      <c r="L88" s="1112"/>
      <c r="M88" s="1112"/>
      <c r="N88" s="1112"/>
      <c r="O88" s="1113"/>
      <c r="P88" s="1111"/>
      <c r="Q88" s="1124"/>
      <c r="R88" s="1119"/>
      <c r="S88" s="1123"/>
      <c r="T88" s="1111"/>
      <c r="U88" s="1124"/>
      <c r="V88" s="1119"/>
      <c r="W88" s="1113"/>
      <c r="X88" s="1111"/>
      <c r="Y88" s="1124"/>
      <c r="Z88" s="1119"/>
      <c r="AA88" s="1123"/>
      <c r="AB88" s="1111"/>
      <c r="AC88" s="1124"/>
      <c r="AD88" s="1119"/>
      <c r="AE88" s="1113"/>
      <c r="AF88" s="1111"/>
      <c r="AG88" s="1124"/>
      <c r="AH88" s="1119"/>
      <c r="AI88" s="1123"/>
      <c r="AJ88" s="1112"/>
      <c r="AK88" s="1112"/>
      <c r="AL88" s="1119"/>
      <c r="AM88" s="1123"/>
      <c r="AN88" s="1111"/>
      <c r="AO88" s="1111"/>
      <c r="AP88" s="1124"/>
      <c r="AQ88" s="1123"/>
      <c r="AR88" s="1111"/>
      <c r="AS88" s="1111"/>
      <c r="AT88" s="1124"/>
      <c r="AU88" s="1123"/>
      <c r="AV88" s="1111"/>
      <c r="AW88" s="1111"/>
      <c r="AX88" s="1124"/>
      <c r="AY88" s="1123"/>
      <c r="AZ88" s="1111"/>
      <c r="BA88" s="1111"/>
      <c r="BB88" s="1124"/>
      <c r="BC88" s="1123"/>
      <c r="BD88" s="1111"/>
      <c r="BE88" s="1111"/>
      <c r="BF88" s="1124"/>
      <c r="BG88" s="1123"/>
      <c r="BH88" s="1111"/>
      <c r="BI88" s="1111"/>
      <c r="BJ88" s="1146"/>
    </row>
    <row r="89" spans="1:62" ht="17.25">
      <c r="A89" s="1716"/>
      <c r="B89" s="1151" t="s">
        <v>540</v>
      </c>
      <c r="C89" s="1132"/>
      <c r="D89" s="1133"/>
      <c r="E89" s="1134"/>
      <c r="F89" s="1152">
        <f>+PRESUPUESTO!F93</f>
        <v>237512012</v>
      </c>
      <c r="G89" s="1136">
        <f t="shared" ref="G89:N89" si="78">SUM(G83:G88)</f>
        <v>0</v>
      </c>
      <c r="H89" s="1137">
        <f t="shared" si="78"/>
        <v>0</v>
      </c>
      <c r="I89" s="1137">
        <f t="shared" si="78"/>
        <v>0</v>
      </c>
      <c r="J89" s="1138">
        <f t="shared" si="78"/>
        <v>0</v>
      </c>
      <c r="K89" s="1139">
        <f t="shared" si="78"/>
        <v>0</v>
      </c>
      <c r="L89" s="1141">
        <f t="shared" si="78"/>
        <v>0</v>
      </c>
      <c r="M89" s="1142">
        <f t="shared" si="78"/>
        <v>0</v>
      </c>
      <c r="N89" s="1142">
        <f t="shared" si="78"/>
        <v>0</v>
      </c>
      <c r="O89" s="1113">
        <f>+$F$89/32</f>
        <v>7422250.375</v>
      </c>
      <c r="P89" s="1111">
        <f t="shared" ref="P89:AT89" si="79">+$F$89/32</f>
        <v>7422250.375</v>
      </c>
      <c r="Q89" s="1124">
        <f t="shared" si="79"/>
        <v>7422250.375</v>
      </c>
      <c r="R89" s="1119">
        <f t="shared" si="79"/>
        <v>7422250.375</v>
      </c>
      <c r="S89" s="1123">
        <f t="shared" si="79"/>
        <v>7422250.375</v>
      </c>
      <c r="T89" s="1111">
        <f t="shared" si="79"/>
        <v>7422250.375</v>
      </c>
      <c r="U89" s="1124">
        <f t="shared" si="79"/>
        <v>7422250.375</v>
      </c>
      <c r="V89" s="1119">
        <f t="shared" si="79"/>
        <v>7422250.375</v>
      </c>
      <c r="W89" s="1113">
        <f t="shared" si="79"/>
        <v>7422250.375</v>
      </c>
      <c r="X89" s="1111">
        <f t="shared" si="79"/>
        <v>7422250.375</v>
      </c>
      <c r="Y89" s="1124">
        <f t="shared" si="79"/>
        <v>7422250.375</v>
      </c>
      <c r="Z89" s="1119">
        <f t="shared" si="79"/>
        <v>7422250.375</v>
      </c>
      <c r="AA89" s="1123">
        <f t="shared" si="79"/>
        <v>7422250.375</v>
      </c>
      <c r="AB89" s="1111">
        <f t="shared" si="79"/>
        <v>7422250.375</v>
      </c>
      <c r="AC89" s="1124">
        <f t="shared" si="79"/>
        <v>7422250.375</v>
      </c>
      <c r="AD89" s="1119">
        <f t="shared" si="79"/>
        <v>7422250.375</v>
      </c>
      <c r="AE89" s="1113">
        <f t="shared" si="79"/>
        <v>7422250.375</v>
      </c>
      <c r="AF89" s="1111">
        <f t="shared" si="79"/>
        <v>7422250.375</v>
      </c>
      <c r="AG89" s="1124">
        <f t="shared" si="79"/>
        <v>7422250.375</v>
      </c>
      <c r="AH89" s="1119">
        <f t="shared" si="79"/>
        <v>7422250.375</v>
      </c>
      <c r="AI89" s="1123">
        <f t="shared" si="79"/>
        <v>7422250.375</v>
      </c>
      <c r="AJ89" s="1112">
        <f t="shared" si="79"/>
        <v>7422250.375</v>
      </c>
      <c r="AK89" s="1112">
        <f t="shared" si="79"/>
        <v>7422250.375</v>
      </c>
      <c r="AL89" s="1119">
        <f t="shared" si="79"/>
        <v>7422250.375</v>
      </c>
      <c r="AM89" s="1123">
        <f t="shared" si="79"/>
        <v>7422250.375</v>
      </c>
      <c r="AN89" s="1111">
        <f t="shared" si="79"/>
        <v>7422250.375</v>
      </c>
      <c r="AO89" s="1111">
        <f t="shared" si="79"/>
        <v>7422250.375</v>
      </c>
      <c r="AP89" s="1124">
        <f t="shared" si="79"/>
        <v>7422250.375</v>
      </c>
      <c r="AQ89" s="1123">
        <f t="shared" si="79"/>
        <v>7422250.375</v>
      </c>
      <c r="AR89" s="1111">
        <f t="shared" si="79"/>
        <v>7422250.375</v>
      </c>
      <c r="AS89" s="1111">
        <f t="shared" si="79"/>
        <v>7422250.375</v>
      </c>
      <c r="AT89" s="1124">
        <f t="shared" si="79"/>
        <v>7422250.375</v>
      </c>
      <c r="AU89" s="1123"/>
      <c r="AV89" s="1111"/>
      <c r="AW89" s="1111"/>
      <c r="AX89" s="1124"/>
      <c r="AY89" s="1123"/>
      <c r="AZ89" s="1111"/>
      <c r="BA89" s="1111"/>
      <c r="BB89" s="1124"/>
      <c r="BC89" s="1123"/>
      <c r="BD89" s="1111"/>
      <c r="BE89" s="1111"/>
      <c r="BF89" s="1124"/>
      <c r="BG89" s="1123"/>
      <c r="BH89" s="1111"/>
      <c r="BI89" s="1111"/>
      <c r="BJ89" s="1146"/>
    </row>
    <row r="90" spans="1:62" ht="17.25">
      <c r="A90" s="1714"/>
      <c r="B90" s="1128"/>
      <c r="C90" s="1127"/>
      <c r="D90" s="1129"/>
      <c r="E90" s="1130"/>
      <c r="F90" s="1131"/>
      <c r="G90" s="1113"/>
      <c r="H90" s="1111"/>
      <c r="I90" s="1111"/>
      <c r="J90" s="1112"/>
      <c r="K90" s="1113"/>
      <c r="L90" s="1111"/>
      <c r="M90" s="1086"/>
      <c r="N90" s="1087"/>
      <c r="O90" s="1113"/>
      <c r="P90" s="1111"/>
      <c r="Q90" s="1124"/>
      <c r="R90" s="1119"/>
      <c r="S90" s="1123"/>
      <c r="T90" s="1111"/>
      <c r="U90" s="1124"/>
      <c r="V90" s="1119"/>
      <c r="W90" s="1113"/>
      <c r="X90" s="1111"/>
      <c r="Y90" s="1124"/>
      <c r="Z90" s="1119"/>
      <c r="AA90" s="1123"/>
      <c r="AB90" s="1111"/>
      <c r="AC90" s="1124"/>
      <c r="AD90" s="1119"/>
      <c r="AE90" s="1113"/>
      <c r="AF90" s="1111"/>
      <c r="AG90" s="1124"/>
      <c r="AH90" s="1119"/>
      <c r="AI90" s="1123"/>
      <c r="AJ90" s="1112"/>
      <c r="AK90" s="1112"/>
      <c r="AL90" s="1119"/>
      <c r="AM90" s="1123"/>
      <c r="AN90" s="1111"/>
      <c r="AO90" s="1111"/>
      <c r="AP90" s="1124"/>
      <c r="AQ90" s="1123"/>
      <c r="AR90" s="1111"/>
      <c r="AS90" s="1111"/>
      <c r="AT90" s="1124"/>
      <c r="AU90" s="1123"/>
      <c r="AV90" s="1111"/>
      <c r="AW90" s="1111"/>
      <c r="AX90" s="1124"/>
      <c r="AY90" s="1123"/>
      <c r="AZ90" s="1111"/>
      <c r="BA90" s="1111"/>
      <c r="BB90" s="1124"/>
      <c r="BC90" s="1123"/>
      <c r="BD90" s="1111"/>
      <c r="BE90" s="1111"/>
      <c r="BF90" s="1124"/>
      <c r="BG90" s="1123"/>
      <c r="BH90" s="1111"/>
      <c r="BI90" s="1111"/>
      <c r="BJ90" s="1146"/>
    </row>
    <row r="91" spans="1:62" ht="17.25">
      <c r="A91" s="1714"/>
      <c r="B91" s="1151" t="s">
        <v>1697</v>
      </c>
      <c r="C91" s="1132"/>
      <c r="D91" s="1133"/>
      <c r="E91" s="1134"/>
      <c r="F91" s="1135">
        <f>+PRESUPUESTO!F95</f>
        <v>4040432933</v>
      </c>
      <c r="G91" s="1153">
        <f t="shared" ref="G91:N91" si="80">+G83/$F$87</f>
        <v>0</v>
      </c>
      <c r="H91" s="1154">
        <f t="shared" si="80"/>
        <v>0</v>
      </c>
      <c r="I91" s="1155">
        <f t="shared" si="80"/>
        <v>0</v>
      </c>
      <c r="J91" s="1156">
        <f t="shared" si="80"/>
        <v>0</v>
      </c>
      <c r="K91" s="1153">
        <f t="shared" si="80"/>
        <v>0</v>
      </c>
      <c r="L91" s="1157">
        <f t="shared" si="80"/>
        <v>0</v>
      </c>
      <c r="M91" s="1157">
        <f t="shared" si="80"/>
        <v>0</v>
      </c>
      <c r="N91" s="1158">
        <f t="shared" si="80"/>
        <v>0</v>
      </c>
      <c r="O91" s="1136">
        <f>SUM(O87:O90)</f>
        <v>26867087.292916667</v>
      </c>
      <c r="P91" s="1137">
        <f t="shared" ref="P91:BJ91" si="81">SUM(P87:P90)</f>
        <v>115873556.96749139</v>
      </c>
      <c r="Q91" s="1137">
        <f t="shared" si="81"/>
        <v>176489722.83153903</v>
      </c>
      <c r="R91" s="1138">
        <f t="shared" si="81"/>
        <v>176489722.83153903</v>
      </c>
      <c r="S91" s="1139">
        <f t="shared" si="81"/>
        <v>176489722.83153903</v>
      </c>
      <c r="T91" s="1140">
        <f t="shared" si="81"/>
        <v>176489722.83153903</v>
      </c>
      <c r="U91" s="1141">
        <f t="shared" si="81"/>
        <v>176489722.83153903</v>
      </c>
      <c r="V91" s="1142">
        <f t="shared" si="81"/>
        <v>176489722.83153903</v>
      </c>
      <c r="W91" s="1139">
        <f t="shared" si="81"/>
        <v>188435338.29653898</v>
      </c>
      <c r="X91" s="1141">
        <f t="shared" si="81"/>
        <v>188435338.29653898</v>
      </c>
      <c r="Y91" s="1140">
        <f t="shared" si="81"/>
        <v>188435338.29653898</v>
      </c>
      <c r="Z91" s="1138">
        <f t="shared" si="81"/>
        <v>188435338.29653898</v>
      </c>
      <c r="AA91" s="1139">
        <f t="shared" si="81"/>
        <v>196474366.86153901</v>
      </c>
      <c r="AB91" s="1141">
        <f t="shared" si="81"/>
        <v>196474366.86153901</v>
      </c>
      <c r="AC91" s="1141">
        <f t="shared" si="81"/>
        <v>196474366.86153901</v>
      </c>
      <c r="AD91" s="1142">
        <f t="shared" si="81"/>
        <v>196474366.86153901</v>
      </c>
      <c r="AE91" s="1139">
        <f t="shared" si="81"/>
        <v>152322673.29170564</v>
      </c>
      <c r="AF91" s="1140">
        <f t="shared" si="81"/>
        <v>152322673.29170564</v>
      </c>
      <c r="AG91" s="1141">
        <f t="shared" si="81"/>
        <v>152322673.29170564</v>
      </c>
      <c r="AH91" s="1142">
        <f t="shared" si="81"/>
        <v>152322673.29170564</v>
      </c>
      <c r="AI91" s="1136">
        <f t="shared" si="81"/>
        <v>141290059.04170564</v>
      </c>
      <c r="AJ91" s="1141">
        <f t="shared" si="81"/>
        <v>141290059.04170564</v>
      </c>
      <c r="AK91" s="1141">
        <f t="shared" si="81"/>
        <v>144113607.59420565</v>
      </c>
      <c r="AL91" s="1142">
        <f t="shared" si="81"/>
        <v>142736330.03515807</v>
      </c>
      <c r="AM91" s="1136">
        <f t="shared" si="81"/>
        <v>130406301.23099139</v>
      </c>
      <c r="AN91" s="1141">
        <f t="shared" si="81"/>
        <v>130406301.23099139</v>
      </c>
      <c r="AO91" s="1137">
        <f t="shared" si="81"/>
        <v>173566430.83599138</v>
      </c>
      <c r="AP91" s="1141">
        <f t="shared" si="81"/>
        <v>173566430.83599138</v>
      </c>
      <c r="AQ91" s="1136">
        <f t="shared" si="81"/>
        <v>164614401.05599141</v>
      </c>
      <c r="AR91" s="1141">
        <f t="shared" si="81"/>
        <v>164614401.05599141</v>
      </c>
      <c r="AS91" s="1137">
        <f t="shared" si="81"/>
        <v>51427721.356250003</v>
      </c>
      <c r="AT91" s="1141">
        <f t="shared" si="81"/>
        <v>51427721.356250003</v>
      </c>
      <c r="AU91" s="1136">
        <f t="shared" si="81"/>
        <v>0</v>
      </c>
      <c r="AV91" s="1141">
        <f t="shared" si="81"/>
        <v>0</v>
      </c>
      <c r="AW91" s="1137">
        <f t="shared" si="81"/>
        <v>0</v>
      </c>
      <c r="AX91" s="1141">
        <f t="shared" si="81"/>
        <v>0</v>
      </c>
      <c r="AY91" s="1136">
        <f t="shared" si="81"/>
        <v>0</v>
      </c>
      <c r="AZ91" s="1141">
        <f t="shared" si="81"/>
        <v>0</v>
      </c>
      <c r="BA91" s="1137">
        <f t="shared" si="81"/>
        <v>0</v>
      </c>
      <c r="BB91" s="1141">
        <f t="shared" si="81"/>
        <v>0</v>
      </c>
      <c r="BC91" s="1136">
        <f t="shared" si="81"/>
        <v>0</v>
      </c>
      <c r="BD91" s="1141">
        <f t="shared" si="81"/>
        <v>0</v>
      </c>
      <c r="BE91" s="1137">
        <f t="shared" si="81"/>
        <v>0</v>
      </c>
      <c r="BF91" s="1141">
        <f t="shared" si="81"/>
        <v>0</v>
      </c>
      <c r="BG91" s="1136">
        <f t="shared" si="81"/>
        <v>0</v>
      </c>
      <c r="BH91" s="1141">
        <f t="shared" si="81"/>
        <v>0</v>
      </c>
      <c r="BI91" s="1137">
        <f t="shared" si="81"/>
        <v>0</v>
      </c>
      <c r="BJ91" s="1138">
        <f t="shared" si="81"/>
        <v>0</v>
      </c>
    </row>
    <row r="92" spans="1:62" ht="17.25">
      <c r="A92" s="1718"/>
      <c r="B92" s="1128"/>
      <c r="C92" s="1127"/>
      <c r="D92" s="1159"/>
      <c r="E92" s="1160"/>
      <c r="F92" s="1131"/>
      <c r="G92" s="1161">
        <f>+G91</f>
        <v>0</v>
      </c>
      <c r="H92" s="1157">
        <f t="shared" ref="H92:O94" si="82">+H91</f>
        <v>0</v>
      </c>
      <c r="I92" s="1157">
        <f t="shared" si="82"/>
        <v>0</v>
      </c>
      <c r="J92" s="1158">
        <f t="shared" si="82"/>
        <v>0</v>
      </c>
      <c r="K92" s="1153">
        <f t="shared" si="82"/>
        <v>0</v>
      </c>
      <c r="L92" s="1157">
        <f t="shared" si="82"/>
        <v>0</v>
      </c>
      <c r="M92" s="1157">
        <f t="shared" si="82"/>
        <v>0</v>
      </c>
      <c r="N92" s="1158">
        <f t="shared" si="82"/>
        <v>0</v>
      </c>
      <c r="O92" s="1088"/>
      <c r="P92" s="1086"/>
      <c r="Q92" s="1086"/>
      <c r="R92" s="1089"/>
      <c r="S92" s="1088"/>
      <c r="T92" s="1086"/>
      <c r="U92" s="1086"/>
      <c r="V92" s="1089"/>
      <c r="W92" s="1088"/>
      <c r="X92" s="1086"/>
      <c r="Y92" s="1086"/>
      <c r="Z92" s="1089"/>
      <c r="AA92" s="1088"/>
      <c r="AB92" s="1086"/>
      <c r="AC92" s="1086"/>
      <c r="AD92" s="1089"/>
      <c r="AE92" s="1088"/>
      <c r="AF92" s="1086"/>
      <c r="AG92" s="1086"/>
      <c r="AH92" s="1089"/>
      <c r="AI92" s="1088"/>
      <c r="AJ92" s="1086"/>
      <c r="AK92" s="1086"/>
      <c r="AL92" s="1089"/>
      <c r="AM92" s="1090"/>
      <c r="AN92" s="1091"/>
      <c r="AO92" s="1091"/>
      <c r="AP92" s="1092"/>
      <c r="AQ92" s="1090"/>
      <c r="AR92" s="1091"/>
      <c r="AS92" s="1091"/>
      <c r="AT92" s="1092"/>
      <c r="AU92" s="1090"/>
      <c r="AV92" s="1091"/>
      <c r="AW92" s="1091"/>
      <c r="AX92" s="1092"/>
      <c r="AY92" s="1090"/>
      <c r="AZ92" s="1091"/>
      <c r="BA92" s="1091"/>
      <c r="BB92" s="1092"/>
      <c r="BC92" s="1090"/>
      <c r="BD92" s="1091"/>
      <c r="BE92" s="1091"/>
      <c r="BF92" s="1092"/>
      <c r="BG92" s="1090"/>
      <c r="BH92" s="1091"/>
      <c r="BI92" s="1091"/>
      <c r="BJ92" s="1092"/>
    </row>
    <row r="93" spans="1:62" ht="17.25">
      <c r="A93" s="1718"/>
      <c r="B93" s="1128"/>
      <c r="C93" s="1127"/>
      <c r="D93" s="1159"/>
      <c r="E93" s="1160"/>
      <c r="F93" s="1162" t="s">
        <v>1959</v>
      </c>
      <c r="G93" s="2111">
        <f>SUM(G89:J89)</f>
        <v>0</v>
      </c>
      <c r="H93" s="2112"/>
      <c r="I93" s="2112"/>
      <c r="J93" s="2113"/>
      <c r="K93" s="2111">
        <f t="shared" ref="K93" si="83">SUM(K89:N89)</f>
        <v>0</v>
      </c>
      <c r="L93" s="2112"/>
      <c r="M93" s="2112"/>
      <c r="N93" s="2113"/>
      <c r="O93" s="1153">
        <f>+O87/$F$87</f>
        <v>5.2064756523055311E-3</v>
      </c>
      <c r="P93" s="1157">
        <f t="shared" ref="P93:BJ93" si="84">+P87/$F$87</f>
        <v>2.9038509791473512E-2</v>
      </c>
      <c r="Q93" s="1157">
        <f t="shared" si="84"/>
        <v>4.5268864051553934E-2</v>
      </c>
      <c r="R93" s="1158">
        <f t="shared" si="84"/>
        <v>4.5268864051553934E-2</v>
      </c>
      <c r="S93" s="1153">
        <f t="shared" si="84"/>
        <v>4.5268864051553934E-2</v>
      </c>
      <c r="T93" s="1157">
        <f t="shared" si="84"/>
        <v>4.5268864051553934E-2</v>
      </c>
      <c r="U93" s="1157">
        <f t="shared" si="84"/>
        <v>4.5268864051553934E-2</v>
      </c>
      <c r="V93" s="1158">
        <f t="shared" si="84"/>
        <v>4.5268864051553934E-2</v>
      </c>
      <c r="W93" s="1161">
        <f t="shared" si="84"/>
        <v>4.8467376660987029E-2</v>
      </c>
      <c r="X93" s="1155">
        <f t="shared" si="84"/>
        <v>4.8467376660987029E-2</v>
      </c>
      <c r="Y93" s="1155">
        <f t="shared" si="84"/>
        <v>4.8467376660987029E-2</v>
      </c>
      <c r="Z93" s="1156">
        <f t="shared" si="84"/>
        <v>4.8467376660987029E-2</v>
      </c>
      <c r="AA93" s="1161">
        <f t="shared" si="84"/>
        <v>5.0619876405188828E-2</v>
      </c>
      <c r="AB93" s="1157">
        <f t="shared" si="84"/>
        <v>5.0619876405188828E-2</v>
      </c>
      <c r="AC93" s="1157">
        <f t="shared" si="84"/>
        <v>5.0619876405188828E-2</v>
      </c>
      <c r="AD93" s="1158">
        <f t="shared" si="84"/>
        <v>5.0619876405188828E-2</v>
      </c>
      <c r="AE93" s="1153">
        <f t="shared" si="84"/>
        <v>3.8797986689694051E-2</v>
      </c>
      <c r="AF93" s="1157">
        <f t="shared" si="84"/>
        <v>3.8797986689694051E-2</v>
      </c>
      <c r="AG93" s="1157">
        <f t="shared" si="84"/>
        <v>3.8797986689694051E-2</v>
      </c>
      <c r="AH93" s="1158">
        <f t="shared" si="84"/>
        <v>3.8797986689694051E-2</v>
      </c>
      <c r="AI93" s="1161">
        <f t="shared" si="84"/>
        <v>3.5843935816632873E-2</v>
      </c>
      <c r="AJ93" s="1155">
        <f t="shared" si="84"/>
        <v>3.5843935816632873E-2</v>
      </c>
      <c r="AK93" s="1155">
        <f t="shared" si="84"/>
        <v>3.6599958448951704E-2</v>
      </c>
      <c r="AL93" s="1156">
        <f t="shared" si="84"/>
        <v>3.6231183842719818E-2</v>
      </c>
      <c r="AM93" s="1153">
        <f t="shared" si="84"/>
        <v>3.2929742178173439E-2</v>
      </c>
      <c r="AN93" s="1157">
        <f t="shared" si="84"/>
        <v>3.2929742178173439E-2</v>
      </c>
      <c r="AO93" s="1157">
        <f t="shared" si="84"/>
        <v>4.4486134493900785E-2</v>
      </c>
      <c r="AP93" s="1158">
        <f t="shared" si="84"/>
        <v>4.4486134493900785E-2</v>
      </c>
      <c r="AQ93" s="1153">
        <f t="shared" si="84"/>
        <v>4.2089173013327076E-2</v>
      </c>
      <c r="AR93" s="1157">
        <f t="shared" si="84"/>
        <v>4.2089173013327076E-2</v>
      </c>
      <c r="AS93" s="1157">
        <f t="shared" si="84"/>
        <v>1.1782737710749756E-2</v>
      </c>
      <c r="AT93" s="1158">
        <f t="shared" si="84"/>
        <v>1.1782737710749756E-2</v>
      </c>
      <c r="AU93" s="1153">
        <f t="shared" si="84"/>
        <v>0</v>
      </c>
      <c r="AV93" s="1157">
        <f t="shared" si="84"/>
        <v>0</v>
      </c>
      <c r="AW93" s="1157">
        <f t="shared" si="84"/>
        <v>0</v>
      </c>
      <c r="AX93" s="1158">
        <f t="shared" si="84"/>
        <v>0</v>
      </c>
      <c r="AY93" s="1153">
        <f t="shared" si="84"/>
        <v>0</v>
      </c>
      <c r="AZ93" s="1157">
        <f t="shared" si="84"/>
        <v>0</v>
      </c>
      <c r="BA93" s="1157">
        <f t="shared" si="84"/>
        <v>0</v>
      </c>
      <c r="BB93" s="1158">
        <f t="shared" si="84"/>
        <v>0</v>
      </c>
      <c r="BC93" s="1153">
        <f t="shared" si="84"/>
        <v>0</v>
      </c>
      <c r="BD93" s="1157">
        <f t="shared" si="84"/>
        <v>0</v>
      </c>
      <c r="BE93" s="1157">
        <f t="shared" si="84"/>
        <v>0</v>
      </c>
      <c r="BF93" s="1158">
        <f t="shared" si="84"/>
        <v>0</v>
      </c>
      <c r="BG93" s="1153">
        <f t="shared" si="84"/>
        <v>0</v>
      </c>
      <c r="BH93" s="1157">
        <f t="shared" si="84"/>
        <v>0</v>
      </c>
      <c r="BI93" s="1157">
        <f t="shared" si="84"/>
        <v>0</v>
      </c>
      <c r="BJ93" s="1635">
        <f t="shared" si="84"/>
        <v>0</v>
      </c>
    </row>
    <row r="94" spans="1:62" ht="17.25">
      <c r="A94" s="1718"/>
      <c r="B94" s="1128"/>
      <c r="C94" s="1127"/>
      <c r="D94" s="1159"/>
      <c r="E94" s="1160"/>
      <c r="F94" s="1162" t="s">
        <v>1960</v>
      </c>
      <c r="G94" s="2111">
        <f>+G93</f>
        <v>0</v>
      </c>
      <c r="H94" s="2112"/>
      <c r="I94" s="2112"/>
      <c r="J94" s="2113"/>
      <c r="K94" s="2111">
        <f t="shared" ref="K94" si="85">+K93</f>
        <v>0</v>
      </c>
      <c r="L94" s="2112"/>
      <c r="M94" s="2112"/>
      <c r="N94" s="2113"/>
      <c r="O94" s="1153">
        <f t="shared" si="82"/>
        <v>5.2064756523055311E-3</v>
      </c>
      <c r="P94" s="1157">
        <f>+P93+O94</f>
        <v>3.4244985443779047E-2</v>
      </c>
      <c r="Q94" s="1157">
        <f t="shared" ref="Q94:AT94" si="86">+Q93+P94</f>
        <v>7.9513849495332981E-2</v>
      </c>
      <c r="R94" s="1157">
        <f t="shared" si="86"/>
        <v>0.12478271354688691</v>
      </c>
      <c r="S94" s="1153">
        <f t="shared" si="86"/>
        <v>0.17005157759844086</v>
      </c>
      <c r="T94" s="1157">
        <f t="shared" si="86"/>
        <v>0.21532044164999481</v>
      </c>
      <c r="U94" s="1157">
        <f t="shared" si="86"/>
        <v>0.26058930570154876</v>
      </c>
      <c r="V94" s="1158">
        <f t="shared" si="86"/>
        <v>0.3058581697531027</v>
      </c>
      <c r="W94" s="1161">
        <f t="shared" si="86"/>
        <v>0.35432554641408975</v>
      </c>
      <c r="X94" s="1155">
        <f t="shared" si="86"/>
        <v>0.4027929230750768</v>
      </c>
      <c r="Y94" s="1155">
        <f t="shared" si="86"/>
        <v>0.45126029973606385</v>
      </c>
      <c r="Z94" s="1156">
        <f t="shared" si="86"/>
        <v>0.4997276763970509</v>
      </c>
      <c r="AA94" s="1161">
        <f t="shared" si="86"/>
        <v>0.55034755280223968</v>
      </c>
      <c r="AB94" s="1157">
        <f t="shared" si="86"/>
        <v>0.60096742920742852</v>
      </c>
      <c r="AC94" s="1154">
        <f t="shared" si="86"/>
        <v>0.65158730561261735</v>
      </c>
      <c r="AD94" s="1156">
        <f t="shared" si="86"/>
        <v>0.70220718201780619</v>
      </c>
      <c r="AE94" s="1153">
        <f t="shared" si="86"/>
        <v>0.74100516870750022</v>
      </c>
      <c r="AF94" s="1157">
        <f t="shared" si="86"/>
        <v>0.77980315539719425</v>
      </c>
      <c r="AG94" s="1157">
        <f t="shared" si="86"/>
        <v>0.81860114208688828</v>
      </c>
      <c r="AH94" s="1158">
        <f t="shared" si="86"/>
        <v>0.85739912877658231</v>
      </c>
      <c r="AI94" s="1153">
        <f t="shared" si="86"/>
        <v>0.89324306459321523</v>
      </c>
      <c r="AJ94" s="1157">
        <f t="shared" si="86"/>
        <v>0.92908700040984815</v>
      </c>
      <c r="AK94" s="1157">
        <f t="shared" si="86"/>
        <v>0.96568695885879985</v>
      </c>
      <c r="AL94" s="1158">
        <f t="shared" si="86"/>
        <v>1.0019181427015196</v>
      </c>
      <c r="AM94" s="1153">
        <f t="shared" si="86"/>
        <v>1.0348478848796929</v>
      </c>
      <c r="AN94" s="1154">
        <f t="shared" si="86"/>
        <v>1.0677776270578663</v>
      </c>
      <c r="AO94" s="1155">
        <f t="shared" si="86"/>
        <v>1.112263761551767</v>
      </c>
      <c r="AP94" s="1157">
        <f t="shared" si="86"/>
        <v>1.1567498960456677</v>
      </c>
      <c r="AQ94" s="1153">
        <f t="shared" si="86"/>
        <v>1.1988390690589947</v>
      </c>
      <c r="AR94" s="1154">
        <f t="shared" si="86"/>
        <v>1.2409282420723218</v>
      </c>
      <c r="AS94" s="1155">
        <f t="shared" si="86"/>
        <v>1.2527109797830716</v>
      </c>
      <c r="AT94" s="1157">
        <f t="shared" si="86"/>
        <v>1.2644937174938213</v>
      </c>
      <c r="AU94" s="1153">
        <f t="shared" ref="AU94:BJ94" si="87">+AU93</f>
        <v>0</v>
      </c>
      <c r="AV94" s="1154">
        <f t="shared" si="87"/>
        <v>0</v>
      </c>
      <c r="AW94" s="1155">
        <f t="shared" si="87"/>
        <v>0</v>
      </c>
      <c r="AX94" s="1157">
        <f t="shared" si="87"/>
        <v>0</v>
      </c>
      <c r="AY94" s="1153">
        <f t="shared" si="87"/>
        <v>0</v>
      </c>
      <c r="AZ94" s="1154">
        <f t="shared" si="87"/>
        <v>0</v>
      </c>
      <c r="BA94" s="1155">
        <f t="shared" si="87"/>
        <v>0</v>
      </c>
      <c r="BB94" s="1157">
        <f t="shared" si="87"/>
        <v>0</v>
      </c>
      <c r="BC94" s="1153">
        <f t="shared" si="87"/>
        <v>0</v>
      </c>
      <c r="BD94" s="1154">
        <f t="shared" si="87"/>
        <v>0</v>
      </c>
      <c r="BE94" s="1155">
        <f t="shared" si="87"/>
        <v>0</v>
      </c>
      <c r="BF94" s="1157">
        <f t="shared" si="87"/>
        <v>0</v>
      </c>
      <c r="BG94" s="1153">
        <f t="shared" si="87"/>
        <v>0</v>
      </c>
      <c r="BH94" s="1154">
        <f t="shared" si="87"/>
        <v>0</v>
      </c>
      <c r="BI94" s="1155">
        <f t="shared" si="87"/>
        <v>0</v>
      </c>
      <c r="BJ94" s="1156">
        <f t="shared" si="87"/>
        <v>0</v>
      </c>
    </row>
    <row r="95" spans="1:62" ht="17.25">
      <c r="A95" s="1718"/>
      <c r="B95" s="1128"/>
      <c r="C95" s="1127"/>
      <c r="D95" s="1159"/>
      <c r="E95" s="1160"/>
      <c r="F95" s="1162" t="s">
        <v>1961</v>
      </c>
      <c r="G95" s="2108">
        <f>+G93/$F$91</f>
        <v>0</v>
      </c>
      <c r="H95" s="2109"/>
      <c r="I95" s="2109"/>
      <c r="J95" s="2110"/>
      <c r="K95" s="2108">
        <f t="shared" ref="K95" si="88">+K93/$F$91</f>
        <v>0</v>
      </c>
      <c r="L95" s="2109"/>
      <c r="M95" s="2109"/>
      <c r="N95" s="2110"/>
      <c r="O95" s="2111">
        <f t="shared" ref="O95" si="89">SUM(O91:R91)</f>
        <v>495720089.92348611</v>
      </c>
      <c r="P95" s="2112"/>
      <c r="Q95" s="2112"/>
      <c r="R95" s="2113"/>
      <c r="S95" s="2111">
        <f t="shared" ref="S95" si="90">SUM(S91:V91)</f>
        <v>705958891.32615614</v>
      </c>
      <c r="T95" s="2112"/>
      <c r="U95" s="2112"/>
      <c r="V95" s="2113"/>
      <c r="W95" s="2111">
        <f t="shared" ref="W95" si="91">SUM(W91:Z91)</f>
        <v>753741353.18615592</v>
      </c>
      <c r="X95" s="2112"/>
      <c r="Y95" s="2112"/>
      <c r="Z95" s="2113"/>
      <c r="AA95" s="2111">
        <f t="shared" ref="AA95" si="92">SUM(AA91:AD91)</f>
        <v>785897467.44615602</v>
      </c>
      <c r="AB95" s="2112"/>
      <c r="AC95" s="2112"/>
      <c r="AD95" s="2113"/>
      <c r="AE95" s="2111">
        <f t="shared" ref="AE95" si="93">SUM(AE91:AH91)</f>
        <v>609290693.16682255</v>
      </c>
      <c r="AF95" s="2112"/>
      <c r="AG95" s="2112"/>
      <c r="AH95" s="2113"/>
      <c r="AI95" s="2111">
        <f t="shared" ref="AI95" si="94">SUM(AI91:AL91)</f>
        <v>569430055.71277499</v>
      </c>
      <c r="AJ95" s="2112"/>
      <c r="AK95" s="2112"/>
      <c r="AL95" s="2113"/>
      <c r="AM95" s="2111">
        <f t="shared" ref="AM95" si="95">SUM(AM91:AP91)</f>
        <v>607945464.13396549</v>
      </c>
      <c r="AN95" s="2112"/>
      <c r="AO95" s="2112"/>
      <c r="AP95" s="2113"/>
      <c r="AQ95" s="2111">
        <f t="shared" ref="AQ95" si="96">SUM(AQ91:AT91)</f>
        <v>432084244.8244828</v>
      </c>
      <c r="AR95" s="2112"/>
      <c r="AS95" s="2112"/>
      <c r="AT95" s="2113"/>
      <c r="AU95" s="2111">
        <f t="shared" ref="AU95" si="97">SUM(AU91:AX91)</f>
        <v>0</v>
      </c>
      <c r="AV95" s="2112"/>
      <c r="AW95" s="2112"/>
      <c r="AX95" s="2113"/>
      <c r="AY95" s="2111">
        <f t="shared" ref="AY95" si="98">SUM(AY91:BB91)</f>
        <v>0</v>
      </c>
      <c r="AZ95" s="2112"/>
      <c r="BA95" s="2112"/>
      <c r="BB95" s="2113"/>
      <c r="BC95" s="2111">
        <f t="shared" ref="BC95" si="99">SUM(BC91:BF91)</f>
        <v>0</v>
      </c>
      <c r="BD95" s="2112"/>
      <c r="BE95" s="2112"/>
      <c r="BF95" s="2113"/>
      <c r="BG95" s="2111">
        <f t="shared" ref="BG95" si="100">SUM(BG91:BJ91)</f>
        <v>0</v>
      </c>
      <c r="BH95" s="2112"/>
      <c r="BI95" s="2112"/>
      <c r="BJ95" s="2113"/>
    </row>
    <row r="96" spans="1:62" ht="17.25">
      <c r="A96" s="1718"/>
      <c r="B96" s="1128"/>
      <c r="C96" s="1127"/>
      <c r="D96" s="1159"/>
      <c r="E96" s="1160"/>
      <c r="F96" s="1163" t="s">
        <v>1962</v>
      </c>
      <c r="G96" s="2119">
        <f>+G95</f>
        <v>0</v>
      </c>
      <c r="H96" s="2119"/>
      <c r="I96" s="2119"/>
      <c r="J96" s="2119"/>
      <c r="K96" s="2119">
        <f t="shared" ref="K96" si="101">+K95</f>
        <v>0</v>
      </c>
      <c r="L96" s="2119"/>
      <c r="M96" s="2119"/>
      <c r="N96" s="2120"/>
      <c r="O96" s="2117">
        <f t="shared" ref="O96" si="102">+O95</f>
        <v>495720089.92348611</v>
      </c>
      <c r="P96" s="2115"/>
      <c r="Q96" s="2115"/>
      <c r="R96" s="2118"/>
      <c r="S96" s="2114">
        <f>+S95+O96</f>
        <v>1201678981.2496424</v>
      </c>
      <c r="T96" s="2115"/>
      <c r="U96" s="2115"/>
      <c r="V96" s="2116"/>
      <c r="W96" s="2117">
        <f>+W95+S96</f>
        <v>1955420334.4357982</v>
      </c>
      <c r="X96" s="2115"/>
      <c r="Y96" s="2115"/>
      <c r="Z96" s="2116"/>
      <c r="AA96" s="2117">
        <f>+AA95+W96</f>
        <v>2741317801.8819542</v>
      </c>
      <c r="AB96" s="2115"/>
      <c r="AC96" s="2115"/>
      <c r="AD96" s="2118"/>
      <c r="AE96" s="2114">
        <f>+AE95+AA96</f>
        <v>3350608495.0487766</v>
      </c>
      <c r="AF96" s="2115"/>
      <c r="AG96" s="2115"/>
      <c r="AH96" s="2116"/>
      <c r="AI96" s="2117">
        <f>+AI95+AE96</f>
        <v>3920038550.7615519</v>
      </c>
      <c r="AJ96" s="2115"/>
      <c r="AK96" s="2115"/>
      <c r="AL96" s="2118"/>
      <c r="AM96" s="2117">
        <f>+AM95+AI96</f>
        <v>4527984014.8955173</v>
      </c>
      <c r="AN96" s="2115"/>
      <c r="AO96" s="2115"/>
      <c r="AP96" s="2118"/>
      <c r="AQ96" s="2114">
        <f>+AQ95+AM96</f>
        <v>4960068259.7200003</v>
      </c>
      <c r="AR96" s="2115"/>
      <c r="AS96" s="2115"/>
      <c r="AT96" s="2116"/>
      <c r="AU96" s="2111">
        <f t="shared" ref="AU96" si="103">+AU95</f>
        <v>0</v>
      </c>
      <c r="AV96" s="2112"/>
      <c r="AW96" s="2112"/>
      <c r="AX96" s="2113"/>
      <c r="AY96" s="2111">
        <f t="shared" ref="AY96" si="104">+AY95</f>
        <v>0</v>
      </c>
      <c r="AZ96" s="2112"/>
      <c r="BA96" s="2112"/>
      <c r="BB96" s="2113"/>
      <c r="BC96" s="2111">
        <f t="shared" ref="BC96" si="105">+BC95</f>
        <v>0</v>
      </c>
      <c r="BD96" s="2112"/>
      <c r="BE96" s="2112"/>
      <c r="BF96" s="2113"/>
      <c r="BG96" s="2111">
        <f t="shared" ref="BG96" si="106">+BG95</f>
        <v>0</v>
      </c>
      <c r="BH96" s="2112"/>
      <c r="BI96" s="2112"/>
      <c r="BJ96" s="2113"/>
    </row>
    <row r="97" spans="1:62" ht="17.25">
      <c r="A97" s="1719"/>
      <c r="B97" s="1128"/>
      <c r="C97" s="1127"/>
      <c r="D97" s="1159"/>
      <c r="E97" s="1160"/>
      <c r="F97" s="1162" t="s">
        <v>1963</v>
      </c>
      <c r="O97" s="2108">
        <f t="shared" ref="O97" si="107">+O95/$F$91</f>
        <v>0.12268984491110377</v>
      </c>
      <c r="P97" s="2109"/>
      <c r="Q97" s="2109"/>
      <c r="R97" s="2110"/>
      <c r="S97" s="2108">
        <f t="shared" ref="S97" si="108">+S95/$F$91</f>
        <v>0.17472357616934514</v>
      </c>
      <c r="T97" s="2109"/>
      <c r="U97" s="2109"/>
      <c r="V97" s="2110"/>
      <c r="W97" s="2108">
        <f t="shared" ref="W97" si="109">+W95/$F$91</f>
        <v>0.18654965091241027</v>
      </c>
      <c r="X97" s="2109"/>
      <c r="Y97" s="2109"/>
      <c r="Z97" s="2110"/>
      <c r="AA97" s="2108">
        <f t="shared" ref="AA97" si="110">+AA95/$F$91</f>
        <v>0.19450823228060152</v>
      </c>
      <c r="AB97" s="2109"/>
      <c r="AC97" s="2109"/>
      <c r="AD97" s="2110"/>
      <c r="AE97" s="2108">
        <f t="shared" ref="AE97" si="111">+AE95/$F$91</f>
        <v>0.15079836821209835</v>
      </c>
      <c r="AF97" s="2109"/>
      <c r="AG97" s="2109"/>
      <c r="AH97" s="2110"/>
      <c r="AI97" s="2108">
        <f t="shared" ref="AI97" si="112">+AI95/$F$91</f>
        <v>0.14093293098914927</v>
      </c>
      <c r="AJ97" s="2109"/>
      <c r="AK97" s="2109"/>
      <c r="AL97" s="2110"/>
      <c r="AM97" s="2108">
        <f t="shared" ref="AM97" si="113">+AM95/$F$91</f>
        <v>0.15046542640730562</v>
      </c>
      <c r="AN97" s="2109"/>
      <c r="AO97" s="2109"/>
      <c r="AP97" s="2110"/>
      <c r="AQ97" s="2108">
        <f t="shared" ref="AQ97" si="114">+AQ95/$F$91</f>
        <v>0.10694008587432796</v>
      </c>
      <c r="AR97" s="2109"/>
      <c r="AS97" s="2109"/>
      <c r="AT97" s="2110"/>
      <c r="AU97" s="2108">
        <f t="shared" ref="AU97" si="115">+AU95/$F$91</f>
        <v>0</v>
      </c>
      <c r="AV97" s="2109"/>
      <c r="AW97" s="2109"/>
      <c r="AX97" s="2110"/>
      <c r="AY97" s="2108">
        <f t="shared" ref="AY97" si="116">+AY95/$F$91</f>
        <v>0</v>
      </c>
      <c r="AZ97" s="2109"/>
      <c r="BA97" s="2109"/>
      <c r="BB97" s="2110"/>
      <c r="BC97" s="2108">
        <f t="shared" ref="BC97" si="117">+BC95/$F$91</f>
        <v>0</v>
      </c>
      <c r="BD97" s="2109"/>
      <c r="BE97" s="2109"/>
      <c r="BF97" s="2110"/>
      <c r="BG97" s="2108">
        <f t="shared" ref="BG97" si="118">+BG95/$F$91</f>
        <v>0</v>
      </c>
      <c r="BH97" s="2109"/>
      <c r="BI97" s="2109"/>
      <c r="BJ97" s="2110"/>
    </row>
    <row r="98" spans="1:62" ht="18" thickBot="1">
      <c r="A98" s="1720"/>
      <c r="B98" s="1721"/>
      <c r="C98" s="1722"/>
      <c r="D98" s="1723"/>
      <c r="E98" s="1724"/>
      <c r="F98" s="1725" t="s">
        <v>1964</v>
      </c>
      <c r="G98" s="1726"/>
      <c r="H98" s="1726"/>
      <c r="I98" s="1726"/>
      <c r="J98" s="1726"/>
      <c r="K98" s="1726"/>
      <c r="L98" s="1726"/>
      <c r="M98" s="1726"/>
      <c r="N98" s="1726"/>
      <c r="O98" s="2105">
        <f t="shared" ref="O98" si="119">+O97</f>
        <v>0.12268984491110377</v>
      </c>
      <c r="P98" s="2106"/>
      <c r="Q98" s="2106"/>
      <c r="R98" s="2107"/>
      <c r="S98" s="2105">
        <f>+S97+O98</f>
        <v>0.29741342108044888</v>
      </c>
      <c r="T98" s="2106"/>
      <c r="U98" s="2106"/>
      <c r="V98" s="2107"/>
      <c r="W98" s="2105">
        <f>+W97+S98</f>
        <v>0.48396307199285915</v>
      </c>
      <c r="X98" s="2106"/>
      <c r="Y98" s="2106"/>
      <c r="Z98" s="2107"/>
      <c r="AA98" s="2105">
        <f>+AA97+W98</f>
        <v>0.6784713042734607</v>
      </c>
      <c r="AB98" s="2106"/>
      <c r="AC98" s="2106"/>
      <c r="AD98" s="2107"/>
      <c r="AE98" s="2105">
        <f>+AE97+AA98</f>
        <v>0.82926967248555905</v>
      </c>
      <c r="AF98" s="2106"/>
      <c r="AG98" s="2106"/>
      <c r="AH98" s="2107"/>
      <c r="AI98" s="2105">
        <f>+AI97+AE98</f>
        <v>0.97020260347470832</v>
      </c>
      <c r="AJ98" s="2106"/>
      <c r="AK98" s="2106"/>
      <c r="AL98" s="2107"/>
      <c r="AM98" s="2105">
        <f>+AM97+AI98</f>
        <v>1.120668029882014</v>
      </c>
      <c r="AN98" s="2106"/>
      <c r="AO98" s="2106"/>
      <c r="AP98" s="2107"/>
      <c r="AQ98" s="2105">
        <f>+AQ97+AM98</f>
        <v>1.2276081157563419</v>
      </c>
      <c r="AR98" s="2106"/>
      <c r="AS98" s="2106"/>
      <c r="AT98" s="2107"/>
      <c r="AU98" s="2105">
        <f t="shared" ref="AU98" si="120">+AU97+AQ98</f>
        <v>1.2276081157563419</v>
      </c>
      <c r="AV98" s="2106"/>
      <c r="AW98" s="2106"/>
      <c r="AX98" s="2107"/>
      <c r="AY98" s="2105">
        <f t="shared" ref="AY98" si="121">+AY97+AU98</f>
        <v>1.2276081157563419</v>
      </c>
      <c r="AZ98" s="2106"/>
      <c r="BA98" s="2106"/>
      <c r="BB98" s="2107"/>
      <c r="BC98" s="2105">
        <f t="shared" ref="BC98" si="122">+BC97+AY98</f>
        <v>1.2276081157563419</v>
      </c>
      <c r="BD98" s="2106"/>
      <c r="BE98" s="2106"/>
      <c r="BF98" s="2107"/>
      <c r="BG98" s="2105">
        <f t="shared" ref="BG98" si="123">+BG97+BC98</f>
        <v>1.2276081157563419</v>
      </c>
      <c r="BH98" s="2106"/>
      <c r="BI98" s="2106"/>
      <c r="BJ98" s="2107"/>
    </row>
  </sheetData>
  <mergeCells count="77">
    <mergeCell ref="A1:F1"/>
    <mergeCell ref="G1:BJ2"/>
    <mergeCell ref="A2:F2"/>
    <mergeCell ref="A72:B72"/>
    <mergeCell ref="AI3:AL4"/>
    <mergeCell ref="AM3:AP4"/>
    <mergeCell ref="AQ3:AT4"/>
    <mergeCell ref="AU3:AX4"/>
    <mergeCell ref="A3:F3"/>
    <mergeCell ref="G3:J4"/>
    <mergeCell ref="K3:N4"/>
    <mergeCell ref="O3:R4"/>
    <mergeCell ref="S3:V4"/>
    <mergeCell ref="W3:Z4"/>
    <mergeCell ref="AA3:AD4"/>
    <mergeCell ref="AE3:AH4"/>
    <mergeCell ref="BG3:BJ4"/>
    <mergeCell ref="A4:C4"/>
    <mergeCell ref="D4:F4"/>
    <mergeCell ref="AY3:BB4"/>
    <mergeCell ref="BC3:BF4"/>
    <mergeCell ref="G93:J93"/>
    <mergeCell ref="K93:N93"/>
    <mergeCell ref="G94:J94"/>
    <mergeCell ref="K94:N94"/>
    <mergeCell ref="G95:J95"/>
    <mergeCell ref="K95:N95"/>
    <mergeCell ref="BG95:BJ95"/>
    <mergeCell ref="O95:R95"/>
    <mergeCell ref="S95:V95"/>
    <mergeCell ref="W95:Z95"/>
    <mergeCell ref="AA95:AD95"/>
    <mergeCell ref="AE95:AH95"/>
    <mergeCell ref="AI95:AL95"/>
    <mergeCell ref="AM95:AP95"/>
    <mergeCell ref="AQ95:AT95"/>
    <mergeCell ref="AU95:AX95"/>
    <mergeCell ref="AY95:BB95"/>
    <mergeCell ref="BC95:BF95"/>
    <mergeCell ref="AY96:BB96"/>
    <mergeCell ref="G96:J96"/>
    <mergeCell ref="K96:N96"/>
    <mergeCell ref="O96:R96"/>
    <mergeCell ref="S96:V96"/>
    <mergeCell ref="W96:Z96"/>
    <mergeCell ref="AA96:AD96"/>
    <mergeCell ref="AI98:AL98"/>
    <mergeCell ref="BC96:BF96"/>
    <mergeCell ref="BG96:BJ96"/>
    <mergeCell ref="O97:R97"/>
    <mergeCell ref="S97:V97"/>
    <mergeCell ref="W97:Z97"/>
    <mergeCell ref="AA97:AD97"/>
    <mergeCell ref="AE97:AH97"/>
    <mergeCell ref="AI97:AL97"/>
    <mergeCell ref="AM97:AP97"/>
    <mergeCell ref="AQ97:AT97"/>
    <mergeCell ref="AE96:AH96"/>
    <mergeCell ref="AI96:AL96"/>
    <mergeCell ref="AM96:AP96"/>
    <mergeCell ref="AQ96:AT96"/>
    <mergeCell ref="AU96:AX96"/>
    <mergeCell ref="O98:R98"/>
    <mergeCell ref="S98:V98"/>
    <mergeCell ref="W98:Z98"/>
    <mergeCell ref="AA98:AD98"/>
    <mergeCell ref="AE98:AH98"/>
    <mergeCell ref="BG98:BJ98"/>
    <mergeCell ref="AU97:AX97"/>
    <mergeCell ref="AY97:BB97"/>
    <mergeCell ref="BC97:BF97"/>
    <mergeCell ref="BG97:BJ97"/>
    <mergeCell ref="AM98:AP98"/>
    <mergeCell ref="AQ98:AT98"/>
    <mergeCell ref="AU98:AX98"/>
    <mergeCell ref="AY98:BB98"/>
    <mergeCell ref="BC98:BF98"/>
  </mergeCells>
  <conditionalFormatting sqref="O6:AT46 O47:AJ47 AL47:AT47 O48:AT68">
    <cfRule type="cellIs" dxfId="2" priority="1" operator="greaterThan">
      <formula>1</formula>
    </cfRule>
    <cfRule type="cellIs" dxfId="1" priority="2" operator="greaterThan">
      <formula>1</formula>
    </cfRule>
  </conditionalFormatting>
  <printOptions horizontalCentered="1"/>
  <pageMargins left="0.25" right="0.25" top="0.75" bottom="0.75" header="0.3" footer="0.3"/>
  <pageSetup paperSize="5" scale="15"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5">
    <tabColor theme="6" tint="0.39997558519241921"/>
  </sheetPr>
  <dimension ref="A1:N105"/>
  <sheetViews>
    <sheetView view="pageBreakPreview" topLeftCell="A74" zoomScaleNormal="85" zoomScaleSheetLayoutView="100" workbookViewId="0">
      <selection activeCell="F77" sqref="F77"/>
    </sheetView>
  </sheetViews>
  <sheetFormatPr baseColWidth="10" defaultColWidth="11.42578125" defaultRowHeight="7.15" customHeight="1"/>
  <cols>
    <col min="1" max="1" width="5.5703125" style="593" customWidth="1"/>
    <col min="2" max="2" width="70.28515625" style="101" customWidth="1"/>
    <col min="3" max="3" width="7.140625" style="101" customWidth="1"/>
    <col min="4" max="4" width="9.7109375" style="131" customWidth="1"/>
    <col min="5" max="5" width="14.42578125" style="1290" customWidth="1"/>
    <col min="6" max="6" width="17.42578125" style="102" bestFit="1" customWidth="1"/>
    <col min="7" max="7" width="19.140625" style="100" customWidth="1"/>
    <col min="8" max="8" width="23" style="1298" customWidth="1"/>
    <col min="9" max="9" width="18.7109375" style="101" customWidth="1"/>
    <col min="10" max="10" width="13.140625" style="102" customWidth="1"/>
    <col min="11" max="16384" width="11.42578125" style="102"/>
  </cols>
  <sheetData>
    <row r="1" spans="1:14" ht="12.75">
      <c r="A1" s="2151" t="s">
        <v>2701</v>
      </c>
      <c r="B1" s="2152"/>
      <c r="C1" s="2152"/>
      <c r="D1" s="2152"/>
      <c r="E1" s="2152"/>
      <c r="F1" s="2153"/>
      <c r="G1" s="1736"/>
      <c r="H1" s="1736"/>
      <c r="I1" s="1736"/>
      <c r="J1" s="1736"/>
      <c r="K1" s="1736"/>
      <c r="L1" s="1736"/>
      <c r="M1" s="1736"/>
      <c r="N1" s="1736"/>
    </row>
    <row r="2" spans="1:14" ht="12.75" customHeight="1">
      <c r="A2" s="2154" t="s">
        <v>2702</v>
      </c>
      <c r="B2" s="2155"/>
      <c r="C2" s="2155"/>
      <c r="D2" s="2155"/>
      <c r="E2" s="2155"/>
      <c r="F2" s="2156"/>
      <c r="G2" s="1737"/>
      <c r="H2" s="1737"/>
      <c r="I2" s="1737"/>
      <c r="J2" s="1737"/>
      <c r="K2" s="1737"/>
      <c r="L2" s="1737"/>
      <c r="M2" s="1737"/>
      <c r="N2" s="1737"/>
    </row>
    <row r="3" spans="1:14" ht="12.75">
      <c r="A3" s="2160" t="s">
        <v>2703</v>
      </c>
      <c r="B3" s="2161"/>
      <c r="C3" s="2161"/>
      <c r="D3" s="2161"/>
      <c r="E3" s="2161"/>
      <c r="F3" s="2162"/>
      <c r="G3" s="1738"/>
      <c r="H3" s="1738"/>
      <c r="I3" s="1738"/>
      <c r="J3" s="1738"/>
      <c r="K3" s="1738"/>
      <c r="L3" s="1738"/>
      <c r="M3" s="1738"/>
      <c r="N3" s="1738"/>
    </row>
    <row r="4" spans="1:14" ht="12.75">
      <c r="A4" s="2163" t="s">
        <v>2704</v>
      </c>
      <c r="B4" s="2164"/>
      <c r="C4" s="2164"/>
      <c r="D4" s="2164"/>
      <c r="E4" s="2164"/>
      <c r="F4" s="2165"/>
      <c r="G4" s="1739"/>
      <c r="H4" s="1739"/>
      <c r="I4" s="1739"/>
      <c r="J4" s="1739"/>
      <c r="K4" s="1739"/>
      <c r="L4" s="1739"/>
      <c r="M4" s="1739"/>
      <c r="N4" s="1739"/>
    </row>
    <row r="5" spans="1:14" ht="25.5" customHeight="1">
      <c r="A5" s="2166" t="s">
        <v>2686</v>
      </c>
      <c r="B5" s="2167"/>
      <c r="C5" s="2167"/>
      <c r="D5" s="2167"/>
      <c r="E5" s="2167"/>
      <c r="F5" s="2168"/>
      <c r="G5" s="1739"/>
      <c r="H5" s="1739"/>
      <c r="I5" s="1739"/>
      <c r="J5" s="1739"/>
      <c r="K5" s="1739"/>
      <c r="L5" s="1739"/>
      <c r="M5" s="1739"/>
      <c r="N5" s="1739"/>
    </row>
    <row r="6" spans="1:14" ht="47.25" customHeight="1">
      <c r="A6" s="2169" t="s">
        <v>2705</v>
      </c>
      <c r="B6" s="2170"/>
      <c r="C6" s="2170"/>
      <c r="D6" s="2170"/>
      <c r="E6" s="2170"/>
      <c r="F6" s="2171"/>
      <c r="G6" s="1740"/>
      <c r="H6" s="1740"/>
      <c r="I6" s="1740"/>
      <c r="J6" s="1740"/>
      <c r="K6" s="1740"/>
      <c r="L6" s="1740"/>
      <c r="M6" s="1740"/>
      <c r="N6" s="1740"/>
    </row>
    <row r="7" spans="1:14" ht="12.75">
      <c r="A7" s="2169"/>
      <c r="B7" s="2170"/>
      <c r="C7" s="2170"/>
      <c r="D7" s="2170"/>
      <c r="E7" s="2170"/>
      <c r="F7" s="2171"/>
      <c r="G7" s="1740"/>
      <c r="H7" s="1740"/>
      <c r="I7" s="1740"/>
      <c r="J7" s="1740"/>
      <c r="K7" s="1740"/>
      <c r="L7" s="1740"/>
      <c r="M7" s="1740"/>
      <c r="N7" s="1740"/>
    </row>
    <row r="8" spans="1:14" ht="51.75" customHeight="1" thickBot="1">
      <c r="A8" s="2157" t="s">
        <v>2706</v>
      </c>
      <c r="B8" s="2158"/>
      <c r="C8" s="2158"/>
      <c r="D8" s="2158"/>
      <c r="E8" s="2158"/>
      <c r="F8" s="2159"/>
      <c r="G8" s="1740"/>
      <c r="H8" s="1740"/>
      <c r="I8" s="1740"/>
      <c r="J8" s="1740"/>
      <c r="K8" s="1740"/>
      <c r="L8" s="1740"/>
      <c r="M8" s="1740"/>
      <c r="N8" s="1740"/>
    </row>
    <row r="9" spans="1:14" s="105" customFormat="1" ht="48.75" customHeight="1" thickBot="1">
      <c r="A9" s="2145" t="s">
        <v>2686</v>
      </c>
      <c r="B9" s="2146"/>
      <c r="C9" s="2146"/>
      <c r="D9" s="2146"/>
      <c r="E9" s="2146"/>
      <c r="F9" s="2147"/>
      <c r="G9" s="103"/>
      <c r="H9" s="1299"/>
      <c r="I9" s="104"/>
    </row>
    <row r="10" spans="1:14" s="106" customFormat="1" ht="23.45" customHeight="1" thickBot="1">
      <c r="A10" s="2148" t="s">
        <v>2270</v>
      </c>
      <c r="B10" s="2149"/>
      <c r="C10" s="2149"/>
      <c r="D10" s="2149"/>
      <c r="E10" s="2149"/>
      <c r="F10" s="2150"/>
      <c r="G10" s="697">
        <f>+F95</f>
        <v>4040432933</v>
      </c>
      <c r="H10" s="1734">
        <v>4099869256</v>
      </c>
      <c r="I10" s="1267">
        <f>G10-H10</f>
        <v>-59436323</v>
      </c>
      <c r="J10" s="1227"/>
    </row>
    <row r="11" spans="1:14" s="105" customFormat="1" ht="30.95" customHeight="1">
      <c r="A11" s="587" t="s">
        <v>538</v>
      </c>
      <c r="B11" s="107" t="s">
        <v>514</v>
      </c>
      <c r="C11" s="107" t="s">
        <v>515</v>
      </c>
      <c r="D11" s="108" t="s">
        <v>7</v>
      </c>
      <c r="E11" s="587" t="s">
        <v>832</v>
      </c>
      <c r="F11" s="107" t="s">
        <v>533</v>
      </c>
      <c r="G11" s="109">
        <f>H10-G10</f>
        <v>59436323</v>
      </c>
      <c r="H11" s="1299"/>
      <c r="I11" s="104"/>
    </row>
    <row r="12" spans="1:14" s="105" customFormat="1" ht="15.75">
      <c r="A12" s="1216" t="s">
        <v>2516</v>
      </c>
      <c r="B12" s="1213"/>
      <c r="C12" s="1214"/>
      <c r="D12" s="1215"/>
      <c r="E12" s="1289"/>
      <c r="F12" s="1214"/>
      <c r="G12" s="109"/>
      <c r="H12" s="1299"/>
      <c r="I12" s="104"/>
    </row>
    <row r="13" spans="1:14" s="105" customFormat="1" ht="12.75">
      <c r="A13" s="834">
        <v>1</v>
      </c>
      <c r="B13" s="835" t="s">
        <v>2271</v>
      </c>
      <c r="C13" s="836"/>
      <c r="D13" s="837"/>
      <c r="E13" s="1288"/>
      <c r="F13" s="838"/>
      <c r="G13" s="103"/>
      <c r="H13" s="1299"/>
      <c r="I13" s="104"/>
    </row>
    <row r="14" spans="1:14" s="105" customFormat="1" ht="12.75">
      <c r="A14" s="589"/>
      <c r="B14" s="112"/>
      <c r="C14" s="117"/>
      <c r="D14" s="118"/>
      <c r="E14" s="1287"/>
      <c r="F14" s="114"/>
      <c r="G14" s="103"/>
      <c r="H14" s="1299"/>
      <c r="I14" s="104"/>
    </row>
    <row r="15" spans="1:14" s="105" customFormat="1" ht="12.75">
      <c r="A15" s="839">
        <v>1.1000000000000001</v>
      </c>
      <c r="B15" s="840" t="s">
        <v>2282</v>
      </c>
      <c r="C15" s="841"/>
      <c r="D15" s="845"/>
      <c r="E15" s="1286"/>
      <c r="F15" s="843"/>
      <c r="G15" s="103"/>
      <c r="H15" s="1299"/>
      <c r="I15" s="104"/>
    </row>
    <row r="16" spans="1:14" s="105" customFormat="1" ht="12.75">
      <c r="A16" s="589" t="s">
        <v>1651</v>
      </c>
      <c r="B16" s="115" t="s">
        <v>2279</v>
      </c>
      <c r="C16" s="117" t="s">
        <v>1654</v>
      </c>
      <c r="D16" s="118">
        <f>+Mem_CALCULO!BK168</f>
        <v>4383.1299999999992</v>
      </c>
      <c r="E16" s="1287">
        <f>'1.1.1'!H54</f>
        <v>4158.7</v>
      </c>
      <c r="F16" s="111">
        <f t="shared" ref="F16:F21" si="0">ROUND(E16*D16,0)</f>
        <v>18228123</v>
      </c>
      <c r="G16" s="103"/>
      <c r="H16" s="1299"/>
      <c r="I16" s="1228"/>
      <c r="J16" s="1230"/>
    </row>
    <row r="17" spans="1:11" s="105" customFormat="1" ht="12.75">
      <c r="A17" s="589" t="s">
        <v>1652</v>
      </c>
      <c r="B17" s="115" t="s">
        <v>2695</v>
      </c>
      <c r="C17" s="117" t="s">
        <v>352</v>
      </c>
      <c r="D17" s="118">
        <f>+Mem_CALCULO!BQ166</f>
        <v>3219.6</v>
      </c>
      <c r="E17" s="1287">
        <f>'1.1.2'!H54</f>
        <v>44305.3</v>
      </c>
      <c r="F17" s="111">
        <f t="shared" si="0"/>
        <v>142645344</v>
      </c>
      <c r="G17" s="103"/>
      <c r="H17" s="1299"/>
      <c r="I17" s="1228"/>
      <c r="J17" s="1230"/>
    </row>
    <row r="18" spans="1:11" s="105" customFormat="1" ht="12.75">
      <c r="A18" s="589" t="s">
        <v>1653</v>
      </c>
      <c r="B18" s="115" t="s">
        <v>2608</v>
      </c>
      <c r="C18" s="117" t="s">
        <v>352</v>
      </c>
      <c r="D18" s="118">
        <f>+Mem_CALCULO!BQ178</f>
        <v>779.12</v>
      </c>
      <c r="E18" s="1287">
        <f>'1.1.3'!H54</f>
        <v>59073.3</v>
      </c>
      <c r="F18" s="111">
        <f t="shared" si="0"/>
        <v>46025189</v>
      </c>
      <c r="G18" s="103"/>
      <c r="H18" s="1299"/>
      <c r="I18" s="1228"/>
      <c r="J18" s="1230"/>
      <c r="K18" s="1255"/>
    </row>
    <row r="19" spans="1:11" s="105" customFormat="1" ht="12.75">
      <c r="A19" s="589" t="s">
        <v>2277</v>
      </c>
      <c r="B19" s="818" t="s">
        <v>2606</v>
      </c>
      <c r="C19" s="1253" t="s">
        <v>352</v>
      </c>
      <c r="D19" s="1254">
        <f>+Mem_CALCULO!BQ172</f>
        <v>3666.45</v>
      </c>
      <c r="E19" s="1287">
        <f>'1.1.4'!H54</f>
        <v>23400</v>
      </c>
      <c r="F19" s="111">
        <f t="shared" si="0"/>
        <v>85794930</v>
      </c>
      <c r="G19" s="103"/>
      <c r="H19" s="1299"/>
      <c r="I19" s="1233"/>
      <c r="J19" s="1230"/>
    </row>
    <row r="20" spans="1:11" ht="12.75">
      <c r="A20" s="1031" t="s">
        <v>2278</v>
      </c>
      <c r="B20" s="818" t="s">
        <v>2571</v>
      </c>
      <c r="C20" s="1253" t="s">
        <v>352</v>
      </c>
      <c r="D20" s="1254">
        <f>+Mem_CALCULO!BZ160</f>
        <v>137.49</v>
      </c>
      <c r="E20" s="1287">
        <f>'1.1.5'!H54</f>
        <v>152432.79999999999</v>
      </c>
      <c r="F20" s="111">
        <f t="shared" si="0"/>
        <v>20957986</v>
      </c>
      <c r="G20" s="1030"/>
      <c r="I20" s="1273"/>
      <c r="J20" s="1274"/>
    </row>
    <row r="21" spans="1:11" s="105" customFormat="1" ht="26.25" customHeight="1">
      <c r="A21" s="589" t="s">
        <v>2570</v>
      </c>
      <c r="B21" s="115" t="s">
        <v>2612</v>
      </c>
      <c r="C21" s="117" t="s">
        <v>352</v>
      </c>
      <c r="D21" s="118">
        <f>+Mem_CALCULO!BQ208</f>
        <v>2490.7600000000002</v>
      </c>
      <c r="E21" s="1287">
        <f>'1.1.6'!H54</f>
        <v>34490.300000000003</v>
      </c>
      <c r="F21" s="111">
        <f t="shared" si="0"/>
        <v>85907060</v>
      </c>
      <c r="G21" s="103"/>
      <c r="H21" s="1299"/>
      <c r="I21" s="1233"/>
      <c r="J21" s="1230"/>
    </row>
    <row r="22" spans="1:11" s="105" customFormat="1" ht="12.75">
      <c r="A22" s="589"/>
      <c r="B22" s="578" t="s">
        <v>1698</v>
      </c>
      <c r="C22" s="117"/>
      <c r="D22" s="118"/>
      <c r="E22" s="1287"/>
      <c r="F22" s="114">
        <f>SUM(F16:F21)</f>
        <v>399558632</v>
      </c>
      <c r="G22" s="1742"/>
      <c r="H22" s="1299"/>
      <c r="I22" s="1233"/>
      <c r="J22" s="1234"/>
    </row>
    <row r="23" spans="1:11" s="105" customFormat="1" ht="12.75">
      <c r="A23" s="589"/>
      <c r="B23" s="578"/>
      <c r="C23" s="117"/>
      <c r="D23" s="118"/>
      <c r="E23" s="1287"/>
      <c r="F23" s="114"/>
      <c r="G23" s="1742"/>
      <c r="H23" s="1299"/>
      <c r="I23" s="1233"/>
      <c r="J23" s="1234"/>
    </row>
    <row r="24" spans="1:11" s="105" customFormat="1" ht="12.75">
      <c r="A24" s="839">
        <v>1.2</v>
      </c>
      <c r="B24" s="840" t="s">
        <v>2532</v>
      </c>
      <c r="C24" s="841"/>
      <c r="D24" s="842"/>
      <c r="E24" s="1286"/>
      <c r="F24" s="843"/>
      <c r="G24" s="1742"/>
      <c r="H24" s="1299"/>
      <c r="I24" s="1233"/>
      <c r="J24" s="1234"/>
    </row>
    <row r="25" spans="1:11" s="105" customFormat="1" ht="12.75">
      <c r="A25" s="589" t="s">
        <v>2287</v>
      </c>
      <c r="B25" s="1219" t="s">
        <v>2533</v>
      </c>
      <c r="C25" s="117" t="s">
        <v>1654</v>
      </c>
      <c r="D25" s="118">
        <f t="shared" ref="D25:D28" si="1">+D32</f>
        <v>3281.7499999999995</v>
      </c>
      <c r="E25" s="1287">
        <f>+'1.2.1'!H52</f>
        <v>79871</v>
      </c>
      <c r="F25" s="111">
        <f t="shared" ref="F25:F28" si="2">ROUND(E25*D25,0)</f>
        <v>262116654</v>
      </c>
      <c r="G25" s="1742"/>
      <c r="H25" s="1299"/>
      <c r="I25" s="1233"/>
      <c r="J25" s="1234"/>
    </row>
    <row r="26" spans="1:11" s="105" customFormat="1" ht="12.75">
      <c r="A26" s="589" t="s">
        <v>2288</v>
      </c>
      <c r="B26" s="1219" t="s">
        <v>2534</v>
      </c>
      <c r="C26" s="117" t="s">
        <v>1654</v>
      </c>
      <c r="D26" s="118">
        <f t="shared" si="1"/>
        <v>259.95</v>
      </c>
      <c r="E26" s="1287">
        <f>+'1.2.2'!H52</f>
        <v>115517</v>
      </c>
      <c r="F26" s="111">
        <f t="shared" si="2"/>
        <v>30028644</v>
      </c>
      <c r="G26" s="1742"/>
      <c r="H26" s="1299"/>
      <c r="I26" s="1233"/>
      <c r="J26" s="1234"/>
    </row>
    <row r="27" spans="1:11" s="105" customFormat="1" ht="12.75">
      <c r="A27" s="589" t="s">
        <v>2289</v>
      </c>
      <c r="B27" s="1219" t="s">
        <v>2535</v>
      </c>
      <c r="C27" s="117" t="s">
        <v>1654</v>
      </c>
      <c r="D27" s="118">
        <f t="shared" si="1"/>
        <v>639.9</v>
      </c>
      <c r="E27" s="1287">
        <f>+'1.2.3'!H52</f>
        <v>165136</v>
      </c>
      <c r="F27" s="111">
        <f t="shared" si="2"/>
        <v>105670526</v>
      </c>
      <c r="G27" s="1742"/>
      <c r="H27" s="1299"/>
      <c r="I27" s="1233"/>
      <c r="J27" s="1234"/>
    </row>
    <row r="28" spans="1:11" s="105" customFormat="1" ht="12.75">
      <c r="A28" s="589" t="s">
        <v>2290</v>
      </c>
      <c r="B28" s="1219" t="s">
        <v>2536</v>
      </c>
      <c r="C28" s="117" t="s">
        <v>1654</v>
      </c>
      <c r="D28" s="118">
        <f t="shared" si="1"/>
        <v>201.53</v>
      </c>
      <c r="E28" s="1287">
        <f>+'1.2.4'!H52</f>
        <v>246246</v>
      </c>
      <c r="F28" s="111">
        <f t="shared" si="2"/>
        <v>49625956</v>
      </c>
      <c r="G28" s="1742"/>
      <c r="H28" s="1299"/>
      <c r="I28" s="1233"/>
      <c r="J28" s="1234"/>
    </row>
    <row r="29" spans="1:11" s="105" customFormat="1" ht="12.75">
      <c r="A29" s="589"/>
      <c r="B29" s="578" t="s">
        <v>2537</v>
      </c>
      <c r="C29" s="117"/>
      <c r="D29" s="118"/>
      <c r="E29" s="1287"/>
      <c r="F29" s="114">
        <f>SUM(F25:F28)</f>
        <v>447441780</v>
      </c>
      <c r="G29" s="1742"/>
      <c r="H29" s="1299"/>
      <c r="I29" s="1233"/>
      <c r="J29" s="1234"/>
    </row>
    <row r="30" spans="1:11" s="105" customFormat="1" ht="12.75">
      <c r="A30" s="589"/>
      <c r="B30" s="115"/>
      <c r="C30" s="117"/>
      <c r="D30" s="118"/>
      <c r="E30" s="1287"/>
      <c r="F30" s="116"/>
      <c r="G30" s="1742"/>
      <c r="H30" s="1299"/>
      <c r="I30" s="1233"/>
      <c r="J30" s="1234"/>
    </row>
    <row r="31" spans="1:11" s="105" customFormat="1" ht="12.75">
      <c r="A31" s="839">
        <v>1.3</v>
      </c>
      <c r="B31" s="840" t="s">
        <v>2538</v>
      </c>
      <c r="C31" s="841"/>
      <c r="D31" s="842"/>
      <c r="E31" s="1286"/>
      <c r="F31" s="843"/>
      <c r="G31" s="1742"/>
      <c r="H31" s="1299"/>
      <c r="I31" s="1233"/>
      <c r="J31" s="1234"/>
    </row>
    <row r="32" spans="1:11" ht="38.25">
      <c r="A32" s="1031" t="s">
        <v>2291</v>
      </c>
      <c r="B32" s="1280" t="s">
        <v>2581</v>
      </c>
      <c r="C32" s="1279" t="s">
        <v>1654</v>
      </c>
      <c r="D32" s="1278">
        <f>+Mem_CALCULO!BK164</f>
        <v>3281.7499999999995</v>
      </c>
      <c r="E32" s="1287">
        <f>'1.3.1'!H54</f>
        <v>34398</v>
      </c>
      <c r="F32" s="1293">
        <f t="shared" ref="F32:F35" si="3">ROUND(E32*D32,0)</f>
        <v>112885637</v>
      </c>
      <c r="G32" s="1743"/>
      <c r="I32" s="1235"/>
      <c r="J32" s="1236"/>
    </row>
    <row r="33" spans="1:10" s="105" customFormat="1" ht="38.25">
      <c r="A33" s="1031" t="s">
        <v>2292</v>
      </c>
      <c r="B33" s="1280" t="s">
        <v>2582</v>
      </c>
      <c r="C33" s="1279" t="s">
        <v>1654</v>
      </c>
      <c r="D33" s="1278">
        <f>+Mem_CALCULO!BK165</f>
        <v>259.95</v>
      </c>
      <c r="E33" s="1287">
        <f>'1.3.2'!H54</f>
        <v>40095.9</v>
      </c>
      <c r="F33" s="1293">
        <f t="shared" si="3"/>
        <v>10422929</v>
      </c>
      <c r="G33" s="1743"/>
      <c r="H33" s="1299"/>
      <c r="I33" s="1231"/>
      <c r="J33" s="1232"/>
    </row>
    <row r="34" spans="1:10" s="105" customFormat="1" ht="38.25">
      <c r="A34" s="1031" t="s">
        <v>2539</v>
      </c>
      <c r="B34" s="1280" t="s">
        <v>2607</v>
      </c>
      <c r="C34" s="1279" t="s">
        <v>1654</v>
      </c>
      <c r="D34" s="1278">
        <f>+Mem_CALCULO!BK166</f>
        <v>639.9</v>
      </c>
      <c r="E34" s="1287">
        <f>'1.3.3'!H54</f>
        <v>47378.5</v>
      </c>
      <c r="F34" s="1293">
        <f t="shared" si="3"/>
        <v>30317502</v>
      </c>
      <c r="G34" s="1743"/>
      <c r="H34" s="1299"/>
      <c r="I34" s="1231"/>
      <c r="J34" s="1232"/>
    </row>
    <row r="35" spans="1:10" s="105" customFormat="1" ht="38.25">
      <c r="A35" s="1031" t="s">
        <v>2540</v>
      </c>
      <c r="B35" s="1280" t="s">
        <v>2583</v>
      </c>
      <c r="C35" s="1279" t="s">
        <v>1654</v>
      </c>
      <c r="D35" s="1278">
        <f>+Mem_CALCULO!BK167</f>
        <v>201.53</v>
      </c>
      <c r="E35" s="1287">
        <f>'1.3.4'!H54</f>
        <v>57417.1</v>
      </c>
      <c r="F35" s="1293">
        <f t="shared" si="3"/>
        <v>11571268</v>
      </c>
      <c r="G35" s="1744"/>
      <c r="H35" s="1299"/>
      <c r="I35" s="1228"/>
    </row>
    <row r="36" spans="1:10" s="105" customFormat="1" ht="12.75">
      <c r="A36" s="589"/>
      <c r="B36" s="112" t="s">
        <v>1727</v>
      </c>
      <c r="C36" s="117"/>
      <c r="D36" s="118"/>
      <c r="E36" s="1287"/>
      <c r="F36" s="114">
        <f>SUM(F32:F35)</f>
        <v>165197336</v>
      </c>
      <c r="G36" s="1744"/>
      <c r="H36" s="1299"/>
      <c r="I36" s="104"/>
    </row>
    <row r="37" spans="1:10" s="105" customFormat="1" ht="12.75">
      <c r="A37" s="589"/>
      <c r="B37" s="115"/>
      <c r="C37" s="117"/>
      <c r="D37" s="118"/>
      <c r="E37" s="1287"/>
      <c r="F37" s="111"/>
      <c r="G37" s="1744"/>
      <c r="H37" s="1299"/>
      <c r="I37" s="104"/>
    </row>
    <row r="38" spans="1:10" s="105" customFormat="1" ht="12.75">
      <c r="A38" s="844">
        <v>1.4</v>
      </c>
      <c r="B38" s="840" t="s">
        <v>2272</v>
      </c>
      <c r="C38" s="841"/>
      <c r="D38" s="842"/>
      <c r="E38" s="1286"/>
      <c r="F38" s="843"/>
      <c r="G38" s="1744"/>
      <c r="H38" s="1299"/>
      <c r="I38" s="104"/>
    </row>
    <row r="39" spans="1:10" s="105" customFormat="1" ht="30.75" customHeight="1">
      <c r="A39" s="827" t="s">
        <v>2293</v>
      </c>
      <c r="B39" s="818" t="s">
        <v>2568</v>
      </c>
      <c r="C39" s="117" t="s">
        <v>205</v>
      </c>
      <c r="D39" s="118">
        <f>+Mem_CALCULO!BQ199</f>
        <v>5166.08</v>
      </c>
      <c r="E39" s="1287">
        <f>'1.4.1'!H54</f>
        <v>65834.600000000006</v>
      </c>
      <c r="F39" s="111">
        <f>ROUND(E39*D39,0)</f>
        <v>340106810</v>
      </c>
      <c r="G39" s="1742"/>
      <c r="H39" s="1299"/>
      <c r="I39" s="1233"/>
    </row>
    <row r="40" spans="1:10" s="105" customFormat="1" ht="25.5">
      <c r="A40" s="827" t="s">
        <v>2294</v>
      </c>
      <c r="B40" s="818" t="s">
        <v>2569</v>
      </c>
      <c r="C40" s="117" t="s">
        <v>205</v>
      </c>
      <c r="D40" s="118">
        <f>+Mem_CALCULO!BQ200</f>
        <v>1503.97</v>
      </c>
      <c r="E40" s="1287">
        <f>'1.4.2'!H54</f>
        <v>204972.3</v>
      </c>
      <c r="F40" s="111">
        <f t="shared" ref="F40" si="4">ROUND(E40*D40,0)</f>
        <v>308272190</v>
      </c>
      <c r="G40" s="1742"/>
      <c r="H40" s="1299"/>
      <c r="I40" s="1233"/>
    </row>
    <row r="41" spans="1:10" s="105" customFormat="1" ht="12.75">
      <c r="A41" s="589"/>
      <c r="B41" s="112" t="s">
        <v>2283</v>
      </c>
      <c r="C41" s="117"/>
      <c r="D41" s="118"/>
      <c r="E41" s="1287"/>
      <c r="F41" s="114">
        <f>SUM(F39:F40)</f>
        <v>648379000</v>
      </c>
      <c r="G41" s="1742"/>
      <c r="H41" s="1299"/>
      <c r="I41" s="104"/>
    </row>
    <row r="42" spans="1:10" s="105" customFormat="1" ht="12.75">
      <c r="A42" s="589"/>
      <c r="B42" s="112"/>
      <c r="C42" s="117"/>
      <c r="D42" s="118"/>
      <c r="E42" s="1287"/>
      <c r="F42" s="114"/>
      <c r="G42" s="1742"/>
      <c r="H42" s="1299"/>
      <c r="I42" s="104"/>
    </row>
    <row r="43" spans="1:10" s="105" customFormat="1" ht="12.75">
      <c r="A43" s="839">
        <v>1.5</v>
      </c>
      <c r="B43" s="840" t="s">
        <v>1728</v>
      </c>
      <c r="C43" s="841"/>
      <c r="D43" s="842"/>
      <c r="E43" s="1286"/>
      <c r="F43" s="843"/>
      <c r="G43" s="1742"/>
      <c r="H43" s="1299"/>
      <c r="I43" s="104"/>
    </row>
    <row r="44" spans="1:10" s="105" customFormat="1" ht="100.5" customHeight="1">
      <c r="A44" s="589" t="s">
        <v>2295</v>
      </c>
      <c r="B44" s="610" t="s">
        <v>2273</v>
      </c>
      <c r="C44" s="117" t="s">
        <v>622</v>
      </c>
      <c r="D44" s="118">
        <f>+Mem_CALCULO!BL210</f>
        <v>67</v>
      </c>
      <c r="E44" s="1287">
        <f>'1.5.1'!H54</f>
        <v>5207276.0999999996</v>
      </c>
      <c r="F44" s="111">
        <f>ROUND(E44*D44,0)</f>
        <v>348887499</v>
      </c>
      <c r="G44" s="1742"/>
      <c r="H44" s="1299"/>
      <c r="I44" s="1228"/>
      <c r="J44" s="1229"/>
    </row>
    <row r="45" spans="1:10" s="105" customFormat="1" ht="99.6" customHeight="1">
      <c r="A45" s="589" t="s">
        <v>2296</v>
      </c>
      <c r="B45" s="610" t="s">
        <v>1729</v>
      </c>
      <c r="C45" s="117" t="s">
        <v>622</v>
      </c>
      <c r="D45" s="118">
        <f>+Mem_CALCULO!BL211</f>
        <v>15</v>
      </c>
      <c r="E45" s="1287">
        <f>'1.5.2'!H54</f>
        <v>6477747.9000000004</v>
      </c>
      <c r="F45" s="111">
        <f>ROUND(E45*D45,0)</f>
        <v>97166219</v>
      </c>
      <c r="G45" s="1742"/>
      <c r="H45" s="1299"/>
      <c r="I45" s="1228"/>
      <c r="J45" s="1229"/>
    </row>
    <row r="46" spans="1:10" s="105" customFormat="1" ht="96.6" customHeight="1">
      <c r="A46" s="589" t="s">
        <v>2297</v>
      </c>
      <c r="B46" s="610" t="s">
        <v>2409</v>
      </c>
      <c r="C46" s="117" t="s">
        <v>622</v>
      </c>
      <c r="D46" s="118">
        <f>+Mem_CALCULO!BL212</f>
        <v>2</v>
      </c>
      <c r="E46" s="1287">
        <f>'1.5.3'!H54</f>
        <v>7983419.5999999996</v>
      </c>
      <c r="F46" s="111">
        <f>ROUND(E46*D46,0)</f>
        <v>15966839</v>
      </c>
      <c r="G46" s="1742"/>
      <c r="H46" s="1299"/>
      <c r="I46" s="1233"/>
      <c r="J46" s="1230"/>
    </row>
    <row r="47" spans="1:10" s="105" customFormat="1" ht="12.75">
      <c r="A47" s="590"/>
      <c r="B47" s="112" t="s">
        <v>1763</v>
      </c>
      <c r="C47" s="117"/>
      <c r="D47" s="118"/>
      <c r="E47" s="1287"/>
      <c r="F47" s="114">
        <f>SUM(F44:F46)</f>
        <v>462020557</v>
      </c>
      <c r="G47" s="1742"/>
      <c r="H47" s="1299"/>
      <c r="I47" s="104"/>
    </row>
    <row r="48" spans="1:10" s="105" customFormat="1" ht="12.75">
      <c r="A48" s="590"/>
      <c r="B48" s="112"/>
      <c r="C48" s="117"/>
      <c r="D48" s="118"/>
      <c r="E48" s="1287"/>
      <c r="F48" s="114"/>
      <c r="G48" s="1742"/>
      <c r="H48" s="1299"/>
      <c r="I48" s="104"/>
    </row>
    <row r="49" spans="1:9" s="105" customFormat="1" ht="12.75">
      <c r="A49" s="839">
        <v>1.6</v>
      </c>
      <c r="B49" s="840" t="s">
        <v>2541</v>
      </c>
      <c r="C49" s="841"/>
      <c r="D49" s="842"/>
      <c r="E49" s="1286"/>
      <c r="F49" s="843"/>
      <c r="G49" s="1742"/>
      <c r="H49" s="1299"/>
      <c r="I49" s="104"/>
    </row>
    <row r="50" spans="1:9" s="105" customFormat="1" ht="12.75">
      <c r="A50" s="590" t="s">
        <v>2298</v>
      </c>
      <c r="B50" s="610" t="s">
        <v>2542</v>
      </c>
      <c r="C50" s="117" t="str">
        <f>+C57</f>
        <v>m</v>
      </c>
      <c r="D50" s="118">
        <f>+D57</f>
        <v>3656.65</v>
      </c>
      <c r="E50" s="1287">
        <f>+'1.6.1'!H52</f>
        <v>56616</v>
      </c>
      <c r="F50" s="111">
        <f>ROUND(E50*D50,0)</f>
        <v>207024896</v>
      </c>
      <c r="G50" s="1742"/>
      <c r="H50" s="1299"/>
      <c r="I50" s="1228"/>
    </row>
    <row r="51" spans="1:9" s="105" customFormat="1" ht="12.75">
      <c r="A51" s="590" t="s">
        <v>2299</v>
      </c>
      <c r="B51" s="610" t="s">
        <v>2587</v>
      </c>
      <c r="C51" s="117" t="str">
        <f t="shared" ref="C51:D53" si="5">+C58</f>
        <v>Und.</v>
      </c>
      <c r="D51" s="1254">
        <f t="shared" si="5"/>
        <v>136</v>
      </c>
      <c r="E51" s="1287">
        <f>+'1.6.2'!H52</f>
        <v>217902</v>
      </c>
      <c r="F51" s="111">
        <f t="shared" ref="F51:F53" si="6">ROUND(E51*D51,0)</f>
        <v>29634672</v>
      </c>
      <c r="G51" s="1745"/>
      <c r="H51" s="1299"/>
      <c r="I51" s="104"/>
    </row>
    <row r="52" spans="1:9" s="105" customFormat="1" ht="12.75">
      <c r="A52" s="590" t="s">
        <v>2544</v>
      </c>
      <c r="B52" s="610" t="s">
        <v>2588</v>
      </c>
      <c r="C52" s="117" t="str">
        <f t="shared" si="5"/>
        <v>Und.</v>
      </c>
      <c r="D52" s="1254">
        <f t="shared" si="5"/>
        <v>8</v>
      </c>
      <c r="E52" s="1287">
        <f>+'1.6.3'!H52</f>
        <v>246331</v>
      </c>
      <c r="F52" s="111">
        <f t="shared" si="6"/>
        <v>1970648</v>
      </c>
      <c r="G52" s="1742"/>
      <c r="H52" s="1299"/>
      <c r="I52" s="104"/>
    </row>
    <row r="53" spans="1:9" s="105" customFormat="1" ht="12.75">
      <c r="A53" s="590" t="s">
        <v>2545</v>
      </c>
      <c r="B53" s="610" t="s">
        <v>2589</v>
      </c>
      <c r="C53" s="117" t="str">
        <f t="shared" si="5"/>
        <v>Und.</v>
      </c>
      <c r="D53" s="1254">
        <f t="shared" si="5"/>
        <v>17</v>
      </c>
      <c r="E53" s="1287">
        <f>+'1.6.4'!H52</f>
        <v>370391</v>
      </c>
      <c r="F53" s="111">
        <f t="shared" si="6"/>
        <v>6296647</v>
      </c>
      <c r="G53" s="1745"/>
      <c r="H53" s="1299"/>
      <c r="I53" s="104"/>
    </row>
    <row r="54" spans="1:9" s="105" customFormat="1" ht="12.75">
      <c r="A54" s="590"/>
      <c r="B54" s="112" t="s">
        <v>2543</v>
      </c>
      <c r="C54" s="117"/>
      <c r="D54" s="118"/>
      <c r="E54" s="1287"/>
      <c r="F54" s="114">
        <f>SUM(F50:F53)</f>
        <v>244926863</v>
      </c>
      <c r="G54" s="1742"/>
      <c r="H54" s="1299"/>
      <c r="I54" s="104"/>
    </row>
    <row r="55" spans="1:9" s="105" customFormat="1" ht="12.75">
      <c r="A55" s="590"/>
      <c r="B55" s="115"/>
      <c r="C55" s="110"/>
      <c r="D55" s="113"/>
      <c r="E55" s="1287"/>
      <c r="F55" s="114"/>
      <c r="G55" s="1742"/>
      <c r="H55" s="1299"/>
      <c r="I55" s="104"/>
    </row>
    <row r="56" spans="1:9" s="105" customFormat="1" ht="12.75">
      <c r="A56" s="588">
        <v>1.7</v>
      </c>
      <c r="B56" s="576" t="s">
        <v>1730</v>
      </c>
      <c r="C56" s="596"/>
      <c r="D56" s="577"/>
      <c r="E56" s="1285"/>
      <c r="F56" s="577"/>
      <c r="G56" s="1742"/>
      <c r="H56" s="1299"/>
      <c r="I56" s="104"/>
    </row>
    <row r="57" spans="1:9" s="105" customFormat="1" ht="38.25">
      <c r="A57" s="589" t="s">
        <v>2517</v>
      </c>
      <c r="B57" s="115" t="s">
        <v>2580</v>
      </c>
      <c r="C57" s="117" t="s">
        <v>1654</v>
      </c>
      <c r="D57" s="118">
        <f>+Mem_CALCULO!BK171</f>
        <v>3656.65</v>
      </c>
      <c r="E57" s="1287">
        <f>'1.7.1'!H54</f>
        <v>28155.4</v>
      </c>
      <c r="F57" s="111">
        <f t="shared" ref="F57:F62" si="7">ROUND(E57*D57,0)</f>
        <v>102954443</v>
      </c>
      <c r="G57" s="1745"/>
      <c r="H57" s="1300"/>
      <c r="I57" s="104"/>
    </row>
    <row r="58" spans="1:9" s="105" customFormat="1" ht="25.5">
      <c r="A58" s="589" t="s">
        <v>2518</v>
      </c>
      <c r="B58" s="115" t="s">
        <v>2590</v>
      </c>
      <c r="C58" s="117" t="s">
        <v>622</v>
      </c>
      <c r="D58" s="118">
        <f>+Mem_CALCULO!BL180</f>
        <v>136</v>
      </c>
      <c r="E58" s="1287">
        <f>'1.7.2'!H54</f>
        <v>104863.2</v>
      </c>
      <c r="F58" s="111">
        <f t="shared" si="7"/>
        <v>14261395</v>
      </c>
      <c r="G58" s="1742"/>
      <c r="H58" s="1299"/>
      <c r="I58" s="104"/>
    </row>
    <row r="59" spans="1:9" s="105" customFormat="1" ht="25.5">
      <c r="A59" s="589" t="s">
        <v>2519</v>
      </c>
      <c r="B59" s="115" t="s">
        <v>2591</v>
      </c>
      <c r="C59" s="117" t="s">
        <v>622</v>
      </c>
      <c r="D59" s="118">
        <f>+Mem_CALCULO!BL181</f>
        <v>8</v>
      </c>
      <c r="E59" s="1287">
        <f>'1.7.3'!H54</f>
        <v>105422.2</v>
      </c>
      <c r="F59" s="111">
        <f t="shared" si="7"/>
        <v>843378</v>
      </c>
      <c r="G59" s="1742"/>
      <c r="H59" s="1299"/>
      <c r="I59" s="104"/>
    </row>
    <row r="60" spans="1:9" s="105" customFormat="1" ht="25.5">
      <c r="A60" s="589" t="s">
        <v>2546</v>
      </c>
      <c r="B60" s="115" t="s">
        <v>2592</v>
      </c>
      <c r="C60" s="117" t="s">
        <v>622</v>
      </c>
      <c r="D60" s="118">
        <f>+Mem_CALCULO!BL182</f>
        <v>17</v>
      </c>
      <c r="E60" s="1287">
        <f>'1.7.4'!H54</f>
        <v>109512</v>
      </c>
      <c r="F60" s="111">
        <f t="shared" si="7"/>
        <v>1861704</v>
      </c>
      <c r="G60" s="1742"/>
      <c r="H60" s="1299"/>
      <c r="I60" s="104"/>
    </row>
    <row r="61" spans="1:9" s="105" customFormat="1" ht="63.75">
      <c r="A61" s="589" t="s">
        <v>2547</v>
      </c>
      <c r="B61" s="115" t="s">
        <v>2300</v>
      </c>
      <c r="C61" s="117" t="s">
        <v>622</v>
      </c>
      <c r="D61" s="118">
        <f>+Mem_CALCULO!BK174</f>
        <v>112</v>
      </c>
      <c r="E61" s="1287">
        <f>'1.7.5'!H54</f>
        <v>869514.1</v>
      </c>
      <c r="F61" s="111">
        <f t="shared" si="7"/>
        <v>97385579</v>
      </c>
      <c r="G61" s="1742"/>
      <c r="H61" s="1299"/>
      <c r="I61" s="104"/>
    </row>
    <row r="62" spans="1:9" s="105" customFormat="1" ht="67.5" customHeight="1">
      <c r="A62" s="589" t="s">
        <v>2548</v>
      </c>
      <c r="B62" s="818" t="s">
        <v>2275</v>
      </c>
      <c r="C62" s="117" t="s">
        <v>622</v>
      </c>
      <c r="D62" s="118">
        <f>+Mem_CALCULO!BK175</f>
        <v>48</v>
      </c>
      <c r="E62" s="1287">
        <f>'1.7.6'!H54</f>
        <v>1173539.8999999999</v>
      </c>
      <c r="F62" s="111">
        <f t="shared" si="7"/>
        <v>56329915</v>
      </c>
      <c r="G62" s="1742"/>
      <c r="H62" s="1299"/>
      <c r="I62" s="104"/>
    </row>
    <row r="63" spans="1:9" s="105" customFormat="1" ht="12.75">
      <c r="A63" s="589"/>
      <c r="B63" s="112" t="s">
        <v>1764</v>
      </c>
      <c r="C63" s="117"/>
      <c r="D63" s="118"/>
      <c r="E63" s="1287"/>
      <c r="F63" s="114">
        <f>SUM(F57:F62)</f>
        <v>273636414</v>
      </c>
      <c r="G63" s="1742"/>
      <c r="H63" s="1299"/>
      <c r="I63" s="104"/>
    </row>
    <row r="64" spans="1:9" s="105" customFormat="1" ht="12.75">
      <c r="A64" s="589"/>
      <c r="B64" s="112"/>
      <c r="C64" s="117"/>
      <c r="D64" s="118"/>
      <c r="E64" s="1287"/>
      <c r="F64" s="114"/>
      <c r="G64" s="1742"/>
      <c r="H64" s="1299"/>
      <c r="I64" s="104"/>
    </row>
    <row r="65" spans="1:9" s="105" customFormat="1" ht="12.75">
      <c r="A65" s="839">
        <v>1.8</v>
      </c>
      <c r="B65" s="840" t="s">
        <v>1691</v>
      </c>
      <c r="C65" s="841"/>
      <c r="D65" s="842"/>
      <c r="E65" s="1284"/>
      <c r="F65" s="842"/>
      <c r="G65" s="1742"/>
      <c r="H65" s="1299"/>
      <c r="I65" s="104"/>
    </row>
    <row r="66" spans="1:9" ht="15.6" customHeight="1">
      <c r="A66" s="1031" t="s">
        <v>2520</v>
      </c>
      <c r="B66" s="1239" t="s">
        <v>2575</v>
      </c>
      <c r="C66" s="1032" t="s">
        <v>352</v>
      </c>
      <c r="D66" s="1281">
        <f>+Mem_CALCULO!CM160+Mem_CALCULO!DP160</f>
        <v>492.09</v>
      </c>
      <c r="E66" s="1277">
        <f>'1.8.1'!H54</f>
        <v>166283</v>
      </c>
      <c r="F66" s="111">
        <f>ROUND(E66*D66,0)</f>
        <v>81826201</v>
      </c>
      <c r="G66" s="1746"/>
    </row>
    <row r="67" spans="1:9" s="105" customFormat="1" ht="51.6" customHeight="1">
      <c r="A67" s="589" t="s">
        <v>2521</v>
      </c>
      <c r="B67" s="115" t="s">
        <v>1765</v>
      </c>
      <c r="C67" s="117" t="s">
        <v>352</v>
      </c>
      <c r="D67" s="1254">
        <f>+Mem_CALCULO!BQ184</f>
        <v>5245.19</v>
      </c>
      <c r="E67" s="1276">
        <f>'1.8.2'!H54</f>
        <v>27487.200000000001</v>
      </c>
      <c r="F67" s="111">
        <f>ROUND(E67*D67,0)</f>
        <v>144175587</v>
      </c>
      <c r="G67" s="1742"/>
      <c r="H67" s="1299"/>
      <c r="I67" s="104"/>
    </row>
    <row r="68" spans="1:9" s="105" customFormat="1" ht="25.5">
      <c r="A68" s="589" t="s">
        <v>2574</v>
      </c>
      <c r="B68" s="115" t="s">
        <v>2567</v>
      </c>
      <c r="C68" s="117" t="s">
        <v>352</v>
      </c>
      <c r="D68" s="1254">
        <f>+Mem_CALCULO!BQ190</f>
        <v>1815.49</v>
      </c>
      <c r="E68" s="1276">
        <f>'1.8.3'!H54</f>
        <v>333283.59999999998</v>
      </c>
      <c r="F68" s="111">
        <f>ROUND(E68*D68,0)</f>
        <v>605073043</v>
      </c>
      <c r="G68" s="1745"/>
      <c r="H68" s="1300"/>
      <c r="I68" s="104"/>
    </row>
    <row r="69" spans="1:9" s="105" customFormat="1" ht="12.75">
      <c r="A69" s="589"/>
      <c r="B69" s="112" t="s">
        <v>1692</v>
      </c>
      <c r="C69" s="117"/>
      <c r="D69" s="118"/>
      <c r="E69" s="1287"/>
      <c r="F69" s="114">
        <f>SUM(F66:F68)</f>
        <v>831074831</v>
      </c>
      <c r="G69" s="1742"/>
      <c r="H69" s="1299"/>
      <c r="I69" s="104"/>
    </row>
    <row r="70" spans="1:9" s="105" customFormat="1" ht="12.75">
      <c r="A70" s="589"/>
      <c r="B70" s="112"/>
      <c r="C70" s="117"/>
      <c r="D70" s="118"/>
      <c r="E70" s="1287"/>
      <c r="F70" s="114"/>
      <c r="G70" s="1742"/>
      <c r="H70" s="1299"/>
      <c r="I70" s="104"/>
    </row>
    <row r="71" spans="1:9" s="105" customFormat="1" ht="12.75">
      <c r="A71" s="839">
        <v>1.9</v>
      </c>
      <c r="B71" s="840" t="s">
        <v>2408</v>
      </c>
      <c r="C71" s="841"/>
      <c r="D71" s="842"/>
      <c r="E71" s="1284"/>
      <c r="F71" s="842"/>
      <c r="G71" s="1742"/>
      <c r="H71" s="1299"/>
      <c r="I71" s="104"/>
    </row>
    <row r="72" spans="1:9" s="105" customFormat="1" ht="51">
      <c r="A72" s="1032" t="s">
        <v>2555</v>
      </c>
      <c r="B72" s="818" t="s">
        <v>2415</v>
      </c>
      <c r="C72" s="1253" t="s">
        <v>1654</v>
      </c>
      <c r="D72" s="1254">
        <f>+Mem_CALCULO!BL207</f>
        <v>23.83</v>
      </c>
      <c r="E72" s="1287">
        <f>'1.9.1'!H54</f>
        <v>1041868.1</v>
      </c>
      <c r="F72" s="111">
        <f>ROUND(E72*D72,0)</f>
        <v>24827717</v>
      </c>
      <c r="G72" s="1742"/>
      <c r="H72" s="1299"/>
      <c r="I72" s="104"/>
    </row>
    <row r="73" spans="1:9" s="105" customFormat="1" ht="63.75">
      <c r="A73" s="1031" t="s">
        <v>2556</v>
      </c>
      <c r="B73" s="818" t="s">
        <v>2501</v>
      </c>
      <c r="C73" s="1253" t="s">
        <v>1654</v>
      </c>
      <c r="D73" s="1254">
        <f>+Mem_CALCULO!BL195+Mem_CALCULO!BL196+Mem_CALCULO!BL197</f>
        <v>140</v>
      </c>
      <c r="E73" s="1287">
        <f>'1.9.2'!H54</f>
        <v>353905.5</v>
      </c>
      <c r="F73" s="111">
        <f>ROUND(E73*D73,0)</f>
        <v>49546770</v>
      </c>
      <c r="G73" s="1742"/>
      <c r="H73" s="1299"/>
      <c r="I73" s="104"/>
    </row>
    <row r="74" spans="1:9" s="105" customFormat="1" ht="63.75">
      <c r="A74" s="1031" t="s">
        <v>2557</v>
      </c>
      <c r="B74" s="818" t="s">
        <v>2502</v>
      </c>
      <c r="C74" s="1253" t="s">
        <v>1654</v>
      </c>
      <c r="D74" s="1254">
        <f>+Mem_CALCULO!BL198+Mem_CALCULO!BL199</f>
        <v>233.98</v>
      </c>
      <c r="E74" s="1287">
        <f>'1.9.3'!H54</f>
        <v>508137.5</v>
      </c>
      <c r="F74" s="111">
        <f>ROUND(E74*D74,0)</f>
        <v>118894012</v>
      </c>
      <c r="G74" s="1742"/>
      <c r="H74" s="1299"/>
      <c r="I74" s="104"/>
    </row>
    <row r="75" spans="1:9" s="105" customFormat="1" ht="12.75">
      <c r="A75" s="589"/>
      <c r="B75" s="112" t="s">
        <v>2414</v>
      </c>
      <c r="C75" s="117"/>
      <c r="D75" s="118"/>
      <c r="E75" s="1287"/>
      <c r="F75" s="114">
        <f>SUM(F72:F74)</f>
        <v>193268499</v>
      </c>
      <c r="G75" s="1742"/>
      <c r="H75" s="1299"/>
      <c r="I75" s="104"/>
    </row>
    <row r="76" spans="1:9" s="105" customFormat="1" ht="12.75">
      <c r="A76" s="589"/>
      <c r="B76" s="112"/>
      <c r="C76" s="117"/>
      <c r="D76" s="118"/>
      <c r="E76" s="1287"/>
      <c r="F76" s="114"/>
      <c r="G76" s="1742"/>
      <c r="H76" s="1299"/>
      <c r="I76" s="104"/>
    </row>
    <row r="77" spans="1:9" s="1646" customFormat="1" ht="16.5">
      <c r="A77" s="1638" t="s">
        <v>2698</v>
      </c>
      <c r="B77" s="1639"/>
      <c r="C77" s="1640"/>
      <c r="D77" s="1641"/>
      <c r="E77" s="1642"/>
      <c r="F77" s="833">
        <f>+F22+F36+F41+F47+F63+F69+F75</f>
        <v>2973135269</v>
      </c>
      <c r="G77" s="1747"/>
      <c r="H77" s="1644"/>
      <c r="I77" s="1645"/>
    </row>
    <row r="78" spans="1:9" s="105" customFormat="1" ht="12.75">
      <c r="A78" s="611" t="s">
        <v>2549</v>
      </c>
      <c r="B78" s="612"/>
      <c r="C78" s="613"/>
      <c r="D78" s="1226"/>
      <c r="E78" s="1291"/>
      <c r="F78" s="1636">
        <f>+F29+F54</f>
        <v>692368643</v>
      </c>
      <c r="G78" s="1742"/>
      <c r="H78" s="1299"/>
      <c r="I78" s="104"/>
    </row>
    <row r="79" spans="1:9" s="105" customFormat="1" ht="17.25" customHeight="1">
      <c r="A79" s="611" t="s">
        <v>2550</v>
      </c>
      <c r="B79" s="612"/>
      <c r="C79" s="613"/>
      <c r="D79" s="1221">
        <f>+ADMIN_SUMISTRO!C34</f>
        <v>0.1</v>
      </c>
      <c r="E79" s="1291"/>
      <c r="F79" s="614">
        <f>+ROUND(F78*D79,0)</f>
        <v>69236864</v>
      </c>
      <c r="G79" s="1742"/>
      <c r="H79" s="1299"/>
      <c r="I79" s="104"/>
    </row>
    <row r="80" spans="1:9" s="1646" customFormat="1" ht="16.5">
      <c r="A80" s="1647" t="s">
        <v>2551</v>
      </c>
      <c r="B80" s="1648"/>
      <c r="C80" s="1649"/>
      <c r="D80" s="1651"/>
      <c r="E80" s="1650"/>
      <c r="F80" s="1637">
        <f>SUM(F78:F79)</f>
        <v>761605507</v>
      </c>
      <c r="G80" s="1747"/>
      <c r="H80" s="1644"/>
      <c r="I80" s="1645"/>
    </row>
    <row r="81" spans="1:9" s="105" customFormat="1" ht="16.5">
      <c r="A81" s="1647" t="s">
        <v>2707</v>
      </c>
      <c r="B81" s="612"/>
      <c r="C81" s="613"/>
      <c r="D81" s="1221"/>
      <c r="E81" s="1291"/>
      <c r="F81" s="1750">
        <f>SUM(F77+F80)</f>
        <v>3734740776</v>
      </c>
      <c r="G81" s="103">
        <v>3792822298</v>
      </c>
      <c r="H81" s="1299"/>
      <c r="I81" s="104"/>
    </row>
    <row r="82" spans="1:9" s="105" customFormat="1" ht="16.5">
      <c r="A82" s="1751"/>
      <c r="B82" s="612"/>
      <c r="C82" s="613"/>
      <c r="D82" s="1221"/>
      <c r="E82" s="1291"/>
      <c r="F82" s="614"/>
      <c r="G82" s="103">
        <f>G81-F81</f>
        <v>58081522</v>
      </c>
      <c r="H82" s="1299"/>
      <c r="I82" s="104"/>
    </row>
    <row r="83" spans="1:9" s="105" customFormat="1" ht="12.75">
      <c r="A83" s="611" t="s">
        <v>2699</v>
      </c>
      <c r="B83" s="612"/>
      <c r="C83" s="613"/>
      <c r="D83" s="1224"/>
      <c r="E83" s="1291"/>
      <c r="F83" s="614">
        <f>+PAGA!F25</f>
        <v>19446000</v>
      </c>
      <c r="G83" s="103"/>
      <c r="H83" s="1299"/>
      <c r="I83" s="104"/>
    </row>
    <row r="84" spans="1:9" s="105" customFormat="1" ht="12.75">
      <c r="A84" s="611" t="s">
        <v>2022</v>
      </c>
      <c r="B84" s="612"/>
      <c r="C84" s="613"/>
      <c r="D84" s="1224"/>
      <c r="E84" s="1291"/>
      <c r="F84" s="614">
        <f>+PMT!F25</f>
        <v>32413000</v>
      </c>
      <c r="G84" s="103"/>
      <c r="H84" s="1299"/>
      <c r="I84" s="104"/>
    </row>
    <row r="85" spans="1:9" s="105" customFormat="1" ht="14.25" customHeight="1">
      <c r="A85" s="611" t="s">
        <v>2593</v>
      </c>
      <c r="B85" s="612"/>
      <c r="C85" s="613"/>
      <c r="D85" s="1224"/>
      <c r="E85" s="1291"/>
      <c r="F85" s="614">
        <f>ROUND(F77*0.0035,0)</f>
        <v>10405973</v>
      </c>
      <c r="G85" s="103"/>
      <c r="H85" s="1299"/>
      <c r="I85" s="104"/>
    </row>
    <row r="86" spans="1:9" s="105" customFormat="1" ht="12.75">
      <c r="A86" s="611" t="s">
        <v>2689</v>
      </c>
      <c r="B86" s="612"/>
      <c r="C86" s="613"/>
      <c r="D86" s="1729">
        <v>9.5000000000000001E-2</v>
      </c>
      <c r="E86" s="1291"/>
      <c r="F86" s="614">
        <f>ROUND((F83+F84+F85)*D86,0)</f>
        <v>5915172</v>
      </c>
      <c r="G86" s="103"/>
      <c r="H86" s="1299"/>
      <c r="I86" s="104"/>
    </row>
    <row r="87" spans="1:9" s="105" customFormat="1" ht="16.5">
      <c r="A87" s="1647" t="s">
        <v>2675</v>
      </c>
      <c r="B87" s="1648"/>
      <c r="C87" s="1649"/>
      <c r="D87" s="1651"/>
      <c r="E87" s="1650"/>
      <c r="F87" s="1637">
        <f>SUM(F83:F86)</f>
        <v>68180145</v>
      </c>
      <c r="G87" s="103"/>
      <c r="H87" s="1299"/>
      <c r="I87" s="104"/>
    </row>
    <row r="88" spans="1:9" s="105" customFormat="1" ht="12.75">
      <c r="A88" s="611"/>
      <c r="B88" s="612"/>
      <c r="C88" s="613"/>
      <c r="D88" s="1221"/>
      <c r="E88" s="1291"/>
      <c r="F88" s="614"/>
      <c r="G88" s="103"/>
      <c r="H88" s="1299"/>
      <c r="I88" s="104"/>
    </row>
    <row r="89" spans="1:9" s="1646" customFormat="1" ht="16.5">
      <c r="A89" s="1653" t="s">
        <v>2690</v>
      </c>
      <c r="B89" s="1654"/>
      <c r="C89" s="1655"/>
      <c r="D89" s="1656"/>
      <c r="E89" s="1657"/>
      <c r="F89" s="1658">
        <f>F81</f>
        <v>3734740776</v>
      </c>
      <c r="G89" s="1643"/>
      <c r="H89" s="1644"/>
      <c r="I89" s="1645"/>
    </row>
    <row r="90" spans="1:9" s="105" customFormat="1" ht="12.75">
      <c r="A90" s="611"/>
      <c r="B90" s="612"/>
      <c r="C90" s="613"/>
      <c r="D90" s="1221"/>
      <c r="E90" s="1291"/>
      <c r="F90" s="614"/>
      <c r="G90" s="103"/>
      <c r="H90" s="1299"/>
      <c r="I90" s="104"/>
    </row>
    <row r="91" spans="1:9" s="105" customFormat="1" ht="12.75">
      <c r="A91" s="611" t="s">
        <v>2552</v>
      </c>
      <c r="B91" s="612"/>
      <c r="C91" s="613"/>
      <c r="D91" s="1296">
        <f>+F91/F89</f>
        <v>5.8939517680731267E-2</v>
      </c>
      <c r="E91" s="1283"/>
      <c r="F91" s="1222">
        <f>+'INTER OBRA'!L58</f>
        <v>220123820</v>
      </c>
      <c r="G91" s="1742"/>
      <c r="H91" s="1652"/>
      <c r="I91" s="104"/>
    </row>
    <row r="92" spans="1:9" s="105" customFormat="1" ht="12.75">
      <c r="A92" s="611" t="s">
        <v>2553</v>
      </c>
      <c r="B92" s="612"/>
      <c r="C92" s="613"/>
      <c r="D92" s="1223">
        <f>+F92/F80</f>
        <v>2.2830969366927124E-2</v>
      </c>
      <c r="E92" s="1291"/>
      <c r="F92" s="614">
        <f>+INTER_SUMIN!I30</f>
        <v>17388192</v>
      </c>
      <c r="G92" s="1742"/>
      <c r="H92" s="1299"/>
      <c r="I92" s="104"/>
    </row>
    <row r="93" spans="1:9" s="105" customFormat="1" ht="16.5">
      <c r="A93" s="1653" t="s">
        <v>2554</v>
      </c>
      <c r="B93" s="1654"/>
      <c r="C93" s="1655"/>
      <c r="D93" s="1659"/>
      <c r="E93" s="1657"/>
      <c r="F93" s="1658">
        <f>+F92+F91</f>
        <v>237512012</v>
      </c>
      <c r="G93" s="1748"/>
      <c r="H93" s="1299"/>
      <c r="I93" s="104"/>
    </row>
    <row r="94" spans="1:9" s="105" customFormat="1" ht="12.75">
      <c r="G94" s="1742"/>
      <c r="H94" s="1299"/>
      <c r="I94" s="104"/>
    </row>
    <row r="95" spans="1:9" s="105" customFormat="1" ht="15.75">
      <c r="A95" s="829" t="s">
        <v>2676</v>
      </c>
      <c r="B95" s="830"/>
      <c r="C95" s="831"/>
      <c r="D95" s="1225"/>
      <c r="E95" s="1275"/>
      <c r="F95" s="832">
        <f>F89+F87+F93</f>
        <v>4040432933</v>
      </c>
      <c r="G95" s="1749"/>
      <c r="H95" s="1299"/>
      <c r="I95" s="104"/>
    </row>
    <row r="96" spans="1:9" ht="12.75">
      <c r="B96" s="120"/>
      <c r="C96" s="119"/>
      <c r="D96" s="121"/>
      <c r="E96" s="1292"/>
      <c r="F96" s="122"/>
      <c r="G96" s="123"/>
      <c r="H96" s="1301"/>
    </row>
    <row r="97" spans="1:10" ht="12.75">
      <c r="B97" s="120"/>
      <c r="C97" s="119"/>
      <c r="D97" s="121"/>
      <c r="E97" s="1292"/>
      <c r="F97" s="122"/>
      <c r="G97" s="123"/>
      <c r="H97" s="1301"/>
    </row>
    <row r="98" spans="1:10" ht="12.75">
      <c r="B98" s="120"/>
      <c r="C98" s="119"/>
      <c r="D98" s="121"/>
      <c r="E98" s="1292"/>
      <c r="F98" s="122"/>
      <c r="G98" s="123"/>
      <c r="H98" s="1301"/>
    </row>
    <row r="99" spans="1:10" ht="12.75">
      <c r="A99" s="594"/>
      <c r="B99" s="124"/>
      <c r="C99" s="119"/>
      <c r="D99" s="125"/>
      <c r="E99" s="1282"/>
      <c r="F99" s="126"/>
      <c r="G99" s="123"/>
      <c r="H99" s="1301"/>
    </row>
    <row r="100" spans="1:10" ht="12.75">
      <c r="A100" s="595" t="s">
        <v>2500</v>
      </c>
      <c r="B100" s="124"/>
      <c r="E100" s="1282"/>
      <c r="F100" s="126"/>
      <c r="G100" s="123"/>
      <c r="H100" s="1301"/>
    </row>
    <row r="101" spans="1:10" ht="12.75">
      <c r="A101" s="810" t="str">
        <f>+[14]PRESUPUESTO!$A$114</f>
        <v>Ing. JHON FREDY GARCIA MENDEZ</v>
      </c>
      <c r="B101" s="127"/>
      <c r="C101" s="597"/>
      <c r="E101" s="1282"/>
      <c r="F101" s="126"/>
      <c r="H101" s="1301"/>
    </row>
    <row r="102" spans="1:10" ht="12.75">
      <c r="A102" s="1069" t="s">
        <v>2499</v>
      </c>
      <c r="B102" s="127"/>
      <c r="C102" s="597"/>
      <c r="E102" s="1282"/>
      <c r="F102" s="126"/>
      <c r="H102" s="1301"/>
    </row>
    <row r="103" spans="1:10" ht="12.75">
      <c r="A103" s="811" t="str">
        <f>+[14]PRESUPUESTO!$A$115</f>
        <v>M.P.  70268-326294 TLM.</v>
      </c>
      <c r="B103" s="128"/>
      <c r="C103" s="598"/>
      <c r="E103" s="1292"/>
      <c r="F103" s="129"/>
      <c r="H103" s="1301"/>
    </row>
    <row r="104" spans="1:10" ht="12.75">
      <c r="A104" s="811" t="str">
        <f>+[14]PRESUPUESTO!$A$116</f>
        <v>CONSULTOR</v>
      </c>
      <c r="B104" s="120"/>
      <c r="C104" s="598"/>
      <c r="E104" s="1292"/>
      <c r="F104" s="129"/>
      <c r="H104" s="1301"/>
    </row>
    <row r="105" spans="1:10" ht="15.75">
      <c r="B105" s="120"/>
      <c r="C105" s="119"/>
      <c r="D105" s="121"/>
      <c r="E105" s="1292"/>
      <c r="F105" s="129"/>
      <c r="H105" s="1302"/>
      <c r="J105" s="130"/>
    </row>
  </sheetData>
  <mergeCells count="10">
    <mergeCell ref="A9:F9"/>
    <mergeCell ref="A10:F10"/>
    <mergeCell ref="A1:F1"/>
    <mergeCell ref="A2:F2"/>
    <mergeCell ref="A8:F8"/>
    <mergeCell ref="A3:F3"/>
    <mergeCell ref="A4:F4"/>
    <mergeCell ref="A5:F5"/>
    <mergeCell ref="A6:F6"/>
    <mergeCell ref="A7:F7"/>
  </mergeCells>
  <phoneticPr fontId="71" type="noConversion"/>
  <printOptions horizontalCentered="1"/>
  <pageMargins left="0.59055118110236227" right="0.39370078740157483" top="0.39370078740157483" bottom="0.39370078740157483" header="0.31496062992125984" footer="0.31496062992125984"/>
  <pageSetup scale="75" orientation="portrait" r:id="rId1"/>
  <headerFooter>
    <oddFooter>&amp;L&amp;P de &amp;N</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9DF67F-9865-41F5-ACBE-BC44C969B829}">
  <dimension ref="A1:L98"/>
  <sheetViews>
    <sheetView tabSelected="1" topLeftCell="A71" workbookViewId="0">
      <selection activeCell="L86" sqref="L86"/>
    </sheetView>
  </sheetViews>
  <sheetFormatPr baseColWidth="10" defaultColWidth="11.42578125" defaultRowHeight="12.75"/>
  <cols>
    <col min="1" max="1" width="5.5703125" style="593" customWidth="1"/>
    <col min="2" max="2" width="70.28515625" style="101" customWidth="1"/>
    <col min="3" max="3" width="7.140625" style="101" customWidth="1"/>
    <col min="4" max="4" width="9.7109375" style="131" customWidth="1"/>
    <col min="5" max="5" width="14.42578125" style="1290" customWidth="1"/>
    <col min="6" max="6" width="17.42578125" style="102" bestFit="1" customWidth="1"/>
    <col min="7" max="16384" width="11.42578125" style="102"/>
  </cols>
  <sheetData>
    <row r="1" spans="1:10">
      <c r="A1" s="2151" t="s">
        <v>2701</v>
      </c>
      <c r="B1" s="2152"/>
      <c r="C1" s="2152"/>
      <c r="D1" s="2152"/>
      <c r="E1" s="2152"/>
      <c r="F1" s="2153"/>
      <c r="G1" s="1736"/>
      <c r="H1" s="1736"/>
      <c r="I1" s="1736"/>
      <c r="J1" s="1736"/>
    </row>
    <row r="2" spans="1:10" ht="12.75" customHeight="1">
      <c r="A2" s="2154" t="s">
        <v>2702</v>
      </c>
      <c r="B2" s="2155"/>
      <c r="C2" s="2155"/>
      <c r="D2" s="2155"/>
      <c r="E2" s="2155"/>
      <c r="F2" s="2156"/>
      <c r="G2" s="1737"/>
      <c r="H2" s="1737"/>
      <c r="I2" s="1737"/>
      <c r="J2" s="1737"/>
    </row>
    <row r="3" spans="1:10">
      <c r="A3" s="2160" t="s">
        <v>2703</v>
      </c>
      <c r="B3" s="2161"/>
      <c r="C3" s="2161"/>
      <c r="D3" s="2161"/>
      <c r="E3" s="2161"/>
      <c r="F3" s="2162"/>
      <c r="G3" s="1738"/>
      <c r="H3" s="1738"/>
      <c r="I3" s="1738"/>
      <c r="J3" s="1738"/>
    </row>
    <row r="4" spans="1:10">
      <c r="A4" s="2163" t="s">
        <v>2704</v>
      </c>
      <c r="B4" s="2164"/>
      <c r="C4" s="2164"/>
      <c r="D4" s="2164"/>
      <c r="E4" s="2164"/>
      <c r="F4" s="2165"/>
      <c r="G4" s="1739"/>
      <c r="H4" s="1739"/>
      <c r="I4" s="1739"/>
      <c r="J4" s="1739"/>
    </row>
    <row r="5" spans="1:10" ht="25.5" customHeight="1">
      <c r="A5" s="2166" t="s">
        <v>2686</v>
      </c>
      <c r="B5" s="2167"/>
      <c r="C5" s="2167"/>
      <c r="D5" s="2167"/>
      <c r="E5" s="2167"/>
      <c r="F5" s="2168"/>
      <c r="G5" s="1739"/>
      <c r="H5" s="1739"/>
      <c r="I5" s="1739"/>
      <c r="J5" s="1739"/>
    </row>
    <row r="6" spans="1:10" ht="47.25" customHeight="1">
      <c r="A6" s="2169" t="s">
        <v>2705</v>
      </c>
      <c r="B6" s="2170"/>
      <c r="C6" s="2170"/>
      <c r="D6" s="2170"/>
      <c r="E6" s="2170"/>
      <c r="F6" s="2171"/>
      <c r="G6" s="1740"/>
      <c r="H6" s="1740"/>
      <c r="I6" s="1740"/>
      <c r="J6" s="1740"/>
    </row>
    <row r="7" spans="1:10">
      <c r="A7" s="2169"/>
      <c r="B7" s="2170"/>
      <c r="C7" s="2170"/>
      <c r="D7" s="2170"/>
      <c r="E7" s="2170"/>
      <c r="F7" s="2171"/>
      <c r="G7" s="1740"/>
      <c r="H7" s="1740"/>
      <c r="I7" s="1740"/>
      <c r="J7" s="1740"/>
    </row>
    <row r="8" spans="1:10" ht="51.75" customHeight="1" thickBot="1">
      <c r="A8" s="2157" t="s">
        <v>2706</v>
      </c>
      <c r="B8" s="2158"/>
      <c r="C8" s="2158"/>
      <c r="D8" s="2158"/>
      <c r="E8" s="2158"/>
      <c r="F8" s="2159"/>
      <c r="G8" s="1740"/>
      <c r="H8" s="1740"/>
      <c r="I8" s="1740"/>
      <c r="J8" s="1740"/>
    </row>
    <row r="9" spans="1:10" s="105" customFormat="1" ht="48.75" customHeight="1">
      <c r="A9" s="2145" t="s">
        <v>2686</v>
      </c>
      <c r="B9" s="2146"/>
      <c r="C9" s="2146"/>
      <c r="D9" s="2146"/>
      <c r="E9" s="2146"/>
      <c r="F9" s="2147"/>
    </row>
    <row r="10" spans="1:10" s="106" customFormat="1" ht="23.45" customHeight="1">
      <c r="A10" s="2148" t="s">
        <v>2270</v>
      </c>
      <c r="B10" s="2149"/>
      <c r="C10" s="2149"/>
      <c r="D10" s="2149"/>
      <c r="E10" s="2149"/>
      <c r="F10" s="2150"/>
    </row>
    <row r="11" spans="1:10" s="105" customFormat="1" ht="30.95" customHeight="1">
      <c r="A11" s="587" t="s">
        <v>538</v>
      </c>
      <c r="B11" s="107" t="s">
        <v>514</v>
      </c>
      <c r="C11" s="107" t="s">
        <v>515</v>
      </c>
      <c r="D11" s="108" t="s">
        <v>7</v>
      </c>
      <c r="E11" s="587" t="s">
        <v>832</v>
      </c>
      <c r="F11" s="107" t="s">
        <v>533</v>
      </c>
    </row>
    <row r="12" spans="1:10" s="105" customFormat="1" ht="15.75">
      <c r="A12" s="1216" t="s">
        <v>2516</v>
      </c>
      <c r="B12" s="1213"/>
      <c r="C12" s="1214"/>
      <c r="D12" s="1215"/>
      <c r="E12" s="1289"/>
      <c r="F12" s="1214"/>
    </row>
    <row r="13" spans="1:10" s="105" customFormat="1">
      <c r="A13" s="834">
        <v>1</v>
      </c>
      <c r="B13" s="835" t="s">
        <v>2271</v>
      </c>
      <c r="C13" s="836"/>
      <c r="D13" s="837"/>
      <c r="E13" s="1288"/>
      <c r="F13" s="838"/>
    </row>
    <row r="14" spans="1:10" s="105" customFormat="1">
      <c r="A14" s="589"/>
      <c r="B14" s="112"/>
      <c r="C14" s="117"/>
      <c r="D14" s="118"/>
      <c r="E14" s="1287"/>
      <c r="F14" s="114"/>
    </row>
    <row r="15" spans="1:10" s="105" customFormat="1">
      <c r="A15" s="839">
        <v>1.1000000000000001</v>
      </c>
      <c r="B15" s="840" t="s">
        <v>2282</v>
      </c>
      <c r="C15" s="841"/>
      <c r="D15" s="845"/>
      <c r="E15" s="1286"/>
      <c r="F15" s="843"/>
    </row>
    <row r="16" spans="1:10" s="105" customFormat="1">
      <c r="A16" s="589" t="s">
        <v>1651</v>
      </c>
      <c r="B16" s="115" t="s">
        <v>2279</v>
      </c>
      <c r="C16" s="117" t="s">
        <v>1654</v>
      </c>
      <c r="D16" s="118">
        <f>+Mem_CALCULO!BK168</f>
        <v>4383.1299999999992</v>
      </c>
      <c r="E16" s="1287">
        <f>'1.1.1'!H54</f>
        <v>4158.7</v>
      </c>
      <c r="F16" s="111">
        <f t="shared" ref="F16:F21" si="0">ROUND(E16*D16,0)</f>
        <v>18228123</v>
      </c>
    </row>
    <row r="17" spans="1:7" s="105" customFormat="1">
      <c r="A17" s="589" t="s">
        <v>1652</v>
      </c>
      <c r="B17" s="115" t="s">
        <v>2695</v>
      </c>
      <c r="C17" s="117" t="s">
        <v>352</v>
      </c>
      <c r="D17" s="118">
        <f>+Mem_CALCULO!BQ166</f>
        <v>3219.6</v>
      </c>
      <c r="E17" s="1287">
        <f>'1.1.2'!H54</f>
        <v>44305.3</v>
      </c>
      <c r="F17" s="111">
        <f t="shared" si="0"/>
        <v>142645344</v>
      </c>
    </row>
    <row r="18" spans="1:7" s="105" customFormat="1">
      <c r="A18" s="589" t="s">
        <v>1653</v>
      </c>
      <c r="B18" s="115" t="s">
        <v>2608</v>
      </c>
      <c r="C18" s="117" t="s">
        <v>352</v>
      </c>
      <c r="D18" s="118">
        <f>+Mem_CALCULO!BQ178</f>
        <v>779.12</v>
      </c>
      <c r="E18" s="1287">
        <f>'1.1.3'!H54</f>
        <v>59073.3</v>
      </c>
      <c r="F18" s="111">
        <f t="shared" si="0"/>
        <v>46025189</v>
      </c>
      <c r="G18" s="1255"/>
    </row>
    <row r="19" spans="1:7" s="105" customFormat="1">
      <c r="A19" s="589" t="s">
        <v>2277</v>
      </c>
      <c r="B19" s="818" t="s">
        <v>2606</v>
      </c>
      <c r="C19" s="1253" t="s">
        <v>352</v>
      </c>
      <c r="D19" s="1254">
        <f>+Mem_CALCULO!BQ172</f>
        <v>3666.45</v>
      </c>
      <c r="E19" s="1287">
        <f>'1.1.4'!H54</f>
        <v>23400</v>
      </c>
      <c r="F19" s="111">
        <f t="shared" si="0"/>
        <v>85794930</v>
      </c>
    </row>
    <row r="20" spans="1:7">
      <c r="A20" s="1031" t="s">
        <v>2278</v>
      </c>
      <c r="B20" s="818" t="s">
        <v>2571</v>
      </c>
      <c r="C20" s="1253" t="s">
        <v>352</v>
      </c>
      <c r="D20" s="1254">
        <f>+Mem_CALCULO!BZ160</f>
        <v>137.49</v>
      </c>
      <c r="E20" s="1287">
        <f>'1.1.5'!H54</f>
        <v>152432.79999999999</v>
      </c>
      <c r="F20" s="111">
        <f t="shared" si="0"/>
        <v>20957986</v>
      </c>
    </row>
    <row r="21" spans="1:7" s="105" customFormat="1" ht="26.25" customHeight="1">
      <c r="A21" s="589" t="s">
        <v>2570</v>
      </c>
      <c r="B21" s="115" t="s">
        <v>2612</v>
      </c>
      <c r="C21" s="117" t="s">
        <v>352</v>
      </c>
      <c r="D21" s="118">
        <f>+Mem_CALCULO!BQ208</f>
        <v>2490.7600000000002</v>
      </c>
      <c r="E21" s="1287">
        <f>'1.1.6'!H54</f>
        <v>34490.300000000003</v>
      </c>
      <c r="F21" s="111">
        <f t="shared" si="0"/>
        <v>85907060</v>
      </c>
    </row>
    <row r="22" spans="1:7" s="105" customFormat="1">
      <c r="A22" s="589"/>
      <c r="B22" s="578" t="s">
        <v>1698</v>
      </c>
      <c r="C22" s="117"/>
      <c r="D22" s="118"/>
      <c r="E22" s="1287"/>
      <c r="F22" s="114">
        <f>SUM(F16:F21)</f>
        <v>399558632</v>
      </c>
    </row>
    <row r="23" spans="1:7" s="105" customFormat="1">
      <c r="A23" s="589"/>
      <c r="B23" s="578"/>
      <c r="C23" s="117"/>
      <c r="D23" s="118"/>
      <c r="E23" s="1287"/>
      <c r="F23" s="114"/>
    </row>
    <row r="24" spans="1:7" s="105" customFormat="1">
      <c r="A24" s="839">
        <v>1.2</v>
      </c>
      <c r="B24" s="840" t="s">
        <v>2532</v>
      </c>
      <c r="C24" s="841"/>
      <c r="D24" s="842"/>
      <c r="E24" s="1286"/>
      <c r="F24" s="843"/>
    </row>
    <row r="25" spans="1:7" s="105" customFormat="1">
      <c r="A25" s="589" t="s">
        <v>2287</v>
      </c>
      <c r="B25" s="1219" t="s">
        <v>2533</v>
      </c>
      <c r="C25" s="117" t="s">
        <v>1654</v>
      </c>
      <c r="D25" s="118">
        <f t="shared" ref="D25:D28" si="1">+D32</f>
        <v>3281.7499999999995</v>
      </c>
      <c r="E25" s="1287">
        <f>+'1.2.1'!H52</f>
        <v>79871</v>
      </c>
      <c r="F25" s="111">
        <f t="shared" ref="F25:F28" si="2">ROUND(E25*D25,0)</f>
        <v>262116654</v>
      </c>
    </row>
    <row r="26" spans="1:7" s="105" customFormat="1">
      <c r="A26" s="589" t="s">
        <v>2288</v>
      </c>
      <c r="B26" s="1219" t="s">
        <v>2534</v>
      </c>
      <c r="C26" s="117" t="s">
        <v>1654</v>
      </c>
      <c r="D26" s="118">
        <f t="shared" si="1"/>
        <v>259.95</v>
      </c>
      <c r="E26" s="1287">
        <f>+'1.2.2'!H52</f>
        <v>115517</v>
      </c>
      <c r="F26" s="111">
        <f t="shared" si="2"/>
        <v>30028644</v>
      </c>
    </row>
    <row r="27" spans="1:7" s="105" customFormat="1">
      <c r="A27" s="589" t="s">
        <v>2289</v>
      </c>
      <c r="B27" s="1219" t="s">
        <v>2535</v>
      </c>
      <c r="C27" s="117" t="s">
        <v>1654</v>
      </c>
      <c r="D27" s="118">
        <f t="shared" si="1"/>
        <v>639.9</v>
      </c>
      <c r="E27" s="1287">
        <f>+'1.2.3'!H52</f>
        <v>165136</v>
      </c>
      <c r="F27" s="111">
        <f t="shared" si="2"/>
        <v>105670526</v>
      </c>
    </row>
    <row r="28" spans="1:7" s="105" customFormat="1">
      <c r="A28" s="589" t="s">
        <v>2290</v>
      </c>
      <c r="B28" s="1219" t="s">
        <v>2536</v>
      </c>
      <c r="C28" s="117" t="s">
        <v>1654</v>
      </c>
      <c r="D28" s="118">
        <f t="shared" si="1"/>
        <v>201.53</v>
      </c>
      <c r="E28" s="1287">
        <f>+'1.2.4'!H52</f>
        <v>246246</v>
      </c>
      <c r="F28" s="111">
        <f t="shared" si="2"/>
        <v>49625956</v>
      </c>
    </row>
    <row r="29" spans="1:7" s="105" customFormat="1">
      <c r="A29" s="589"/>
      <c r="B29" s="578" t="s">
        <v>2537</v>
      </c>
      <c r="C29" s="117"/>
      <c r="D29" s="118"/>
      <c r="E29" s="1287"/>
      <c r="F29" s="114">
        <f>SUM(F25:F28)</f>
        <v>447441780</v>
      </c>
    </row>
    <row r="30" spans="1:7" s="105" customFormat="1">
      <c r="A30" s="589"/>
      <c r="B30" s="115"/>
      <c r="C30" s="117"/>
      <c r="D30" s="118"/>
      <c r="E30" s="1287"/>
      <c r="F30" s="116"/>
    </row>
    <row r="31" spans="1:7" s="105" customFormat="1">
      <c r="A31" s="839">
        <v>1.3</v>
      </c>
      <c r="B31" s="840" t="s">
        <v>2538</v>
      </c>
      <c r="C31" s="841"/>
      <c r="D31" s="842"/>
      <c r="E31" s="1286"/>
      <c r="F31" s="843"/>
    </row>
    <row r="32" spans="1:7" ht="38.25">
      <c r="A32" s="1031" t="s">
        <v>2291</v>
      </c>
      <c r="B32" s="1280" t="s">
        <v>2581</v>
      </c>
      <c r="C32" s="1279" t="s">
        <v>1654</v>
      </c>
      <c r="D32" s="1278">
        <f>+Mem_CALCULO!BK164</f>
        <v>3281.7499999999995</v>
      </c>
      <c r="E32" s="1287">
        <f>'1.3.1'!H54</f>
        <v>34398</v>
      </c>
      <c r="F32" s="1293">
        <f t="shared" ref="F32:F35" si="3">ROUND(E32*D32,0)</f>
        <v>112885637</v>
      </c>
    </row>
    <row r="33" spans="1:6" s="105" customFormat="1" ht="38.25">
      <c r="A33" s="1031" t="s">
        <v>2292</v>
      </c>
      <c r="B33" s="1280" t="s">
        <v>2582</v>
      </c>
      <c r="C33" s="1279" t="s">
        <v>1654</v>
      </c>
      <c r="D33" s="1278">
        <f>+Mem_CALCULO!BK165</f>
        <v>259.95</v>
      </c>
      <c r="E33" s="1287">
        <f>'1.3.2'!H54</f>
        <v>40095.9</v>
      </c>
      <c r="F33" s="1293">
        <f t="shared" si="3"/>
        <v>10422929</v>
      </c>
    </row>
    <row r="34" spans="1:6" s="105" customFormat="1" ht="38.25">
      <c r="A34" s="1031" t="s">
        <v>2539</v>
      </c>
      <c r="B34" s="1280" t="s">
        <v>2607</v>
      </c>
      <c r="C34" s="1279" t="s">
        <v>1654</v>
      </c>
      <c r="D34" s="1278">
        <f>+Mem_CALCULO!BK166</f>
        <v>639.9</v>
      </c>
      <c r="E34" s="1287">
        <f>'1.3.3'!H54</f>
        <v>47378.5</v>
      </c>
      <c r="F34" s="1293">
        <f t="shared" si="3"/>
        <v>30317502</v>
      </c>
    </row>
    <row r="35" spans="1:6" s="105" customFormat="1" ht="38.25">
      <c r="A35" s="1031" t="s">
        <v>2540</v>
      </c>
      <c r="B35" s="1280" t="s">
        <v>2583</v>
      </c>
      <c r="C35" s="1279" t="s">
        <v>1654</v>
      </c>
      <c r="D35" s="1278">
        <f>+Mem_CALCULO!BK167</f>
        <v>201.53</v>
      </c>
      <c r="E35" s="1287">
        <f>'1.3.4'!H54</f>
        <v>57417.1</v>
      </c>
      <c r="F35" s="1293">
        <f t="shared" si="3"/>
        <v>11571268</v>
      </c>
    </row>
    <row r="36" spans="1:6" s="105" customFormat="1">
      <c r="A36" s="589"/>
      <c r="B36" s="112" t="s">
        <v>1727</v>
      </c>
      <c r="C36" s="117"/>
      <c r="D36" s="118"/>
      <c r="E36" s="1287"/>
      <c r="F36" s="114">
        <f>SUM(F32:F35)</f>
        <v>165197336</v>
      </c>
    </row>
    <row r="37" spans="1:6" s="105" customFormat="1">
      <c r="A37" s="589"/>
      <c r="B37" s="115"/>
      <c r="C37" s="117"/>
      <c r="D37" s="118"/>
      <c r="E37" s="1287"/>
      <c r="F37" s="111"/>
    </row>
    <row r="38" spans="1:6" s="105" customFormat="1">
      <c r="A38" s="844">
        <v>1.4</v>
      </c>
      <c r="B38" s="840" t="s">
        <v>2272</v>
      </c>
      <c r="C38" s="841"/>
      <c r="D38" s="842"/>
      <c r="E38" s="1286"/>
      <c r="F38" s="843"/>
    </row>
    <row r="39" spans="1:6" s="105" customFormat="1" ht="30.75" customHeight="1">
      <c r="A39" s="827" t="s">
        <v>2293</v>
      </c>
      <c r="B39" s="818" t="s">
        <v>2568</v>
      </c>
      <c r="C39" s="117" t="s">
        <v>205</v>
      </c>
      <c r="D39" s="118">
        <f>+Mem_CALCULO!BQ199</f>
        <v>5166.08</v>
      </c>
      <c r="E39" s="1287">
        <f>'1.4.1'!H54</f>
        <v>65834.600000000006</v>
      </c>
      <c r="F39" s="111">
        <f>ROUND(E39*D39,0)</f>
        <v>340106810</v>
      </c>
    </row>
    <row r="40" spans="1:6" s="105" customFormat="1" ht="25.5">
      <c r="A40" s="827" t="s">
        <v>2294</v>
      </c>
      <c r="B40" s="818" t="s">
        <v>2569</v>
      </c>
      <c r="C40" s="117" t="s">
        <v>205</v>
      </c>
      <c r="D40" s="118">
        <f>+Mem_CALCULO!BQ200</f>
        <v>1503.97</v>
      </c>
      <c r="E40" s="1287">
        <f>'1.4.2'!H54</f>
        <v>204972.3</v>
      </c>
      <c r="F40" s="111">
        <f t="shared" ref="F40" si="4">ROUND(E40*D40,0)</f>
        <v>308272190</v>
      </c>
    </row>
    <row r="41" spans="1:6" s="105" customFormat="1">
      <c r="A41" s="589"/>
      <c r="B41" s="112" t="s">
        <v>2283</v>
      </c>
      <c r="C41" s="117"/>
      <c r="D41" s="118"/>
      <c r="E41" s="1287"/>
      <c r="F41" s="114">
        <f>SUM(F39:F40)</f>
        <v>648379000</v>
      </c>
    </row>
    <row r="42" spans="1:6" s="105" customFormat="1">
      <c r="A42" s="589"/>
      <c r="B42" s="112"/>
      <c r="C42" s="117"/>
      <c r="D42" s="118"/>
      <c r="E42" s="1287"/>
      <c r="F42" s="114"/>
    </row>
    <row r="43" spans="1:6" s="105" customFormat="1">
      <c r="A43" s="839">
        <v>1.5</v>
      </c>
      <c r="B43" s="840" t="s">
        <v>1728</v>
      </c>
      <c r="C43" s="841"/>
      <c r="D43" s="842"/>
      <c r="E43" s="1286"/>
      <c r="F43" s="843"/>
    </row>
    <row r="44" spans="1:6" s="105" customFormat="1" ht="100.5" customHeight="1">
      <c r="A44" s="589" t="s">
        <v>2295</v>
      </c>
      <c r="B44" s="610" t="s">
        <v>2273</v>
      </c>
      <c r="C44" s="117" t="s">
        <v>622</v>
      </c>
      <c r="D44" s="118">
        <f>+Mem_CALCULO!BL210</f>
        <v>67</v>
      </c>
      <c r="E44" s="1287">
        <f>'1.5.1'!H54</f>
        <v>5207276.0999999996</v>
      </c>
      <c r="F44" s="111">
        <f>ROUND(E44*D44,0)</f>
        <v>348887499</v>
      </c>
    </row>
    <row r="45" spans="1:6" s="105" customFormat="1" ht="99.6" customHeight="1">
      <c r="A45" s="589" t="s">
        <v>2296</v>
      </c>
      <c r="B45" s="610" t="s">
        <v>1729</v>
      </c>
      <c r="C45" s="117" t="s">
        <v>622</v>
      </c>
      <c r="D45" s="118">
        <f>+Mem_CALCULO!BL211</f>
        <v>15</v>
      </c>
      <c r="E45" s="1287">
        <f>'1.5.2'!H54</f>
        <v>6477747.9000000004</v>
      </c>
      <c r="F45" s="111">
        <f>ROUND(E45*D45,0)</f>
        <v>97166219</v>
      </c>
    </row>
    <row r="46" spans="1:6" s="105" customFormat="1" ht="96.6" customHeight="1">
      <c r="A46" s="589" t="s">
        <v>2297</v>
      </c>
      <c r="B46" s="610" t="s">
        <v>2409</v>
      </c>
      <c r="C46" s="117" t="s">
        <v>622</v>
      </c>
      <c r="D46" s="118">
        <f>+Mem_CALCULO!BL212</f>
        <v>2</v>
      </c>
      <c r="E46" s="1287">
        <f>'1.5.3'!H54</f>
        <v>7983419.5999999996</v>
      </c>
      <c r="F46" s="111">
        <f>ROUND(E46*D46,0)</f>
        <v>15966839</v>
      </c>
    </row>
    <row r="47" spans="1:6" s="105" customFormat="1">
      <c r="A47" s="590"/>
      <c r="B47" s="112" t="s">
        <v>1763</v>
      </c>
      <c r="C47" s="117"/>
      <c r="D47" s="118"/>
      <c r="E47" s="1287"/>
      <c r="F47" s="114">
        <f>SUM(F44:F46)</f>
        <v>462020557</v>
      </c>
    </row>
    <row r="48" spans="1:6" s="105" customFormat="1">
      <c r="A48" s="590"/>
      <c r="B48" s="112"/>
      <c r="C48" s="117"/>
      <c r="D48" s="118"/>
      <c r="E48" s="1287"/>
      <c r="F48" s="114"/>
    </row>
    <row r="49" spans="1:6" s="105" customFormat="1">
      <c r="A49" s="839">
        <v>1.6</v>
      </c>
      <c r="B49" s="840" t="s">
        <v>2541</v>
      </c>
      <c r="C49" s="841"/>
      <c r="D49" s="842"/>
      <c r="E49" s="1286"/>
      <c r="F49" s="843"/>
    </row>
    <row r="50" spans="1:6" s="105" customFormat="1">
      <c r="A50" s="590" t="s">
        <v>2298</v>
      </c>
      <c r="B50" s="610" t="s">
        <v>2542</v>
      </c>
      <c r="C50" s="117" t="str">
        <f>+C57</f>
        <v>m</v>
      </c>
      <c r="D50" s="118">
        <f>+D57</f>
        <v>3656.65</v>
      </c>
      <c r="E50" s="1287">
        <f>+'1.6.1'!H52</f>
        <v>56616</v>
      </c>
      <c r="F50" s="111">
        <f>ROUND(E50*D50,0)</f>
        <v>207024896</v>
      </c>
    </row>
    <row r="51" spans="1:6" s="105" customFormat="1">
      <c r="A51" s="590" t="s">
        <v>2299</v>
      </c>
      <c r="B51" s="610" t="s">
        <v>2587</v>
      </c>
      <c r="C51" s="117" t="str">
        <f t="shared" ref="C51:D53" si="5">+C58</f>
        <v>Und.</v>
      </c>
      <c r="D51" s="1254">
        <f t="shared" si="5"/>
        <v>136</v>
      </c>
      <c r="E51" s="1287">
        <f>+'1.6.2'!H52</f>
        <v>217902</v>
      </c>
      <c r="F51" s="111">
        <f t="shared" ref="F51:F53" si="6">ROUND(E51*D51,0)</f>
        <v>29634672</v>
      </c>
    </row>
    <row r="52" spans="1:6" s="105" customFormat="1">
      <c r="A52" s="590" t="s">
        <v>2544</v>
      </c>
      <c r="B52" s="610" t="s">
        <v>2588</v>
      </c>
      <c r="C52" s="117" t="str">
        <f t="shared" si="5"/>
        <v>Und.</v>
      </c>
      <c r="D52" s="1254">
        <f t="shared" si="5"/>
        <v>8</v>
      </c>
      <c r="E52" s="1287">
        <f>+'1.6.3'!H52</f>
        <v>246331</v>
      </c>
      <c r="F52" s="111">
        <f t="shared" si="6"/>
        <v>1970648</v>
      </c>
    </row>
    <row r="53" spans="1:6" s="105" customFormat="1">
      <c r="A53" s="590" t="s">
        <v>2545</v>
      </c>
      <c r="B53" s="610" t="s">
        <v>2589</v>
      </c>
      <c r="C53" s="117" t="str">
        <f t="shared" si="5"/>
        <v>Und.</v>
      </c>
      <c r="D53" s="1254">
        <f t="shared" si="5"/>
        <v>17</v>
      </c>
      <c r="E53" s="1287">
        <f>+'1.6.4'!H52</f>
        <v>370391</v>
      </c>
      <c r="F53" s="111">
        <f t="shared" si="6"/>
        <v>6296647</v>
      </c>
    </row>
    <row r="54" spans="1:6" s="105" customFormat="1">
      <c r="A54" s="590"/>
      <c r="B54" s="112" t="s">
        <v>2543</v>
      </c>
      <c r="C54" s="117"/>
      <c r="D54" s="118"/>
      <c r="E54" s="1287"/>
      <c r="F54" s="114">
        <f>SUM(F50:F53)</f>
        <v>244926863</v>
      </c>
    </row>
    <row r="55" spans="1:6" s="105" customFormat="1">
      <c r="A55" s="590"/>
      <c r="B55" s="115"/>
      <c r="C55" s="110"/>
      <c r="D55" s="113"/>
      <c r="E55" s="1287"/>
      <c r="F55" s="114"/>
    </row>
    <row r="56" spans="1:6" s="105" customFormat="1">
      <c r="A56" s="588">
        <v>1.7</v>
      </c>
      <c r="B56" s="576" t="s">
        <v>1730</v>
      </c>
      <c r="C56" s="596"/>
      <c r="D56" s="577"/>
      <c r="E56" s="1285"/>
      <c r="F56" s="577"/>
    </row>
    <row r="57" spans="1:6" s="105" customFormat="1" ht="38.25">
      <c r="A57" s="589" t="s">
        <v>2517</v>
      </c>
      <c r="B57" s="115" t="s">
        <v>2580</v>
      </c>
      <c r="C57" s="117" t="s">
        <v>1654</v>
      </c>
      <c r="D57" s="118">
        <f>+Mem_CALCULO!BK171</f>
        <v>3656.65</v>
      </c>
      <c r="E57" s="1287">
        <f>'1.7.1'!H54</f>
        <v>28155.4</v>
      </c>
      <c r="F57" s="111">
        <f t="shared" ref="F57:F62" si="7">ROUND(E57*D57,0)</f>
        <v>102954443</v>
      </c>
    </row>
    <row r="58" spans="1:6" s="105" customFormat="1" ht="25.5">
      <c r="A58" s="589" t="s">
        <v>2518</v>
      </c>
      <c r="B58" s="115" t="s">
        <v>2590</v>
      </c>
      <c r="C58" s="117" t="s">
        <v>622</v>
      </c>
      <c r="D58" s="118">
        <f>+Mem_CALCULO!BL180</f>
        <v>136</v>
      </c>
      <c r="E58" s="1287">
        <f>'1.7.2'!H54</f>
        <v>104863.2</v>
      </c>
      <c r="F58" s="111">
        <f t="shared" si="7"/>
        <v>14261395</v>
      </c>
    </row>
    <row r="59" spans="1:6" s="105" customFormat="1" ht="25.5">
      <c r="A59" s="589" t="s">
        <v>2519</v>
      </c>
      <c r="B59" s="115" t="s">
        <v>2591</v>
      </c>
      <c r="C59" s="117" t="s">
        <v>622</v>
      </c>
      <c r="D59" s="118">
        <f>+Mem_CALCULO!BL181</f>
        <v>8</v>
      </c>
      <c r="E59" s="1287">
        <f>'1.7.3'!H54</f>
        <v>105422.2</v>
      </c>
      <c r="F59" s="111">
        <f t="shared" si="7"/>
        <v>843378</v>
      </c>
    </row>
    <row r="60" spans="1:6" s="105" customFormat="1" ht="25.5">
      <c r="A60" s="589" t="s">
        <v>2546</v>
      </c>
      <c r="B60" s="115" t="s">
        <v>2592</v>
      </c>
      <c r="C60" s="117" t="s">
        <v>622</v>
      </c>
      <c r="D60" s="118">
        <f>+Mem_CALCULO!BL182</f>
        <v>17</v>
      </c>
      <c r="E60" s="1287">
        <f>'1.7.4'!H54</f>
        <v>109512</v>
      </c>
      <c r="F60" s="111">
        <f t="shared" si="7"/>
        <v>1861704</v>
      </c>
    </row>
    <row r="61" spans="1:6" s="105" customFormat="1" ht="63.75">
      <c r="A61" s="589" t="s">
        <v>2547</v>
      </c>
      <c r="B61" s="115" t="s">
        <v>2300</v>
      </c>
      <c r="C61" s="117" t="s">
        <v>622</v>
      </c>
      <c r="D61" s="118">
        <f>+Mem_CALCULO!BK174</f>
        <v>112</v>
      </c>
      <c r="E61" s="1287">
        <f>'1.7.5'!H54</f>
        <v>869514.1</v>
      </c>
      <c r="F61" s="111">
        <f t="shared" si="7"/>
        <v>97385579</v>
      </c>
    </row>
    <row r="62" spans="1:6" s="105" customFormat="1" ht="67.5" customHeight="1">
      <c r="A62" s="589" t="s">
        <v>2548</v>
      </c>
      <c r="B62" s="818" t="s">
        <v>2275</v>
      </c>
      <c r="C62" s="117" t="s">
        <v>622</v>
      </c>
      <c r="D62" s="118">
        <f>+Mem_CALCULO!BK175</f>
        <v>48</v>
      </c>
      <c r="E62" s="1287">
        <f>'1.7.6'!H54</f>
        <v>1173539.8999999999</v>
      </c>
      <c r="F62" s="111">
        <f t="shared" si="7"/>
        <v>56329915</v>
      </c>
    </row>
    <row r="63" spans="1:6" s="105" customFormat="1">
      <c r="A63" s="589"/>
      <c r="B63" s="112" t="s">
        <v>1764</v>
      </c>
      <c r="C63" s="117"/>
      <c r="D63" s="118"/>
      <c r="E63" s="1287"/>
      <c r="F63" s="114">
        <f>SUM(F57:F62)</f>
        <v>273636414</v>
      </c>
    </row>
    <row r="64" spans="1:6" s="105" customFormat="1">
      <c r="A64" s="589"/>
      <c r="B64" s="112"/>
      <c r="C64" s="117"/>
      <c r="D64" s="118"/>
      <c r="E64" s="1287"/>
      <c r="F64" s="114"/>
    </row>
    <row r="65" spans="1:6" s="105" customFormat="1">
      <c r="A65" s="839">
        <v>1.8</v>
      </c>
      <c r="B65" s="840" t="s">
        <v>1691</v>
      </c>
      <c r="C65" s="841"/>
      <c r="D65" s="842"/>
      <c r="E65" s="1284"/>
      <c r="F65" s="842"/>
    </row>
    <row r="66" spans="1:6" ht="15.6" customHeight="1">
      <c r="A66" s="1031" t="s">
        <v>2520</v>
      </c>
      <c r="B66" s="1239" t="s">
        <v>2575</v>
      </c>
      <c r="C66" s="1032" t="s">
        <v>352</v>
      </c>
      <c r="D66" s="1281">
        <f>+Mem_CALCULO!CM160+Mem_CALCULO!DP160</f>
        <v>492.09</v>
      </c>
      <c r="E66" s="1277">
        <f>'1.8.1'!H54</f>
        <v>166283</v>
      </c>
      <c r="F66" s="111">
        <f>ROUND(E66*D66,0)</f>
        <v>81826201</v>
      </c>
    </row>
    <row r="67" spans="1:6" s="105" customFormat="1" ht="51.6" customHeight="1">
      <c r="A67" s="589" t="s">
        <v>2521</v>
      </c>
      <c r="B67" s="115" t="s">
        <v>1765</v>
      </c>
      <c r="C67" s="117" t="s">
        <v>352</v>
      </c>
      <c r="D67" s="1254">
        <f>+Mem_CALCULO!BQ184</f>
        <v>5245.19</v>
      </c>
      <c r="E67" s="1276">
        <f>'1.8.2'!H54</f>
        <v>27487.200000000001</v>
      </c>
      <c r="F67" s="111">
        <f>ROUND(E67*D67,0)</f>
        <v>144175587</v>
      </c>
    </row>
    <row r="68" spans="1:6" s="105" customFormat="1" ht="25.5">
      <c r="A68" s="589" t="s">
        <v>2574</v>
      </c>
      <c r="B68" s="115" t="s">
        <v>2567</v>
      </c>
      <c r="C68" s="117" t="s">
        <v>352</v>
      </c>
      <c r="D68" s="1254">
        <f>+Mem_CALCULO!BQ190</f>
        <v>1815.49</v>
      </c>
      <c r="E68" s="1276">
        <f>'1.8.3'!H54</f>
        <v>333283.59999999998</v>
      </c>
      <c r="F68" s="111">
        <f>ROUND(E68*D68,0)</f>
        <v>605073043</v>
      </c>
    </row>
    <row r="69" spans="1:6" s="105" customFormat="1">
      <c r="A69" s="589"/>
      <c r="B69" s="112" t="s">
        <v>1692</v>
      </c>
      <c r="C69" s="117"/>
      <c r="D69" s="118"/>
      <c r="E69" s="1287"/>
      <c r="F69" s="114">
        <f>SUM(F66:F68)</f>
        <v>831074831</v>
      </c>
    </row>
    <row r="70" spans="1:6" s="105" customFormat="1">
      <c r="A70" s="589"/>
      <c r="B70" s="112"/>
      <c r="C70" s="117"/>
      <c r="D70" s="118"/>
      <c r="E70" s="1287"/>
      <c r="F70" s="114"/>
    </row>
    <row r="71" spans="1:6" s="105" customFormat="1">
      <c r="A71" s="839">
        <v>1.9</v>
      </c>
      <c r="B71" s="840" t="s">
        <v>2408</v>
      </c>
      <c r="C71" s="841"/>
      <c r="D71" s="842"/>
      <c r="E71" s="1284"/>
      <c r="F71" s="842"/>
    </row>
    <row r="72" spans="1:6" s="105" customFormat="1" ht="51">
      <c r="A72" s="1032" t="s">
        <v>2555</v>
      </c>
      <c r="B72" s="818" t="s">
        <v>2415</v>
      </c>
      <c r="C72" s="1253" t="s">
        <v>1654</v>
      </c>
      <c r="D72" s="1254">
        <f>+Mem_CALCULO!BL207</f>
        <v>23.83</v>
      </c>
      <c r="E72" s="1287">
        <f>'1.9.1'!H54</f>
        <v>1041868.1</v>
      </c>
      <c r="F72" s="111">
        <f>ROUND(E72*D72,0)</f>
        <v>24827717</v>
      </c>
    </row>
    <row r="73" spans="1:6" s="105" customFormat="1" ht="63.75">
      <c r="A73" s="1031" t="s">
        <v>2556</v>
      </c>
      <c r="B73" s="818" t="s">
        <v>2501</v>
      </c>
      <c r="C73" s="1253" t="s">
        <v>1654</v>
      </c>
      <c r="D73" s="1254">
        <f>+Mem_CALCULO!BL195+Mem_CALCULO!BL196+Mem_CALCULO!BL197</f>
        <v>140</v>
      </c>
      <c r="E73" s="1287">
        <f>'1.9.2'!H54</f>
        <v>353905.5</v>
      </c>
      <c r="F73" s="111">
        <f>ROUND(E73*D73,0)</f>
        <v>49546770</v>
      </c>
    </row>
    <row r="74" spans="1:6" s="105" customFormat="1" ht="63.75">
      <c r="A74" s="1031" t="s">
        <v>2557</v>
      </c>
      <c r="B74" s="818" t="s">
        <v>2502</v>
      </c>
      <c r="C74" s="1253" t="s">
        <v>1654</v>
      </c>
      <c r="D74" s="1254">
        <f>+Mem_CALCULO!BL198+Mem_CALCULO!BL199</f>
        <v>233.98</v>
      </c>
      <c r="E74" s="1287">
        <f>'1.9.3'!H54</f>
        <v>508137.5</v>
      </c>
      <c r="F74" s="111">
        <f>ROUND(E74*D74,0)</f>
        <v>118894012</v>
      </c>
    </row>
    <row r="75" spans="1:6" s="105" customFormat="1">
      <c r="A75" s="589"/>
      <c r="B75" s="112" t="s">
        <v>2414</v>
      </c>
      <c r="C75" s="117"/>
      <c r="D75" s="118"/>
      <c r="E75" s="1287"/>
      <c r="F75" s="114">
        <f>SUM(F72:F74)</f>
        <v>193268499</v>
      </c>
    </row>
    <row r="76" spans="1:6" s="105" customFormat="1">
      <c r="A76" s="589"/>
      <c r="B76" s="112"/>
      <c r="C76" s="117"/>
      <c r="D76" s="118"/>
      <c r="E76" s="1287"/>
      <c r="F76" s="114"/>
    </row>
    <row r="77" spans="1:6" s="1646" customFormat="1" ht="16.5">
      <c r="A77" s="1638" t="s">
        <v>2698</v>
      </c>
      <c r="B77" s="1639"/>
      <c r="C77" s="1640"/>
      <c r="D77" s="1641"/>
      <c r="E77" s="1642"/>
      <c r="F77" s="833">
        <f>+F22+F36+F41+F47+F63+F69+F75</f>
        <v>2973135269</v>
      </c>
    </row>
    <row r="78" spans="1:6" s="105" customFormat="1" ht="16.5">
      <c r="A78" s="611" t="s">
        <v>2549</v>
      </c>
      <c r="B78" s="612"/>
      <c r="C78" s="613"/>
      <c r="D78" s="1226"/>
      <c r="E78" s="1291"/>
      <c r="F78" s="833">
        <f>+F29+F54</f>
        <v>692368643</v>
      </c>
    </row>
    <row r="79" spans="1:6" s="105" customFormat="1" ht="17.25" customHeight="1">
      <c r="A79" s="611" t="s">
        <v>2550</v>
      </c>
      <c r="B79" s="612"/>
      <c r="C79" s="613"/>
      <c r="D79" s="1221">
        <f>+ADMIN_SUMISTRO!C34</f>
        <v>0.1</v>
      </c>
      <c r="E79" s="1291"/>
      <c r="F79" s="1750">
        <f>+ROUND(F78*D79,0)</f>
        <v>69236864</v>
      </c>
    </row>
    <row r="80" spans="1:6" s="1646" customFormat="1" ht="16.5">
      <c r="A80" s="1647" t="s">
        <v>2551</v>
      </c>
      <c r="B80" s="1648"/>
      <c r="C80" s="1649"/>
      <c r="D80" s="1651"/>
      <c r="E80" s="1650"/>
      <c r="F80" s="1637">
        <f>SUM(F78:F79)</f>
        <v>761605507</v>
      </c>
    </row>
    <row r="81" spans="1:12" s="105" customFormat="1" ht="16.5">
      <c r="A81" s="1647" t="s">
        <v>2707</v>
      </c>
      <c r="B81" s="612"/>
      <c r="C81" s="613"/>
      <c r="D81" s="1221"/>
      <c r="E81" s="1291"/>
      <c r="F81" s="1750">
        <f>SUM(F77+F80)</f>
        <v>3734740776</v>
      </c>
    </row>
    <row r="82" spans="1:12" s="105" customFormat="1" ht="16.5">
      <c r="A82" s="1751"/>
      <c r="B82" s="612"/>
      <c r="C82" s="613"/>
      <c r="D82" s="1221"/>
      <c r="E82" s="1291"/>
      <c r="F82" s="614"/>
    </row>
    <row r="83" spans="1:12" s="105" customFormat="1">
      <c r="A83" s="611"/>
      <c r="B83" s="612"/>
      <c r="C83" s="613"/>
      <c r="D83" s="1221"/>
      <c r="E83" s="1291"/>
      <c r="F83" s="614"/>
    </row>
    <row r="84" spans="1:12" customFormat="1" ht="15">
      <c r="A84" s="2177" t="s">
        <v>2712</v>
      </c>
      <c r="B84" s="2178"/>
      <c r="C84" s="2174" t="s">
        <v>521</v>
      </c>
      <c r="D84" s="2174"/>
      <c r="E84" s="2174"/>
      <c r="F84" s="1782" t="s">
        <v>1817</v>
      </c>
      <c r="G84" s="1784"/>
      <c r="H84" s="1763"/>
      <c r="I84" s="1762"/>
      <c r="J84" s="1752"/>
      <c r="L84" s="1753"/>
    </row>
    <row r="85" spans="1:12" customFormat="1" ht="13.5">
      <c r="A85" s="1777"/>
      <c r="B85" s="1778"/>
      <c r="C85" s="132"/>
      <c r="D85" s="1754"/>
      <c r="E85" s="1754"/>
      <c r="F85" s="1755"/>
      <c r="G85" s="1765"/>
      <c r="H85" s="1765"/>
      <c r="I85" s="1764"/>
      <c r="J85" s="1752"/>
      <c r="L85" s="1753"/>
    </row>
    <row r="86" spans="1:12" customFormat="1" ht="38.25" customHeight="1">
      <c r="A86" s="2177" t="s">
        <v>2713</v>
      </c>
      <c r="B86" s="2178"/>
      <c r="C86" s="2174" t="s">
        <v>1793</v>
      </c>
      <c r="D86" s="2174"/>
      <c r="E86" s="1775" t="s">
        <v>882</v>
      </c>
      <c r="F86" s="1756">
        <v>0.25</v>
      </c>
      <c r="G86" s="1767"/>
      <c r="H86" s="1765"/>
      <c r="I86" s="1766"/>
      <c r="J86" s="1752"/>
      <c r="L86" s="1753"/>
    </row>
    <row r="87" spans="1:12" customFormat="1" ht="14.25">
      <c r="A87" s="1779"/>
      <c r="B87" s="1780"/>
      <c r="C87" s="2175" t="s">
        <v>1794</v>
      </c>
      <c r="D87" s="2175"/>
      <c r="E87" s="1776" t="s">
        <v>2708</v>
      </c>
      <c r="F87" s="1756">
        <v>0.02</v>
      </c>
      <c r="G87" s="1768"/>
      <c r="H87" s="1765"/>
      <c r="I87" s="1766"/>
      <c r="J87" s="1752"/>
      <c r="L87" s="1753"/>
    </row>
    <row r="88" spans="1:12" customFormat="1" ht="17.25" customHeight="1">
      <c r="A88" s="2172" t="s">
        <v>2714</v>
      </c>
      <c r="B88" s="2173"/>
      <c r="C88" s="2174" t="s">
        <v>2709</v>
      </c>
      <c r="D88" s="2174"/>
      <c r="E88" s="1776" t="s">
        <v>2710</v>
      </c>
      <c r="F88" s="1783">
        <v>0.03</v>
      </c>
      <c r="G88" s="1768"/>
      <c r="I88" s="1769"/>
      <c r="J88" s="1757"/>
    </row>
    <row r="89" spans="1:12" customFormat="1" ht="13.5">
      <c r="A89" s="1781"/>
      <c r="B89" s="1781"/>
      <c r="C89" s="2176" t="s">
        <v>2711</v>
      </c>
      <c r="D89" s="2176"/>
      <c r="E89" s="1774"/>
      <c r="F89" s="1758">
        <f>SUM(F86:F88)</f>
        <v>0.30000000000000004</v>
      </c>
      <c r="G89" s="1771"/>
      <c r="H89" s="1772"/>
      <c r="I89" s="1770"/>
      <c r="J89" s="1759"/>
      <c r="L89" s="1753"/>
    </row>
    <row r="90" spans="1:12" customFormat="1" ht="21" customHeight="1">
      <c r="A90" s="2172" t="s">
        <v>2715</v>
      </c>
      <c r="B90" s="2173"/>
      <c r="C90" s="1761"/>
      <c r="D90" s="1761"/>
      <c r="E90" s="1761"/>
      <c r="F90" s="1761"/>
      <c r="I90" s="1773"/>
      <c r="J90" s="1760"/>
    </row>
    <row r="91" spans="1:12">
      <c r="B91" s="120"/>
      <c r="C91" s="119"/>
      <c r="D91" s="121"/>
      <c r="E91" s="1292"/>
      <c r="F91" s="122"/>
    </row>
    <row r="92" spans="1:12">
      <c r="A92" s="594"/>
      <c r="B92" s="124"/>
      <c r="C92" s="119"/>
      <c r="D92" s="125"/>
      <c r="E92" s="1282">
        <f>F81/1.3</f>
        <v>2872877520</v>
      </c>
      <c r="F92" s="126"/>
    </row>
    <row r="93" spans="1:12">
      <c r="A93" s="595" t="s">
        <v>2500</v>
      </c>
      <c r="B93" s="124"/>
      <c r="E93" s="1282">
        <f>E92*0.25</f>
        <v>718219380</v>
      </c>
      <c r="F93" s="126"/>
    </row>
    <row r="94" spans="1:12">
      <c r="A94" s="810" t="str">
        <f>+[14]PRESUPUESTO!$A$114</f>
        <v>Ing. JHON FREDY GARCIA MENDEZ</v>
      </c>
      <c r="B94" s="127"/>
      <c r="C94" s="597"/>
      <c r="E94" s="1282"/>
      <c r="F94" s="126"/>
    </row>
    <row r="95" spans="1:12">
      <c r="A95" s="1069" t="s">
        <v>2499</v>
      </c>
      <c r="B95" s="127"/>
      <c r="C95" s="597"/>
      <c r="E95" s="1282"/>
      <c r="F95" s="126"/>
    </row>
    <row r="96" spans="1:12">
      <c r="A96" s="811" t="str">
        <f>+[14]PRESUPUESTO!$A$115</f>
        <v>M.P.  70268-326294 TLM.</v>
      </c>
      <c r="B96" s="128"/>
      <c r="C96" s="598"/>
      <c r="E96" s="1292"/>
      <c r="F96" s="129"/>
    </row>
    <row r="97" spans="1:6">
      <c r="A97" s="811" t="str">
        <f>+[14]PRESUPUESTO!$A$116</f>
        <v>CONSULTOR</v>
      </c>
      <c r="B97" s="120"/>
      <c r="C97" s="598"/>
      <c r="E97" s="1292"/>
      <c r="F97" s="129"/>
    </row>
    <row r="98" spans="1:6">
      <c r="B98" s="120"/>
      <c r="C98" s="119"/>
      <c r="D98" s="121"/>
      <c r="E98" s="1292"/>
      <c r="F98" s="129"/>
    </row>
  </sheetData>
  <mergeCells count="19">
    <mergeCell ref="A6:F6"/>
    <mergeCell ref="A1:F1"/>
    <mergeCell ref="A2:F2"/>
    <mergeCell ref="A3:F3"/>
    <mergeCell ref="A4:F4"/>
    <mergeCell ref="A5:F5"/>
    <mergeCell ref="A7:F7"/>
    <mergeCell ref="A8:F8"/>
    <mergeCell ref="A9:F9"/>
    <mergeCell ref="A10:F10"/>
    <mergeCell ref="A84:B84"/>
    <mergeCell ref="A90:B90"/>
    <mergeCell ref="C84:E84"/>
    <mergeCell ref="C86:D86"/>
    <mergeCell ref="C87:D87"/>
    <mergeCell ref="C88:D88"/>
    <mergeCell ref="C89:D89"/>
    <mergeCell ref="A86:B86"/>
    <mergeCell ref="A88:B88"/>
  </mergeCells>
  <conditionalFormatting sqref="B85 B87 B89">
    <cfRule type="duplicateValues" dxfId="0" priority="1"/>
  </conditionalFormatting>
  <pageMargins left="0.70866141732283472" right="0.70866141732283472" top="0.74803149606299213" bottom="0.74803149606299213" header="0.31496062992125984" footer="0.31496062992125984"/>
  <pageSetup scale="70"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Hoja6">
    <tabColor rgb="FF7DF1BD"/>
  </sheetPr>
  <dimension ref="A1:I1015"/>
  <sheetViews>
    <sheetView view="pageBreakPreview" zoomScaleNormal="100" zoomScaleSheetLayoutView="100" workbookViewId="0">
      <selection activeCell="H53" sqref="H53"/>
    </sheetView>
  </sheetViews>
  <sheetFormatPr baseColWidth="10" defaultColWidth="11.42578125" defaultRowHeight="12.75"/>
  <cols>
    <col min="1" max="1" width="8.42578125" style="247" customWidth="1"/>
    <col min="2" max="2" width="12.28515625" style="247" bestFit="1" customWidth="1"/>
    <col min="3" max="3" width="25.85546875" style="247" customWidth="1"/>
    <col min="4" max="4" width="15.140625" style="247" customWidth="1"/>
    <col min="5" max="5" width="13" style="247" customWidth="1"/>
    <col min="6" max="6" width="11.7109375" style="247" bestFit="1" customWidth="1"/>
    <col min="7" max="7" width="14" style="247" customWidth="1"/>
    <col min="8" max="8" width="14.8554687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v>1</v>
      </c>
      <c r="B7" s="2185" t="s">
        <v>948</v>
      </c>
      <c r="C7" s="2185"/>
      <c r="D7" s="2185"/>
      <c r="E7" s="2185"/>
      <c r="F7" s="289"/>
      <c r="G7" s="290" t="s">
        <v>525</v>
      </c>
      <c r="H7" s="97" t="s">
        <v>352</v>
      </c>
    </row>
    <row r="8" spans="1:9" ht="15.95" customHeight="1">
      <c r="A8" s="432">
        <v>1.1000000000000001</v>
      </c>
      <c r="B8" s="2186" t="s">
        <v>950</v>
      </c>
      <c r="C8" s="2186"/>
      <c r="D8" s="2186"/>
      <c r="E8" s="2186"/>
      <c r="F8" s="291"/>
      <c r="G8" s="290"/>
      <c r="H8" s="97"/>
    </row>
    <row r="9" spans="1:9">
      <c r="A9" s="96"/>
      <c r="B9" s="420"/>
      <c r="C9" s="421"/>
      <c r="D9" s="421"/>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304" t="s">
        <v>966</v>
      </c>
      <c r="B13" s="305" t="str">
        <f t="shared" ref="B13:B18" si="0">IF(A13="","",VLOOKUP(A13,EQUI,2,FALSE))</f>
        <v>Herramienta Menor (5% de la mano de obra).</v>
      </c>
      <c r="C13" s="306"/>
      <c r="D13" s="306"/>
      <c r="E13" s="276" t="str">
        <f>IF(A13="","",VLOOKUP(A13,EQUI,3,FALSE))</f>
        <v>%</v>
      </c>
      <c r="F13" s="433">
        <f>IF(A13="","",VLOOKUP(A13,EQUI,4,FALSE))</f>
        <v>0.05</v>
      </c>
      <c r="G13" s="307">
        <f>ROUND(F13*H49,0)</f>
        <v>7189</v>
      </c>
      <c r="H13" s="308">
        <f>+G13</f>
        <v>7189</v>
      </c>
      <c r="I13" s="309"/>
    </row>
    <row r="14" spans="1:9">
      <c r="A14" s="304" t="s">
        <v>497</v>
      </c>
      <c r="B14" s="305" t="str">
        <f t="shared" si="0"/>
        <v>Mezcladora mecánica (1.0 bultos)</v>
      </c>
      <c r="C14" s="306"/>
      <c r="D14" s="306"/>
      <c r="E14" s="276" t="str">
        <f>IF(A14="","",VLOOKUP(A14,EQUI,3,FALSE))</f>
        <v>Dia</v>
      </c>
      <c r="F14" s="405">
        <v>0.1</v>
      </c>
      <c r="G14" s="310">
        <f>IF(A14="","",VLOOKUP(A14,EQUI,4))</f>
        <v>80000</v>
      </c>
      <c r="H14" s="311">
        <f>IF(A14="","",ROUND((G14*F14),0))</f>
        <v>8000</v>
      </c>
    </row>
    <row r="15" spans="1:9">
      <c r="A15" s="304"/>
      <c r="B15" s="305" t="str">
        <f t="shared" si="0"/>
        <v/>
      </c>
      <c r="C15" s="306"/>
      <c r="D15" s="306"/>
      <c r="E15" s="276" t="str">
        <f>IF(A15="","",VLOOKUP(A15,EQUI,3))</f>
        <v/>
      </c>
      <c r="F15" s="405"/>
      <c r="G15" s="310" t="str">
        <f>IF(A15="","",VLOOKUP(A15,EQUI,4))</f>
        <v/>
      </c>
      <c r="H15" s="311" t="str">
        <f>IF(A15="","",ROUND((G15*F15),0))</f>
        <v/>
      </c>
    </row>
    <row r="16" spans="1:9">
      <c r="A16" s="304"/>
      <c r="B16" s="305" t="str">
        <f t="shared" si="0"/>
        <v/>
      </c>
      <c r="C16" s="306"/>
      <c r="D16" s="306"/>
      <c r="E16" s="276" t="str">
        <f>IF(A16="","",VLOOKUP(A16,EQUI,3))</f>
        <v/>
      </c>
      <c r="F16" s="405"/>
      <c r="G16" s="310" t="str">
        <f>IF(A16="","",VLOOKUP(A16,EQUI,4))</f>
        <v/>
      </c>
      <c r="H16" s="311" t="str">
        <f>IF(A16="","",ROUND((G16*F16),0))</f>
        <v/>
      </c>
    </row>
    <row r="17" spans="1:8">
      <c r="A17" s="304"/>
      <c r="B17" s="305" t="str">
        <f t="shared" si="0"/>
        <v/>
      </c>
      <c r="C17" s="306"/>
      <c r="D17" s="306"/>
      <c r="E17" s="276" t="str">
        <f>IF(A17="","",VLOOKUP(A17,EQUI,3))</f>
        <v/>
      </c>
      <c r="F17" s="405"/>
      <c r="G17" s="310" t="str">
        <f>IF(A17="","",VLOOKUP(A17,EQUI,4))</f>
        <v/>
      </c>
      <c r="H17" s="311" t="str">
        <f>IF(A17="","",ROUND((G17*F17),0))</f>
        <v/>
      </c>
    </row>
    <row r="18" spans="1:8" ht="13.5" thickBot="1">
      <c r="A18" s="312"/>
      <c r="B18" s="313" t="str">
        <f t="shared" si="0"/>
        <v/>
      </c>
      <c r="C18" s="313"/>
      <c r="D18" s="314"/>
      <c r="E18" s="315" t="str">
        <f>IF(A18="","",VLOOKUP(A18,EQUI,3))</f>
        <v/>
      </c>
      <c r="F18" s="408"/>
      <c r="G18" s="316" t="str">
        <f>IF(A18="","",VLOOKUP(A18,EQUI,4))</f>
        <v/>
      </c>
      <c r="H18" s="311" t="str">
        <f>IF(A18="","",ROUND((G18*F18),0))</f>
        <v/>
      </c>
    </row>
    <row r="19" spans="1:8" ht="13.5" thickBot="1">
      <c r="A19" s="285"/>
      <c r="B19" s="285"/>
      <c r="C19" s="285"/>
      <c r="D19" s="285"/>
      <c r="E19" s="286"/>
      <c r="F19" s="285"/>
      <c r="G19" s="317" t="s">
        <v>529</v>
      </c>
      <c r="H19" s="318">
        <f>ROUND(SUM(H13:H18),0)</f>
        <v>15189</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49" t="s">
        <v>134</v>
      </c>
      <c r="B23" s="353" t="str">
        <f t="shared" ref="B23:B33" si="1">IF(A23="","",VLOOKUP(A23,MAT,2,FALSE))</f>
        <v>Agua</v>
      </c>
      <c r="C23" s="305"/>
      <c r="D23" s="306"/>
      <c r="E23" s="276" t="str">
        <f>IF(A23="","",VLOOKUP(A23,MAT,3,FALSE))</f>
        <v>Lt</v>
      </c>
      <c r="F23" s="405">
        <v>160</v>
      </c>
      <c r="G23" s="310">
        <f>IF(A23="","",VLOOKUP(A23,MAT,5,FALSE))</f>
        <v>20</v>
      </c>
      <c r="H23" s="311">
        <f>IF(A23="","",ROUND((G23*F23),0))</f>
        <v>3200</v>
      </c>
    </row>
    <row r="24" spans="1:8">
      <c r="A24" s="550" t="s">
        <v>561</v>
      </c>
      <c r="B24" s="353" t="str">
        <f t="shared" si="1"/>
        <v>Arena triturada de planta, pasante 3/8"</v>
      </c>
      <c r="C24" s="305"/>
      <c r="D24" s="306"/>
      <c r="E24" s="276" t="str">
        <f>IF(A24="","",VLOOKUP(A24,MAT,3,FALSE))</f>
        <v>m3</v>
      </c>
      <c r="F24" s="405">
        <v>0.5</v>
      </c>
      <c r="G24" s="310">
        <f>IF(A24="","",VLOOKUP(A24,MAT,5,FALSE))</f>
        <v>122570</v>
      </c>
      <c r="H24" s="311">
        <f>IF(A24="","",ROUND((G24*F24),0))</f>
        <v>61285</v>
      </c>
    </row>
    <row r="25" spans="1:8">
      <c r="A25" s="550" t="s">
        <v>1629</v>
      </c>
      <c r="B25" s="353" t="str">
        <f t="shared" si="1"/>
        <v>Gravilla triturada de Ø1/2".</v>
      </c>
      <c r="C25" s="305"/>
      <c r="D25" s="306"/>
      <c r="E25" s="276" t="str">
        <f>IF(A25="","",VLOOKUP(A25,MAT,3,FALSE))</f>
        <v>m3</v>
      </c>
      <c r="F25" s="405">
        <v>1</v>
      </c>
      <c r="G25" s="310">
        <f>IF(A25="","",VLOOKUP(A25,MAT,5,FALSE))</f>
        <v>138040</v>
      </c>
      <c r="H25" s="311">
        <f>IF(A25="","",ROUND((G25*F25),0))</f>
        <v>138040</v>
      </c>
    </row>
    <row r="26" spans="1:8">
      <c r="A26" s="550" t="s">
        <v>576</v>
      </c>
      <c r="B26" s="305" t="str">
        <f t="shared" si="1"/>
        <v>Cemento gris tipo Portland.</v>
      </c>
      <c r="C26" s="305"/>
      <c r="D26" s="306"/>
      <c r="E26" s="276" t="str">
        <f t="shared" ref="E26:E32" si="2">IF(A26="","",VLOOKUP(A26,MAT,3,FALSE))</f>
        <v>Kg.</v>
      </c>
      <c r="F26" s="405">
        <v>210</v>
      </c>
      <c r="G26" s="310">
        <f t="shared" ref="G26:G32" si="3">IF(A26="","",VLOOKUP(A26,MAT,5,FALSE))</f>
        <v>700</v>
      </c>
      <c r="H26" s="311">
        <f t="shared" ref="H26:H32" si="4">IF(A26="","",ROUND((G26*F26),0))</f>
        <v>147000</v>
      </c>
    </row>
    <row r="27" spans="1:8">
      <c r="A27" s="550"/>
      <c r="B27" s="305"/>
      <c r="C27" s="305"/>
      <c r="D27" s="306"/>
      <c r="E27" s="276"/>
      <c r="F27" s="405"/>
      <c r="G27" s="310"/>
      <c r="H27" s="311"/>
    </row>
    <row r="28" spans="1:8">
      <c r="A28" s="550"/>
      <c r="B28" s="305" t="str">
        <f t="shared" si="1"/>
        <v/>
      </c>
      <c r="C28" s="305"/>
      <c r="D28" s="306"/>
      <c r="E28" s="276" t="str">
        <f t="shared" si="2"/>
        <v/>
      </c>
      <c r="F28" s="405"/>
      <c r="G28" s="310" t="str">
        <f t="shared" si="3"/>
        <v/>
      </c>
      <c r="H28" s="311" t="str">
        <f t="shared" si="4"/>
        <v/>
      </c>
    </row>
    <row r="29" spans="1:8">
      <c r="A29" s="550"/>
      <c r="B29" s="305" t="str">
        <f t="shared" si="1"/>
        <v/>
      </c>
      <c r="C29" s="305"/>
      <c r="D29" s="306"/>
      <c r="E29" s="276" t="str">
        <f t="shared" si="2"/>
        <v/>
      </c>
      <c r="F29" s="405"/>
      <c r="G29" s="310" t="str">
        <f t="shared" si="3"/>
        <v/>
      </c>
      <c r="H29" s="311" t="str">
        <f t="shared" si="4"/>
        <v/>
      </c>
    </row>
    <row r="30" spans="1:8">
      <c r="A30" s="550"/>
      <c r="B30" s="305" t="str">
        <f t="shared" si="1"/>
        <v/>
      </c>
      <c r="C30" s="305"/>
      <c r="D30" s="306"/>
      <c r="E30" s="276" t="str">
        <f t="shared" si="2"/>
        <v/>
      </c>
      <c r="F30" s="405"/>
      <c r="G30" s="310" t="str">
        <f t="shared" si="3"/>
        <v/>
      </c>
      <c r="H30" s="311" t="str">
        <f t="shared" si="4"/>
        <v/>
      </c>
    </row>
    <row r="31" spans="1:8">
      <c r="A31" s="550"/>
      <c r="B31" s="305" t="str">
        <f t="shared" si="1"/>
        <v/>
      </c>
      <c r="C31" s="305"/>
      <c r="D31" s="306"/>
      <c r="E31" s="276" t="str">
        <f t="shared" si="2"/>
        <v/>
      </c>
      <c r="F31" s="405"/>
      <c r="G31" s="310" t="str">
        <f t="shared" si="3"/>
        <v/>
      </c>
      <c r="H31" s="311" t="str">
        <f t="shared" si="4"/>
        <v/>
      </c>
    </row>
    <row r="32" spans="1:8">
      <c r="A32" s="550"/>
      <c r="B32" s="305" t="str">
        <f t="shared" si="1"/>
        <v/>
      </c>
      <c r="C32" s="305"/>
      <c r="D32" s="306"/>
      <c r="E32" s="276" t="str">
        <f t="shared" si="2"/>
        <v/>
      </c>
      <c r="F32" s="405"/>
      <c r="G32" s="310" t="str">
        <f t="shared" si="3"/>
        <v/>
      </c>
      <c r="H32" s="311" t="str">
        <f t="shared" si="4"/>
        <v/>
      </c>
    </row>
    <row r="33" spans="1:8" ht="13.5" thickBot="1">
      <c r="A33" s="551"/>
      <c r="B33" s="326" t="str">
        <f t="shared" si="1"/>
        <v/>
      </c>
      <c r="C33" s="314"/>
      <c r="D33" s="314"/>
      <c r="E33" s="315" t="str">
        <f>IF(A33="","",VLOOKUP(A33,MAT,3,FALSE))</f>
        <v/>
      </c>
      <c r="F33" s="406"/>
      <c r="G33" s="327" t="str">
        <f>IF(A33="","",VLOOKUP(A33,MAT,5,FALSE))</f>
        <v/>
      </c>
      <c r="H33" s="311" t="str">
        <f>IF(A33="","",ROUND((G33*F33),0))</f>
        <v/>
      </c>
    </row>
    <row r="34" spans="1:8" ht="13.5" thickBot="1">
      <c r="A34" s="285"/>
      <c r="B34" s="285"/>
      <c r="C34" s="285"/>
      <c r="D34" s="285"/>
      <c r="E34" s="286"/>
      <c r="F34" s="285"/>
      <c r="G34" s="210" t="s">
        <v>529</v>
      </c>
      <c r="H34" s="328">
        <f>ROUND(SUM(H23:H33),0)</f>
        <v>349525</v>
      </c>
    </row>
    <row r="35" spans="1:8">
      <c r="A35" s="285"/>
      <c r="B35" s="285"/>
      <c r="C35" s="285"/>
      <c r="D35" s="285"/>
      <c r="E35" s="286"/>
      <c r="F35" s="285"/>
      <c r="G35" s="286"/>
      <c r="H35" s="329"/>
    </row>
    <row r="36" spans="1:8" ht="13.5" thickBot="1">
      <c r="A36" s="295" t="s">
        <v>531</v>
      </c>
      <c r="B36" s="285"/>
      <c r="C36" s="285"/>
      <c r="D36" s="285"/>
      <c r="E36" s="286"/>
      <c r="F36" s="285"/>
      <c r="G36" s="286"/>
      <c r="H36" s="330"/>
    </row>
    <row r="37" spans="1:8" ht="13.5" thickBot="1">
      <c r="A37" s="297" t="s">
        <v>527</v>
      </c>
      <c r="B37" s="2187" t="s">
        <v>532</v>
      </c>
      <c r="C37" s="2188"/>
      <c r="D37" s="331" t="s">
        <v>974</v>
      </c>
      <c r="E37" s="331" t="s">
        <v>820</v>
      </c>
      <c r="F37" s="331" t="s">
        <v>823</v>
      </c>
      <c r="G37" s="331" t="s">
        <v>822</v>
      </c>
      <c r="H37" s="416" t="s">
        <v>831</v>
      </c>
    </row>
    <row r="38" spans="1:8">
      <c r="A38" s="552" t="s">
        <v>561</v>
      </c>
      <c r="B38" s="305" t="str">
        <f>IF(A38="","",VLOOKUP(A38,MAT,2,FALSE))</f>
        <v>Arena triturada de planta, pasante 3/8"</v>
      </c>
      <c r="C38" s="333"/>
      <c r="D38" s="409" t="str">
        <f>IF(A38="","",VLOOKUP(A38,MAT,3,FALSE))</f>
        <v>m3</v>
      </c>
      <c r="E38" s="419">
        <f>IF(A38="","",VLOOKUP(A38,MAT,6,FALSE))</f>
        <v>60.5</v>
      </c>
      <c r="F38" s="413">
        <f>IF(A38="","",VLOOKUP(A38,$A$23:$H$33,6,FALSE))</f>
        <v>0.5</v>
      </c>
      <c r="G38" s="334">
        <f>IF(A38="","",VLOOKUP(A38,MAT,7,FALSE))</f>
        <v>1500</v>
      </c>
      <c r="H38" s="311">
        <f>IF(A38="","",ROUND((G38*F38*E38),0))</f>
        <v>45375</v>
      </c>
    </row>
    <row r="39" spans="1:8">
      <c r="A39" s="553" t="s">
        <v>1629</v>
      </c>
      <c r="B39" s="305" t="str">
        <f>IF(A39="","",VLOOKUP(A39,MAT,2,FALSE))</f>
        <v>Gravilla triturada de Ø1/2".</v>
      </c>
      <c r="D39" s="410" t="str">
        <f>IF(A39="","",VLOOKUP(A39,MAT,3,FALSE))</f>
        <v>m3</v>
      </c>
      <c r="E39" s="419">
        <f>IF(A39="","",VLOOKUP(A39,MAT,6,FALSE))</f>
        <v>60.5</v>
      </c>
      <c r="F39" s="413">
        <f>IF(A39="","",VLOOKUP(A39,$A$23:$H$33,6,FALSE))</f>
        <v>1</v>
      </c>
      <c r="G39" s="336">
        <f>IF(A39="","",VLOOKUP(A39,MAT,7,FALSE))</f>
        <v>1500</v>
      </c>
      <c r="H39" s="311">
        <f>IF(A39="","",ROUND((G39*F39*E39),0))</f>
        <v>90750</v>
      </c>
    </row>
    <row r="40" spans="1:8" ht="13.5" thickBot="1">
      <c r="A40" s="554"/>
      <c r="B40" s="338" t="str">
        <f>IF(A40="","",VLOOKUP(A40,MAT,2,FALSE))</f>
        <v/>
      </c>
      <c r="C40" s="338"/>
      <c r="D40" s="411" t="str">
        <f>IF(A40="","",VLOOKUP(A40,MAT,3,FALSE))</f>
        <v/>
      </c>
      <c r="E40" s="412" t="str">
        <f>IF(A40="","",VLOOKUP(A40,MAT,6,FALSE))</f>
        <v/>
      </c>
      <c r="F40" s="418" t="str">
        <f>IF(A40="","",VLOOKUP(A40,$A$23:$H$33,6,FALSE))</f>
        <v/>
      </c>
      <c r="G40" s="339" t="str">
        <f>IF(A40="","",VLOOKUP(A40,MAT,7,FALSE))</f>
        <v/>
      </c>
      <c r="H40" s="417" t="str">
        <f>IF(A40="","",ROUND((G40*F40*E40),0))</f>
        <v/>
      </c>
    </row>
    <row r="41" spans="1:8" ht="13.5" thickBot="1">
      <c r="E41" s="340"/>
      <c r="F41" s="341"/>
      <c r="G41" s="414" t="s">
        <v>529</v>
      </c>
      <c r="H41" s="415">
        <f>ROUND(SUM(H38:H40),0)</f>
        <v>136125</v>
      </c>
    </row>
    <row r="42" spans="1:8">
      <c r="E42" s="340"/>
      <c r="F42" s="341"/>
      <c r="G42" s="286"/>
      <c r="H42" s="343"/>
    </row>
    <row r="43" spans="1:8" ht="13.5" thickBot="1">
      <c r="A43" s="295" t="s">
        <v>534</v>
      </c>
      <c r="B43" s="295"/>
      <c r="C43" s="295"/>
      <c r="D43" s="285"/>
      <c r="E43" s="286"/>
      <c r="F43" s="285"/>
      <c r="G43" s="285"/>
      <c r="H43" s="314"/>
    </row>
    <row r="44" spans="1:8" ht="13.5" thickBot="1">
      <c r="A44" s="297" t="s">
        <v>527</v>
      </c>
      <c r="B44" s="2189" t="s">
        <v>514</v>
      </c>
      <c r="C44" s="2190"/>
      <c r="D44" s="2191"/>
      <c r="E44" s="277" t="s">
        <v>515</v>
      </c>
      <c r="F44" s="277" t="s">
        <v>535</v>
      </c>
      <c r="G44" s="531" t="s">
        <v>944</v>
      </c>
      <c r="H44" s="416" t="s">
        <v>831</v>
      </c>
    </row>
    <row r="45" spans="1:8">
      <c r="A45" s="344" t="s">
        <v>932</v>
      </c>
      <c r="B45" s="2192" t="str">
        <f>IF(A45="","",VLOOKUP(A45,MO,2,FALSE))</f>
        <v>Cuadrilla LL: Mezclas. (1 Of. + 3 Ayud.).</v>
      </c>
      <c r="C45" s="2193"/>
      <c r="D45" s="2194"/>
      <c r="E45" s="538" t="str">
        <f>IF(A45="","",VLOOKUP(A45,MO,13,FALSE))</f>
        <v>HC</v>
      </c>
      <c r="F45" s="544">
        <v>0.56000000000000005</v>
      </c>
      <c r="G45" s="540">
        <f>IF(A45="","",VLOOKUP(A45,MO,15,FALSE))</f>
        <v>80517</v>
      </c>
      <c r="H45" s="542">
        <f>IF(A45="","",ROUND((G45/F45),0))</f>
        <v>143780</v>
      </c>
    </row>
    <row r="46" spans="1:8">
      <c r="A46" s="344"/>
      <c r="B46" s="2179" t="str">
        <f>IF(A46="","",VLOOKUP(A46,MO,2,FALSE))</f>
        <v/>
      </c>
      <c r="C46" s="2180"/>
      <c r="D46" s="2181"/>
      <c r="E46" s="538" t="str">
        <f>IF(A46="","",VLOOKUP(A46,MO,13,FALSE))</f>
        <v/>
      </c>
      <c r="F46" s="544"/>
      <c r="G46" s="540" t="str">
        <f>IF(A46="","",VLOOKUP(A46,MO,15,FALSE))</f>
        <v/>
      </c>
      <c r="H46" s="542" t="str">
        <f>IF(A46="","",ROUND((G46/F46),0))</f>
        <v/>
      </c>
    </row>
    <row r="47" spans="1:8">
      <c r="A47" s="344"/>
      <c r="B47" s="2179" t="str">
        <f>IF(A47="","",VLOOKUP(A47,MO,2,FALSE))</f>
        <v/>
      </c>
      <c r="C47" s="2180"/>
      <c r="D47" s="2181"/>
      <c r="E47" s="538" t="str">
        <f>IF(A47="","",VLOOKUP(A47,MO,13,FALSE))</f>
        <v/>
      </c>
      <c r="F47" s="544"/>
      <c r="G47" s="541" t="str">
        <f>IF(A47="","",VLOOKUP(A47,MO,15,FALSE))</f>
        <v/>
      </c>
      <c r="H47" s="542" t="str">
        <f>IF(A47="","",ROUND((G47/F47),0))</f>
        <v/>
      </c>
    </row>
    <row r="48" spans="1:8" ht="13.5" thickBot="1">
      <c r="A48" s="345"/>
      <c r="B48" s="2182" t="str">
        <f>IF(A48="","",VLOOKUP(A48,MO,2,FALSE))</f>
        <v/>
      </c>
      <c r="C48" s="2183"/>
      <c r="D48" s="2184"/>
      <c r="E48" s="539" t="str">
        <f>IF(A48="","",VLOOKUP(A48,MO,13,FALSE))</f>
        <v/>
      </c>
      <c r="F48" s="545"/>
      <c r="G48" s="377" t="str">
        <f>IF(A48="","",VLOOKUP(A48,MO,15,FALSE))</f>
        <v/>
      </c>
      <c r="H48" s="543" t="str">
        <f>IF(A48="","",ROUND((G48/F48),0))</f>
        <v/>
      </c>
    </row>
    <row r="49" spans="1:8" ht="13.5" thickBot="1">
      <c r="A49" s="285"/>
      <c r="B49" s="285"/>
      <c r="C49" s="285"/>
      <c r="D49" s="285"/>
      <c r="E49" s="286"/>
      <c r="F49" s="285"/>
      <c r="G49" s="414" t="s">
        <v>529</v>
      </c>
      <c r="H49" s="415">
        <f>ROUND(SUM(H45:H48),0)</f>
        <v>143780</v>
      </c>
    </row>
    <row r="50" spans="1:8" ht="13.5" thickBot="1">
      <c r="A50" s="285"/>
      <c r="B50" s="285"/>
      <c r="C50" s="285"/>
      <c r="D50" s="285"/>
      <c r="E50" s="286"/>
      <c r="F50" s="285"/>
      <c r="G50" s="285"/>
      <c r="H50" s="285"/>
    </row>
    <row r="51" spans="1:8" ht="13.5" thickBot="1">
      <c r="A51" s="285"/>
      <c r="B51" s="285"/>
      <c r="C51" s="285"/>
      <c r="D51" s="285"/>
      <c r="E51" s="346" t="s">
        <v>536</v>
      </c>
      <c r="F51" s="347"/>
      <c r="G51" s="347"/>
      <c r="H51" s="348">
        <f>+ROUND(H19+H34+H41+H49,0)</f>
        <v>644619</v>
      </c>
    </row>
    <row r="52" spans="1:8">
      <c r="A52" s="285"/>
      <c r="B52" s="285"/>
      <c r="C52" s="285"/>
      <c r="D52" s="285"/>
      <c r="E52" s="806" t="s">
        <v>2696</v>
      </c>
      <c r="F52" s="807">
        <v>0.3</v>
      </c>
      <c r="G52" s="807">
        <v>0.3</v>
      </c>
      <c r="H52" s="809">
        <f>H51*G52</f>
        <v>193385.69999999998</v>
      </c>
    </row>
    <row r="53" spans="1:8">
      <c r="E53" s="806"/>
      <c r="F53" s="807"/>
      <c r="G53" s="807"/>
      <c r="H53" s="809">
        <f>SUM(H51:H52)</f>
        <v>838004.7</v>
      </c>
    </row>
    <row r="54" spans="1:8">
      <c r="A54" s="703" t="str">
        <f>+[14]PRESUPUESTO!$A$113</f>
        <v>__________________________________________</v>
      </c>
      <c r="B54" s="703"/>
    </row>
    <row r="55" spans="1:8" ht="15.95" customHeight="1">
      <c r="A55" s="810" t="str">
        <f>+[14]PRESUPUESTO!$A$114</f>
        <v>Ing. JHON FREDY GARCIA MENDEZ</v>
      </c>
      <c r="B55" s="703"/>
    </row>
    <row r="56" spans="1:8" ht="15.95" customHeight="1">
      <c r="A56" s="811" t="str">
        <f>+[14]PRESUPUESTO!$A$115</f>
        <v>M.P.  70268-326294 TLM.</v>
      </c>
      <c r="B56" s="703"/>
    </row>
    <row r="57" spans="1:8">
      <c r="A57" s="811" t="str">
        <f>+[14]PRESUPUESTO!$A$116</f>
        <v>CONSULTOR</v>
      </c>
      <c r="B57" s="703"/>
    </row>
    <row r="58" spans="1:8">
      <c r="A58" s="422"/>
      <c r="B58" s="2197"/>
      <c r="C58" s="2198"/>
      <c r="D58" s="2198"/>
      <c r="E58" s="422"/>
      <c r="F58" s="306"/>
      <c r="G58" s="423"/>
      <c r="H58" s="352"/>
    </row>
    <row r="59" spans="1:8">
      <c r="A59" s="424"/>
      <c r="B59" s="2185"/>
      <c r="C59" s="2185"/>
      <c r="D59" s="2185"/>
      <c r="E59" s="2185"/>
      <c r="F59" s="425"/>
      <c r="G59" s="426"/>
      <c r="H59" s="409"/>
    </row>
    <row r="60" spans="1:8">
      <c r="A60" s="424"/>
      <c r="B60" s="2185"/>
      <c r="C60" s="2185"/>
      <c r="D60" s="2185"/>
      <c r="E60" s="2185"/>
      <c r="F60" s="427"/>
      <c r="G60" s="426"/>
      <c r="H60" s="409"/>
    </row>
    <row r="61" spans="1:8">
      <c r="A61" s="424"/>
      <c r="B61" s="428"/>
      <c r="C61" s="429"/>
      <c r="D61" s="429"/>
      <c r="E61" s="429"/>
      <c r="F61" s="430"/>
      <c r="G61" s="423"/>
      <c r="H61" s="352"/>
    </row>
    <row r="62" spans="1:8" ht="13.5" thickBot="1">
      <c r="A62" s="409"/>
      <c r="B62" s="431"/>
      <c r="C62" s="431"/>
      <c r="D62" s="431"/>
      <c r="E62" s="431"/>
      <c r="F62" s="431"/>
      <c r="G62" s="294"/>
      <c r="H62" s="294"/>
    </row>
    <row r="63" spans="1:8" ht="15.95" customHeight="1">
      <c r="A63" s="284"/>
      <c r="B63" s="2195"/>
      <c r="C63" s="2196"/>
      <c r="D63" s="2196"/>
      <c r="E63" s="284"/>
      <c r="F63" s="285"/>
      <c r="G63" s="286"/>
      <c r="H63" s="287"/>
    </row>
    <row r="64" spans="1:8" ht="15.95" customHeight="1">
      <c r="A64" s="96">
        <v>1</v>
      </c>
      <c r="B64" s="2185" t="s">
        <v>948</v>
      </c>
      <c r="C64" s="2185"/>
      <c r="D64" s="2185"/>
      <c r="E64" s="2185"/>
      <c r="F64" s="289"/>
      <c r="G64" s="290" t="s">
        <v>525</v>
      </c>
      <c r="H64" s="97" t="s">
        <v>352</v>
      </c>
    </row>
    <row r="65" spans="1:8">
      <c r="A65" s="432">
        <v>1.1000000000000001</v>
      </c>
      <c r="B65" s="2186" t="s">
        <v>545</v>
      </c>
      <c r="C65" s="2186"/>
      <c r="D65" s="2186"/>
      <c r="E65" s="2186"/>
      <c r="F65" s="291"/>
      <c r="G65" s="290"/>
      <c r="H65" s="97"/>
    </row>
    <row r="66" spans="1:8">
      <c r="A66" s="96"/>
      <c r="B66" s="420"/>
      <c r="C66" s="421"/>
      <c r="D66" s="421"/>
      <c r="E66" s="421"/>
      <c r="F66" s="292"/>
      <c r="G66" s="286"/>
      <c r="H66" s="287"/>
    </row>
    <row r="67" spans="1:8">
      <c r="A67" s="97"/>
      <c r="B67" s="293"/>
      <c r="C67" s="293"/>
      <c r="D67" s="293"/>
      <c r="E67" s="293"/>
      <c r="F67" s="293"/>
      <c r="G67" s="294"/>
      <c r="H67" s="294"/>
    </row>
    <row r="68" spans="1:8" ht="13.5" thickBot="1">
      <c r="A68" s="295" t="s">
        <v>526</v>
      </c>
      <c r="B68" s="295"/>
      <c r="C68" s="285"/>
      <c r="D68" s="296"/>
      <c r="E68" s="296"/>
      <c r="F68" s="296"/>
      <c r="G68" s="296"/>
      <c r="H68" s="296"/>
    </row>
    <row r="69" spans="1:8" ht="13.5" thickBot="1">
      <c r="A69" s="297" t="s">
        <v>527</v>
      </c>
      <c r="B69" s="298"/>
      <c r="C69" s="299" t="s">
        <v>521</v>
      </c>
      <c r="D69" s="300"/>
      <c r="E69" s="301" t="s">
        <v>515</v>
      </c>
      <c r="F69" s="302" t="s">
        <v>528</v>
      </c>
      <c r="G69" s="303" t="s">
        <v>832</v>
      </c>
      <c r="H69" s="278" t="s">
        <v>831</v>
      </c>
    </row>
    <row r="70" spans="1:8">
      <c r="A70" s="304" t="s">
        <v>966</v>
      </c>
      <c r="B70" s="305" t="str">
        <f>IF(A70="","",VLOOKUP(A70,EQUI,2,FALSE))</f>
        <v>Herramienta Menor (5% de la mano de obra).</v>
      </c>
      <c r="C70" s="306"/>
      <c r="D70" s="306"/>
      <c r="E70" s="276" t="str">
        <f>IF(A70="","",VLOOKUP(A70,EQUI,3,FALSE))</f>
        <v>%</v>
      </c>
      <c r="F70" s="433">
        <f>IF(A70="","",VLOOKUP(A70,EQUI,4,FALSE))</f>
        <v>0.05</v>
      </c>
      <c r="G70" s="307">
        <f>ROUND(F70*H106,0)</f>
        <v>7189</v>
      </c>
      <c r="H70" s="308">
        <f>+G70</f>
        <v>7189</v>
      </c>
    </row>
    <row r="71" spans="1:8">
      <c r="A71" s="304" t="s">
        <v>497</v>
      </c>
      <c r="B71" s="305" t="str">
        <f>IF(A71="","",VLOOKUP(A71,EQUI,2,FALSE))</f>
        <v>Mezcladora mecánica (1.0 bultos)</v>
      </c>
      <c r="C71" s="306"/>
      <c r="D71" s="306"/>
      <c r="E71" s="276" t="str">
        <f>IF(A71="","",VLOOKUP(A71,EQUI,3))</f>
        <v>Dia</v>
      </c>
      <c r="F71" s="405">
        <v>0.1</v>
      </c>
      <c r="G71" s="310">
        <f>IF(A71="","",VLOOKUP(A71,EQUI,4))</f>
        <v>80000</v>
      </c>
      <c r="H71" s="311">
        <f>IF(A71="","",ROUND((G71*F71),0))</f>
        <v>8000</v>
      </c>
    </row>
    <row r="72" spans="1:8">
      <c r="A72" s="304"/>
      <c r="B72" s="305" t="str">
        <f>IF(A72="","",VLOOKUP(A72,EQUI,2))</f>
        <v/>
      </c>
      <c r="C72" s="306"/>
      <c r="D72" s="306"/>
      <c r="E72" s="276" t="str">
        <f>IF(A72="","",VLOOKUP(A72,EQUI,3))</f>
        <v/>
      </c>
      <c r="F72" s="405"/>
      <c r="G72" s="310" t="str">
        <f>IF(A72="","",VLOOKUP(A72,EQUI,4))</f>
        <v/>
      </c>
      <c r="H72" s="311" t="str">
        <f>IF(A72="","",ROUND((G72*F72),0))</f>
        <v/>
      </c>
    </row>
    <row r="73" spans="1:8">
      <c r="A73" s="304"/>
      <c r="B73" s="305" t="str">
        <f>IF(A73="","",VLOOKUP(A73,EQUI,2))</f>
        <v/>
      </c>
      <c r="C73" s="306"/>
      <c r="D73" s="306"/>
      <c r="E73" s="276" t="str">
        <f>IF(A73="","",VLOOKUP(A73,EQUI,3))</f>
        <v/>
      </c>
      <c r="F73" s="405"/>
      <c r="G73" s="310" t="str">
        <f>IF(A73="","",VLOOKUP(A73,EQUI,4))</f>
        <v/>
      </c>
      <c r="H73" s="311" t="str">
        <f>IF(A73="","",ROUND((G73*F73),0))</f>
        <v/>
      </c>
    </row>
    <row r="74" spans="1:8">
      <c r="A74" s="304"/>
      <c r="B74" s="305" t="str">
        <f>IF(A74="","",VLOOKUP(A74,EQUI,2))</f>
        <v/>
      </c>
      <c r="C74" s="306"/>
      <c r="D74" s="306"/>
      <c r="E74" s="276" t="str">
        <f>IF(A74="","",VLOOKUP(A74,EQUI,3))</f>
        <v/>
      </c>
      <c r="F74" s="405"/>
      <c r="G74" s="310" t="str">
        <f>IF(A74="","",VLOOKUP(A74,EQUI,4))</f>
        <v/>
      </c>
      <c r="H74" s="311" t="str">
        <f>IF(A74="","",ROUND((G74*F74),0))</f>
        <v/>
      </c>
    </row>
    <row r="75" spans="1:8" ht="13.5" thickBot="1">
      <c r="A75" s="312"/>
      <c r="B75" s="313" t="str">
        <f>IF(A75="","",VLOOKUP(A75,EQUI,2))</f>
        <v/>
      </c>
      <c r="C75" s="313"/>
      <c r="D75" s="314"/>
      <c r="E75" s="315" t="str">
        <f>IF(A75="","",VLOOKUP(A75,EQUI,3))</f>
        <v/>
      </c>
      <c r="F75" s="408"/>
      <c r="G75" s="316" t="str">
        <f>IF(A75="","",VLOOKUP(A75,EQUI,4))</f>
        <v/>
      </c>
      <c r="H75" s="311" t="str">
        <f>IF(A75="","",ROUND((G75*F75),0))</f>
        <v/>
      </c>
    </row>
    <row r="76" spans="1:8" ht="13.5" thickBot="1">
      <c r="A76" s="285"/>
      <c r="B76" s="285"/>
      <c r="C76" s="285"/>
      <c r="D76" s="285"/>
      <c r="E76" s="286"/>
      <c r="F76" s="285"/>
      <c r="G76" s="317" t="s">
        <v>529</v>
      </c>
      <c r="H76" s="318">
        <f>ROUND(SUM(H70:H75),0)</f>
        <v>15189</v>
      </c>
    </row>
    <row r="77" spans="1:8">
      <c r="A77" s="285"/>
      <c r="B77" s="285"/>
      <c r="C77" s="285"/>
      <c r="D77" s="285"/>
      <c r="E77" s="286"/>
      <c r="F77" s="285"/>
      <c r="G77" s="286"/>
      <c r="H77" s="319"/>
    </row>
    <row r="78" spans="1:8" ht="13.5" thickBot="1">
      <c r="A78" s="295" t="s">
        <v>530</v>
      </c>
      <c r="B78" s="295"/>
      <c r="C78" s="295"/>
      <c r="D78" s="295"/>
      <c r="E78" s="320"/>
      <c r="F78" s="314"/>
      <c r="G78" s="314"/>
      <c r="H78" s="314"/>
    </row>
    <row r="79" spans="1:8" ht="13.5" thickBot="1">
      <c r="A79" s="297" t="s">
        <v>527</v>
      </c>
      <c r="B79" s="298"/>
      <c r="C79" s="299" t="s">
        <v>521</v>
      </c>
      <c r="D79" s="299"/>
      <c r="E79" s="321" t="s">
        <v>515</v>
      </c>
      <c r="F79" s="322" t="s">
        <v>7</v>
      </c>
      <c r="G79" s="303" t="s">
        <v>832</v>
      </c>
      <c r="H79" s="278" t="s">
        <v>831</v>
      </c>
    </row>
    <row r="80" spans="1:8">
      <c r="A80" s="549" t="s">
        <v>134</v>
      </c>
      <c r="B80" s="353" t="str">
        <f t="shared" ref="B80:B90" si="5">IF(A80="","",VLOOKUP(A80,MAT,2,FALSE))</f>
        <v>Agua</v>
      </c>
      <c r="C80" s="305"/>
      <c r="D80" s="306"/>
      <c r="E80" s="276" t="str">
        <f>IF(A80="","",VLOOKUP(A80,MAT,3,FALSE))</f>
        <v>Lt</v>
      </c>
      <c r="F80" s="405">
        <v>170</v>
      </c>
      <c r="G80" s="310">
        <f>IF(A80="","",VLOOKUP(A80,MAT,5,FALSE))</f>
        <v>20</v>
      </c>
      <c r="H80" s="311">
        <f>IF(A80="","",ROUND((G80*F80),0))</f>
        <v>3400</v>
      </c>
    </row>
    <row r="81" spans="1:8">
      <c r="A81" s="550" t="s">
        <v>561</v>
      </c>
      <c r="B81" s="353" t="str">
        <f t="shared" si="5"/>
        <v>Arena triturada de planta, pasante 3/8"</v>
      </c>
      <c r="C81" s="305"/>
      <c r="D81" s="306"/>
      <c r="E81" s="276" t="str">
        <f>IF(A81="","",VLOOKUP(A81,MAT,3,FALSE))</f>
        <v>m3</v>
      </c>
      <c r="F81" s="405">
        <v>0.63</v>
      </c>
      <c r="G81" s="310">
        <f>IF(A81="","",VLOOKUP(A81,MAT,5,FALSE))</f>
        <v>122570</v>
      </c>
      <c r="H81" s="311">
        <f>IF(A81="","",ROUND((G81*F81),0))</f>
        <v>77219</v>
      </c>
    </row>
    <row r="82" spans="1:8">
      <c r="A82" s="550" t="s">
        <v>1629</v>
      </c>
      <c r="B82" s="353" t="str">
        <f t="shared" si="5"/>
        <v>Gravilla triturada de Ø1/2".</v>
      </c>
      <c r="C82" s="305"/>
      <c r="D82" s="306"/>
      <c r="E82" s="276" t="str">
        <f>IF(A82="","",VLOOKUP(A82,MAT,3,FALSE))</f>
        <v>m3</v>
      </c>
      <c r="F82" s="405">
        <v>0.84</v>
      </c>
      <c r="G82" s="310">
        <f>IF(A82="","",VLOOKUP(A82,MAT,5,FALSE))</f>
        <v>138040</v>
      </c>
      <c r="H82" s="311">
        <f>IF(A82="","",ROUND((G82*F82),0))</f>
        <v>115954</v>
      </c>
    </row>
    <row r="83" spans="1:8">
      <c r="A83" s="550" t="s">
        <v>576</v>
      </c>
      <c r="B83" s="305" t="str">
        <f t="shared" si="5"/>
        <v>Cemento gris tipo Portland.</v>
      </c>
      <c r="C83" s="305"/>
      <c r="D83" s="306"/>
      <c r="E83" s="276" t="str">
        <f t="shared" ref="E83:E89" si="6">IF(A83="","",VLOOKUP(A83,MAT,3,FALSE))</f>
        <v>Kg.</v>
      </c>
      <c r="F83" s="405">
        <v>260</v>
      </c>
      <c r="G83" s="310">
        <f t="shared" ref="G83:G89" si="7">IF(A83="","",VLOOKUP(A83,MAT,5,FALSE))</f>
        <v>700</v>
      </c>
      <c r="H83" s="311">
        <f t="shared" ref="H83:H89" si="8">IF(A83="","",ROUND((G83*F83),0))</f>
        <v>182000</v>
      </c>
    </row>
    <row r="84" spans="1:8">
      <c r="A84" s="550"/>
      <c r="B84" s="305" t="str">
        <f t="shared" si="5"/>
        <v/>
      </c>
      <c r="C84" s="305"/>
      <c r="D84" s="306"/>
      <c r="E84" s="276" t="str">
        <f t="shared" si="6"/>
        <v/>
      </c>
      <c r="F84" s="405"/>
      <c r="G84" s="310" t="str">
        <f t="shared" si="7"/>
        <v/>
      </c>
      <c r="H84" s="311" t="str">
        <f t="shared" si="8"/>
        <v/>
      </c>
    </row>
    <row r="85" spans="1:8">
      <c r="A85" s="550"/>
      <c r="B85" s="305" t="str">
        <f t="shared" si="5"/>
        <v/>
      </c>
      <c r="C85" s="305"/>
      <c r="D85" s="306"/>
      <c r="E85" s="276" t="str">
        <f t="shared" si="6"/>
        <v/>
      </c>
      <c r="F85" s="405"/>
      <c r="G85" s="310" t="str">
        <f t="shared" si="7"/>
        <v/>
      </c>
      <c r="H85" s="311" t="str">
        <f t="shared" si="8"/>
        <v/>
      </c>
    </row>
    <row r="86" spans="1:8">
      <c r="A86" s="324"/>
      <c r="B86" s="305" t="str">
        <f t="shared" si="5"/>
        <v/>
      </c>
      <c r="C86" s="305"/>
      <c r="D86" s="306"/>
      <c r="E86" s="276" t="str">
        <f t="shared" si="6"/>
        <v/>
      </c>
      <c r="F86" s="405"/>
      <c r="G86" s="310" t="str">
        <f t="shared" si="7"/>
        <v/>
      </c>
      <c r="H86" s="311" t="str">
        <f t="shared" si="8"/>
        <v/>
      </c>
    </row>
    <row r="87" spans="1:8">
      <c r="A87" s="324"/>
      <c r="B87" s="305" t="str">
        <f t="shared" si="5"/>
        <v/>
      </c>
      <c r="C87" s="305"/>
      <c r="D87" s="306"/>
      <c r="E87" s="276" t="str">
        <f t="shared" si="6"/>
        <v/>
      </c>
      <c r="F87" s="405"/>
      <c r="G87" s="310" t="str">
        <f t="shared" si="7"/>
        <v/>
      </c>
      <c r="H87" s="311" t="str">
        <f t="shared" si="8"/>
        <v/>
      </c>
    </row>
    <row r="88" spans="1:8">
      <c r="A88" s="324"/>
      <c r="B88" s="305" t="str">
        <f t="shared" si="5"/>
        <v/>
      </c>
      <c r="C88" s="305"/>
      <c r="D88" s="306"/>
      <c r="E88" s="276" t="str">
        <f t="shared" si="6"/>
        <v/>
      </c>
      <c r="F88" s="405"/>
      <c r="G88" s="310" t="str">
        <f t="shared" si="7"/>
        <v/>
      </c>
      <c r="H88" s="311" t="str">
        <f t="shared" si="8"/>
        <v/>
      </c>
    </row>
    <row r="89" spans="1:8">
      <c r="A89" s="324"/>
      <c r="B89" s="305" t="str">
        <f t="shared" si="5"/>
        <v/>
      </c>
      <c r="C89" s="305"/>
      <c r="D89" s="306"/>
      <c r="E89" s="276" t="str">
        <f t="shared" si="6"/>
        <v/>
      </c>
      <c r="F89" s="405"/>
      <c r="G89" s="310" t="str">
        <f t="shared" si="7"/>
        <v/>
      </c>
      <c r="H89" s="311" t="str">
        <f t="shared" si="8"/>
        <v/>
      </c>
    </row>
    <row r="90" spans="1:8" ht="13.5" thickBot="1">
      <c r="A90" s="325"/>
      <c r="B90" s="326" t="str">
        <f t="shared" si="5"/>
        <v/>
      </c>
      <c r="C90" s="314"/>
      <c r="D90" s="314"/>
      <c r="E90" s="315" t="str">
        <f>IF(A90="","",VLOOKUP(A90,MAT,3,FALSE))</f>
        <v/>
      </c>
      <c r="F90" s="406"/>
      <c r="G90" s="327" t="str">
        <f>IF(A90="","",VLOOKUP(A90,MAT,5,FALSE))</f>
        <v/>
      </c>
      <c r="H90" s="311" t="str">
        <f>IF(A90="","",ROUND((G90*F90),0))</f>
        <v/>
      </c>
    </row>
    <row r="91" spans="1:8" ht="13.5" thickBot="1">
      <c r="A91" s="285"/>
      <c r="B91" s="285"/>
      <c r="C91" s="285"/>
      <c r="D91" s="285"/>
      <c r="E91" s="286"/>
      <c r="F91" s="285"/>
      <c r="G91" s="210" t="s">
        <v>529</v>
      </c>
      <c r="H91" s="328">
        <f>ROUND(SUM(H80:H90),0)</f>
        <v>378573</v>
      </c>
    </row>
    <row r="92" spans="1:8">
      <c r="A92" s="285"/>
      <c r="B92" s="285"/>
      <c r="C92" s="285"/>
      <c r="D92" s="285"/>
      <c r="E92" s="286"/>
      <c r="F92" s="285"/>
      <c r="G92" s="286"/>
      <c r="H92" s="329"/>
    </row>
    <row r="93" spans="1:8" ht="13.5" thickBot="1">
      <c r="A93" s="295" t="s">
        <v>531</v>
      </c>
      <c r="B93" s="285"/>
      <c r="C93" s="285"/>
      <c r="D93" s="285"/>
      <c r="E93" s="286"/>
      <c r="F93" s="285"/>
      <c r="G93" s="286"/>
      <c r="H93" s="330"/>
    </row>
    <row r="94" spans="1:8" ht="13.5" thickBot="1">
      <c r="A94" s="297" t="s">
        <v>527</v>
      </c>
      <c r="B94" s="2187" t="s">
        <v>532</v>
      </c>
      <c r="C94" s="2188"/>
      <c r="D94" s="331" t="s">
        <v>821</v>
      </c>
      <c r="E94" s="331" t="s">
        <v>820</v>
      </c>
      <c r="F94" s="331" t="s">
        <v>823</v>
      </c>
      <c r="G94" s="331" t="s">
        <v>822</v>
      </c>
      <c r="H94" s="416" t="s">
        <v>831</v>
      </c>
    </row>
    <row r="95" spans="1:8">
      <c r="A95" s="552" t="s">
        <v>561</v>
      </c>
      <c r="B95" s="305" t="str">
        <f>IF(A95="","",VLOOKUP(A95,MAT,2,FALSE))</f>
        <v>Arena triturada de planta, pasante 3/8"</v>
      </c>
      <c r="C95" s="333"/>
      <c r="D95" s="409" t="str">
        <f>IF(A95="","",VLOOKUP(A95,MAT,3,FALSE))</f>
        <v>m3</v>
      </c>
      <c r="E95" s="419">
        <f>IF(A95="","",VLOOKUP(A95,MAT,6,FALSE))</f>
        <v>60.5</v>
      </c>
      <c r="F95" s="413">
        <f>IF(A95="","",VLOOKUP(A95,A80:H90,6,FALSE))</f>
        <v>0.63</v>
      </c>
      <c r="G95" s="334">
        <f>IF(A95="","",VLOOKUP(A95,MAT,7,FALSE))</f>
        <v>1500</v>
      </c>
      <c r="H95" s="311">
        <f>IF(A95="","",ROUND((G95*F95*E95),0))</f>
        <v>57173</v>
      </c>
    </row>
    <row r="96" spans="1:8">
      <c r="A96" s="553" t="s">
        <v>1629</v>
      </c>
      <c r="B96" s="305" t="str">
        <f>IF(A96="","",VLOOKUP(A96,MAT,2,FALSE))</f>
        <v>Gravilla triturada de Ø1/2".</v>
      </c>
      <c r="D96" s="410" t="str">
        <f>IF(A96="","",VLOOKUP(A96,MAT,3,FALSE))</f>
        <v>m3</v>
      </c>
      <c r="E96" s="419">
        <f>IF(A96="","",VLOOKUP(A96,MAT,6,FALSE))</f>
        <v>60.5</v>
      </c>
      <c r="F96" s="413">
        <f>IF(A96="","",VLOOKUP(A96,A80:H90,6,FALSE))</f>
        <v>0.84</v>
      </c>
      <c r="G96" s="336">
        <f>IF(A96="","",VLOOKUP(A96,MAT,7,FALSE))</f>
        <v>1500</v>
      </c>
      <c r="H96" s="311">
        <f>IF(A96="","",ROUND((G96*F96*E96),0))</f>
        <v>76230</v>
      </c>
    </row>
    <row r="97" spans="1:8" ht="13.5" thickBot="1">
      <c r="A97" s="554"/>
      <c r="B97" s="338" t="str">
        <f>IF(A97="","",VLOOKUP(A97,MAT,2,FALSE))</f>
        <v/>
      </c>
      <c r="C97" s="338"/>
      <c r="D97" s="411" t="str">
        <f>IF(A97="","",VLOOKUP(A97,MAT,3,FALSE))</f>
        <v/>
      </c>
      <c r="E97" s="412" t="str">
        <f>IF(A97="","",VLOOKUP(A97,MAT,6,FALSE))</f>
        <v/>
      </c>
      <c r="F97" s="418" t="str">
        <f>IF(A97="","",VLOOKUP(A97,$A$23:$H$33,6,FALSE))</f>
        <v/>
      </c>
      <c r="G97" s="339" t="str">
        <f>IF(A97="","",VLOOKUP(A97,MAT,7,FALSE))</f>
        <v/>
      </c>
      <c r="H97" s="417" t="str">
        <f>IF(A97="","",ROUND((G97*F97*E97),0))</f>
        <v/>
      </c>
    </row>
    <row r="98" spans="1:8" ht="13.5" thickBot="1">
      <c r="E98" s="340"/>
      <c r="F98" s="341"/>
      <c r="G98" s="414" t="s">
        <v>529</v>
      </c>
      <c r="H98" s="415">
        <f>ROUND(SUM(H95:H97),0)</f>
        <v>133403</v>
      </c>
    </row>
    <row r="99" spans="1:8">
      <c r="E99" s="340"/>
      <c r="F99" s="341"/>
      <c r="G99" s="286"/>
      <c r="H99" s="343"/>
    </row>
    <row r="100" spans="1:8" ht="13.5" thickBot="1">
      <c r="A100" s="295" t="s">
        <v>534</v>
      </c>
      <c r="B100" s="295"/>
      <c r="C100" s="295"/>
      <c r="D100" s="285"/>
      <c r="E100" s="286"/>
      <c r="F100" s="285"/>
      <c r="G100" s="285"/>
      <c r="H100" s="314"/>
    </row>
    <row r="101" spans="1:8" ht="13.5" thickBot="1">
      <c r="A101" s="297" t="s">
        <v>527</v>
      </c>
      <c r="B101" s="2189" t="s">
        <v>514</v>
      </c>
      <c r="C101" s="2190"/>
      <c r="D101" s="2191"/>
      <c r="E101" s="277" t="s">
        <v>515</v>
      </c>
      <c r="F101" s="277" t="s">
        <v>535</v>
      </c>
      <c r="G101" s="531" t="s">
        <v>944</v>
      </c>
      <c r="H101" s="416" t="s">
        <v>831</v>
      </c>
    </row>
    <row r="102" spans="1:8">
      <c r="A102" s="344" t="s">
        <v>932</v>
      </c>
      <c r="B102" s="2192" t="str">
        <f>IF(A102="","",VLOOKUP(A102,MO,2,FALSE))</f>
        <v>Cuadrilla LL: Mezclas. (1 Of. + 3 Ayud.).</v>
      </c>
      <c r="C102" s="2193"/>
      <c r="D102" s="2194"/>
      <c r="E102" s="538" t="str">
        <f>IF(A102="","",VLOOKUP(A102,MO,13,FALSE))</f>
        <v>HC</v>
      </c>
      <c r="F102" s="544">
        <v>0.56000000000000005</v>
      </c>
      <c r="G102" s="540">
        <f>IF(A102="","",VLOOKUP(A102,MO,15,FALSE))</f>
        <v>80517</v>
      </c>
      <c r="H102" s="542">
        <f>IF(A102="","",ROUND((G102/F102),0))</f>
        <v>143780</v>
      </c>
    </row>
    <row r="103" spans="1:8">
      <c r="A103" s="344"/>
      <c r="B103" s="2179" t="str">
        <f>IF(A103="","",VLOOKUP(A103,MO,2,FALSE))</f>
        <v/>
      </c>
      <c r="C103" s="2180"/>
      <c r="D103" s="2181"/>
      <c r="E103" s="538" t="str">
        <f>IF(A103="","",VLOOKUP(A103,MO,13,FALSE))</f>
        <v/>
      </c>
      <c r="F103" s="544"/>
      <c r="G103" s="540" t="str">
        <f>IF(A103="","",VLOOKUP(A103,MO,15,FALSE))</f>
        <v/>
      </c>
      <c r="H103" s="542" t="str">
        <f>IF(A103="","",ROUND((G103/F103),0))</f>
        <v/>
      </c>
    </row>
    <row r="104" spans="1:8">
      <c r="A104" s="344"/>
      <c r="B104" s="2179" t="str">
        <f>IF(A104="","",VLOOKUP(A104,MO,2,FALSE))</f>
        <v/>
      </c>
      <c r="C104" s="2180"/>
      <c r="D104" s="2181"/>
      <c r="E104" s="538" t="str">
        <f>IF(A104="","",VLOOKUP(A104,MO,13,FALSE))</f>
        <v/>
      </c>
      <c r="F104" s="544"/>
      <c r="G104" s="541" t="str">
        <f>IF(A104="","",VLOOKUP(A104,MO,15,FALSE))</f>
        <v/>
      </c>
      <c r="H104" s="542" t="str">
        <f>IF(A104="","",ROUND((G104/F104),0))</f>
        <v/>
      </c>
    </row>
    <row r="105" spans="1:8" ht="13.5" thickBot="1">
      <c r="A105" s="345"/>
      <c r="B105" s="2182" t="str">
        <f>IF(A105="","",VLOOKUP(A105,MO,2,FALSE))</f>
        <v/>
      </c>
      <c r="C105" s="2183"/>
      <c r="D105" s="2184"/>
      <c r="E105" s="539" t="str">
        <f>IF(A105="","",VLOOKUP(A105,MO,13,FALSE))</f>
        <v/>
      </c>
      <c r="F105" s="545"/>
      <c r="G105" s="377" t="str">
        <f>IF(A105="","",VLOOKUP(A105,MO,15,FALSE))</f>
        <v/>
      </c>
      <c r="H105" s="543" t="str">
        <f>IF(A105="","",ROUND((G105/F105),0))</f>
        <v/>
      </c>
    </row>
    <row r="106" spans="1:8" ht="13.5" thickBot="1">
      <c r="A106" s="285"/>
      <c r="B106" s="285"/>
      <c r="C106" s="285"/>
      <c r="D106" s="285"/>
      <c r="E106" s="286"/>
      <c r="F106" s="285"/>
      <c r="G106" s="317" t="s">
        <v>529</v>
      </c>
      <c r="H106" s="342">
        <f>ROUND(SUM(H102:H105),0)</f>
        <v>143780</v>
      </c>
    </row>
    <row r="107" spans="1:8" ht="13.5" thickBot="1">
      <c r="A107" s="285"/>
      <c r="B107" s="285"/>
      <c r="C107" s="285"/>
      <c r="D107" s="285"/>
      <c r="E107" s="286"/>
      <c r="F107" s="285"/>
      <c r="G107" s="285"/>
      <c r="H107" s="285"/>
    </row>
    <row r="108" spans="1:8" ht="13.5" thickBot="1">
      <c r="A108" s="285"/>
      <c r="B108" s="285"/>
      <c r="C108" s="285"/>
      <c r="D108" s="285"/>
      <c r="E108" s="346" t="s">
        <v>536</v>
      </c>
      <c r="F108" s="347"/>
      <c r="G108" s="347"/>
      <c r="H108" s="348">
        <f>+ROUND(H76+H91+H98+H106,0)</f>
        <v>670945</v>
      </c>
    </row>
    <row r="109" spans="1:8">
      <c r="A109" s="285"/>
      <c r="B109" s="285"/>
      <c r="C109" s="285"/>
      <c r="D109" s="285"/>
      <c r="E109" s="806" t="s">
        <v>2696</v>
      </c>
      <c r="F109" s="807">
        <v>0.3</v>
      </c>
      <c r="G109" s="807">
        <v>0.3</v>
      </c>
      <c r="H109" s="809">
        <f>H108*G109</f>
        <v>201283.5</v>
      </c>
    </row>
    <row r="110" spans="1:8">
      <c r="A110" s="285"/>
      <c r="B110" s="285"/>
      <c r="C110" s="285"/>
      <c r="D110" s="285"/>
      <c r="E110" s="806"/>
      <c r="F110" s="807"/>
      <c r="G110" s="807"/>
      <c r="H110" s="809">
        <f>SUM(H108:H109)</f>
        <v>872228.5</v>
      </c>
    </row>
    <row r="111" spans="1:8">
      <c r="A111" s="285"/>
      <c r="B111" s="285"/>
      <c r="C111" s="285"/>
      <c r="D111" s="285"/>
      <c r="E111" s="346"/>
      <c r="F111" s="347"/>
      <c r="G111" s="347"/>
      <c r="H111" s="349"/>
    </row>
    <row r="112" spans="1:8">
      <c r="A112" s="285"/>
      <c r="B112" s="285"/>
      <c r="C112" s="285"/>
      <c r="D112" s="285"/>
      <c r="E112" s="346"/>
      <c r="F112" s="347"/>
      <c r="G112" s="347"/>
      <c r="H112" s="349"/>
    </row>
    <row r="113" spans="1:8">
      <c r="A113" s="285"/>
      <c r="B113" s="285"/>
      <c r="C113" s="285"/>
      <c r="D113" s="285"/>
      <c r="E113" s="346"/>
      <c r="F113" s="347"/>
      <c r="G113" s="347"/>
      <c r="H113" s="349"/>
    </row>
    <row r="114" spans="1:8">
      <c r="A114" s="285"/>
      <c r="B114" s="285"/>
      <c r="C114" s="285"/>
      <c r="D114" s="285"/>
      <c r="E114" s="346"/>
      <c r="F114" s="347"/>
      <c r="G114" s="347"/>
      <c r="H114" s="349"/>
    </row>
    <row r="116" spans="1:8">
      <c r="A116" s="703" t="str">
        <f>+[14]PRESUPUESTO!$A$113</f>
        <v>__________________________________________</v>
      </c>
      <c r="B116" s="703"/>
    </row>
    <row r="117" spans="1:8">
      <c r="A117" s="810" t="str">
        <f>+[14]PRESUPUESTO!$A$114</f>
        <v>Ing. JHON FREDY GARCIA MENDEZ</v>
      </c>
      <c r="B117" s="703"/>
    </row>
    <row r="118" spans="1:8">
      <c r="A118" s="811" t="str">
        <f>+[14]PRESUPUESTO!$A$115</f>
        <v>M.P.  70268-326294 TLM.</v>
      </c>
      <c r="B118" s="703"/>
    </row>
    <row r="119" spans="1:8">
      <c r="A119" s="811" t="str">
        <f>+[14]PRESUPUESTO!$A$116</f>
        <v>CONSULTOR</v>
      </c>
      <c r="B119" s="703"/>
    </row>
    <row r="120" spans="1:8">
      <c r="A120" s="422"/>
      <c r="B120" s="2197"/>
      <c r="C120" s="2198"/>
      <c r="D120" s="2198"/>
      <c r="E120" s="422"/>
      <c r="F120" s="306"/>
      <c r="G120" s="423"/>
      <c r="H120" s="352"/>
    </row>
    <row r="121" spans="1:8">
      <c r="A121" s="424"/>
      <c r="B121" s="2185"/>
      <c r="C121" s="2185"/>
      <c r="D121" s="2185"/>
      <c r="E121" s="2185"/>
      <c r="F121" s="425"/>
      <c r="G121" s="426"/>
      <c r="H121" s="409"/>
    </row>
    <row r="122" spans="1:8">
      <c r="A122" s="424"/>
      <c r="B122" s="2185"/>
      <c r="C122" s="2185"/>
      <c r="D122" s="2185"/>
      <c r="E122" s="2185"/>
      <c r="F122" s="427"/>
      <c r="G122" s="426"/>
      <c r="H122" s="409"/>
    </row>
    <row r="123" spans="1:8">
      <c r="A123" s="424"/>
      <c r="B123" s="428"/>
      <c r="C123" s="429"/>
      <c r="D123" s="429"/>
      <c r="E123" s="429"/>
      <c r="F123" s="430"/>
      <c r="G123" s="423"/>
      <c r="H123" s="352"/>
    </row>
    <row r="124" spans="1:8">
      <c r="A124" s="409"/>
      <c r="B124" s="431"/>
      <c r="C124" s="431"/>
      <c r="D124" s="431"/>
      <c r="E124" s="431"/>
      <c r="F124" s="431"/>
      <c r="G124" s="294"/>
      <c r="H124" s="294"/>
    </row>
    <row r="125" spans="1:8" ht="13.5" thickBot="1"/>
    <row r="126" spans="1:8">
      <c r="A126" s="284"/>
      <c r="B126" s="2195"/>
      <c r="C126" s="2196"/>
      <c r="D126" s="2196"/>
      <c r="E126" s="284"/>
      <c r="F126" s="285"/>
      <c r="G126" s="286"/>
      <c r="H126" s="287"/>
    </row>
    <row r="127" spans="1:8">
      <c r="A127" s="96">
        <v>1</v>
      </c>
      <c r="B127" s="2185" t="s">
        <v>948</v>
      </c>
      <c r="C127" s="2185"/>
      <c r="D127" s="2185"/>
      <c r="E127" s="2185"/>
      <c r="F127" s="289"/>
      <c r="G127" s="290" t="s">
        <v>525</v>
      </c>
      <c r="H127" s="97" t="s">
        <v>352</v>
      </c>
    </row>
    <row r="128" spans="1:8">
      <c r="A128" s="432">
        <v>1.2</v>
      </c>
      <c r="B128" s="2186" t="s">
        <v>544</v>
      </c>
      <c r="C128" s="2186"/>
      <c r="D128" s="2186"/>
      <c r="E128" s="2186"/>
      <c r="F128" s="291"/>
      <c r="G128" s="290"/>
      <c r="H128" s="97"/>
    </row>
    <row r="129" spans="1:8">
      <c r="A129" s="96"/>
      <c r="B129" s="420"/>
      <c r="C129" s="421"/>
      <c r="D129" s="421"/>
      <c r="E129" s="421"/>
      <c r="F129" s="292"/>
      <c r="G129" s="286"/>
      <c r="H129" s="287"/>
    </row>
    <row r="130" spans="1:8">
      <c r="A130" s="97"/>
      <c r="B130" s="293"/>
      <c r="C130" s="293"/>
      <c r="D130" s="293"/>
      <c r="E130" s="293"/>
      <c r="F130" s="293"/>
      <c r="G130" s="294"/>
      <c r="H130" s="294"/>
    </row>
    <row r="131" spans="1:8" ht="13.5" thickBot="1">
      <c r="A131" s="295" t="s">
        <v>526</v>
      </c>
      <c r="B131" s="295"/>
      <c r="C131" s="285"/>
      <c r="D131" s="296"/>
      <c r="E131" s="296"/>
      <c r="F131" s="296"/>
      <c r="G131" s="296"/>
      <c r="H131" s="296"/>
    </row>
    <row r="132" spans="1:8" ht="13.5" thickBot="1">
      <c r="A132" s="297" t="s">
        <v>527</v>
      </c>
      <c r="B132" s="298"/>
      <c r="C132" s="299" t="s">
        <v>521</v>
      </c>
      <c r="D132" s="300"/>
      <c r="E132" s="301" t="s">
        <v>515</v>
      </c>
      <c r="F132" s="302" t="s">
        <v>528</v>
      </c>
      <c r="G132" s="303" t="s">
        <v>832</v>
      </c>
      <c r="H132" s="278" t="s">
        <v>831</v>
      </c>
    </row>
    <row r="133" spans="1:8">
      <c r="A133" s="304" t="s">
        <v>966</v>
      </c>
      <c r="B133" s="305" t="str">
        <f>IF(A133="","",VLOOKUP(A133,EQUI,2,FALSE))</f>
        <v>Herramienta Menor (5% de la mano de obra).</v>
      </c>
      <c r="C133" s="306"/>
      <c r="D133" s="306"/>
      <c r="E133" s="276" t="str">
        <f>IF(A133="","",VLOOKUP(A133,EQUI,3,FALSE))</f>
        <v>%</v>
      </c>
      <c r="F133" s="433">
        <f>IF(A133="","",VLOOKUP(A133,EQUI,4,FALSE))</f>
        <v>0.05</v>
      </c>
      <c r="G133" s="307">
        <f>ROUND(F133*H169,0)</f>
        <v>7189</v>
      </c>
      <c r="H133" s="308">
        <f>+G133</f>
        <v>7189</v>
      </c>
    </row>
    <row r="134" spans="1:8">
      <c r="A134" s="304" t="s">
        <v>497</v>
      </c>
      <c r="B134" s="305" t="str">
        <f>IF(A134="","",VLOOKUP(A134,EQUI,2,FALSE))</f>
        <v>Mezcladora mecánica (1.0 bultos)</v>
      </c>
      <c r="C134" s="306"/>
      <c r="D134" s="306"/>
      <c r="E134" s="276" t="str">
        <f>IF(A134="","",VLOOKUP(A134,EQUI,3))</f>
        <v>Dia</v>
      </c>
      <c r="F134" s="405">
        <v>0.1</v>
      </c>
      <c r="G134" s="310">
        <f>IF(A134="","",VLOOKUP(A134,EQUI,4))</f>
        <v>80000</v>
      </c>
      <c r="H134" s="311">
        <f>IF(A134="","",ROUND((G134*F134),0))</f>
        <v>8000</v>
      </c>
    </row>
    <row r="135" spans="1:8">
      <c r="A135" s="304"/>
      <c r="B135" s="305" t="str">
        <f>IF(A135="","",VLOOKUP(A135,EQUI,2))</f>
        <v/>
      </c>
      <c r="C135" s="306"/>
      <c r="D135" s="306"/>
      <c r="E135" s="276" t="str">
        <f>IF(A135="","",VLOOKUP(A135,EQUI,3))</f>
        <v/>
      </c>
      <c r="F135" s="405"/>
      <c r="G135" s="310" t="str">
        <f>IF(A135="","",VLOOKUP(A135,EQUI,4))</f>
        <v/>
      </c>
      <c r="H135" s="311" t="str">
        <f>IF(A135="","",ROUND((G135*F135),0))</f>
        <v/>
      </c>
    </row>
    <row r="136" spans="1:8">
      <c r="A136" s="304"/>
      <c r="B136" s="305" t="str">
        <f>IF(A136="","",VLOOKUP(A136,EQUI,2))</f>
        <v/>
      </c>
      <c r="C136" s="306"/>
      <c r="D136" s="306"/>
      <c r="E136" s="276" t="str">
        <f>IF(A136="","",VLOOKUP(A136,EQUI,3))</f>
        <v/>
      </c>
      <c r="F136" s="405"/>
      <c r="G136" s="310" t="str">
        <f>IF(A136="","",VLOOKUP(A136,EQUI,4))</f>
        <v/>
      </c>
      <c r="H136" s="311" t="str">
        <f>IF(A136="","",ROUND((G136*F136),0))</f>
        <v/>
      </c>
    </row>
    <row r="137" spans="1:8">
      <c r="A137" s="304"/>
      <c r="B137" s="305" t="str">
        <f>IF(A137="","",VLOOKUP(A137,EQUI,2))</f>
        <v/>
      </c>
      <c r="C137" s="306"/>
      <c r="D137" s="306"/>
      <c r="E137" s="276" t="str">
        <f>IF(A137="","",VLOOKUP(A137,EQUI,3))</f>
        <v/>
      </c>
      <c r="F137" s="405"/>
      <c r="G137" s="310" t="str">
        <f>IF(A137="","",VLOOKUP(A137,EQUI,4))</f>
        <v/>
      </c>
      <c r="H137" s="311" t="str">
        <f>IF(A137="","",ROUND((G137*F137),0))</f>
        <v/>
      </c>
    </row>
    <row r="138" spans="1:8" ht="13.5" thickBot="1">
      <c r="A138" s="312"/>
      <c r="B138" s="313" t="str">
        <f>IF(A138="","",VLOOKUP(A138,EQUI,2))</f>
        <v/>
      </c>
      <c r="C138" s="313"/>
      <c r="D138" s="314"/>
      <c r="E138" s="315" t="str">
        <f>IF(A138="","",VLOOKUP(A138,EQUI,3))</f>
        <v/>
      </c>
      <c r="F138" s="408"/>
      <c r="G138" s="316" t="str">
        <f>IF(A138="","",VLOOKUP(A138,EQUI,4))</f>
        <v/>
      </c>
      <c r="H138" s="311" t="str">
        <f>IF(A138="","",ROUND((G138*F138),0))</f>
        <v/>
      </c>
    </row>
    <row r="139" spans="1:8" ht="13.5" thickBot="1">
      <c r="A139" s="285"/>
      <c r="B139" s="285"/>
      <c r="C139" s="285"/>
      <c r="D139" s="285"/>
      <c r="E139" s="286"/>
      <c r="F139" s="285"/>
      <c r="G139" s="317" t="s">
        <v>529</v>
      </c>
      <c r="H139" s="318">
        <f>ROUND(SUM(H133:H138),0)</f>
        <v>15189</v>
      </c>
    </row>
    <row r="140" spans="1:8">
      <c r="A140" s="285"/>
      <c r="B140" s="285"/>
      <c r="C140" s="285"/>
      <c r="D140" s="285"/>
      <c r="E140" s="286"/>
      <c r="F140" s="285"/>
      <c r="G140" s="286"/>
      <c r="H140" s="319"/>
    </row>
    <row r="141" spans="1:8" ht="13.5" thickBot="1">
      <c r="A141" s="295" t="s">
        <v>530</v>
      </c>
      <c r="B141" s="295"/>
      <c r="C141" s="295"/>
      <c r="D141" s="295"/>
      <c r="E141" s="320"/>
      <c r="F141" s="314"/>
      <c r="G141" s="314"/>
      <c r="H141" s="314"/>
    </row>
    <row r="142" spans="1:8" ht="13.5" thickBot="1">
      <c r="A142" s="297" t="s">
        <v>527</v>
      </c>
      <c r="B142" s="298"/>
      <c r="C142" s="299" t="s">
        <v>521</v>
      </c>
      <c r="D142" s="299"/>
      <c r="E142" s="321" t="s">
        <v>515</v>
      </c>
      <c r="F142" s="322" t="s">
        <v>7</v>
      </c>
      <c r="G142" s="303" t="s">
        <v>832</v>
      </c>
      <c r="H142" s="278" t="s">
        <v>831</v>
      </c>
    </row>
    <row r="143" spans="1:8">
      <c r="A143" s="549" t="s">
        <v>134</v>
      </c>
      <c r="B143" s="353" t="str">
        <f t="shared" ref="B143:B153" si="9">IF(A143="","",VLOOKUP(A143,MAT,2,FALSE))</f>
        <v>Agua</v>
      </c>
      <c r="C143" s="305"/>
      <c r="D143" s="306"/>
      <c r="E143" s="276" t="str">
        <f>IF(A143="","",VLOOKUP(A143,MAT,3,FALSE))</f>
        <v>Lt</v>
      </c>
      <c r="F143" s="405">
        <v>170</v>
      </c>
      <c r="G143" s="310">
        <f>IF(A143="","",VLOOKUP(A143,MAT,5,FALSE))</f>
        <v>20</v>
      </c>
      <c r="H143" s="311">
        <f>IF(A143="","",ROUND((G143*F143),0))</f>
        <v>3400</v>
      </c>
    </row>
    <row r="144" spans="1:8">
      <c r="A144" s="550" t="s">
        <v>561</v>
      </c>
      <c r="B144" s="353" t="str">
        <f t="shared" si="9"/>
        <v>Arena triturada de planta, pasante 3/8"</v>
      </c>
      <c r="C144" s="305"/>
      <c r="D144" s="306"/>
      <c r="E144" s="276" t="str">
        <f>IF(A144="","",VLOOKUP(A144,MAT,3,FALSE))</f>
        <v>m3</v>
      </c>
      <c r="F144" s="405">
        <v>0.48</v>
      </c>
      <c r="G144" s="310">
        <f>IF(A144="","",VLOOKUP(A144,MAT,5,FALSE))</f>
        <v>122570</v>
      </c>
      <c r="H144" s="311">
        <f>IF(A144="","",ROUND((G144*F144),0))</f>
        <v>58834</v>
      </c>
    </row>
    <row r="145" spans="1:8">
      <c r="A145" s="550" t="s">
        <v>1629</v>
      </c>
      <c r="B145" s="353" t="str">
        <f t="shared" si="9"/>
        <v>Gravilla triturada de Ø1/2".</v>
      </c>
      <c r="C145" s="305"/>
      <c r="D145" s="306"/>
      <c r="E145" s="276" t="str">
        <f>IF(A145="","",VLOOKUP(A145,MAT,3,FALSE))</f>
        <v>m3</v>
      </c>
      <c r="F145" s="405">
        <v>0.95</v>
      </c>
      <c r="G145" s="310">
        <f>IF(A145="","",VLOOKUP(A145,MAT,5,FALSE))</f>
        <v>138040</v>
      </c>
      <c r="H145" s="311">
        <f>IF(A145="","",ROUND((G145*F145),0))</f>
        <v>131138</v>
      </c>
    </row>
    <row r="146" spans="1:8">
      <c r="A146" s="550" t="s">
        <v>576</v>
      </c>
      <c r="B146" s="305" t="str">
        <f t="shared" si="9"/>
        <v>Cemento gris tipo Portland.</v>
      </c>
      <c r="C146" s="305"/>
      <c r="D146" s="306"/>
      <c r="E146" s="276" t="str">
        <f t="shared" ref="E146:E152" si="10">IF(A146="","",VLOOKUP(A146,MAT,3,FALSE))</f>
        <v>Kg.</v>
      </c>
      <c r="F146" s="405">
        <v>300</v>
      </c>
      <c r="G146" s="310">
        <f t="shared" ref="G146:G152" si="11">IF(A146="","",VLOOKUP(A146,MAT,5,FALSE))</f>
        <v>700</v>
      </c>
      <c r="H146" s="311">
        <f t="shared" ref="H146:H152" si="12">IF(A146="","",ROUND((G146*F146),0))</f>
        <v>210000</v>
      </c>
    </row>
    <row r="147" spans="1:8">
      <c r="A147" s="550"/>
      <c r="B147" s="305" t="str">
        <f t="shared" si="9"/>
        <v/>
      </c>
      <c r="C147" s="305"/>
      <c r="D147" s="306"/>
      <c r="E147" s="276" t="str">
        <f t="shared" si="10"/>
        <v/>
      </c>
      <c r="F147" s="405"/>
      <c r="G147" s="310" t="str">
        <f t="shared" si="11"/>
        <v/>
      </c>
      <c r="H147" s="311" t="str">
        <f t="shared" si="12"/>
        <v/>
      </c>
    </row>
    <row r="148" spans="1:8">
      <c r="A148" s="550"/>
      <c r="B148" s="305" t="str">
        <f t="shared" si="9"/>
        <v/>
      </c>
      <c r="C148" s="305"/>
      <c r="D148" s="306"/>
      <c r="E148" s="276" t="str">
        <f t="shared" si="10"/>
        <v/>
      </c>
      <c r="F148" s="405"/>
      <c r="G148" s="310" t="str">
        <f t="shared" si="11"/>
        <v/>
      </c>
      <c r="H148" s="311" t="str">
        <f t="shared" si="12"/>
        <v/>
      </c>
    </row>
    <row r="149" spans="1:8">
      <c r="A149" s="550"/>
      <c r="B149" s="305" t="str">
        <f t="shared" si="9"/>
        <v/>
      </c>
      <c r="C149" s="305"/>
      <c r="D149" s="306"/>
      <c r="E149" s="276" t="str">
        <f t="shared" si="10"/>
        <v/>
      </c>
      <c r="F149" s="405"/>
      <c r="G149" s="310" t="str">
        <f t="shared" si="11"/>
        <v/>
      </c>
      <c r="H149" s="311" t="str">
        <f t="shared" si="12"/>
        <v/>
      </c>
    </row>
    <row r="150" spans="1:8">
      <c r="A150" s="550"/>
      <c r="B150" s="305" t="str">
        <f t="shared" si="9"/>
        <v/>
      </c>
      <c r="C150" s="305"/>
      <c r="D150" s="306"/>
      <c r="E150" s="276" t="str">
        <f t="shared" si="10"/>
        <v/>
      </c>
      <c r="F150" s="405"/>
      <c r="G150" s="310" t="str">
        <f t="shared" si="11"/>
        <v/>
      </c>
      <c r="H150" s="311" t="str">
        <f t="shared" si="12"/>
        <v/>
      </c>
    </row>
    <row r="151" spans="1:8">
      <c r="A151" s="550"/>
      <c r="B151" s="305" t="str">
        <f t="shared" si="9"/>
        <v/>
      </c>
      <c r="C151" s="305"/>
      <c r="D151" s="306"/>
      <c r="E151" s="276" t="str">
        <f t="shared" si="10"/>
        <v/>
      </c>
      <c r="F151" s="405"/>
      <c r="G151" s="310" t="str">
        <f t="shared" si="11"/>
        <v/>
      </c>
      <c r="H151" s="311" t="str">
        <f t="shared" si="12"/>
        <v/>
      </c>
    </row>
    <row r="152" spans="1:8">
      <c r="A152" s="550"/>
      <c r="B152" s="305" t="str">
        <f t="shared" si="9"/>
        <v/>
      </c>
      <c r="C152" s="305"/>
      <c r="D152" s="306"/>
      <c r="E152" s="276" t="str">
        <f t="shared" si="10"/>
        <v/>
      </c>
      <c r="F152" s="405"/>
      <c r="G152" s="310" t="str">
        <f t="shared" si="11"/>
        <v/>
      </c>
      <c r="H152" s="311" t="str">
        <f t="shared" si="12"/>
        <v/>
      </c>
    </row>
    <row r="153" spans="1:8" ht="13.5" thickBot="1">
      <c r="A153" s="551"/>
      <c r="B153" s="326" t="str">
        <f t="shared" si="9"/>
        <v/>
      </c>
      <c r="C153" s="314"/>
      <c r="D153" s="314"/>
      <c r="E153" s="315" t="str">
        <f>IF(A153="","",VLOOKUP(A153,MAT,3,FALSE))</f>
        <v/>
      </c>
      <c r="F153" s="406"/>
      <c r="G153" s="327" t="str">
        <f>IF(A153="","",VLOOKUP(A153,MAT,5,FALSE))</f>
        <v/>
      </c>
      <c r="H153" s="311" t="str">
        <f>IF(A153="","",ROUND((G153*F153),0))</f>
        <v/>
      </c>
    </row>
    <row r="154" spans="1:8" ht="13.5" thickBot="1">
      <c r="A154" s="285"/>
      <c r="B154" s="285"/>
      <c r="C154" s="285"/>
      <c r="D154" s="285"/>
      <c r="E154" s="286"/>
      <c r="F154" s="285"/>
      <c r="G154" s="210" t="s">
        <v>529</v>
      </c>
      <c r="H154" s="328">
        <f>ROUND(SUM(H143:H153),0)</f>
        <v>403372</v>
      </c>
    </row>
    <row r="155" spans="1:8">
      <c r="A155" s="285"/>
      <c r="B155" s="285"/>
      <c r="C155" s="285"/>
      <c r="D155" s="285"/>
      <c r="E155" s="286"/>
      <c r="F155" s="285"/>
      <c r="G155" s="286"/>
      <c r="H155" s="329"/>
    </row>
    <row r="156" spans="1:8" ht="13.5" thickBot="1">
      <c r="A156" s="295" t="s">
        <v>531</v>
      </c>
      <c r="B156" s="285"/>
      <c r="C156" s="285"/>
      <c r="D156" s="285"/>
      <c r="E156" s="286"/>
      <c r="F156" s="285"/>
      <c r="G156" s="286"/>
      <c r="H156" s="330"/>
    </row>
    <row r="157" spans="1:8" ht="13.5" thickBot="1">
      <c r="A157" s="297" t="s">
        <v>527</v>
      </c>
      <c r="B157" s="2187" t="s">
        <v>532</v>
      </c>
      <c r="C157" s="2188"/>
      <c r="D157" s="331" t="s">
        <v>821</v>
      </c>
      <c r="E157" s="331" t="s">
        <v>820</v>
      </c>
      <c r="F157" s="331" t="s">
        <v>823</v>
      </c>
      <c r="G157" s="331" t="s">
        <v>963</v>
      </c>
      <c r="H157" s="416" t="s">
        <v>831</v>
      </c>
    </row>
    <row r="158" spans="1:8">
      <c r="A158" s="552" t="s">
        <v>561</v>
      </c>
      <c r="B158" s="305" t="str">
        <f>IF(A158="","",VLOOKUP(A158,MAT,2,FALSE))</f>
        <v>Arena triturada de planta, pasante 3/8"</v>
      </c>
      <c r="C158" s="333"/>
      <c r="D158" s="409" t="str">
        <f>IF(A158="","",VLOOKUP(A158,MAT,3,FALSE))</f>
        <v>m3</v>
      </c>
      <c r="E158" s="419">
        <f>IF(A158="","",VLOOKUP(A158,MAT,6,FALSE))</f>
        <v>60.5</v>
      </c>
      <c r="F158" s="413">
        <f>IF(A158="","",VLOOKUP(A158,A143:H153,6,FALSE))</f>
        <v>0.48</v>
      </c>
      <c r="G158" s="334">
        <f>IF(A158="","",VLOOKUP(A158,MAT,7,FALSE))</f>
        <v>1500</v>
      </c>
      <c r="H158" s="311">
        <f>IF(A158="","",ROUND((G158*F158*E158),0))</f>
        <v>43560</v>
      </c>
    </row>
    <row r="159" spans="1:8">
      <c r="A159" s="553" t="s">
        <v>1629</v>
      </c>
      <c r="B159" s="305" t="str">
        <f>IF(A159="","",VLOOKUP(A159,MAT,2,FALSE))</f>
        <v>Gravilla triturada de Ø1/2".</v>
      </c>
      <c r="D159" s="410" t="str">
        <f>IF(A159="","",VLOOKUP(A159,MAT,3,FALSE))</f>
        <v>m3</v>
      </c>
      <c r="E159" s="419">
        <f>IF(A159="","",VLOOKUP(A159,MAT,6,FALSE))</f>
        <v>60.5</v>
      </c>
      <c r="F159" s="413">
        <f>IF(A159="","",VLOOKUP(A159,A143:H153,6,FALSE))</f>
        <v>0.95</v>
      </c>
      <c r="G159" s="336">
        <f>IF(A159="","",VLOOKUP(A159,MAT,7,FALSE))</f>
        <v>1500</v>
      </c>
      <c r="H159" s="311">
        <f>IF(A159="","",ROUND((G159*F159*E159),0))</f>
        <v>86213</v>
      </c>
    </row>
    <row r="160" spans="1:8" ht="13.5" thickBot="1">
      <c r="A160" s="554"/>
      <c r="B160" s="338" t="str">
        <f>IF(A160="","",VLOOKUP(A160,MAT,2,FALSE))</f>
        <v/>
      </c>
      <c r="C160" s="338"/>
      <c r="D160" s="411" t="str">
        <f>IF(A160="","",VLOOKUP(A160,MAT,3,FALSE))</f>
        <v/>
      </c>
      <c r="E160" s="412" t="str">
        <f>IF(A160="","",VLOOKUP(A160,MAT,6,FALSE))</f>
        <v/>
      </c>
      <c r="F160" s="418" t="str">
        <f>IF(A160="","",VLOOKUP(A160,$A$23:$H$33,6,FALSE))</f>
        <v/>
      </c>
      <c r="G160" s="339" t="str">
        <f>IF(A160="","",VLOOKUP(A160,MAT,7,FALSE))</f>
        <v/>
      </c>
      <c r="H160" s="417" t="str">
        <f>IF(A160="","",ROUND((G160*F160*E160),0))</f>
        <v/>
      </c>
    </row>
    <row r="161" spans="1:8" ht="13.5" thickBot="1">
      <c r="E161" s="340"/>
      <c r="F161" s="341"/>
      <c r="G161" s="414" t="s">
        <v>529</v>
      </c>
      <c r="H161" s="415">
        <f>ROUND(SUM(H158:H160),0)</f>
        <v>129773</v>
      </c>
    </row>
    <row r="162" spans="1:8">
      <c r="E162" s="340"/>
      <c r="F162" s="341"/>
      <c r="G162" s="286"/>
      <c r="H162" s="343"/>
    </row>
    <row r="163" spans="1:8" ht="13.5" thickBot="1">
      <c r="A163" s="295" t="s">
        <v>534</v>
      </c>
      <c r="B163" s="295"/>
      <c r="C163" s="295"/>
      <c r="D163" s="285"/>
      <c r="E163" s="286"/>
      <c r="F163" s="285"/>
      <c r="G163" s="285"/>
      <c r="H163" s="314"/>
    </row>
    <row r="164" spans="1:8" ht="13.5" thickBot="1">
      <c r="A164" s="297" t="s">
        <v>527</v>
      </c>
      <c r="B164" s="2189" t="s">
        <v>514</v>
      </c>
      <c r="C164" s="2190"/>
      <c r="D164" s="2191"/>
      <c r="E164" s="277" t="s">
        <v>515</v>
      </c>
      <c r="F164" s="277" t="s">
        <v>535</v>
      </c>
      <c r="G164" s="531" t="s">
        <v>944</v>
      </c>
      <c r="H164" s="416" t="s">
        <v>831</v>
      </c>
    </row>
    <row r="165" spans="1:8">
      <c r="A165" s="344" t="s">
        <v>932</v>
      </c>
      <c r="B165" s="2192" t="str">
        <f>IF(A165="","",VLOOKUP(A165,MO,2,FALSE))</f>
        <v>Cuadrilla LL: Mezclas. (1 Of. + 3 Ayud.).</v>
      </c>
      <c r="C165" s="2193"/>
      <c r="D165" s="2194"/>
      <c r="E165" s="538" t="str">
        <f>IF(A165="","",VLOOKUP(A165,MO,13,FALSE))</f>
        <v>HC</v>
      </c>
      <c r="F165" s="544">
        <v>0.56000000000000005</v>
      </c>
      <c r="G165" s="540">
        <f>IF(A165="","",VLOOKUP(A165,MO,15,FALSE))</f>
        <v>80517</v>
      </c>
      <c r="H165" s="542">
        <f>IF(A165="","",ROUND((G165/F165),0))</f>
        <v>143780</v>
      </c>
    </row>
    <row r="166" spans="1:8">
      <c r="A166" s="344"/>
      <c r="B166" s="2179" t="str">
        <f>IF(A166="","",VLOOKUP(A166,MO,2,FALSE))</f>
        <v/>
      </c>
      <c r="C166" s="2180"/>
      <c r="D166" s="2181"/>
      <c r="E166" s="538" t="str">
        <f>IF(A166="","",VLOOKUP(A166,MO,13,FALSE))</f>
        <v/>
      </c>
      <c r="F166" s="544"/>
      <c r="G166" s="540" t="str">
        <f>IF(A166="","",VLOOKUP(A166,MO,15,FALSE))</f>
        <v/>
      </c>
      <c r="H166" s="542" t="str">
        <f>IF(A166="","",ROUND((G166/F166),0))</f>
        <v/>
      </c>
    </row>
    <row r="167" spans="1:8">
      <c r="A167" s="344"/>
      <c r="B167" s="2179" t="str">
        <f>IF(A167="","",VLOOKUP(A167,MO,2,FALSE))</f>
        <v/>
      </c>
      <c r="C167" s="2180"/>
      <c r="D167" s="2181"/>
      <c r="E167" s="538" t="str">
        <f>IF(A167="","",VLOOKUP(A167,MO,13,FALSE))</f>
        <v/>
      </c>
      <c r="F167" s="544"/>
      <c r="G167" s="541" t="str">
        <f>IF(A167="","",VLOOKUP(A167,MO,15,FALSE))</f>
        <v/>
      </c>
      <c r="H167" s="542" t="str">
        <f>IF(A167="","",ROUND((G167/F167),0))</f>
        <v/>
      </c>
    </row>
    <row r="168" spans="1:8" ht="13.5" thickBot="1">
      <c r="A168" s="345"/>
      <c r="B168" s="2182" t="str">
        <f>IF(A168="","",VLOOKUP(A168,MO,2,FALSE))</f>
        <v/>
      </c>
      <c r="C168" s="2183"/>
      <c r="D168" s="2184"/>
      <c r="E168" s="539" t="str">
        <f>IF(A168="","",VLOOKUP(A168,MO,13,FALSE))</f>
        <v/>
      </c>
      <c r="F168" s="545"/>
      <c r="G168" s="377" t="str">
        <f>IF(A168="","",VLOOKUP(A168,MO,15,FALSE))</f>
        <v/>
      </c>
      <c r="H168" s="543" t="str">
        <f>IF(A168="","",ROUND((G168/F168),0))</f>
        <v/>
      </c>
    </row>
    <row r="169" spans="1:8" ht="13.5" thickBot="1">
      <c r="A169" s="285"/>
      <c r="B169" s="285"/>
      <c r="C169" s="285"/>
      <c r="D169" s="285"/>
      <c r="E169" s="286"/>
      <c r="F169" s="285"/>
      <c r="G169" s="317" t="s">
        <v>529</v>
      </c>
      <c r="H169" s="342">
        <f>ROUND(SUM(H165:H168),0)</f>
        <v>143780</v>
      </c>
    </row>
    <row r="170" spans="1:8" ht="13.5" thickBot="1">
      <c r="A170" s="285"/>
      <c r="B170" s="285"/>
      <c r="C170" s="285"/>
      <c r="D170" s="285"/>
      <c r="E170" s="286"/>
      <c r="F170" s="285"/>
      <c r="G170" s="285"/>
      <c r="H170" s="285"/>
    </row>
    <row r="171" spans="1:8" ht="13.5" thickBot="1">
      <c r="A171" s="285"/>
      <c r="B171" s="285"/>
      <c r="C171" s="285"/>
      <c r="D171" s="285"/>
      <c r="E171" s="346" t="s">
        <v>536</v>
      </c>
      <c r="F171" s="347"/>
      <c r="G171" s="347"/>
      <c r="H171" s="348">
        <f>+ROUND(H139+H154+H161+H169,0)</f>
        <v>692114</v>
      </c>
    </row>
    <row r="172" spans="1:8">
      <c r="A172" s="285"/>
      <c r="B172" s="285"/>
      <c r="C172" s="285"/>
      <c r="D172" s="285"/>
      <c r="E172" s="806" t="s">
        <v>2696</v>
      </c>
      <c r="F172" s="807">
        <v>0.3</v>
      </c>
      <c r="G172" s="807">
        <v>0.3</v>
      </c>
      <c r="H172" s="809">
        <f>H171*G172</f>
        <v>207634.19999999998</v>
      </c>
    </row>
    <row r="173" spans="1:8">
      <c r="A173" s="285"/>
      <c r="B173" s="285"/>
      <c r="C173" s="285"/>
      <c r="D173" s="285"/>
      <c r="E173" s="806"/>
      <c r="F173" s="807"/>
      <c r="G173" s="807"/>
      <c r="H173" s="809">
        <f>SUM(H171:H172)</f>
        <v>899748.2</v>
      </c>
    </row>
    <row r="174" spans="1:8">
      <c r="A174" s="285"/>
      <c r="B174" s="285"/>
      <c r="C174" s="285"/>
      <c r="D174" s="285"/>
      <c r="E174" s="346"/>
      <c r="F174" s="347"/>
      <c r="G174" s="347"/>
      <c r="H174" s="349"/>
    </row>
    <row r="175" spans="1:8">
      <c r="A175" s="285"/>
      <c r="B175" s="285"/>
      <c r="C175" s="285"/>
      <c r="D175" s="285"/>
      <c r="E175" s="346"/>
      <c r="F175" s="347"/>
      <c r="G175" s="347"/>
      <c r="H175" s="349"/>
    </row>
    <row r="176" spans="1:8">
      <c r="A176" s="285"/>
      <c r="B176" s="285"/>
      <c r="C176" s="285"/>
      <c r="D176" s="285"/>
      <c r="E176" s="346"/>
      <c r="F176" s="347"/>
      <c r="G176" s="347"/>
      <c r="H176" s="349"/>
    </row>
    <row r="178" spans="1:8">
      <c r="A178" s="703" t="str">
        <f>+[14]PRESUPUESTO!$A$113</f>
        <v>__________________________________________</v>
      </c>
      <c r="B178" s="703"/>
    </row>
    <row r="179" spans="1:8">
      <c r="A179" s="810" t="str">
        <f>+[14]PRESUPUESTO!$A$114</f>
        <v>Ing. JHON FREDY GARCIA MENDEZ</v>
      </c>
      <c r="B179" s="703"/>
    </row>
    <row r="180" spans="1:8">
      <c r="A180" s="811" t="str">
        <f>+[14]PRESUPUESTO!$A$115</f>
        <v>M.P.  70268-326294 TLM.</v>
      </c>
      <c r="B180" s="703"/>
    </row>
    <row r="181" spans="1:8">
      <c r="A181" s="811" t="str">
        <f>+[14]PRESUPUESTO!$A$116</f>
        <v>CONSULTOR</v>
      </c>
      <c r="B181" s="703"/>
    </row>
    <row r="184" spans="1:8" ht="13.5" thickBot="1">
      <c r="A184" s="338"/>
      <c r="B184" s="338"/>
      <c r="C184" s="338"/>
      <c r="D184" s="338"/>
    </row>
    <row r="186" spans="1:8">
      <c r="A186" s="96">
        <v>1</v>
      </c>
      <c r="B186" s="2185" t="s">
        <v>948</v>
      </c>
      <c r="C186" s="2185"/>
      <c r="D186" s="2185"/>
      <c r="E186" s="2185"/>
      <c r="F186" s="289"/>
      <c r="G186" s="290" t="s">
        <v>525</v>
      </c>
      <c r="H186" s="97" t="s">
        <v>352</v>
      </c>
    </row>
    <row r="187" spans="1:8">
      <c r="A187" s="432">
        <v>1.3</v>
      </c>
      <c r="B187" s="2186" t="s">
        <v>2507</v>
      </c>
      <c r="C187" s="2186"/>
      <c r="D187" s="2186"/>
      <c r="E187" s="2186"/>
      <c r="F187" s="291"/>
      <c r="G187" s="290"/>
      <c r="H187" s="97"/>
    </row>
    <row r="188" spans="1:8">
      <c r="A188" s="96"/>
      <c r="B188" s="420"/>
      <c r="C188" s="421"/>
      <c r="D188" s="421"/>
      <c r="E188" s="421"/>
      <c r="F188" s="292"/>
      <c r="G188" s="286"/>
      <c r="H188" s="287"/>
    </row>
    <row r="189" spans="1:8">
      <c r="A189" s="97"/>
      <c r="B189" s="293"/>
      <c r="C189" s="293"/>
      <c r="D189" s="293"/>
      <c r="E189" s="293"/>
      <c r="F189" s="293"/>
      <c r="G189" s="294"/>
      <c r="H189" s="294"/>
    </row>
    <row r="190" spans="1:8" ht="13.5" thickBot="1">
      <c r="A190" s="295" t="s">
        <v>526</v>
      </c>
      <c r="B190" s="295"/>
      <c r="C190" s="285"/>
      <c r="D190" s="296"/>
      <c r="E190" s="296"/>
      <c r="F190" s="296"/>
      <c r="G190" s="296"/>
      <c r="H190" s="296"/>
    </row>
    <row r="191" spans="1:8" ht="13.5" thickBot="1">
      <c r="A191" s="297" t="s">
        <v>527</v>
      </c>
      <c r="B191" s="298"/>
      <c r="C191" s="299" t="s">
        <v>521</v>
      </c>
      <c r="D191" s="300"/>
      <c r="E191" s="301" t="s">
        <v>515</v>
      </c>
      <c r="F191" s="302" t="s">
        <v>528</v>
      </c>
      <c r="G191" s="303" t="s">
        <v>832</v>
      </c>
      <c r="H191" s="278" t="s">
        <v>831</v>
      </c>
    </row>
    <row r="192" spans="1:8">
      <c r="A192" s="304" t="s">
        <v>966</v>
      </c>
      <c r="B192" s="305" t="str">
        <f>IF(A192="","",VLOOKUP(A192,EQUI,2,FALSE))</f>
        <v>Herramienta Menor (5% de la mano de obra).</v>
      </c>
      <c r="C192" s="306"/>
      <c r="D192" s="306"/>
      <c r="E192" s="276" t="str">
        <f>IF(A192="","",VLOOKUP(A192,EQUI,3,FALSE))</f>
        <v>%</v>
      </c>
      <c r="F192" s="433">
        <f>IF(A192="","",VLOOKUP(A192,EQUI,4,FALSE))</f>
        <v>0.05</v>
      </c>
      <c r="G192" s="307">
        <f>ROUND(F192*H228,0)</f>
        <v>7189</v>
      </c>
      <c r="H192" s="308">
        <f>+G192</f>
        <v>7189</v>
      </c>
    </row>
    <row r="193" spans="1:8">
      <c r="A193" s="304" t="s">
        <v>497</v>
      </c>
      <c r="B193" s="305" t="str">
        <f>IF(A193="","",VLOOKUP(A193,EQUI,2,FALSE))</f>
        <v>Mezcladora mecánica (1.0 bultos)</v>
      </c>
      <c r="C193" s="306"/>
      <c r="D193" s="306"/>
      <c r="E193" s="276" t="str">
        <f>IF(A193="","",VLOOKUP(A193,EQUI,3))</f>
        <v>Dia</v>
      </c>
      <c r="F193" s="405">
        <v>0.1</v>
      </c>
      <c r="G193" s="310">
        <f>IF(A193="","",VLOOKUP(A193,EQUI,4))</f>
        <v>80000</v>
      </c>
      <c r="H193" s="311">
        <f>IF(A193="","",ROUND((G193*F193),0))</f>
        <v>8000</v>
      </c>
    </row>
    <row r="194" spans="1:8">
      <c r="A194" s="304"/>
      <c r="B194" s="305" t="str">
        <f>IF(A194="","",VLOOKUP(A194,EQUI,2))</f>
        <v/>
      </c>
      <c r="C194" s="306"/>
      <c r="D194" s="306"/>
      <c r="E194" s="276" t="str">
        <f>IF(A194="","",VLOOKUP(A194,EQUI,3))</f>
        <v/>
      </c>
      <c r="F194" s="405"/>
      <c r="G194" s="310" t="str">
        <f>IF(A194="","",VLOOKUP(A194,EQUI,4))</f>
        <v/>
      </c>
      <c r="H194" s="311" t="str">
        <f>IF(A194="","",ROUND((G194*F194),0))</f>
        <v/>
      </c>
    </row>
    <row r="195" spans="1:8">
      <c r="A195" s="304"/>
      <c r="B195" s="305" t="str">
        <f>IF(A195="","",VLOOKUP(A195,EQUI,2))</f>
        <v/>
      </c>
      <c r="C195" s="306"/>
      <c r="D195" s="306"/>
      <c r="E195" s="276" t="str">
        <f>IF(A195="","",VLOOKUP(A195,EQUI,3))</f>
        <v/>
      </c>
      <c r="F195" s="405"/>
      <c r="G195" s="310" t="str">
        <f>IF(A195="","",VLOOKUP(A195,EQUI,4))</f>
        <v/>
      </c>
      <c r="H195" s="311" t="str">
        <f>IF(A195="","",ROUND((G195*F195),0))</f>
        <v/>
      </c>
    </row>
    <row r="196" spans="1:8">
      <c r="A196" s="304"/>
      <c r="B196" s="305" t="str">
        <f>IF(A196="","",VLOOKUP(A196,EQUI,2))</f>
        <v/>
      </c>
      <c r="C196" s="306"/>
      <c r="D196" s="306"/>
      <c r="E196" s="276" t="str">
        <f>IF(A196="","",VLOOKUP(A196,EQUI,3))</f>
        <v/>
      </c>
      <c r="F196" s="405"/>
      <c r="G196" s="310" t="str">
        <f>IF(A196="","",VLOOKUP(A196,EQUI,4))</f>
        <v/>
      </c>
      <c r="H196" s="311" t="str">
        <f>IF(A196="","",ROUND((G196*F196),0))</f>
        <v/>
      </c>
    </row>
    <row r="197" spans="1:8" ht="13.5" thickBot="1">
      <c r="A197" s="312"/>
      <c r="B197" s="313" t="str">
        <f>IF(A197="","",VLOOKUP(A197,EQUI,2))</f>
        <v/>
      </c>
      <c r="C197" s="313"/>
      <c r="D197" s="314"/>
      <c r="E197" s="315" t="str">
        <f>IF(A197="","",VLOOKUP(A197,EQUI,3))</f>
        <v/>
      </c>
      <c r="F197" s="408"/>
      <c r="G197" s="316" t="str">
        <f>IF(A197="","",VLOOKUP(A197,EQUI,4))</f>
        <v/>
      </c>
      <c r="H197" s="311" t="str">
        <f>IF(A197="","",ROUND((G197*F197),0))</f>
        <v/>
      </c>
    </row>
    <row r="198" spans="1:8" ht="13.5" thickBot="1">
      <c r="A198" s="285"/>
      <c r="B198" s="285"/>
      <c r="C198" s="285"/>
      <c r="D198" s="285"/>
      <c r="E198" s="286"/>
      <c r="F198" s="285"/>
      <c r="G198" s="317" t="s">
        <v>529</v>
      </c>
      <c r="H198" s="318">
        <f>ROUND(SUM(H192:H197),0)</f>
        <v>15189</v>
      </c>
    </row>
    <row r="199" spans="1:8">
      <c r="A199" s="285"/>
      <c r="B199" s="285"/>
      <c r="C199" s="285"/>
      <c r="D199" s="285"/>
      <c r="E199" s="286"/>
      <c r="F199" s="285"/>
      <c r="G199" s="286"/>
      <c r="H199" s="319"/>
    </row>
    <row r="200" spans="1:8" ht="13.5" thickBot="1">
      <c r="A200" s="295" t="s">
        <v>530</v>
      </c>
      <c r="B200" s="295"/>
      <c r="C200" s="295"/>
      <c r="D200" s="295"/>
      <c r="E200" s="320"/>
      <c r="F200" s="314"/>
      <c r="G200" s="314"/>
      <c r="H200" s="314"/>
    </row>
    <row r="201" spans="1:8" ht="13.5" thickBot="1">
      <c r="A201" s="297" t="s">
        <v>527</v>
      </c>
      <c r="B201" s="298"/>
      <c r="C201" s="299" t="s">
        <v>521</v>
      </c>
      <c r="D201" s="299"/>
      <c r="E201" s="321" t="s">
        <v>515</v>
      </c>
      <c r="F201" s="322" t="s">
        <v>7</v>
      </c>
      <c r="G201" s="303" t="s">
        <v>832</v>
      </c>
      <c r="H201" s="278" t="s">
        <v>831</v>
      </c>
    </row>
    <row r="202" spans="1:8">
      <c r="A202" s="549" t="s">
        <v>2455</v>
      </c>
      <c r="B202" s="353" t="str">
        <f t="shared" ref="B202:B212" si="13">IF(A202="","",VLOOKUP(A202,MAT,2,FALSE))</f>
        <v>Concreto de 175 Kg/cm2 (2500 PSI)</v>
      </c>
      <c r="C202" s="305"/>
      <c r="D202" s="306"/>
      <c r="E202" s="276" t="str">
        <f>IF(A202="","",VLOOKUP(A202,MAT,3,FALSE))</f>
        <v>m3</v>
      </c>
      <c r="F202" s="405">
        <f>0.6*1.05</f>
        <v>0.63</v>
      </c>
      <c r="G202" s="310">
        <f>IF(A202="","",VLOOKUP(A202,MAT,5,FALSE))</f>
        <v>692114</v>
      </c>
      <c r="H202" s="311">
        <f>IF(A202="","",ROUND((G202*F202),0))</f>
        <v>436032</v>
      </c>
    </row>
    <row r="203" spans="1:8">
      <c r="A203" s="550"/>
      <c r="B203" s="1033" t="s">
        <v>2495</v>
      </c>
      <c r="C203" s="305"/>
      <c r="D203" s="306"/>
      <c r="E203" s="815" t="s">
        <v>352</v>
      </c>
      <c r="F203" s="1050">
        <f>0.4*1.05</f>
        <v>0.42000000000000004</v>
      </c>
      <c r="G203" s="310">
        <f>+INSUMOS!E49</f>
        <v>173740</v>
      </c>
      <c r="H203" s="311">
        <f>ROUND(G203*F203,0)</f>
        <v>72971</v>
      </c>
    </row>
    <row r="204" spans="1:8">
      <c r="A204" s="550"/>
      <c r="B204" s="353" t="str">
        <f t="shared" si="13"/>
        <v/>
      </c>
      <c r="C204" s="305"/>
      <c r="D204" s="306"/>
      <c r="E204" s="276" t="str">
        <f>IF(A204="","",VLOOKUP(A204,MAT,3,FALSE))</f>
        <v/>
      </c>
      <c r="F204" s="405"/>
      <c r="G204" s="310" t="str">
        <f>IF(A204="","",VLOOKUP(A204,MAT,5,FALSE))</f>
        <v/>
      </c>
      <c r="H204" s="311" t="str">
        <f>IF(A204="","",ROUND((G204*F204),0))</f>
        <v/>
      </c>
    </row>
    <row r="205" spans="1:8">
      <c r="A205" s="550"/>
      <c r="B205" s="305" t="str">
        <f t="shared" si="13"/>
        <v/>
      </c>
      <c r="C205" s="305"/>
      <c r="D205" s="306"/>
      <c r="E205" s="276" t="str">
        <f t="shared" ref="E205:E211" si="14">IF(A205="","",VLOOKUP(A205,MAT,3,FALSE))</f>
        <v/>
      </c>
      <c r="F205" s="405"/>
      <c r="G205" s="310" t="str">
        <f t="shared" ref="G205:G211" si="15">IF(A205="","",VLOOKUP(A205,MAT,5,FALSE))</f>
        <v/>
      </c>
      <c r="H205" s="311" t="str">
        <f t="shared" ref="H205:H211" si="16">IF(A205="","",ROUND((G205*F205),0))</f>
        <v/>
      </c>
    </row>
    <row r="206" spans="1:8">
      <c r="A206" s="550"/>
      <c r="B206" s="305" t="str">
        <f t="shared" si="13"/>
        <v/>
      </c>
      <c r="C206" s="305"/>
      <c r="D206" s="306"/>
      <c r="E206" s="276" t="str">
        <f t="shared" si="14"/>
        <v/>
      </c>
      <c r="F206" s="405"/>
      <c r="G206" s="310" t="str">
        <f t="shared" si="15"/>
        <v/>
      </c>
      <c r="H206" s="311" t="str">
        <f t="shared" si="16"/>
        <v/>
      </c>
    </row>
    <row r="207" spans="1:8">
      <c r="A207" s="550"/>
      <c r="B207" s="305" t="str">
        <f t="shared" si="13"/>
        <v/>
      </c>
      <c r="C207" s="305"/>
      <c r="D207" s="306"/>
      <c r="E207" s="276" t="str">
        <f t="shared" si="14"/>
        <v/>
      </c>
      <c r="F207" s="405"/>
      <c r="G207" s="310" t="str">
        <f t="shared" si="15"/>
        <v/>
      </c>
      <c r="H207" s="311" t="str">
        <f t="shared" si="16"/>
        <v/>
      </c>
    </row>
    <row r="208" spans="1:8">
      <c r="A208" s="550"/>
      <c r="B208" s="305" t="str">
        <f t="shared" si="13"/>
        <v/>
      </c>
      <c r="C208" s="305"/>
      <c r="D208" s="306"/>
      <c r="E208" s="276" t="str">
        <f t="shared" si="14"/>
        <v/>
      </c>
      <c r="F208" s="405"/>
      <c r="G208" s="310" t="str">
        <f t="shared" si="15"/>
        <v/>
      </c>
      <c r="H208" s="311" t="str">
        <f t="shared" si="16"/>
        <v/>
      </c>
    </row>
    <row r="209" spans="1:8">
      <c r="A209" s="550"/>
      <c r="B209" s="305" t="str">
        <f t="shared" si="13"/>
        <v/>
      </c>
      <c r="C209" s="305"/>
      <c r="D209" s="306"/>
      <c r="E209" s="276" t="str">
        <f t="shared" si="14"/>
        <v/>
      </c>
      <c r="F209" s="405"/>
      <c r="G209" s="310" t="str">
        <f t="shared" si="15"/>
        <v/>
      </c>
      <c r="H209" s="311" t="str">
        <f t="shared" si="16"/>
        <v/>
      </c>
    </row>
    <row r="210" spans="1:8">
      <c r="A210" s="550"/>
      <c r="B210" s="305" t="str">
        <f t="shared" si="13"/>
        <v/>
      </c>
      <c r="C210" s="305"/>
      <c r="D210" s="306"/>
      <c r="E210" s="276" t="str">
        <f t="shared" si="14"/>
        <v/>
      </c>
      <c r="F210" s="405"/>
      <c r="G210" s="310" t="str">
        <f t="shared" si="15"/>
        <v/>
      </c>
      <c r="H210" s="311" t="str">
        <f t="shared" si="16"/>
        <v/>
      </c>
    </row>
    <row r="211" spans="1:8">
      <c r="A211" s="550"/>
      <c r="B211" s="305" t="str">
        <f t="shared" si="13"/>
        <v/>
      </c>
      <c r="C211" s="305"/>
      <c r="D211" s="306"/>
      <c r="E211" s="276" t="str">
        <f t="shared" si="14"/>
        <v/>
      </c>
      <c r="F211" s="405"/>
      <c r="G211" s="310" t="str">
        <f t="shared" si="15"/>
        <v/>
      </c>
      <c r="H211" s="311" t="str">
        <f t="shared" si="16"/>
        <v/>
      </c>
    </row>
    <row r="212" spans="1:8" ht="13.5" thickBot="1">
      <c r="A212" s="551"/>
      <c r="B212" s="326" t="str">
        <f t="shared" si="13"/>
        <v/>
      </c>
      <c r="C212" s="314"/>
      <c r="D212" s="314"/>
      <c r="E212" s="315" t="str">
        <f>IF(A212="","",VLOOKUP(A212,MAT,3,FALSE))</f>
        <v/>
      </c>
      <c r="F212" s="406"/>
      <c r="G212" s="327" t="str">
        <f>IF(A212="","",VLOOKUP(A212,MAT,5,FALSE))</f>
        <v/>
      </c>
      <c r="H212" s="311" t="str">
        <f>IF(A212="","",ROUND((G212*F212),0))</f>
        <v/>
      </c>
    </row>
    <row r="213" spans="1:8" ht="13.5" thickBot="1">
      <c r="A213" s="285"/>
      <c r="B213" s="285"/>
      <c r="C213" s="285"/>
      <c r="D213" s="285"/>
      <c r="E213" s="286"/>
      <c r="F213" s="285"/>
      <c r="G213" s="210" t="s">
        <v>529</v>
      </c>
      <c r="H213" s="328">
        <f>ROUND(SUM(H202:H212),0)</f>
        <v>509003</v>
      </c>
    </row>
    <row r="214" spans="1:8">
      <c r="A214" s="285"/>
      <c r="B214" s="285"/>
      <c r="C214" s="285"/>
      <c r="D214" s="285"/>
      <c r="E214" s="286"/>
      <c r="F214" s="285"/>
      <c r="G214" s="286"/>
      <c r="H214" s="329"/>
    </row>
    <row r="215" spans="1:8" ht="13.5" thickBot="1">
      <c r="A215" s="295" t="s">
        <v>531</v>
      </c>
      <c r="B215" s="285"/>
      <c r="C215" s="285"/>
      <c r="D215" s="285"/>
      <c r="E215" s="286"/>
      <c r="F215" s="285"/>
      <c r="G215" s="286"/>
      <c r="H215" s="330"/>
    </row>
    <row r="216" spans="1:8" ht="13.5" thickBot="1">
      <c r="A216" s="297" t="s">
        <v>527</v>
      </c>
      <c r="B216" s="2187" t="s">
        <v>532</v>
      </c>
      <c r="C216" s="2188"/>
      <c r="D216" s="331" t="s">
        <v>821</v>
      </c>
      <c r="E216" s="331" t="s">
        <v>820</v>
      </c>
      <c r="F216" s="331" t="s">
        <v>823</v>
      </c>
      <c r="G216" s="331" t="s">
        <v>963</v>
      </c>
      <c r="H216" s="416" t="s">
        <v>831</v>
      </c>
    </row>
    <row r="217" spans="1:8">
      <c r="A217" s="552" t="s">
        <v>561</v>
      </c>
      <c r="B217" s="816" t="s">
        <v>2495</v>
      </c>
      <c r="C217" s="333"/>
      <c r="D217" s="409" t="str">
        <f>IF(A217="","",VLOOKUP(A217,MAT,3,FALSE))</f>
        <v>m3</v>
      </c>
      <c r="E217" s="419">
        <f>IF(A217="","",VLOOKUP(A217,MAT,6,FALSE))</f>
        <v>60.5</v>
      </c>
      <c r="F217" s="413">
        <f>+F203*1.05</f>
        <v>0.44100000000000006</v>
      </c>
      <c r="G217" s="334">
        <f>IF(A217="","",VLOOKUP(A217,MAT,7,FALSE))</f>
        <v>1500</v>
      </c>
      <c r="H217" s="311">
        <f>IF(A217="","",ROUND((G217*F217*E217),0))</f>
        <v>40021</v>
      </c>
    </row>
    <row r="218" spans="1:8">
      <c r="A218" s="553"/>
      <c r="B218" s="305"/>
      <c r="D218" s="410"/>
      <c r="E218" s="419"/>
      <c r="F218" s="413"/>
      <c r="G218" s="336"/>
      <c r="H218" s="311"/>
    </row>
    <row r="219" spans="1:8" ht="13.5" thickBot="1">
      <c r="A219" s="554"/>
      <c r="B219" s="338" t="str">
        <f>IF(A219="","",VLOOKUP(A219,MAT,2,FALSE))</f>
        <v/>
      </c>
      <c r="C219" s="338"/>
      <c r="D219" s="411" t="str">
        <f>IF(A219="","",VLOOKUP(A219,MAT,3,FALSE))</f>
        <v/>
      </c>
      <c r="E219" s="412" t="str">
        <f>IF(A219="","",VLOOKUP(A219,MAT,6,FALSE))</f>
        <v/>
      </c>
      <c r="F219" s="418" t="str">
        <f>IF(A219="","",VLOOKUP(A219,$A$23:$H$33,6,FALSE))</f>
        <v/>
      </c>
      <c r="G219" s="339" t="str">
        <f>IF(A219="","",VLOOKUP(A219,MAT,7,FALSE))</f>
        <v/>
      </c>
      <c r="H219" s="417" t="str">
        <f>IF(A219="","",ROUND((G219*F219*E219),0))</f>
        <v/>
      </c>
    </row>
    <row r="220" spans="1:8" ht="13.5" thickBot="1">
      <c r="E220" s="340"/>
      <c r="F220" s="341"/>
      <c r="G220" s="414" t="s">
        <v>529</v>
      </c>
      <c r="H220" s="415">
        <f>ROUND(SUM(H217:H219),0)</f>
        <v>40021</v>
      </c>
    </row>
    <row r="221" spans="1:8">
      <c r="E221" s="340"/>
      <c r="F221" s="341"/>
      <c r="G221" s="286"/>
      <c r="H221" s="343"/>
    </row>
    <row r="222" spans="1:8" ht="13.5" thickBot="1">
      <c r="A222" s="295" t="s">
        <v>534</v>
      </c>
      <c r="B222" s="295"/>
      <c r="C222" s="295"/>
      <c r="D222" s="285"/>
      <c r="E222" s="286"/>
      <c r="F222" s="285"/>
      <c r="G222" s="285"/>
      <c r="H222" s="314"/>
    </row>
    <row r="223" spans="1:8" ht="13.5" thickBot="1">
      <c r="A223" s="297" t="s">
        <v>527</v>
      </c>
      <c r="B223" s="2189" t="s">
        <v>514</v>
      </c>
      <c r="C223" s="2190"/>
      <c r="D223" s="2191"/>
      <c r="E223" s="277" t="s">
        <v>515</v>
      </c>
      <c r="F223" s="277" t="s">
        <v>535</v>
      </c>
      <c r="G223" s="531" t="s">
        <v>944</v>
      </c>
      <c r="H223" s="416" t="s">
        <v>831</v>
      </c>
    </row>
    <row r="224" spans="1:8">
      <c r="A224" s="344" t="s">
        <v>932</v>
      </c>
      <c r="B224" s="2192" t="str">
        <f>IF(A224="","",VLOOKUP(A224,MO,2,FALSE))</f>
        <v>Cuadrilla LL: Mezclas. (1 Of. + 3 Ayud.).</v>
      </c>
      <c r="C224" s="2193"/>
      <c r="D224" s="2194"/>
      <c r="E224" s="538" t="str">
        <f>IF(A224="","",VLOOKUP(A224,MO,13,FALSE))</f>
        <v>HC</v>
      </c>
      <c r="F224" s="544">
        <v>0.56000000000000005</v>
      </c>
      <c r="G224" s="540">
        <f>IF(A224="","",VLOOKUP(A224,MO,15,FALSE))</f>
        <v>80517</v>
      </c>
      <c r="H224" s="542">
        <f>IF(A224="","",ROUND((G224/F224),0))</f>
        <v>143780</v>
      </c>
    </row>
    <row r="225" spans="1:8">
      <c r="A225" s="344"/>
      <c r="B225" s="2179" t="str">
        <f>IF(A225="","",VLOOKUP(A225,MO,2,FALSE))</f>
        <v/>
      </c>
      <c r="C225" s="2180"/>
      <c r="D225" s="2181"/>
      <c r="E225" s="538" t="str">
        <f>IF(A225="","",VLOOKUP(A225,MO,13,FALSE))</f>
        <v/>
      </c>
      <c r="F225" s="544"/>
      <c r="G225" s="540" t="str">
        <f>IF(A225="","",VLOOKUP(A225,MO,15,FALSE))</f>
        <v/>
      </c>
      <c r="H225" s="542" t="str">
        <f>IF(A225="","",ROUND((G225/F225),0))</f>
        <v/>
      </c>
    </row>
    <row r="226" spans="1:8">
      <c r="A226" s="344"/>
      <c r="B226" s="2179" t="str">
        <f>IF(A226="","",VLOOKUP(A226,MO,2,FALSE))</f>
        <v/>
      </c>
      <c r="C226" s="2180"/>
      <c r="D226" s="2181"/>
      <c r="E226" s="538" t="str">
        <f>IF(A226="","",VLOOKUP(A226,MO,13,FALSE))</f>
        <v/>
      </c>
      <c r="F226" s="544"/>
      <c r="G226" s="541" t="str">
        <f>IF(A226="","",VLOOKUP(A226,MO,15,FALSE))</f>
        <v/>
      </c>
      <c r="H226" s="542" t="str">
        <f>IF(A226="","",ROUND((G226/F226),0))</f>
        <v/>
      </c>
    </row>
    <row r="227" spans="1:8" ht="13.5" thickBot="1">
      <c r="A227" s="345"/>
      <c r="B227" s="2182" t="str">
        <f>IF(A227="","",VLOOKUP(A227,MO,2,FALSE))</f>
        <v/>
      </c>
      <c r="C227" s="2183"/>
      <c r="D227" s="2184"/>
      <c r="E227" s="539" t="str">
        <f>IF(A227="","",VLOOKUP(A227,MO,13,FALSE))</f>
        <v/>
      </c>
      <c r="F227" s="545"/>
      <c r="G227" s="377" t="str">
        <f>IF(A227="","",VLOOKUP(A227,MO,15,FALSE))</f>
        <v/>
      </c>
      <c r="H227" s="543" t="str">
        <f>IF(A227="","",ROUND((G227/F227),0))</f>
        <v/>
      </c>
    </row>
    <row r="228" spans="1:8" ht="13.5" thickBot="1">
      <c r="A228" s="285"/>
      <c r="B228" s="285"/>
      <c r="C228" s="285"/>
      <c r="D228" s="285"/>
      <c r="E228" s="286"/>
      <c r="F228" s="285"/>
      <c r="G228" s="317" t="s">
        <v>529</v>
      </c>
      <c r="H228" s="342">
        <f>ROUND(SUM(H224:H227),0)</f>
        <v>143780</v>
      </c>
    </row>
    <row r="229" spans="1:8" ht="13.5" thickBot="1">
      <c r="A229" s="285"/>
      <c r="B229" s="285"/>
      <c r="C229" s="285"/>
      <c r="D229" s="285"/>
      <c r="E229" s="286"/>
      <c r="F229" s="285"/>
      <c r="G229" s="285"/>
      <c r="H229" s="285"/>
    </row>
    <row r="230" spans="1:8" ht="13.5" thickBot="1">
      <c r="A230" s="285"/>
      <c r="B230" s="285"/>
      <c r="C230" s="285"/>
      <c r="D230" s="285"/>
      <c r="E230" s="346" t="s">
        <v>536</v>
      </c>
      <c r="F230" s="347"/>
      <c r="G230" s="347"/>
      <c r="H230" s="348">
        <f>+ROUND(H198+H213+H220+H228,0)</f>
        <v>707993</v>
      </c>
    </row>
    <row r="231" spans="1:8">
      <c r="A231" s="285"/>
      <c r="B231" s="285"/>
      <c r="C231" s="285"/>
      <c r="D231" s="285"/>
      <c r="E231" s="806" t="s">
        <v>2696</v>
      </c>
      <c r="F231" s="807">
        <v>0.3</v>
      </c>
      <c r="G231" s="807">
        <v>0.3</v>
      </c>
      <c r="H231" s="809">
        <f>H230*G231</f>
        <v>212397.9</v>
      </c>
    </row>
    <row r="232" spans="1:8">
      <c r="A232" s="285"/>
      <c r="B232" s="285"/>
      <c r="C232" s="285"/>
      <c r="D232" s="285"/>
      <c r="E232" s="806"/>
      <c r="F232" s="807"/>
      <c r="G232" s="807"/>
      <c r="H232" s="809">
        <f>SUM(H230:H231)</f>
        <v>920390.9</v>
      </c>
    </row>
    <row r="233" spans="1:8">
      <c r="A233" s="285"/>
      <c r="B233" s="285"/>
      <c r="C233" s="285"/>
      <c r="D233" s="285"/>
      <c r="E233" s="346"/>
      <c r="F233" s="347"/>
      <c r="G233" s="347"/>
      <c r="H233" s="349"/>
    </row>
    <row r="234" spans="1:8">
      <c r="A234" s="285"/>
      <c r="B234" s="285"/>
      <c r="C234" s="285"/>
      <c r="D234" s="285"/>
      <c r="E234" s="346"/>
      <c r="F234" s="347"/>
      <c r="G234" s="347"/>
      <c r="H234" s="349"/>
    </row>
    <row r="235" spans="1:8">
      <c r="A235" s="285"/>
      <c r="B235" s="285"/>
      <c r="C235" s="285"/>
      <c r="D235" s="285"/>
      <c r="E235" s="346"/>
      <c r="F235" s="347"/>
      <c r="G235" s="347"/>
      <c r="H235" s="349"/>
    </row>
    <row r="237" spans="1:8">
      <c r="A237" s="703" t="str">
        <f>+[14]PRESUPUESTO!$A$113</f>
        <v>__________________________________________</v>
      </c>
      <c r="B237" s="703"/>
    </row>
    <row r="238" spans="1:8">
      <c r="A238" s="810" t="str">
        <f>+[14]PRESUPUESTO!$A$114</f>
        <v>Ing. JHON FREDY GARCIA MENDEZ</v>
      </c>
      <c r="B238" s="703"/>
    </row>
    <row r="239" spans="1:8">
      <c r="A239" s="811" t="str">
        <f>+[14]PRESUPUESTO!$A$115</f>
        <v>M.P.  70268-326294 TLM.</v>
      </c>
      <c r="B239" s="703"/>
    </row>
    <row r="240" spans="1:8">
      <c r="A240" s="811" t="str">
        <f>+[14]PRESUPUESTO!$A$116</f>
        <v>CONSULTOR</v>
      </c>
      <c r="B240" s="703"/>
    </row>
    <row r="245" spans="1:8" ht="13.5" thickBot="1"/>
    <row r="246" spans="1:8">
      <c r="A246" s="284"/>
      <c r="B246" s="2195"/>
      <c r="C246" s="2196"/>
      <c r="D246" s="2196"/>
      <c r="E246" s="284"/>
      <c r="F246" s="285"/>
      <c r="G246" s="286"/>
      <c r="H246" s="287"/>
    </row>
    <row r="247" spans="1:8">
      <c r="A247" s="96">
        <v>1</v>
      </c>
      <c r="B247" s="2185" t="s">
        <v>948</v>
      </c>
      <c r="C247" s="2185"/>
      <c r="D247" s="2185"/>
      <c r="E247" s="2185"/>
      <c r="F247" s="289"/>
      <c r="G247" s="290" t="s">
        <v>525</v>
      </c>
      <c r="H247" s="97" t="s">
        <v>352</v>
      </c>
    </row>
    <row r="248" spans="1:8">
      <c r="A248" s="432">
        <v>1.4</v>
      </c>
      <c r="B248" s="2186" t="s">
        <v>543</v>
      </c>
      <c r="C248" s="2186"/>
      <c r="D248" s="2186"/>
      <c r="E248" s="2186"/>
      <c r="F248" s="291"/>
      <c r="G248" s="290"/>
      <c r="H248" s="97"/>
    </row>
    <row r="249" spans="1:8">
      <c r="A249" s="96"/>
      <c r="B249" s="420"/>
      <c r="C249" s="421"/>
      <c r="D249" s="421"/>
      <c r="E249" s="421"/>
      <c r="F249" s="292"/>
      <c r="G249" s="286"/>
      <c r="H249" s="287"/>
    </row>
    <row r="250" spans="1:8">
      <c r="A250" s="97"/>
      <c r="B250" s="293"/>
      <c r="C250" s="293"/>
      <c r="D250" s="293"/>
      <c r="E250" s="293"/>
      <c r="F250" s="293"/>
      <c r="G250" s="294"/>
      <c r="H250" s="294"/>
    </row>
    <row r="251" spans="1:8" ht="13.5" thickBot="1">
      <c r="A251" s="295" t="s">
        <v>526</v>
      </c>
      <c r="B251" s="295"/>
      <c r="C251" s="285"/>
      <c r="D251" s="296"/>
      <c r="E251" s="296"/>
      <c r="F251" s="296"/>
      <c r="G251" s="296"/>
      <c r="H251" s="296"/>
    </row>
    <row r="252" spans="1:8" ht="13.5" thickBot="1">
      <c r="A252" s="297" t="s">
        <v>527</v>
      </c>
      <c r="B252" s="298"/>
      <c r="C252" s="299" t="s">
        <v>521</v>
      </c>
      <c r="D252" s="300"/>
      <c r="E252" s="301" t="s">
        <v>515</v>
      </c>
      <c r="F252" s="302" t="s">
        <v>528</v>
      </c>
      <c r="G252" s="303" t="s">
        <v>832</v>
      </c>
      <c r="H252" s="278" t="s">
        <v>831</v>
      </c>
    </row>
    <row r="253" spans="1:8">
      <c r="A253" s="304" t="s">
        <v>966</v>
      </c>
      <c r="B253" s="305" t="str">
        <f>IF(A253="","",VLOOKUP(A253,EQUI,2,FALSE))</f>
        <v>Herramienta Menor (5% de la mano de obra).</v>
      </c>
      <c r="C253" s="306"/>
      <c r="D253" s="306"/>
      <c r="E253" s="276" t="str">
        <f>IF(A253="","",VLOOKUP(A253,EQUI,3,FALSE))</f>
        <v>%</v>
      </c>
      <c r="F253" s="433">
        <f>IF(A253="","",VLOOKUP(A253,EQUI,4,FALSE))</f>
        <v>0.05</v>
      </c>
      <c r="G253" s="307">
        <f>ROUND(F253*H289,0)</f>
        <v>7189</v>
      </c>
      <c r="H253" s="308">
        <f>+G253</f>
        <v>7189</v>
      </c>
    </row>
    <row r="254" spans="1:8">
      <c r="A254" s="304" t="s">
        <v>497</v>
      </c>
      <c r="B254" s="305" t="str">
        <f>IF(A254="","",VLOOKUP(A254,EQUI,2,FALSE))</f>
        <v>Mezcladora mecánica (1.0 bultos)</v>
      </c>
      <c r="C254" s="306"/>
      <c r="D254" s="306"/>
      <c r="E254" s="276" t="str">
        <f>IF(A254="","",VLOOKUP(A254,EQUI,3))</f>
        <v>Dia</v>
      </c>
      <c r="F254" s="405">
        <v>0.1</v>
      </c>
      <c r="G254" s="310">
        <f>IF(A254="","",VLOOKUP(A254,EQUI,4))</f>
        <v>80000</v>
      </c>
      <c r="H254" s="311">
        <f>IF(A254="","",ROUND((G254*F254),0))</f>
        <v>8000</v>
      </c>
    </row>
    <row r="255" spans="1:8">
      <c r="A255" s="304"/>
      <c r="B255" s="305" t="str">
        <f>IF(A255="","",VLOOKUP(A255,EQUI,2))</f>
        <v/>
      </c>
      <c r="C255" s="306"/>
      <c r="D255" s="306"/>
      <c r="E255" s="276" t="str">
        <f>IF(A255="","",VLOOKUP(A255,EQUI,3))</f>
        <v/>
      </c>
      <c r="F255" s="405"/>
      <c r="G255" s="310" t="str">
        <f>IF(A255="","",VLOOKUP(A255,EQUI,4))</f>
        <v/>
      </c>
      <c r="H255" s="311" t="str">
        <f>IF(A255="","",ROUND((G255*F255),0))</f>
        <v/>
      </c>
    </row>
    <row r="256" spans="1:8">
      <c r="A256" s="304"/>
      <c r="B256" s="305" t="str">
        <f>IF(A256="","",VLOOKUP(A256,EQUI,2))</f>
        <v/>
      </c>
      <c r="C256" s="306"/>
      <c r="D256" s="306"/>
      <c r="E256" s="276" t="str">
        <f>IF(A256="","",VLOOKUP(A256,EQUI,3))</f>
        <v/>
      </c>
      <c r="F256" s="405"/>
      <c r="G256" s="310" t="str">
        <f>IF(A256="","",VLOOKUP(A256,EQUI,4))</f>
        <v/>
      </c>
      <c r="H256" s="311" t="str">
        <f>IF(A256="","",ROUND((G256*F256),0))</f>
        <v/>
      </c>
    </row>
    <row r="257" spans="1:8">
      <c r="A257" s="304"/>
      <c r="B257" s="305" t="str">
        <f>IF(A257="","",VLOOKUP(A257,EQUI,2))</f>
        <v/>
      </c>
      <c r="C257" s="306"/>
      <c r="D257" s="306"/>
      <c r="E257" s="276" t="str">
        <f>IF(A257="","",VLOOKUP(A257,EQUI,3))</f>
        <v/>
      </c>
      <c r="F257" s="405"/>
      <c r="G257" s="310" t="str">
        <f>IF(A257="","",VLOOKUP(A257,EQUI,4))</f>
        <v/>
      </c>
      <c r="H257" s="311" t="str">
        <f>IF(A257="","",ROUND((G257*F257),0))</f>
        <v/>
      </c>
    </row>
    <row r="258" spans="1:8" ht="13.5" thickBot="1">
      <c r="A258" s="312"/>
      <c r="B258" s="313" t="str">
        <f>IF(A258="","",VLOOKUP(A258,EQUI,2))</f>
        <v/>
      </c>
      <c r="C258" s="313"/>
      <c r="D258" s="314"/>
      <c r="E258" s="315" t="str">
        <f>IF(A258="","",VLOOKUP(A258,EQUI,3))</f>
        <v/>
      </c>
      <c r="F258" s="408"/>
      <c r="G258" s="316" t="str">
        <f>IF(A258="","",VLOOKUP(A258,EQUI,4))</f>
        <v/>
      </c>
      <c r="H258" s="311" t="str">
        <f>IF(A258="","",ROUND((G258*F258),0))</f>
        <v/>
      </c>
    </row>
    <row r="259" spans="1:8" ht="13.5" thickBot="1">
      <c r="A259" s="285"/>
      <c r="B259" s="285"/>
      <c r="C259" s="285"/>
      <c r="D259" s="285"/>
      <c r="E259" s="286"/>
      <c r="F259" s="285"/>
      <c r="G259" s="317" t="s">
        <v>529</v>
      </c>
      <c r="H259" s="318">
        <f>ROUND(SUM(H253:H258),0)</f>
        <v>15189</v>
      </c>
    </row>
    <row r="260" spans="1:8">
      <c r="A260" s="285"/>
      <c r="B260" s="285"/>
      <c r="C260" s="285"/>
      <c r="D260" s="285"/>
      <c r="E260" s="286"/>
      <c r="F260" s="285"/>
      <c r="G260" s="286"/>
      <c r="H260" s="319"/>
    </row>
    <row r="261" spans="1:8" ht="13.5" thickBot="1">
      <c r="A261" s="295" t="s">
        <v>530</v>
      </c>
      <c r="B261" s="295"/>
      <c r="C261" s="295"/>
      <c r="D261" s="295"/>
      <c r="E261" s="320"/>
      <c r="F261" s="314"/>
      <c r="G261" s="314"/>
      <c r="H261" s="314"/>
    </row>
    <row r="262" spans="1:8" ht="13.5" thickBot="1">
      <c r="A262" s="297" t="s">
        <v>527</v>
      </c>
      <c r="B262" s="298"/>
      <c r="C262" s="299" t="s">
        <v>521</v>
      </c>
      <c r="D262" s="299"/>
      <c r="E262" s="321" t="s">
        <v>515</v>
      </c>
      <c r="F262" s="322" t="s">
        <v>7</v>
      </c>
      <c r="G262" s="303" t="s">
        <v>832</v>
      </c>
      <c r="H262" s="278" t="s">
        <v>831</v>
      </c>
    </row>
    <row r="263" spans="1:8">
      <c r="A263" s="549" t="s">
        <v>134</v>
      </c>
      <c r="B263" s="353" t="str">
        <f t="shared" ref="B263:B273" si="17">IF(A263="","",VLOOKUP(A263,MAT,2,FALSE))</f>
        <v>Agua</v>
      </c>
      <c r="C263" s="305"/>
      <c r="D263" s="306"/>
      <c r="E263" s="276" t="str">
        <f>IF(A263="","",VLOOKUP(A263,MAT,3,FALSE))</f>
        <v>Lt</v>
      </c>
      <c r="F263" s="405">
        <v>180</v>
      </c>
      <c r="G263" s="310">
        <f>IF(A263="","",VLOOKUP(A263,MAT,5,FALSE))</f>
        <v>20</v>
      </c>
      <c r="H263" s="311">
        <f>IF(A263="","",ROUND((G263*F263),0))</f>
        <v>3600</v>
      </c>
    </row>
    <row r="264" spans="1:8">
      <c r="A264" s="550" t="s">
        <v>561</v>
      </c>
      <c r="B264" s="1209" t="str">
        <f t="shared" si="17"/>
        <v>Arena triturada de planta, pasante 3/8"</v>
      </c>
      <c r="C264" s="305"/>
      <c r="D264" s="306"/>
      <c r="E264" s="276" t="str">
        <f>IF(A264="","",VLOOKUP(A264,MAT,3,FALSE))</f>
        <v>m3</v>
      </c>
      <c r="F264" s="405">
        <v>0.56000000000000005</v>
      </c>
      <c r="G264" s="310">
        <f>IF(A264="","",VLOOKUP(A264,MAT,5,FALSE))</f>
        <v>122570</v>
      </c>
      <c r="H264" s="311">
        <f>IF(A264="","",ROUND((G264*F264),0))</f>
        <v>68639</v>
      </c>
    </row>
    <row r="265" spans="1:8">
      <c r="A265" s="550" t="s">
        <v>1629</v>
      </c>
      <c r="B265" s="1209" t="str">
        <f t="shared" si="17"/>
        <v>Gravilla triturada de Ø1/2".</v>
      </c>
      <c r="C265" s="305"/>
      <c r="D265" s="306"/>
      <c r="E265" s="276" t="str">
        <f>IF(A265="","",VLOOKUP(A265,MAT,3,FALSE))</f>
        <v>m3</v>
      </c>
      <c r="F265" s="405">
        <v>0.84</v>
      </c>
      <c r="G265" s="310">
        <f>IF(A265="","",VLOOKUP(A265,MAT,5,FALSE))</f>
        <v>138040</v>
      </c>
      <c r="H265" s="311">
        <f>IF(A265="","",ROUND((G265*F265),0))</f>
        <v>115954</v>
      </c>
    </row>
    <row r="266" spans="1:8">
      <c r="A266" s="550" t="s">
        <v>576</v>
      </c>
      <c r="B266" s="305" t="str">
        <f t="shared" si="17"/>
        <v>Cemento gris tipo Portland.</v>
      </c>
      <c r="C266" s="305"/>
      <c r="D266" s="306"/>
      <c r="E266" s="276" t="str">
        <f t="shared" ref="E266:E272" si="18">IF(A266="","",VLOOKUP(A266,MAT,3,FALSE))</f>
        <v>Kg.</v>
      </c>
      <c r="F266" s="405">
        <v>350</v>
      </c>
      <c r="G266" s="310">
        <f t="shared" ref="G266:G272" si="19">IF(A266="","",VLOOKUP(A266,MAT,5,FALSE))</f>
        <v>700</v>
      </c>
      <c r="H266" s="311">
        <f t="shared" ref="H266:H272" si="20">IF(A266="","",ROUND((G266*F266),0))</f>
        <v>245000</v>
      </c>
    </row>
    <row r="267" spans="1:8">
      <c r="A267" s="550"/>
      <c r="B267" s="305" t="str">
        <f t="shared" si="17"/>
        <v/>
      </c>
      <c r="C267" s="305"/>
      <c r="D267" s="306"/>
      <c r="E267" s="276" t="str">
        <f t="shared" si="18"/>
        <v/>
      </c>
      <c r="F267" s="405"/>
      <c r="G267" s="310" t="str">
        <f t="shared" si="19"/>
        <v/>
      </c>
      <c r="H267" s="311" t="str">
        <f t="shared" si="20"/>
        <v/>
      </c>
    </row>
    <row r="268" spans="1:8">
      <c r="A268" s="550"/>
      <c r="B268" s="305" t="str">
        <f t="shared" si="17"/>
        <v/>
      </c>
      <c r="C268" s="305"/>
      <c r="D268" s="306"/>
      <c r="E268" s="276" t="str">
        <f t="shared" si="18"/>
        <v/>
      </c>
      <c r="F268" s="405"/>
      <c r="G268" s="310" t="str">
        <f t="shared" si="19"/>
        <v/>
      </c>
      <c r="H268" s="311" t="str">
        <f t="shared" si="20"/>
        <v/>
      </c>
    </row>
    <row r="269" spans="1:8">
      <c r="A269" s="550"/>
      <c r="B269" s="305" t="str">
        <f t="shared" si="17"/>
        <v/>
      </c>
      <c r="C269" s="305"/>
      <c r="D269" s="306"/>
      <c r="E269" s="276" t="str">
        <f t="shared" si="18"/>
        <v/>
      </c>
      <c r="F269" s="405"/>
      <c r="G269" s="310" t="str">
        <f t="shared" si="19"/>
        <v/>
      </c>
      <c r="H269" s="311" t="str">
        <f t="shared" si="20"/>
        <v/>
      </c>
    </row>
    <row r="270" spans="1:8">
      <c r="A270" s="550"/>
      <c r="B270" s="305" t="str">
        <f t="shared" si="17"/>
        <v/>
      </c>
      <c r="C270" s="305"/>
      <c r="D270" s="306"/>
      <c r="E270" s="276" t="str">
        <f t="shared" si="18"/>
        <v/>
      </c>
      <c r="F270" s="405"/>
      <c r="G270" s="310" t="str">
        <f t="shared" si="19"/>
        <v/>
      </c>
      <c r="H270" s="311" t="str">
        <f t="shared" si="20"/>
        <v/>
      </c>
    </row>
    <row r="271" spans="1:8">
      <c r="A271" s="550"/>
      <c r="B271" s="305" t="str">
        <f t="shared" si="17"/>
        <v/>
      </c>
      <c r="C271" s="305"/>
      <c r="D271" s="306"/>
      <c r="E271" s="276" t="str">
        <f t="shared" si="18"/>
        <v/>
      </c>
      <c r="F271" s="405"/>
      <c r="G271" s="310" t="str">
        <f t="shared" si="19"/>
        <v/>
      </c>
      <c r="H271" s="311" t="str">
        <f t="shared" si="20"/>
        <v/>
      </c>
    </row>
    <row r="272" spans="1:8">
      <c r="A272" s="550"/>
      <c r="B272" s="305" t="str">
        <f t="shared" si="17"/>
        <v/>
      </c>
      <c r="C272" s="305"/>
      <c r="D272" s="306"/>
      <c r="E272" s="276" t="str">
        <f t="shared" si="18"/>
        <v/>
      </c>
      <c r="F272" s="405"/>
      <c r="G272" s="310" t="str">
        <f t="shared" si="19"/>
        <v/>
      </c>
      <c r="H272" s="311" t="str">
        <f t="shared" si="20"/>
        <v/>
      </c>
    </row>
    <row r="273" spans="1:8" ht="13.5" thickBot="1">
      <c r="A273" s="551"/>
      <c r="B273" s="326" t="str">
        <f t="shared" si="17"/>
        <v/>
      </c>
      <c r="C273" s="314"/>
      <c r="D273" s="314"/>
      <c r="E273" s="315" t="str">
        <f>IF(A273="","",VLOOKUP(A273,MAT,3,FALSE))</f>
        <v/>
      </c>
      <c r="F273" s="406"/>
      <c r="G273" s="327" t="str">
        <f>IF(A273="","",VLOOKUP(A273,MAT,5,FALSE))</f>
        <v/>
      </c>
      <c r="H273" s="311" t="str">
        <f>IF(A273="","",ROUND((G273*F273),0))</f>
        <v/>
      </c>
    </row>
    <row r="274" spans="1:8" ht="13.5" thickBot="1">
      <c r="A274" s="285"/>
      <c r="B274" s="285"/>
      <c r="C274" s="285"/>
      <c r="D274" s="285"/>
      <c r="E274" s="286"/>
      <c r="F274" s="285"/>
      <c r="G274" s="210" t="s">
        <v>529</v>
      </c>
      <c r="H274" s="328">
        <f>ROUND(SUM(H263:H273),0)</f>
        <v>433193</v>
      </c>
    </row>
    <row r="275" spans="1:8">
      <c r="A275" s="285"/>
      <c r="B275" s="285"/>
      <c r="C275" s="285"/>
      <c r="D275" s="285"/>
      <c r="E275" s="286"/>
      <c r="F275" s="285"/>
      <c r="G275" s="286"/>
      <c r="H275" s="329"/>
    </row>
    <row r="276" spans="1:8" ht="13.5" thickBot="1">
      <c r="A276" s="295" t="s">
        <v>531</v>
      </c>
      <c r="B276" s="285"/>
      <c r="C276" s="285"/>
      <c r="D276" s="285"/>
      <c r="E276" s="286"/>
      <c r="F276" s="285"/>
      <c r="G276" s="286"/>
      <c r="H276" s="330"/>
    </row>
    <row r="277" spans="1:8" ht="13.5" thickBot="1">
      <c r="A277" s="297" t="s">
        <v>527</v>
      </c>
      <c r="B277" s="2187" t="s">
        <v>532</v>
      </c>
      <c r="C277" s="2188"/>
      <c r="D277" s="331" t="s">
        <v>821</v>
      </c>
      <c r="E277" s="331" t="s">
        <v>820</v>
      </c>
      <c r="F277" s="331" t="s">
        <v>823</v>
      </c>
      <c r="G277" s="331" t="s">
        <v>963</v>
      </c>
      <c r="H277" s="416" t="s">
        <v>831</v>
      </c>
    </row>
    <row r="278" spans="1:8">
      <c r="A278" s="332" t="s">
        <v>561</v>
      </c>
      <c r="B278" s="305" t="str">
        <f>IF(A278="","",VLOOKUP(A278,MAT,2,FALSE))</f>
        <v>Arena triturada de planta, pasante 3/8"</v>
      </c>
      <c r="C278" s="333"/>
      <c r="D278" s="409" t="str">
        <f>IF(A278="","",VLOOKUP(A278,MAT,3,FALSE))</f>
        <v>m3</v>
      </c>
      <c r="E278" s="419">
        <f>IF(A278="","",VLOOKUP(A278,MAT,6,FALSE))</f>
        <v>60.5</v>
      </c>
      <c r="F278" s="413">
        <f>IF(A278="","",VLOOKUP(A278,A263:H273,6,FALSE))</f>
        <v>0.56000000000000005</v>
      </c>
      <c r="G278" s="334">
        <f>IF(A278="","",VLOOKUP(A278,MAT,7,FALSE))</f>
        <v>1500</v>
      </c>
      <c r="H278" s="311">
        <f>IF(A278="","",ROUND((G278*F278*E278),0))</f>
        <v>50820</v>
      </c>
    </row>
    <row r="279" spans="1:8">
      <c r="A279" s="335" t="s">
        <v>1629</v>
      </c>
      <c r="B279" s="305" t="str">
        <f>IF(A279="","",VLOOKUP(A279,MAT,2,FALSE))</f>
        <v>Gravilla triturada de Ø1/2".</v>
      </c>
      <c r="D279" s="410" t="str">
        <f>IF(A279="","",VLOOKUP(A279,MAT,3,FALSE))</f>
        <v>m3</v>
      </c>
      <c r="E279" s="419">
        <f>IF(A279="","",VLOOKUP(A279,MAT,6,FALSE))</f>
        <v>60.5</v>
      </c>
      <c r="F279" s="413">
        <f>IF(A279="","",VLOOKUP(A279,A263:H273,6,FALSE))</f>
        <v>0.84</v>
      </c>
      <c r="G279" s="336">
        <f>IF(A279="","",VLOOKUP(A279,MAT,7,FALSE))</f>
        <v>1500</v>
      </c>
      <c r="H279" s="311">
        <f>IF(A279="","",ROUND((G279*F279*E279),0))</f>
        <v>76230</v>
      </c>
    </row>
    <row r="280" spans="1:8" ht="13.5" thickBot="1">
      <c r="A280" s="337"/>
      <c r="B280" s="338" t="str">
        <f>IF(A280="","",VLOOKUP(A280,MAT,2,FALSE))</f>
        <v/>
      </c>
      <c r="C280" s="338"/>
      <c r="D280" s="411" t="str">
        <f>IF(A280="","",VLOOKUP(A280,MAT,3,FALSE))</f>
        <v/>
      </c>
      <c r="E280" s="412" t="str">
        <f>IF(A280="","",VLOOKUP(A280,MAT,6,FALSE))</f>
        <v/>
      </c>
      <c r="F280" s="418" t="str">
        <f>IF(A280="","",VLOOKUP(A280,$A$23:$H$33,6,FALSE))</f>
        <v/>
      </c>
      <c r="G280" s="339" t="str">
        <f>IF(A280="","",VLOOKUP(A280,MAT,7,FALSE))</f>
        <v/>
      </c>
      <c r="H280" s="417" t="str">
        <f>IF(A280="","",ROUND((G280*F280*E280),0))</f>
        <v/>
      </c>
    </row>
    <row r="281" spans="1:8" ht="13.5" thickBot="1">
      <c r="E281" s="340"/>
      <c r="F281" s="341"/>
      <c r="G281" s="414" t="s">
        <v>529</v>
      </c>
      <c r="H281" s="415">
        <f>ROUND(SUM(H278:H280),0)</f>
        <v>127050</v>
      </c>
    </row>
    <row r="282" spans="1:8">
      <c r="E282" s="340"/>
      <c r="F282" s="341"/>
      <c r="G282" s="286"/>
      <c r="H282" s="343"/>
    </row>
    <row r="283" spans="1:8" ht="13.5" thickBot="1">
      <c r="A283" s="295" t="s">
        <v>534</v>
      </c>
      <c r="B283" s="295"/>
      <c r="C283" s="295"/>
      <c r="D283" s="285"/>
      <c r="E283" s="286"/>
      <c r="F283" s="285"/>
      <c r="G283" s="285"/>
      <c r="H283" s="314"/>
    </row>
    <row r="284" spans="1:8" ht="13.5" thickBot="1">
      <c r="A284" s="297" t="s">
        <v>527</v>
      </c>
      <c r="B284" s="2189" t="s">
        <v>514</v>
      </c>
      <c r="C284" s="2190"/>
      <c r="D284" s="2191"/>
      <c r="E284" s="277" t="s">
        <v>515</v>
      </c>
      <c r="F284" s="277" t="s">
        <v>535</v>
      </c>
      <c r="G284" s="531" t="s">
        <v>944</v>
      </c>
      <c r="H284" s="416" t="s">
        <v>831</v>
      </c>
    </row>
    <row r="285" spans="1:8">
      <c r="A285" s="344" t="s">
        <v>932</v>
      </c>
      <c r="B285" s="2192" t="str">
        <f>IF(A285="","",VLOOKUP(A285,MO,2,FALSE))</f>
        <v>Cuadrilla LL: Mezclas. (1 Of. + 3 Ayud.).</v>
      </c>
      <c r="C285" s="2193"/>
      <c r="D285" s="2194"/>
      <c r="E285" s="538" t="str">
        <f>IF(A285="","",VLOOKUP(A285,MO,13,FALSE))</f>
        <v>HC</v>
      </c>
      <c r="F285" s="544">
        <v>0.56000000000000005</v>
      </c>
      <c r="G285" s="540">
        <f>IF(A285="","",VLOOKUP(A285,MO,15,FALSE))</f>
        <v>80517</v>
      </c>
      <c r="H285" s="542">
        <f>IF(A285="","",ROUND((G285/F285),0))</f>
        <v>143780</v>
      </c>
    </row>
    <row r="286" spans="1:8">
      <c r="A286" s="344"/>
      <c r="B286" s="2179" t="str">
        <f>IF(A286="","",VLOOKUP(A286,MO,2,FALSE))</f>
        <v/>
      </c>
      <c r="C286" s="2180"/>
      <c r="D286" s="2181"/>
      <c r="E286" s="538" t="str">
        <f>IF(A286="","",VLOOKUP(A286,MO,13,FALSE))</f>
        <v/>
      </c>
      <c r="F286" s="544"/>
      <c r="G286" s="540" t="str">
        <f>IF(A286="","",VLOOKUP(A286,MO,15,FALSE))</f>
        <v/>
      </c>
      <c r="H286" s="542" t="str">
        <f>IF(A286="","",ROUND((G286/F286),0))</f>
        <v/>
      </c>
    </row>
    <row r="287" spans="1:8">
      <c r="A287" s="344"/>
      <c r="B287" s="2179" t="str">
        <f>IF(A287="","",VLOOKUP(A287,MO,2,FALSE))</f>
        <v/>
      </c>
      <c r="C287" s="2180"/>
      <c r="D287" s="2181"/>
      <c r="E287" s="538" t="str">
        <f>IF(A287="","",VLOOKUP(A287,MO,13,FALSE))</f>
        <v/>
      </c>
      <c r="F287" s="544"/>
      <c r="G287" s="541" t="str">
        <f>IF(A287="","",VLOOKUP(A287,MO,15,FALSE))</f>
        <v/>
      </c>
      <c r="H287" s="542" t="str">
        <f>IF(A287="","",ROUND((G287/F287),0))</f>
        <v/>
      </c>
    </row>
    <row r="288" spans="1:8" ht="13.5" thickBot="1">
      <c r="A288" s="345"/>
      <c r="B288" s="2182" t="str">
        <f>IF(A288="","",VLOOKUP(A288,MO,2,FALSE))</f>
        <v/>
      </c>
      <c r="C288" s="2183"/>
      <c r="D288" s="2184"/>
      <c r="E288" s="539" t="str">
        <f>IF(A288="","",VLOOKUP(A288,MO,13,FALSE))</f>
        <v/>
      </c>
      <c r="F288" s="545"/>
      <c r="G288" s="377" t="str">
        <f>IF(A288="","",VLOOKUP(A288,MO,15,FALSE))</f>
        <v/>
      </c>
      <c r="H288" s="543" t="str">
        <f>IF(A288="","",ROUND((G288/F288),0))</f>
        <v/>
      </c>
    </row>
    <row r="289" spans="1:8" ht="13.5" thickBot="1">
      <c r="A289" s="285"/>
      <c r="B289" s="285"/>
      <c r="C289" s="285"/>
      <c r="D289" s="285"/>
      <c r="E289" s="286"/>
      <c r="F289" s="285"/>
      <c r="G289" s="317" t="s">
        <v>529</v>
      </c>
      <c r="H289" s="342">
        <f>ROUND(SUM(H285:H288),0)</f>
        <v>143780</v>
      </c>
    </row>
    <row r="290" spans="1:8" ht="13.5" thickBot="1">
      <c r="A290" s="285"/>
      <c r="B290" s="285"/>
      <c r="C290" s="285"/>
      <c r="D290" s="285"/>
      <c r="E290" s="286"/>
      <c r="F290" s="285"/>
      <c r="G290" s="285"/>
      <c r="H290" s="285"/>
    </row>
    <row r="291" spans="1:8" ht="13.5" thickBot="1">
      <c r="A291" s="285"/>
      <c r="B291" s="285"/>
      <c r="C291" s="285"/>
      <c r="D291" s="285"/>
      <c r="E291" s="346" t="s">
        <v>536</v>
      </c>
      <c r="F291" s="347"/>
      <c r="G291" s="347"/>
      <c r="H291" s="348">
        <f>+ROUND(H259+H274+H281+H289,0)</f>
        <v>719212</v>
      </c>
    </row>
    <row r="292" spans="1:8">
      <c r="A292" s="285"/>
      <c r="B292" s="285"/>
      <c r="C292" s="285"/>
      <c r="D292" s="285"/>
      <c r="E292" s="806" t="s">
        <v>2696</v>
      </c>
      <c r="F292" s="807">
        <v>0.3</v>
      </c>
      <c r="G292" s="807">
        <v>0.3</v>
      </c>
      <c r="H292" s="809">
        <f>H291*G292</f>
        <v>215763.6</v>
      </c>
    </row>
    <row r="293" spans="1:8">
      <c r="E293" s="806"/>
      <c r="F293" s="807"/>
      <c r="G293" s="807"/>
      <c r="H293" s="809">
        <f>SUM(H291:H292)</f>
        <v>934975.6</v>
      </c>
    </row>
    <row r="294" spans="1:8">
      <c r="A294" s="703" t="str">
        <f>+[14]PRESUPUESTO!$A$113</f>
        <v>__________________________________________</v>
      </c>
      <c r="B294" s="703"/>
    </row>
    <row r="295" spans="1:8">
      <c r="A295" s="810" t="str">
        <f>+[14]PRESUPUESTO!$A$114</f>
        <v>Ing. JHON FREDY GARCIA MENDEZ</v>
      </c>
      <c r="B295" s="703"/>
    </row>
    <row r="296" spans="1:8">
      <c r="A296" s="811" t="str">
        <f>+[14]PRESUPUESTO!$A$115</f>
        <v>M.P.  70268-326294 TLM.</v>
      </c>
      <c r="B296" s="703"/>
    </row>
    <row r="297" spans="1:8">
      <c r="A297" s="811" t="str">
        <f>+[14]PRESUPUESTO!$A$116</f>
        <v>CONSULTOR</v>
      </c>
      <c r="B297" s="703"/>
    </row>
    <row r="301" spans="1:8" ht="13.5" thickBot="1">
      <c r="B301" s="338"/>
      <c r="C301" s="338"/>
      <c r="D301" s="338"/>
      <c r="E301" s="338"/>
    </row>
    <row r="302" spans="1:8">
      <c r="A302" s="1061"/>
    </row>
    <row r="304" spans="1:8">
      <c r="A304" s="96">
        <v>1</v>
      </c>
      <c r="B304" s="2185" t="s">
        <v>948</v>
      </c>
      <c r="C304" s="2185"/>
      <c r="D304" s="2185"/>
      <c r="E304" s="2185"/>
      <c r="F304" s="289"/>
      <c r="G304" s="290" t="s">
        <v>525</v>
      </c>
      <c r="H304" s="97" t="s">
        <v>352</v>
      </c>
    </row>
    <row r="305" spans="1:8">
      <c r="A305" s="432">
        <v>1.5</v>
      </c>
      <c r="B305" s="2186" t="s">
        <v>2450</v>
      </c>
      <c r="C305" s="2186"/>
      <c r="D305" s="2186"/>
      <c r="E305" s="2186"/>
      <c r="F305" s="291"/>
      <c r="G305" s="290"/>
      <c r="H305" s="97"/>
    </row>
    <row r="306" spans="1:8">
      <c r="A306" s="96"/>
      <c r="B306" s="420"/>
      <c r="C306" s="421"/>
      <c r="D306" s="421"/>
      <c r="E306" s="421"/>
      <c r="F306" s="292"/>
      <c r="G306" s="286"/>
      <c r="H306" s="287"/>
    </row>
    <row r="307" spans="1:8">
      <c r="A307" s="97"/>
      <c r="B307" s="293"/>
      <c r="C307" s="293"/>
      <c r="D307" s="293"/>
      <c r="E307" s="293"/>
      <c r="F307" s="293"/>
      <c r="G307" s="294"/>
      <c r="H307" s="294"/>
    </row>
    <row r="308" spans="1:8" ht="13.5" thickBot="1">
      <c r="A308" s="295" t="s">
        <v>526</v>
      </c>
      <c r="B308" s="295"/>
      <c r="C308" s="285"/>
      <c r="D308" s="296"/>
      <c r="E308" s="296"/>
      <c r="F308" s="296"/>
      <c r="G308" s="296"/>
      <c r="H308" s="296"/>
    </row>
    <row r="309" spans="1:8" ht="13.5" thickBot="1">
      <c r="A309" s="297" t="s">
        <v>527</v>
      </c>
      <c r="B309" s="298"/>
      <c r="C309" s="299" t="s">
        <v>521</v>
      </c>
      <c r="D309" s="300"/>
      <c r="E309" s="301" t="s">
        <v>515</v>
      </c>
      <c r="F309" s="302" t="s">
        <v>528</v>
      </c>
      <c r="G309" s="303" t="s">
        <v>832</v>
      </c>
      <c r="H309" s="278" t="s">
        <v>831</v>
      </c>
    </row>
    <row r="310" spans="1:8">
      <c r="A310" s="304" t="s">
        <v>966</v>
      </c>
      <c r="B310" s="305" t="str">
        <f>IF(A310="","",VLOOKUP(A310,EQUI,2,FALSE))</f>
        <v>Herramienta Menor (5% de la mano de obra).</v>
      </c>
      <c r="C310" s="306"/>
      <c r="D310" s="306"/>
      <c r="E310" s="276" t="str">
        <f>IF(A310="","",VLOOKUP(A310,EQUI,3,FALSE))</f>
        <v>%</v>
      </c>
      <c r="F310" s="433">
        <f>IF(A310="","",VLOOKUP(A310,EQUI,4,FALSE))</f>
        <v>0.05</v>
      </c>
      <c r="G310" s="307">
        <f>ROUND(F310*H346,0)</f>
        <v>7189</v>
      </c>
      <c r="H310" s="308">
        <f>+G310</f>
        <v>7189</v>
      </c>
    </row>
    <row r="311" spans="1:8">
      <c r="A311" s="304" t="s">
        <v>497</v>
      </c>
      <c r="B311" s="305" t="str">
        <f>IF(A311="","",VLOOKUP(A311,EQUI,2,FALSE))</f>
        <v>Mezcladora mecánica (1.0 bultos)</v>
      </c>
      <c r="C311" s="306"/>
      <c r="D311" s="306"/>
      <c r="E311" s="276" t="str">
        <f>IF(A311="","",VLOOKUP(A311,EQUI,3))</f>
        <v>Dia</v>
      </c>
      <c r="F311" s="405">
        <v>0.1</v>
      </c>
      <c r="G311" s="310">
        <f>IF(A311="","",VLOOKUP(A311,EQUI,4))</f>
        <v>80000</v>
      </c>
      <c r="H311" s="311">
        <f>IF(A311="","",ROUND((G311*F311),0))</f>
        <v>8000</v>
      </c>
    </row>
    <row r="312" spans="1:8">
      <c r="A312" s="304"/>
      <c r="B312" s="305" t="str">
        <f>IF(A312="","",VLOOKUP(A312,EQUI,2))</f>
        <v/>
      </c>
      <c r="C312" s="306"/>
      <c r="D312" s="306"/>
      <c r="E312" s="276" t="str">
        <f>IF(A312="","",VLOOKUP(A312,EQUI,3))</f>
        <v/>
      </c>
      <c r="F312" s="405"/>
      <c r="G312" s="310" t="str">
        <f>IF(A312="","",VLOOKUP(A312,EQUI,4))</f>
        <v/>
      </c>
      <c r="H312" s="311" t="str">
        <f>IF(A312="","",ROUND((G312*F312),0))</f>
        <v/>
      </c>
    </row>
    <row r="313" spans="1:8">
      <c r="A313" s="304"/>
      <c r="B313" s="305" t="str">
        <f>IF(A313="","",VLOOKUP(A313,EQUI,2))</f>
        <v/>
      </c>
      <c r="C313" s="306"/>
      <c r="D313" s="306"/>
      <c r="E313" s="276" t="str">
        <f>IF(A313="","",VLOOKUP(A313,EQUI,3))</f>
        <v/>
      </c>
      <c r="F313" s="405"/>
      <c r="G313" s="310" t="str">
        <f>IF(A313="","",VLOOKUP(A313,EQUI,4))</f>
        <v/>
      </c>
      <c r="H313" s="311" t="str">
        <f>IF(A313="","",ROUND((G313*F313),0))</f>
        <v/>
      </c>
    </row>
    <row r="314" spans="1:8">
      <c r="A314" s="304"/>
      <c r="B314" s="305" t="str">
        <f>IF(A314="","",VLOOKUP(A314,EQUI,2))</f>
        <v/>
      </c>
      <c r="C314" s="306"/>
      <c r="D314" s="306"/>
      <c r="E314" s="276" t="str">
        <f>IF(A314="","",VLOOKUP(A314,EQUI,3))</f>
        <v/>
      </c>
      <c r="F314" s="405"/>
      <c r="G314" s="310" t="str">
        <f>IF(A314="","",VLOOKUP(A314,EQUI,4))</f>
        <v/>
      </c>
      <c r="H314" s="311" t="str">
        <f>IF(A314="","",ROUND((G314*F314),0))</f>
        <v/>
      </c>
    </row>
    <row r="315" spans="1:8" ht="13.5" thickBot="1">
      <c r="A315" s="312"/>
      <c r="B315" s="313" t="str">
        <f>IF(A315="","",VLOOKUP(A315,EQUI,2))</f>
        <v/>
      </c>
      <c r="C315" s="313"/>
      <c r="D315" s="314"/>
      <c r="E315" s="315" t="str">
        <f>IF(A315="","",VLOOKUP(A315,EQUI,3))</f>
        <v/>
      </c>
      <c r="F315" s="408"/>
      <c r="G315" s="316" t="str">
        <f>IF(A315="","",VLOOKUP(A315,EQUI,4))</f>
        <v/>
      </c>
      <c r="H315" s="311" t="str">
        <f>IF(A315="","",ROUND((G315*F315),0))</f>
        <v/>
      </c>
    </row>
    <row r="316" spans="1:8" ht="13.5" thickBot="1">
      <c r="A316" s="285"/>
      <c r="B316" s="285"/>
      <c r="C316" s="285"/>
      <c r="D316" s="285"/>
      <c r="E316" s="286"/>
      <c r="F316" s="285"/>
      <c r="G316" s="317" t="s">
        <v>529</v>
      </c>
      <c r="H316" s="318">
        <f>ROUND(SUM(H310:H315),0)</f>
        <v>15189</v>
      </c>
    </row>
    <row r="317" spans="1:8">
      <c r="A317" s="285"/>
      <c r="B317" s="285"/>
      <c r="C317" s="285"/>
      <c r="D317" s="285"/>
      <c r="E317" s="286"/>
      <c r="F317" s="285"/>
      <c r="G317" s="286"/>
      <c r="H317" s="319"/>
    </row>
    <row r="318" spans="1:8" ht="13.5" thickBot="1">
      <c r="A318" s="295" t="s">
        <v>530</v>
      </c>
      <c r="B318" s="295"/>
      <c r="C318" s="295"/>
      <c r="D318" s="295"/>
      <c r="E318" s="320"/>
      <c r="F318" s="314"/>
      <c r="G318" s="314"/>
      <c r="H318" s="314"/>
    </row>
    <row r="319" spans="1:8" ht="13.5" thickBot="1">
      <c r="A319" s="297" t="s">
        <v>527</v>
      </c>
      <c r="B319" s="298"/>
      <c r="C319" s="299" t="s">
        <v>521</v>
      </c>
      <c r="D319" s="299"/>
      <c r="E319" s="321" t="s">
        <v>515</v>
      </c>
      <c r="F319" s="322" t="s">
        <v>7</v>
      </c>
      <c r="G319" s="303" t="s">
        <v>832</v>
      </c>
      <c r="H319" s="278" t="s">
        <v>831</v>
      </c>
    </row>
    <row r="320" spans="1:8">
      <c r="A320" s="549" t="s">
        <v>134</v>
      </c>
      <c r="B320" s="353" t="str">
        <f t="shared" ref="B320:B330" si="21">IF(A320="","",VLOOKUP(A320,MAT,2,FALSE))</f>
        <v>Agua</v>
      </c>
      <c r="C320" s="305"/>
      <c r="D320" s="306"/>
      <c r="E320" s="276" t="str">
        <f>IF(A320="","",VLOOKUP(A320,MAT,3,FALSE))</f>
        <v>Lt</v>
      </c>
      <c r="F320" s="405">
        <v>180</v>
      </c>
      <c r="G320" s="310">
        <f>IF(A320="","",VLOOKUP(A320,MAT,5,FALSE))</f>
        <v>20</v>
      </c>
      <c r="H320" s="311">
        <f>IF(A320="","",ROUND((G320*F320),0))</f>
        <v>3600</v>
      </c>
    </row>
    <row r="321" spans="1:8">
      <c r="A321" s="550" t="s">
        <v>561</v>
      </c>
      <c r="B321" s="353" t="str">
        <f t="shared" si="21"/>
        <v>Arena triturada de planta, pasante 3/8"</v>
      </c>
      <c r="C321" s="305"/>
      <c r="D321" s="306"/>
      <c r="E321" s="276" t="str">
        <f>IF(A321="","",VLOOKUP(A321,MAT,3,FALSE))</f>
        <v>m3</v>
      </c>
      <c r="F321" s="405">
        <v>0.56000000000000005</v>
      </c>
      <c r="G321" s="310">
        <f>IF(A321="","",VLOOKUP(A321,MAT,5,FALSE))</f>
        <v>122570</v>
      </c>
      <c r="H321" s="311">
        <f>IF(A321="","",ROUND((G321*F321),0))</f>
        <v>68639</v>
      </c>
    </row>
    <row r="322" spans="1:8">
      <c r="A322" s="550" t="s">
        <v>1629</v>
      </c>
      <c r="B322" s="353" t="str">
        <f t="shared" si="21"/>
        <v>Gravilla triturada de Ø1/2".</v>
      </c>
      <c r="C322" s="305"/>
      <c r="D322" s="306"/>
      <c r="E322" s="276" t="str">
        <f>IF(A322="","",VLOOKUP(A322,MAT,3,FALSE))</f>
        <v>m3</v>
      </c>
      <c r="F322" s="405">
        <v>0.84</v>
      </c>
      <c r="G322" s="310">
        <f>IF(A322="","",VLOOKUP(A322,MAT,5,FALSE))</f>
        <v>138040</v>
      </c>
      <c r="H322" s="311">
        <f>IF(A322="","",ROUND((G322*F322),0))</f>
        <v>115954</v>
      </c>
    </row>
    <row r="323" spans="1:8">
      <c r="A323" s="550" t="s">
        <v>576</v>
      </c>
      <c r="B323" s="305" t="str">
        <f t="shared" si="21"/>
        <v>Cemento gris tipo Portland.</v>
      </c>
      <c r="C323" s="305"/>
      <c r="D323" s="306"/>
      <c r="E323" s="276" t="str">
        <f t="shared" ref="E323:E329" si="22">IF(A323="","",VLOOKUP(A323,MAT,3,FALSE))</f>
        <v>Kg.</v>
      </c>
      <c r="F323" s="405">
        <v>350</v>
      </c>
      <c r="G323" s="310">
        <f t="shared" ref="G323:G329" si="23">IF(A323="","",VLOOKUP(A323,MAT,5,FALSE))</f>
        <v>700</v>
      </c>
      <c r="H323" s="311">
        <f t="shared" ref="H323:H329" si="24">IF(A323="","",ROUND((G323*F323),0))</f>
        <v>245000</v>
      </c>
    </row>
    <row r="324" spans="1:8">
      <c r="A324" s="1042" t="s">
        <v>1671</v>
      </c>
      <c r="B324" s="305" t="str">
        <f t="shared" si="21"/>
        <v>Impermeabilizante para concretos, plastocrete o silimar.</v>
      </c>
      <c r="C324" s="305"/>
      <c r="D324" s="306"/>
      <c r="E324" s="276" t="str">
        <f t="shared" si="22"/>
        <v>kg</v>
      </c>
      <c r="F324" s="405">
        <v>1.75</v>
      </c>
      <c r="G324" s="310">
        <f t="shared" si="23"/>
        <v>24962</v>
      </c>
      <c r="H324" s="311">
        <f t="shared" si="24"/>
        <v>43684</v>
      </c>
    </row>
    <row r="325" spans="1:8">
      <c r="A325" s="550"/>
      <c r="B325" s="305" t="str">
        <f t="shared" si="21"/>
        <v/>
      </c>
      <c r="C325" s="305"/>
      <c r="D325" s="306"/>
      <c r="E325" s="276" t="str">
        <f t="shared" si="22"/>
        <v/>
      </c>
      <c r="F325" s="405"/>
      <c r="G325" s="310" t="str">
        <f t="shared" si="23"/>
        <v/>
      </c>
      <c r="H325" s="311" t="str">
        <f t="shared" si="24"/>
        <v/>
      </c>
    </row>
    <row r="326" spans="1:8">
      <c r="A326" s="550"/>
      <c r="B326" s="305" t="str">
        <f t="shared" si="21"/>
        <v/>
      </c>
      <c r="C326" s="305"/>
      <c r="D326" s="306"/>
      <c r="E326" s="276" t="str">
        <f t="shared" si="22"/>
        <v/>
      </c>
      <c r="F326" s="405"/>
      <c r="G326" s="310" t="str">
        <f t="shared" si="23"/>
        <v/>
      </c>
      <c r="H326" s="311" t="str">
        <f t="shared" si="24"/>
        <v/>
      </c>
    </row>
    <row r="327" spans="1:8">
      <c r="A327" s="550"/>
      <c r="B327" s="305" t="str">
        <f t="shared" si="21"/>
        <v/>
      </c>
      <c r="C327" s="305"/>
      <c r="D327" s="306"/>
      <c r="E327" s="276" t="str">
        <f t="shared" si="22"/>
        <v/>
      </c>
      <c r="F327" s="405"/>
      <c r="G327" s="310" t="str">
        <f t="shared" si="23"/>
        <v/>
      </c>
      <c r="H327" s="311" t="str">
        <f t="shared" si="24"/>
        <v/>
      </c>
    </row>
    <row r="328" spans="1:8">
      <c r="A328" s="550"/>
      <c r="B328" s="305" t="str">
        <f t="shared" si="21"/>
        <v/>
      </c>
      <c r="C328" s="305"/>
      <c r="D328" s="306"/>
      <c r="E328" s="276" t="str">
        <f t="shared" si="22"/>
        <v/>
      </c>
      <c r="F328" s="405"/>
      <c r="G328" s="310" t="str">
        <f t="shared" si="23"/>
        <v/>
      </c>
      <c r="H328" s="311" t="str">
        <f t="shared" si="24"/>
        <v/>
      </c>
    </row>
    <row r="329" spans="1:8">
      <c r="A329" s="550"/>
      <c r="B329" s="305" t="str">
        <f t="shared" si="21"/>
        <v/>
      </c>
      <c r="C329" s="305"/>
      <c r="D329" s="306"/>
      <c r="E329" s="276" t="str">
        <f t="shared" si="22"/>
        <v/>
      </c>
      <c r="F329" s="405"/>
      <c r="G329" s="310" t="str">
        <f t="shared" si="23"/>
        <v/>
      </c>
      <c r="H329" s="311" t="str">
        <f t="shared" si="24"/>
        <v/>
      </c>
    </row>
    <row r="330" spans="1:8" ht="13.5" thickBot="1">
      <c r="A330" s="551"/>
      <c r="B330" s="326" t="str">
        <f t="shared" si="21"/>
        <v/>
      </c>
      <c r="C330" s="314"/>
      <c r="D330" s="314"/>
      <c r="E330" s="315" t="str">
        <f>IF(A330="","",VLOOKUP(A330,MAT,3,FALSE))</f>
        <v/>
      </c>
      <c r="F330" s="406"/>
      <c r="G330" s="327" t="str">
        <f>IF(A330="","",VLOOKUP(A330,MAT,5,FALSE))</f>
        <v/>
      </c>
      <c r="H330" s="311" t="str">
        <f>IF(A330="","",ROUND((G330*F330),0))</f>
        <v/>
      </c>
    </row>
    <row r="331" spans="1:8" ht="13.5" thickBot="1">
      <c r="A331" s="285"/>
      <c r="B331" s="285"/>
      <c r="C331" s="285"/>
      <c r="D331" s="285"/>
      <c r="E331" s="286"/>
      <c r="F331" s="285"/>
      <c r="G331" s="210" t="s">
        <v>529</v>
      </c>
      <c r="H331" s="328">
        <f>ROUND(SUM(H320:H330),0)</f>
        <v>476877</v>
      </c>
    </row>
    <row r="332" spans="1:8">
      <c r="A332" s="285"/>
      <c r="B332" s="285"/>
      <c r="C332" s="285"/>
      <c r="D332" s="285"/>
      <c r="E332" s="286"/>
      <c r="F332" s="285"/>
      <c r="G332" s="286"/>
      <c r="H332" s="329"/>
    </row>
    <row r="333" spans="1:8" ht="13.5" thickBot="1">
      <c r="A333" s="295" t="s">
        <v>531</v>
      </c>
      <c r="B333" s="285"/>
      <c r="C333" s="285"/>
      <c r="D333" s="285"/>
      <c r="E333" s="286"/>
      <c r="F333" s="285"/>
      <c r="G333" s="286"/>
      <c r="H333" s="330"/>
    </row>
    <row r="334" spans="1:8" ht="13.5" thickBot="1">
      <c r="A334" s="297" t="s">
        <v>527</v>
      </c>
      <c r="B334" s="2187" t="s">
        <v>532</v>
      </c>
      <c r="C334" s="2188"/>
      <c r="D334" s="331" t="s">
        <v>821</v>
      </c>
      <c r="E334" s="331" t="s">
        <v>820</v>
      </c>
      <c r="F334" s="331" t="s">
        <v>823</v>
      </c>
      <c r="G334" s="331" t="s">
        <v>963</v>
      </c>
      <c r="H334" s="416" t="s">
        <v>831</v>
      </c>
    </row>
    <row r="335" spans="1:8">
      <c r="A335" s="332" t="s">
        <v>561</v>
      </c>
      <c r="B335" s="305" t="str">
        <f>IF(A335="","",VLOOKUP(A335,MAT,2,FALSE))</f>
        <v>Arena triturada de planta, pasante 3/8"</v>
      </c>
      <c r="C335" s="333"/>
      <c r="D335" s="409" t="str">
        <f>IF(A335="","",VLOOKUP(A335,MAT,3,FALSE))</f>
        <v>m3</v>
      </c>
      <c r="E335" s="419">
        <f>IF(A335="","",VLOOKUP(A335,MAT,6,FALSE))</f>
        <v>60.5</v>
      </c>
      <c r="F335" s="413">
        <f>IF(A335="","",VLOOKUP(A335,A320:H330,6,FALSE))</f>
        <v>0.56000000000000005</v>
      </c>
      <c r="G335" s="334">
        <f>IF(A335="","",VLOOKUP(A335,MAT,7,FALSE))</f>
        <v>1500</v>
      </c>
      <c r="H335" s="311">
        <f>IF(A335="","",ROUND((G335*F335*E335),0))</f>
        <v>50820</v>
      </c>
    </row>
    <row r="336" spans="1:8">
      <c r="A336" s="335" t="s">
        <v>1629</v>
      </c>
      <c r="B336" s="305" t="str">
        <f>IF(A336="","",VLOOKUP(A336,MAT,2,FALSE))</f>
        <v>Gravilla triturada de Ø1/2".</v>
      </c>
      <c r="D336" s="410" t="str">
        <f>IF(A336="","",VLOOKUP(A336,MAT,3,FALSE))</f>
        <v>m3</v>
      </c>
      <c r="E336" s="419">
        <f>IF(A336="","",VLOOKUP(A336,MAT,6,FALSE))</f>
        <v>60.5</v>
      </c>
      <c r="F336" s="413">
        <f>IF(A336="","",VLOOKUP(A336,A320:H330,6,FALSE))</f>
        <v>0.84</v>
      </c>
      <c r="G336" s="336">
        <f>IF(A336="","",VLOOKUP(A336,MAT,7,FALSE))</f>
        <v>1500</v>
      </c>
      <c r="H336" s="311">
        <f>IF(A336="","",ROUND((G336*F336*E336),0))</f>
        <v>76230</v>
      </c>
    </row>
    <row r="337" spans="1:8" ht="13.5" thickBot="1">
      <c r="A337" s="337"/>
      <c r="B337" s="338" t="str">
        <f>IF(A337="","",VLOOKUP(A337,MAT,2,FALSE))</f>
        <v/>
      </c>
      <c r="C337" s="338"/>
      <c r="D337" s="411" t="str">
        <f>IF(A337="","",VLOOKUP(A337,MAT,3,FALSE))</f>
        <v/>
      </c>
      <c r="E337" s="412" t="str">
        <f>IF(A337="","",VLOOKUP(A337,MAT,6,FALSE))</f>
        <v/>
      </c>
      <c r="F337" s="418" t="str">
        <f>IF(A337="","",VLOOKUP(A337,$A$23:$H$33,6,FALSE))</f>
        <v/>
      </c>
      <c r="G337" s="339" t="str">
        <f>IF(A337="","",VLOOKUP(A337,MAT,7,FALSE))</f>
        <v/>
      </c>
      <c r="H337" s="417" t="str">
        <f>IF(A337="","",ROUND((G337*F337*E337),0))</f>
        <v/>
      </c>
    </row>
    <row r="338" spans="1:8" ht="13.5" thickBot="1">
      <c r="E338" s="340"/>
      <c r="F338" s="341"/>
      <c r="G338" s="414" t="s">
        <v>529</v>
      </c>
      <c r="H338" s="415">
        <f>ROUND(SUM(H335:H337),0)</f>
        <v>127050</v>
      </c>
    </row>
    <row r="339" spans="1:8">
      <c r="E339" s="340"/>
      <c r="F339" s="341"/>
      <c r="G339" s="286"/>
      <c r="H339" s="343"/>
    </row>
    <row r="340" spans="1:8" ht="13.5" thickBot="1">
      <c r="A340" s="295" t="s">
        <v>534</v>
      </c>
      <c r="B340" s="295"/>
      <c r="C340" s="295"/>
      <c r="D340" s="285"/>
      <c r="E340" s="286"/>
      <c r="F340" s="285"/>
      <c r="G340" s="285"/>
      <c r="H340" s="314"/>
    </row>
    <row r="341" spans="1:8" ht="13.5" thickBot="1">
      <c r="A341" s="297" t="s">
        <v>527</v>
      </c>
      <c r="B341" s="2189" t="s">
        <v>514</v>
      </c>
      <c r="C341" s="2190"/>
      <c r="D341" s="2191"/>
      <c r="E341" s="277" t="s">
        <v>515</v>
      </c>
      <c r="F341" s="277" t="s">
        <v>535</v>
      </c>
      <c r="G341" s="531" t="s">
        <v>944</v>
      </c>
      <c r="H341" s="416" t="s">
        <v>831</v>
      </c>
    </row>
    <row r="342" spans="1:8">
      <c r="A342" s="344" t="s">
        <v>932</v>
      </c>
      <c r="B342" s="2192" t="str">
        <f>IF(A342="","",VLOOKUP(A342,MO,2,FALSE))</f>
        <v>Cuadrilla LL: Mezclas. (1 Of. + 3 Ayud.).</v>
      </c>
      <c r="C342" s="2193"/>
      <c r="D342" s="2194"/>
      <c r="E342" s="538" t="str">
        <f>IF(A342="","",VLOOKUP(A342,MO,13,FALSE))</f>
        <v>HC</v>
      </c>
      <c r="F342" s="544">
        <v>0.56000000000000005</v>
      </c>
      <c r="G342" s="540">
        <f>IF(A342="","",VLOOKUP(A342,MO,15,FALSE))</f>
        <v>80517</v>
      </c>
      <c r="H342" s="542">
        <f>IF(A342="","",ROUND((G342/F342),0))</f>
        <v>143780</v>
      </c>
    </row>
    <row r="343" spans="1:8">
      <c r="A343" s="344"/>
      <c r="B343" s="2179" t="str">
        <f>IF(A343="","",VLOOKUP(A343,MO,2,FALSE))</f>
        <v/>
      </c>
      <c r="C343" s="2180"/>
      <c r="D343" s="2181"/>
      <c r="E343" s="538" t="str">
        <f>IF(A343="","",VLOOKUP(A343,MO,13,FALSE))</f>
        <v/>
      </c>
      <c r="F343" s="544"/>
      <c r="G343" s="540" t="str">
        <f>IF(A343="","",VLOOKUP(A343,MO,15,FALSE))</f>
        <v/>
      </c>
      <c r="H343" s="542" t="str">
        <f>IF(A343="","",ROUND((G343/F343),0))</f>
        <v/>
      </c>
    </row>
    <row r="344" spans="1:8">
      <c r="A344" s="344"/>
      <c r="B344" s="2179" t="str">
        <f>IF(A344="","",VLOOKUP(A344,MO,2,FALSE))</f>
        <v/>
      </c>
      <c r="C344" s="2180"/>
      <c r="D344" s="2181"/>
      <c r="E344" s="538" t="str">
        <f>IF(A344="","",VLOOKUP(A344,MO,13,FALSE))</f>
        <v/>
      </c>
      <c r="F344" s="544"/>
      <c r="G344" s="541" t="str">
        <f>IF(A344="","",VLOOKUP(A344,MO,15,FALSE))</f>
        <v/>
      </c>
      <c r="H344" s="542" t="str">
        <f>IF(A344="","",ROUND((G344/F344),0))</f>
        <v/>
      </c>
    </row>
    <row r="345" spans="1:8" ht="13.5" thickBot="1">
      <c r="A345" s="345"/>
      <c r="B345" s="2182" t="str">
        <f>IF(A345="","",VLOOKUP(A345,MO,2,FALSE))</f>
        <v/>
      </c>
      <c r="C345" s="2183"/>
      <c r="D345" s="2184"/>
      <c r="E345" s="539" t="str">
        <f>IF(A345="","",VLOOKUP(A345,MO,13,FALSE))</f>
        <v/>
      </c>
      <c r="F345" s="545"/>
      <c r="G345" s="377" t="str">
        <f>IF(A345="","",VLOOKUP(A345,MO,15,FALSE))</f>
        <v/>
      </c>
      <c r="H345" s="543" t="str">
        <f>IF(A345="","",ROUND((G345/F345),0))</f>
        <v/>
      </c>
    </row>
    <row r="346" spans="1:8" ht="13.5" thickBot="1">
      <c r="A346" s="285"/>
      <c r="B346" s="285"/>
      <c r="C346" s="285"/>
      <c r="D346" s="285"/>
      <c r="E346" s="286"/>
      <c r="F346" s="285"/>
      <c r="G346" s="317" t="s">
        <v>529</v>
      </c>
      <c r="H346" s="342">
        <f>ROUND(SUM(H342:H345),0)</f>
        <v>143780</v>
      </c>
    </row>
    <row r="347" spans="1:8" ht="13.5" thickBot="1">
      <c r="A347" s="285"/>
      <c r="B347" s="285"/>
      <c r="C347" s="285"/>
      <c r="D347" s="285"/>
      <c r="E347" s="286"/>
      <c r="F347" s="285"/>
      <c r="G347" s="285"/>
      <c r="H347" s="285"/>
    </row>
    <row r="348" spans="1:8" ht="13.5" thickBot="1">
      <c r="A348" s="285"/>
      <c r="B348" s="285"/>
      <c r="C348" s="285"/>
      <c r="D348" s="285"/>
      <c r="E348" s="346" t="s">
        <v>536</v>
      </c>
      <c r="F348" s="347"/>
      <c r="G348" s="347"/>
      <c r="H348" s="348">
        <f>+ROUND(H316+H331+H338+H346,0)</f>
        <v>762896</v>
      </c>
    </row>
    <row r="349" spans="1:8">
      <c r="A349" s="285"/>
      <c r="B349" s="285"/>
      <c r="C349" s="285"/>
      <c r="D349" s="285"/>
      <c r="E349" s="806" t="s">
        <v>2696</v>
      </c>
      <c r="F349" s="807">
        <v>0.3</v>
      </c>
      <c r="G349" s="807">
        <v>0.3</v>
      </c>
      <c r="H349" s="809">
        <f>H348*G349</f>
        <v>228868.8</v>
      </c>
    </row>
    <row r="350" spans="1:8">
      <c r="A350" s="285"/>
      <c r="B350" s="285"/>
      <c r="C350" s="285"/>
      <c r="D350" s="285"/>
      <c r="E350" s="806"/>
      <c r="F350" s="807"/>
      <c r="G350" s="807"/>
      <c r="H350" s="809">
        <f>SUM(H348:H349)</f>
        <v>991764.8</v>
      </c>
    </row>
    <row r="351" spans="1:8">
      <c r="A351" s="285"/>
      <c r="B351" s="285"/>
      <c r="C351" s="285"/>
      <c r="D351" s="285"/>
      <c r="E351" s="346"/>
      <c r="F351" s="347"/>
      <c r="G351" s="347"/>
      <c r="H351" s="349"/>
    </row>
    <row r="352" spans="1:8">
      <c r="A352" s="285"/>
      <c r="B352" s="285"/>
      <c r="C352" s="285"/>
      <c r="D352" s="285"/>
      <c r="E352" s="346"/>
      <c r="F352" s="347"/>
      <c r="G352" s="347"/>
      <c r="H352" s="349"/>
    </row>
    <row r="353" spans="1:8">
      <c r="A353" s="285"/>
      <c r="B353" s="285"/>
      <c r="C353" s="285"/>
      <c r="D353" s="285"/>
      <c r="E353" s="346"/>
      <c r="F353" s="347"/>
      <c r="G353" s="347"/>
      <c r="H353" s="349"/>
    </row>
    <row r="354" spans="1:8">
      <c r="A354" s="285"/>
      <c r="B354" s="285"/>
      <c r="C354" s="285"/>
      <c r="D354" s="285"/>
      <c r="E354" s="346"/>
      <c r="F354" s="347"/>
      <c r="G354" s="347"/>
      <c r="H354" s="349"/>
    </row>
    <row r="355" spans="1:8">
      <c r="A355" s="285"/>
      <c r="B355" s="285"/>
      <c r="C355" s="285"/>
      <c r="D355" s="285"/>
      <c r="E355" s="346"/>
      <c r="F355" s="347"/>
      <c r="G355" s="347"/>
      <c r="H355" s="349"/>
    </row>
    <row r="357" spans="1:8">
      <c r="A357" s="703" t="str">
        <f>+[14]PRESUPUESTO!$A$113</f>
        <v>__________________________________________</v>
      </c>
      <c r="B357" s="703"/>
    </row>
    <row r="358" spans="1:8">
      <c r="A358" s="810" t="str">
        <f>+[14]PRESUPUESTO!$A$114</f>
        <v>Ing. JHON FREDY GARCIA MENDEZ</v>
      </c>
      <c r="B358" s="703"/>
    </row>
    <row r="359" spans="1:8">
      <c r="A359" s="811" t="str">
        <f>+[14]PRESUPUESTO!$A$115</f>
        <v>M.P.  70268-326294 TLM.</v>
      </c>
      <c r="B359" s="703"/>
    </row>
    <row r="360" spans="1:8">
      <c r="A360" s="811" t="str">
        <f>+[14]PRESUPUESTO!$A$116</f>
        <v>CONSULTOR</v>
      </c>
      <c r="B360" s="703"/>
    </row>
    <row r="362" spans="1:8" ht="13.5" thickBot="1"/>
    <row r="363" spans="1:8">
      <c r="A363" s="284"/>
      <c r="B363" s="2195"/>
      <c r="C363" s="2196"/>
      <c r="D363" s="2196"/>
      <c r="E363" s="284"/>
      <c r="F363" s="285"/>
      <c r="G363" s="286"/>
      <c r="H363" s="287"/>
    </row>
    <row r="364" spans="1:8">
      <c r="A364" s="96">
        <v>1</v>
      </c>
      <c r="B364" s="2185" t="s">
        <v>948</v>
      </c>
      <c r="C364" s="2185"/>
      <c r="D364" s="2185"/>
      <c r="E364" s="2185"/>
      <c r="F364" s="289"/>
      <c r="G364" s="290" t="s">
        <v>525</v>
      </c>
      <c r="H364" s="97" t="s">
        <v>352</v>
      </c>
    </row>
    <row r="365" spans="1:8">
      <c r="A365" s="432">
        <v>1.5</v>
      </c>
      <c r="B365" s="2186" t="s">
        <v>946</v>
      </c>
      <c r="C365" s="2186"/>
      <c r="D365" s="2186"/>
      <c r="E365" s="2186"/>
      <c r="F365" s="291"/>
      <c r="G365" s="290"/>
      <c r="H365" s="97"/>
    </row>
    <row r="366" spans="1:8">
      <c r="A366" s="96"/>
      <c r="B366" s="420"/>
      <c r="C366" s="421"/>
      <c r="D366" s="421"/>
      <c r="E366" s="421"/>
      <c r="F366" s="292"/>
      <c r="G366" s="286"/>
      <c r="H366" s="287"/>
    </row>
    <row r="367" spans="1:8">
      <c r="A367" s="97"/>
      <c r="B367" s="293"/>
      <c r="C367" s="293"/>
      <c r="D367" s="293"/>
      <c r="E367" s="293"/>
      <c r="F367" s="293"/>
      <c r="G367" s="294"/>
      <c r="H367" s="294"/>
    </row>
    <row r="368" spans="1:8" ht="13.5" thickBot="1">
      <c r="A368" s="295" t="s">
        <v>526</v>
      </c>
      <c r="B368" s="295"/>
      <c r="C368" s="285"/>
      <c r="D368" s="296"/>
      <c r="E368" s="296"/>
      <c r="F368" s="296"/>
      <c r="G368" s="296"/>
      <c r="H368" s="296"/>
    </row>
    <row r="369" spans="1:8" ht="13.5" thickBot="1">
      <c r="A369" s="297" t="s">
        <v>527</v>
      </c>
      <c r="B369" s="298"/>
      <c r="C369" s="299" t="s">
        <v>521</v>
      </c>
      <c r="D369" s="300"/>
      <c r="E369" s="301" t="s">
        <v>515</v>
      </c>
      <c r="F369" s="302" t="s">
        <v>528</v>
      </c>
      <c r="G369" s="303" t="s">
        <v>832</v>
      </c>
      <c r="H369" s="278" t="s">
        <v>831</v>
      </c>
    </row>
    <row r="370" spans="1:8">
      <c r="A370" s="304" t="s">
        <v>966</v>
      </c>
      <c r="B370" s="305" t="str">
        <f>IF(A370="","",VLOOKUP(A370,EQUI,2,FALSE))</f>
        <v>Herramienta Menor (5% de la mano de obra).</v>
      </c>
      <c r="C370" s="306"/>
      <c r="D370" s="306"/>
      <c r="E370" s="276" t="str">
        <f>IF(A370="","",VLOOKUP(A370,EQUI,3,FALSE))</f>
        <v>%</v>
      </c>
      <c r="F370" s="433">
        <f>IF(A370="","",VLOOKUP(A370,EQUI,4,FALSE))</f>
        <v>0.05</v>
      </c>
      <c r="G370" s="307">
        <f>ROUND(F370*H406,0)</f>
        <v>7189</v>
      </c>
      <c r="H370" s="308">
        <f>+G370</f>
        <v>7189</v>
      </c>
    </row>
    <row r="371" spans="1:8">
      <c r="A371" s="304" t="s">
        <v>497</v>
      </c>
      <c r="B371" s="305" t="str">
        <f>IF(A371="","",VLOOKUP(A371,EQUI,2,FALSE))</f>
        <v>Mezcladora mecánica (1.0 bultos)</v>
      </c>
      <c r="C371" s="306"/>
      <c r="D371" s="306"/>
      <c r="E371" s="276" t="str">
        <f>IF(A371="","",VLOOKUP(A371,EQUI,3))</f>
        <v>Dia</v>
      </c>
      <c r="F371" s="405">
        <v>0.1</v>
      </c>
      <c r="G371" s="310">
        <f>IF(A371="","",VLOOKUP(A371,EQUI,4))</f>
        <v>80000</v>
      </c>
      <c r="H371" s="311">
        <f>IF(A371="","",ROUND((G371*F371),0))</f>
        <v>8000</v>
      </c>
    </row>
    <row r="372" spans="1:8">
      <c r="A372" s="304"/>
      <c r="B372" s="305" t="str">
        <f>IF(A372="","",VLOOKUP(A372,EQUI,2))</f>
        <v/>
      </c>
      <c r="C372" s="306"/>
      <c r="D372" s="306"/>
      <c r="E372" s="276" t="str">
        <f>IF(A372="","",VLOOKUP(A372,EQUI,3))</f>
        <v/>
      </c>
      <c r="F372" s="405"/>
      <c r="G372" s="310" t="str">
        <f>IF(A372="","",VLOOKUP(A372,EQUI,4))</f>
        <v/>
      </c>
      <c r="H372" s="311" t="str">
        <f>IF(A372="","",ROUND((G372*F372),0))</f>
        <v/>
      </c>
    </row>
    <row r="373" spans="1:8">
      <c r="A373" s="304"/>
      <c r="B373" s="305" t="str">
        <f>IF(A373="","",VLOOKUP(A373,EQUI,2))</f>
        <v/>
      </c>
      <c r="C373" s="306"/>
      <c r="D373" s="306"/>
      <c r="E373" s="276" t="str">
        <f>IF(A373="","",VLOOKUP(A373,EQUI,3))</f>
        <v/>
      </c>
      <c r="F373" s="405"/>
      <c r="G373" s="310" t="str">
        <f>IF(A373="","",VLOOKUP(A373,EQUI,4))</f>
        <v/>
      </c>
      <c r="H373" s="311" t="str">
        <f>IF(A373="","",ROUND((G373*F373),0))</f>
        <v/>
      </c>
    </row>
    <row r="374" spans="1:8">
      <c r="A374" s="304"/>
      <c r="B374" s="305" t="str">
        <f>IF(A374="","",VLOOKUP(A374,EQUI,2))</f>
        <v/>
      </c>
      <c r="C374" s="306"/>
      <c r="D374" s="306"/>
      <c r="E374" s="276" t="str">
        <f>IF(A374="","",VLOOKUP(A374,EQUI,3))</f>
        <v/>
      </c>
      <c r="F374" s="405"/>
      <c r="G374" s="310" t="str">
        <f>IF(A374="","",VLOOKUP(A374,EQUI,4))</f>
        <v/>
      </c>
      <c r="H374" s="311" t="str">
        <f>IF(A374="","",ROUND((G374*F374),0))</f>
        <v/>
      </c>
    </row>
    <row r="375" spans="1:8" ht="13.5" thickBot="1">
      <c r="A375" s="312"/>
      <c r="B375" s="313" t="str">
        <f>IF(A375="","",VLOOKUP(A375,EQUI,2))</f>
        <v/>
      </c>
      <c r="C375" s="313"/>
      <c r="D375" s="314"/>
      <c r="E375" s="315" t="str">
        <f>IF(A375="","",VLOOKUP(A375,EQUI,3))</f>
        <v/>
      </c>
      <c r="F375" s="408"/>
      <c r="G375" s="316" t="str">
        <f>IF(A375="","",VLOOKUP(A375,EQUI,4))</f>
        <v/>
      </c>
      <c r="H375" s="311" t="str">
        <f>IF(A375="","",ROUND((G375*F375),0))</f>
        <v/>
      </c>
    </row>
    <row r="376" spans="1:8" ht="13.5" thickBot="1">
      <c r="A376" s="285"/>
      <c r="B376" s="285"/>
      <c r="C376" s="285"/>
      <c r="D376" s="285"/>
      <c r="E376" s="286"/>
      <c r="F376" s="285"/>
      <c r="G376" s="317" t="s">
        <v>529</v>
      </c>
      <c r="H376" s="318">
        <f>ROUND(SUM(H370:H375),0)</f>
        <v>15189</v>
      </c>
    </row>
    <row r="377" spans="1:8">
      <c r="A377" s="285"/>
      <c r="B377" s="285"/>
      <c r="C377" s="285"/>
      <c r="D377" s="285"/>
      <c r="E377" s="286"/>
      <c r="F377" s="285"/>
      <c r="G377" s="286"/>
      <c r="H377" s="319"/>
    </row>
    <row r="378" spans="1:8" ht="13.5" thickBot="1">
      <c r="A378" s="295" t="s">
        <v>530</v>
      </c>
      <c r="B378" s="295"/>
      <c r="C378" s="295"/>
      <c r="D378" s="295"/>
      <c r="E378" s="320"/>
      <c r="F378" s="314"/>
      <c r="G378" s="314"/>
      <c r="H378" s="314"/>
    </row>
    <row r="379" spans="1:8" ht="13.5" thickBot="1">
      <c r="A379" s="297" t="s">
        <v>527</v>
      </c>
      <c r="B379" s="298"/>
      <c r="C379" s="299" t="s">
        <v>521</v>
      </c>
      <c r="D379" s="299"/>
      <c r="E379" s="321" t="s">
        <v>515</v>
      </c>
      <c r="F379" s="322" t="s">
        <v>7</v>
      </c>
      <c r="G379" s="303" t="s">
        <v>832</v>
      </c>
      <c r="H379" s="278" t="s">
        <v>831</v>
      </c>
    </row>
    <row r="380" spans="1:8">
      <c r="A380" s="323" t="s">
        <v>134</v>
      </c>
      <c r="B380" s="353" t="str">
        <f t="shared" ref="B380:B390" si="25">IF(A380="","",VLOOKUP(A380,MAT,2,FALSE))</f>
        <v>Agua</v>
      </c>
      <c r="C380" s="305"/>
      <c r="D380" s="306"/>
      <c r="E380" s="276" t="str">
        <f>IF(A380="","",VLOOKUP(A380,MAT,3,FALSE))</f>
        <v>Lt</v>
      </c>
      <c r="F380" s="405">
        <v>190</v>
      </c>
      <c r="G380" s="310">
        <f>IF(A380="","",VLOOKUP(A380,MAT,5,FALSE))</f>
        <v>20</v>
      </c>
      <c r="H380" s="311">
        <f>IF(A380="","",ROUND((G380*F380),0))</f>
        <v>3800</v>
      </c>
    </row>
    <row r="381" spans="1:8">
      <c r="A381" s="324" t="s">
        <v>561</v>
      </c>
      <c r="B381" s="353" t="str">
        <f t="shared" si="25"/>
        <v>Arena triturada de planta, pasante 3/8"</v>
      </c>
      <c r="C381" s="305"/>
      <c r="D381" s="306"/>
      <c r="E381" s="276" t="str">
        <f>IF(A381="","",VLOOKUP(A381,MAT,3,FALSE))</f>
        <v>m3</v>
      </c>
      <c r="F381" s="405">
        <v>0.67</v>
      </c>
      <c r="G381" s="310">
        <f>IF(A381="","",VLOOKUP(A381,MAT,5,FALSE))</f>
        <v>122570</v>
      </c>
      <c r="H381" s="311">
        <f>IF(A381="","",ROUND((G381*F381),0))</f>
        <v>82122</v>
      </c>
    </row>
    <row r="382" spans="1:8">
      <c r="A382" s="324" t="s">
        <v>1629</v>
      </c>
      <c r="B382" s="353" t="str">
        <f t="shared" si="25"/>
        <v>Gravilla triturada de Ø1/2".</v>
      </c>
      <c r="C382" s="305"/>
      <c r="D382" s="306"/>
      <c r="E382" s="276" t="str">
        <f>IF(A382="","",VLOOKUP(A382,MAT,3,FALSE))</f>
        <v>m3</v>
      </c>
      <c r="F382" s="405">
        <v>0.67</v>
      </c>
      <c r="G382" s="310">
        <f>IF(A382="","",VLOOKUP(A382,MAT,5,FALSE))</f>
        <v>138040</v>
      </c>
      <c r="H382" s="311">
        <f>IF(A382="","",ROUND((G382*F382),0))</f>
        <v>92487</v>
      </c>
    </row>
    <row r="383" spans="1:8">
      <c r="A383" s="324" t="s">
        <v>576</v>
      </c>
      <c r="B383" s="305" t="str">
        <f t="shared" si="25"/>
        <v>Cemento gris tipo Portland.</v>
      </c>
      <c r="C383" s="305"/>
      <c r="D383" s="306"/>
      <c r="E383" s="276" t="str">
        <f t="shared" ref="E383:E389" si="26">IF(A383="","",VLOOKUP(A383,MAT,3,FALSE))</f>
        <v>Kg.</v>
      </c>
      <c r="F383" s="405">
        <v>420</v>
      </c>
      <c r="G383" s="310">
        <f t="shared" ref="G383:G389" si="27">IF(A383="","",VLOOKUP(A383,MAT,5,FALSE))</f>
        <v>700</v>
      </c>
      <c r="H383" s="311">
        <f t="shared" ref="H383:H389" si="28">IF(A383="","",ROUND((G383*F383),0))</f>
        <v>294000</v>
      </c>
    </row>
    <row r="384" spans="1:8">
      <c r="A384" s="324"/>
      <c r="B384" s="305" t="str">
        <f t="shared" si="25"/>
        <v/>
      </c>
      <c r="C384" s="305"/>
      <c r="D384" s="306"/>
      <c r="E384" s="276" t="str">
        <f t="shared" si="26"/>
        <v/>
      </c>
      <c r="F384" s="405"/>
      <c r="G384" s="310" t="str">
        <f t="shared" si="27"/>
        <v/>
      </c>
      <c r="H384" s="311" t="str">
        <f t="shared" si="28"/>
        <v/>
      </c>
    </row>
    <row r="385" spans="1:8">
      <c r="A385" s="324"/>
      <c r="B385" s="305" t="str">
        <f t="shared" si="25"/>
        <v/>
      </c>
      <c r="C385" s="305"/>
      <c r="D385" s="306"/>
      <c r="E385" s="276" t="str">
        <f t="shared" si="26"/>
        <v/>
      </c>
      <c r="F385" s="405"/>
      <c r="G385" s="310" t="str">
        <f t="shared" si="27"/>
        <v/>
      </c>
      <c r="H385" s="311" t="str">
        <f t="shared" si="28"/>
        <v/>
      </c>
    </row>
    <row r="386" spans="1:8">
      <c r="A386" s="324"/>
      <c r="B386" s="305" t="str">
        <f t="shared" si="25"/>
        <v/>
      </c>
      <c r="C386" s="305"/>
      <c r="D386" s="306"/>
      <c r="E386" s="276" t="str">
        <f t="shared" si="26"/>
        <v/>
      </c>
      <c r="F386" s="405"/>
      <c r="G386" s="310" t="str">
        <f t="shared" si="27"/>
        <v/>
      </c>
      <c r="H386" s="311" t="str">
        <f t="shared" si="28"/>
        <v/>
      </c>
    </row>
    <row r="387" spans="1:8">
      <c r="A387" s="324"/>
      <c r="B387" s="305" t="str">
        <f t="shared" si="25"/>
        <v/>
      </c>
      <c r="C387" s="305"/>
      <c r="D387" s="306"/>
      <c r="E387" s="276" t="str">
        <f t="shared" si="26"/>
        <v/>
      </c>
      <c r="F387" s="405"/>
      <c r="G387" s="310" t="str">
        <f t="shared" si="27"/>
        <v/>
      </c>
      <c r="H387" s="311" t="str">
        <f t="shared" si="28"/>
        <v/>
      </c>
    </row>
    <row r="388" spans="1:8">
      <c r="A388" s="324"/>
      <c r="B388" s="305" t="str">
        <f t="shared" si="25"/>
        <v/>
      </c>
      <c r="C388" s="305"/>
      <c r="D388" s="306"/>
      <c r="E388" s="276" t="str">
        <f t="shared" si="26"/>
        <v/>
      </c>
      <c r="F388" s="405"/>
      <c r="G388" s="310" t="str">
        <f t="shared" si="27"/>
        <v/>
      </c>
      <c r="H388" s="311" t="str">
        <f t="shared" si="28"/>
        <v/>
      </c>
    </row>
    <row r="389" spans="1:8">
      <c r="A389" s="324"/>
      <c r="B389" s="305" t="str">
        <f t="shared" si="25"/>
        <v/>
      </c>
      <c r="C389" s="305"/>
      <c r="D389" s="306"/>
      <c r="E389" s="276" t="str">
        <f t="shared" si="26"/>
        <v/>
      </c>
      <c r="F389" s="405"/>
      <c r="G389" s="310" t="str">
        <f t="shared" si="27"/>
        <v/>
      </c>
      <c r="H389" s="311" t="str">
        <f t="shared" si="28"/>
        <v/>
      </c>
    </row>
    <row r="390" spans="1:8" ht="13.5" thickBot="1">
      <c r="A390" s="325"/>
      <c r="B390" s="326" t="str">
        <f t="shared" si="25"/>
        <v/>
      </c>
      <c r="C390" s="314"/>
      <c r="D390" s="314"/>
      <c r="E390" s="315" t="str">
        <f>IF(A390="","",VLOOKUP(A390,MAT,3,FALSE))</f>
        <v/>
      </c>
      <c r="F390" s="406"/>
      <c r="G390" s="327" t="str">
        <f>IF(A390="","",VLOOKUP(A390,MAT,5,FALSE))</f>
        <v/>
      </c>
      <c r="H390" s="311" t="str">
        <f>IF(A390="","",ROUND((G390*F390),0))</f>
        <v/>
      </c>
    </row>
    <row r="391" spans="1:8" ht="13.5" thickBot="1">
      <c r="A391" s="285"/>
      <c r="B391" s="285"/>
      <c r="C391" s="285"/>
      <c r="D391" s="285"/>
      <c r="E391" s="286"/>
      <c r="F391" s="285"/>
      <c r="G391" s="210" t="s">
        <v>529</v>
      </c>
      <c r="H391" s="328">
        <f>ROUND(SUM(H380:H390),0)</f>
        <v>472409</v>
      </c>
    </row>
    <row r="392" spans="1:8">
      <c r="A392" s="285"/>
      <c r="B392" s="285"/>
      <c r="C392" s="285"/>
      <c r="D392" s="285"/>
      <c r="E392" s="286"/>
      <c r="F392" s="285"/>
      <c r="G392" s="286"/>
      <c r="H392" s="329"/>
    </row>
    <row r="393" spans="1:8" ht="13.5" thickBot="1">
      <c r="A393" s="295" t="s">
        <v>531</v>
      </c>
      <c r="B393" s="285"/>
      <c r="C393" s="285"/>
      <c r="D393" s="285"/>
      <c r="E393" s="286"/>
      <c r="F393" s="285"/>
      <c r="G393" s="286"/>
      <c r="H393" s="330"/>
    </row>
    <row r="394" spans="1:8" ht="13.5" thickBot="1">
      <c r="A394" s="297" t="s">
        <v>527</v>
      </c>
      <c r="B394" s="2187" t="s">
        <v>532</v>
      </c>
      <c r="C394" s="2188"/>
      <c r="D394" s="331" t="s">
        <v>821</v>
      </c>
      <c r="E394" s="331" t="s">
        <v>820</v>
      </c>
      <c r="F394" s="331" t="s">
        <v>823</v>
      </c>
      <c r="G394" s="331" t="s">
        <v>963</v>
      </c>
      <c r="H394" s="416" t="s">
        <v>831</v>
      </c>
    </row>
    <row r="395" spans="1:8">
      <c r="A395" s="332" t="s">
        <v>561</v>
      </c>
      <c r="B395" s="305" t="str">
        <f>IF(A395="","",VLOOKUP(A395,MAT,2,FALSE))</f>
        <v>Arena triturada de planta, pasante 3/8"</v>
      </c>
      <c r="C395" s="333"/>
      <c r="D395" s="409" t="str">
        <f>IF(A395="","",VLOOKUP(A395,MAT,3,FALSE))</f>
        <v>m3</v>
      </c>
      <c r="E395" s="419">
        <f>IF(A395="","",VLOOKUP(A395,MAT,6,FALSE))</f>
        <v>60.5</v>
      </c>
      <c r="F395" s="413">
        <f>IF(A395="","",VLOOKUP(A395,A380:H390,6,FALSE))</f>
        <v>0.67</v>
      </c>
      <c r="G395" s="334">
        <f>IF(A395="","",VLOOKUP(A395,MAT,7,FALSE))</f>
        <v>1500</v>
      </c>
      <c r="H395" s="311">
        <f>IF(A395="","",ROUND((G395*F395*E395),0))</f>
        <v>60803</v>
      </c>
    </row>
    <row r="396" spans="1:8">
      <c r="A396" s="335" t="s">
        <v>1629</v>
      </c>
      <c r="B396" s="305" t="str">
        <f>IF(A396="","",VLOOKUP(A396,MAT,2,FALSE))</f>
        <v>Gravilla triturada de Ø1/2".</v>
      </c>
      <c r="D396" s="410" t="str">
        <f>IF(A396="","",VLOOKUP(A396,MAT,3,FALSE))</f>
        <v>m3</v>
      </c>
      <c r="E396" s="419">
        <f>IF(A396="","",VLOOKUP(A396,MAT,6,FALSE))</f>
        <v>60.5</v>
      </c>
      <c r="F396" s="413">
        <f>IF(A396="","",VLOOKUP(A396,A380:H390,6,FALSE))</f>
        <v>0.67</v>
      </c>
      <c r="G396" s="336">
        <f>IF(A396="","",VLOOKUP(A396,MAT,7,FALSE))</f>
        <v>1500</v>
      </c>
      <c r="H396" s="311">
        <f>IF(A396="","",ROUND((G396*F396*E396),0))</f>
        <v>60803</v>
      </c>
    </row>
    <row r="397" spans="1:8" ht="13.5" thickBot="1">
      <c r="A397" s="337"/>
      <c r="B397" s="338" t="str">
        <f>IF(A397="","",VLOOKUP(A397,MAT,2,FALSE))</f>
        <v/>
      </c>
      <c r="C397" s="338"/>
      <c r="D397" s="411" t="str">
        <f>IF(A397="","",VLOOKUP(A397,MAT,3,FALSE))</f>
        <v/>
      </c>
      <c r="E397" s="412" t="str">
        <f>IF(A397="","",VLOOKUP(A397,MAT,6,FALSE))</f>
        <v/>
      </c>
      <c r="F397" s="418" t="str">
        <f>IF(A397="","",VLOOKUP(A397,$A$23:$H$33,6,FALSE))</f>
        <v/>
      </c>
      <c r="G397" s="339" t="str">
        <f>IF(A397="","",VLOOKUP(A397,MAT,7,FALSE))</f>
        <v/>
      </c>
      <c r="H397" s="417" t="str">
        <f>IF(A397="","",ROUND((G397*F397*E397),0))</f>
        <v/>
      </c>
    </row>
    <row r="398" spans="1:8" ht="13.5" thickBot="1">
      <c r="E398" s="340"/>
      <c r="F398" s="341"/>
      <c r="G398" s="414" t="s">
        <v>529</v>
      </c>
      <c r="H398" s="415">
        <f>ROUND(SUM(H395:H397),0)</f>
        <v>121606</v>
      </c>
    </row>
    <row r="399" spans="1:8">
      <c r="E399" s="340"/>
      <c r="F399" s="341"/>
      <c r="G399" s="286"/>
      <c r="H399" s="343"/>
    </row>
    <row r="400" spans="1:8" ht="13.5" thickBot="1">
      <c r="A400" s="295" t="s">
        <v>534</v>
      </c>
      <c r="B400" s="295"/>
      <c r="C400" s="295"/>
      <c r="D400" s="285"/>
      <c r="E400" s="286"/>
      <c r="F400" s="285"/>
      <c r="G400" s="285"/>
      <c r="H400" s="314"/>
    </row>
    <row r="401" spans="1:8" ht="13.5" thickBot="1">
      <c r="A401" s="297" t="s">
        <v>527</v>
      </c>
      <c r="B401" s="2189" t="s">
        <v>514</v>
      </c>
      <c r="C401" s="2190"/>
      <c r="D401" s="2191"/>
      <c r="E401" s="277" t="s">
        <v>515</v>
      </c>
      <c r="F401" s="277" t="s">
        <v>535</v>
      </c>
      <c r="G401" s="531" t="s">
        <v>944</v>
      </c>
      <c r="H401" s="416" t="s">
        <v>831</v>
      </c>
    </row>
    <row r="402" spans="1:8">
      <c r="A402" s="344" t="s">
        <v>932</v>
      </c>
      <c r="B402" s="2192" t="str">
        <f>IF(A402="","",VLOOKUP(A402,MO,2,FALSE))</f>
        <v>Cuadrilla LL: Mezclas. (1 Of. + 3 Ayud.).</v>
      </c>
      <c r="C402" s="2193"/>
      <c r="D402" s="2194"/>
      <c r="E402" s="538" t="str">
        <f>IF(A402="","",VLOOKUP(A402,MO,13,FALSE))</f>
        <v>HC</v>
      </c>
      <c r="F402" s="544">
        <v>0.56000000000000005</v>
      </c>
      <c r="G402" s="540">
        <f>IF(A402="","",VLOOKUP(A402,MO,15,FALSE))</f>
        <v>80517</v>
      </c>
      <c r="H402" s="542">
        <f>IF(A402="","",ROUND((G402/F402),0))</f>
        <v>143780</v>
      </c>
    </row>
    <row r="403" spans="1:8">
      <c r="A403" s="344"/>
      <c r="B403" s="2179" t="str">
        <f>IF(A403="","",VLOOKUP(A403,MO,2,FALSE))</f>
        <v/>
      </c>
      <c r="C403" s="2180"/>
      <c r="D403" s="2181"/>
      <c r="E403" s="538" t="str">
        <f>IF(A403="","",VLOOKUP(A403,MO,13,FALSE))</f>
        <v/>
      </c>
      <c r="F403" s="544"/>
      <c r="G403" s="540" t="str">
        <f>IF(A403="","",VLOOKUP(A403,MO,15,FALSE))</f>
        <v/>
      </c>
      <c r="H403" s="542" t="str">
        <f>IF(A403="","",ROUND((G403/F403),0))</f>
        <v/>
      </c>
    </row>
    <row r="404" spans="1:8">
      <c r="A404" s="344"/>
      <c r="B404" s="2179" t="str">
        <f>IF(A404="","",VLOOKUP(A404,MO,2,FALSE))</f>
        <v/>
      </c>
      <c r="C404" s="2180"/>
      <c r="D404" s="2181"/>
      <c r="E404" s="538" t="str">
        <f>IF(A404="","",VLOOKUP(A404,MO,13,FALSE))</f>
        <v/>
      </c>
      <c r="F404" s="544"/>
      <c r="G404" s="541" t="str">
        <f>IF(A404="","",VLOOKUP(A404,MO,15,FALSE))</f>
        <v/>
      </c>
      <c r="H404" s="542" t="str">
        <f>IF(A404="","",ROUND((G404/F404),0))</f>
        <v/>
      </c>
    </row>
    <row r="405" spans="1:8" ht="13.5" thickBot="1">
      <c r="A405" s="345"/>
      <c r="B405" s="2182" t="str">
        <f>IF(A405="","",VLOOKUP(A405,MO,2,FALSE))</f>
        <v/>
      </c>
      <c r="C405" s="2183"/>
      <c r="D405" s="2184"/>
      <c r="E405" s="539" t="str">
        <f>IF(A405="","",VLOOKUP(A405,MO,13,FALSE))</f>
        <v/>
      </c>
      <c r="F405" s="545"/>
      <c r="G405" s="377" t="str">
        <f>IF(A405="","",VLOOKUP(A405,MO,15,FALSE))</f>
        <v/>
      </c>
      <c r="H405" s="543" t="str">
        <f>IF(A405="","",ROUND((G405/F405),0))</f>
        <v/>
      </c>
    </row>
    <row r="406" spans="1:8" ht="13.5" thickBot="1">
      <c r="A406" s="285"/>
      <c r="B406" s="285"/>
      <c r="C406" s="285"/>
      <c r="D406" s="285"/>
      <c r="E406" s="286"/>
      <c r="F406" s="285"/>
      <c r="G406" s="317" t="s">
        <v>529</v>
      </c>
      <c r="H406" s="342">
        <f>ROUND(SUM(H402:H405),0)</f>
        <v>143780</v>
      </c>
    </row>
    <row r="407" spans="1:8" ht="13.5" thickBot="1">
      <c r="A407" s="285"/>
      <c r="B407" s="285"/>
      <c r="C407" s="285"/>
      <c r="D407" s="285"/>
      <c r="E407" s="286"/>
      <c r="F407" s="285"/>
      <c r="G407" s="285"/>
      <c r="H407" s="285"/>
    </row>
    <row r="408" spans="1:8" ht="13.5" thickBot="1">
      <c r="A408" s="285"/>
      <c r="B408" s="285"/>
      <c r="C408" s="285"/>
      <c r="D408" s="285"/>
      <c r="E408" s="346" t="s">
        <v>536</v>
      </c>
      <c r="F408" s="347"/>
      <c r="G408" s="347"/>
      <c r="H408" s="348">
        <f>+ROUND(H376+H391+H398+H406,0)</f>
        <v>752984</v>
      </c>
    </row>
    <row r="409" spans="1:8">
      <c r="A409" s="285"/>
      <c r="B409" s="285"/>
      <c r="C409" s="285"/>
      <c r="D409" s="285"/>
      <c r="E409" s="806" t="s">
        <v>2696</v>
      </c>
      <c r="F409" s="807">
        <v>0.3</v>
      </c>
      <c r="G409" s="807">
        <v>0.3</v>
      </c>
      <c r="H409" s="809">
        <f>H408*G409</f>
        <v>225895.19999999998</v>
      </c>
    </row>
    <row r="410" spans="1:8">
      <c r="E410" s="806"/>
      <c r="F410" s="807"/>
      <c r="G410" s="807"/>
      <c r="H410" s="809">
        <f>SUM(H408:H409)</f>
        <v>978879.2</v>
      </c>
    </row>
    <row r="411" spans="1:8">
      <c r="A411" s="703" t="str">
        <f>+[14]PRESUPUESTO!$A$113</f>
        <v>__________________________________________</v>
      </c>
      <c r="B411" s="703"/>
    </row>
    <row r="412" spans="1:8">
      <c r="A412" s="810" t="str">
        <f>+[14]PRESUPUESTO!$A$114</f>
        <v>Ing. JHON FREDY GARCIA MENDEZ</v>
      </c>
      <c r="B412" s="703"/>
    </row>
    <row r="413" spans="1:8">
      <c r="A413" s="811" t="str">
        <f>+[14]PRESUPUESTO!$A$115</f>
        <v>M.P.  70268-326294 TLM.</v>
      </c>
      <c r="B413" s="703"/>
    </row>
    <row r="414" spans="1:8">
      <c r="A414" s="811" t="str">
        <f>+[14]PRESUPUESTO!$A$116</f>
        <v>CONSULTOR</v>
      </c>
      <c r="B414" s="703"/>
    </row>
    <row r="430" spans="1:8" ht="13.5" thickBot="1"/>
    <row r="431" spans="1:8">
      <c r="A431" s="284"/>
      <c r="B431" s="2195"/>
      <c r="C431" s="2196"/>
      <c r="D431" s="2196"/>
      <c r="E431" s="284"/>
      <c r="F431" s="285"/>
      <c r="G431" s="286"/>
      <c r="H431" s="287"/>
    </row>
    <row r="432" spans="1:8">
      <c r="A432" s="96">
        <v>1</v>
      </c>
      <c r="B432" s="2185" t="s">
        <v>948</v>
      </c>
      <c r="C432" s="2185"/>
      <c r="D432" s="2185"/>
      <c r="E432" s="2185"/>
      <c r="F432" s="289"/>
      <c r="G432" s="290" t="s">
        <v>525</v>
      </c>
      <c r="H432" s="97" t="s">
        <v>352</v>
      </c>
    </row>
    <row r="433" spans="1:8">
      <c r="A433" s="432">
        <v>1.6</v>
      </c>
      <c r="B433" s="2186" t="s">
        <v>542</v>
      </c>
      <c r="C433" s="2186"/>
      <c r="D433" s="2186"/>
      <c r="E433" s="2186"/>
      <c r="F433" s="291"/>
      <c r="G433" s="290"/>
      <c r="H433" s="97"/>
    </row>
    <row r="434" spans="1:8">
      <c r="A434" s="96"/>
      <c r="B434" s="420"/>
      <c r="C434" s="421"/>
      <c r="D434" s="421"/>
      <c r="E434" s="421"/>
      <c r="F434" s="292"/>
      <c r="G434" s="286"/>
      <c r="H434" s="287"/>
    </row>
    <row r="435" spans="1:8">
      <c r="A435" s="97"/>
      <c r="B435" s="293"/>
      <c r="C435" s="293"/>
      <c r="D435" s="293"/>
      <c r="E435" s="293"/>
      <c r="F435" s="293"/>
      <c r="G435" s="294"/>
      <c r="H435" s="294"/>
    </row>
    <row r="436" spans="1:8" ht="13.5" thickBot="1">
      <c r="A436" s="295" t="s">
        <v>526</v>
      </c>
      <c r="B436" s="295"/>
      <c r="C436" s="285"/>
      <c r="D436" s="296"/>
      <c r="E436" s="296"/>
      <c r="F436" s="296"/>
      <c r="G436" s="296"/>
      <c r="H436" s="296"/>
    </row>
    <row r="437" spans="1:8" ht="13.5" thickBot="1">
      <c r="A437" s="297" t="s">
        <v>527</v>
      </c>
      <c r="B437" s="298"/>
      <c r="C437" s="299" t="s">
        <v>521</v>
      </c>
      <c r="D437" s="300"/>
      <c r="E437" s="301" t="s">
        <v>515</v>
      </c>
      <c r="F437" s="302" t="s">
        <v>528</v>
      </c>
      <c r="G437" s="303" t="s">
        <v>832</v>
      </c>
      <c r="H437" s="278" t="s">
        <v>831</v>
      </c>
    </row>
    <row r="438" spans="1:8">
      <c r="A438" s="304" t="s">
        <v>966</v>
      </c>
      <c r="B438" s="305" t="str">
        <f>IF(A438="","",VLOOKUP(A438,EQUI,2,FALSE))</f>
        <v>Herramienta Menor (5% de la mano de obra).</v>
      </c>
      <c r="C438" s="306"/>
      <c r="D438" s="306"/>
      <c r="E438" s="276" t="str">
        <f>IF(A438="","",VLOOKUP(A438,EQUI,3,FALSE))</f>
        <v>%</v>
      </c>
      <c r="F438" s="433">
        <f>IF(A438="","",VLOOKUP(A438,EQUI,4,FALSE))</f>
        <v>0.05</v>
      </c>
      <c r="G438" s="307">
        <f>ROUND(F438*H474,0)</f>
        <v>7189</v>
      </c>
      <c r="H438" s="308">
        <f>+G438</f>
        <v>7189</v>
      </c>
    </row>
    <row r="439" spans="1:8">
      <c r="A439" s="304" t="s">
        <v>497</v>
      </c>
      <c r="B439" s="305" t="str">
        <f>IF(A439="","",VLOOKUP(A439,EQUI,2,FALSE))</f>
        <v>Mezcladora mecánica (1.0 bultos)</v>
      </c>
      <c r="C439" s="306"/>
      <c r="D439" s="306"/>
      <c r="E439" s="276" t="str">
        <f>IF(A439="","",VLOOKUP(A439,EQUI,3))</f>
        <v>Dia</v>
      </c>
      <c r="F439" s="405">
        <v>0.1</v>
      </c>
      <c r="G439" s="310">
        <f>IF(A439="","",VLOOKUP(A439,EQUI,4))</f>
        <v>80000</v>
      </c>
      <c r="H439" s="311">
        <f>IF(A439="","",ROUND((G439*F439),0))</f>
        <v>8000</v>
      </c>
    </row>
    <row r="440" spans="1:8">
      <c r="A440" s="304"/>
      <c r="B440" s="305" t="str">
        <f>IF(A440="","",VLOOKUP(A440,EQUI,2))</f>
        <v/>
      </c>
      <c r="C440" s="306"/>
      <c r="D440" s="306"/>
      <c r="E440" s="276" t="str">
        <f>IF(A440="","",VLOOKUP(A440,EQUI,3))</f>
        <v/>
      </c>
      <c r="F440" s="405"/>
      <c r="G440" s="310" t="str">
        <f>IF(A440="","",VLOOKUP(A440,EQUI,4))</f>
        <v/>
      </c>
      <c r="H440" s="311" t="str">
        <f>IF(A440="","",ROUND((G440*F440),0))</f>
        <v/>
      </c>
    </row>
    <row r="441" spans="1:8">
      <c r="A441" s="304"/>
      <c r="B441" s="305" t="str">
        <f>IF(A441="","",VLOOKUP(A441,EQUI,2))</f>
        <v/>
      </c>
      <c r="C441" s="306"/>
      <c r="D441" s="306"/>
      <c r="E441" s="276" t="str">
        <f>IF(A441="","",VLOOKUP(A441,EQUI,3))</f>
        <v/>
      </c>
      <c r="F441" s="405"/>
      <c r="G441" s="310" t="str">
        <f>IF(A441="","",VLOOKUP(A441,EQUI,4))</f>
        <v/>
      </c>
      <c r="H441" s="311" t="str">
        <f>IF(A441="","",ROUND((G441*F441),0))</f>
        <v/>
      </c>
    </row>
    <row r="442" spans="1:8">
      <c r="A442" s="304"/>
      <c r="B442" s="305" t="str">
        <f>IF(A442="","",VLOOKUP(A442,EQUI,2))</f>
        <v/>
      </c>
      <c r="C442" s="306"/>
      <c r="D442" s="306"/>
      <c r="E442" s="276" t="str">
        <f>IF(A442="","",VLOOKUP(A442,EQUI,3))</f>
        <v/>
      </c>
      <c r="F442" s="405"/>
      <c r="G442" s="310" t="str">
        <f>IF(A442="","",VLOOKUP(A442,EQUI,4))</f>
        <v/>
      </c>
      <c r="H442" s="311" t="str">
        <f>IF(A442="","",ROUND((G442*F442),0))</f>
        <v/>
      </c>
    </row>
    <row r="443" spans="1:8" ht="13.5" thickBot="1">
      <c r="A443" s="312"/>
      <c r="B443" s="313" t="str">
        <f>IF(A443="","",VLOOKUP(A443,EQUI,2))</f>
        <v/>
      </c>
      <c r="C443" s="313"/>
      <c r="D443" s="314"/>
      <c r="E443" s="315" t="str">
        <f>IF(A443="","",VLOOKUP(A443,EQUI,3))</f>
        <v/>
      </c>
      <c r="F443" s="408"/>
      <c r="G443" s="316" t="str">
        <f>IF(A443="","",VLOOKUP(A443,EQUI,4))</f>
        <v/>
      </c>
      <c r="H443" s="311" t="str">
        <f>IF(A443="","",ROUND((G443*F443),0))</f>
        <v/>
      </c>
    </row>
    <row r="444" spans="1:8" ht="13.5" thickBot="1">
      <c r="A444" s="285"/>
      <c r="B444" s="285"/>
      <c r="C444" s="285"/>
      <c r="D444" s="285"/>
      <c r="E444" s="286"/>
      <c r="F444" s="285"/>
      <c r="G444" s="317" t="s">
        <v>529</v>
      </c>
      <c r="H444" s="318">
        <f>ROUND(SUM(H438:H443),0)</f>
        <v>15189</v>
      </c>
    </row>
    <row r="445" spans="1:8">
      <c r="A445" s="285"/>
      <c r="B445" s="285"/>
      <c r="C445" s="285"/>
      <c r="D445" s="285"/>
      <c r="E445" s="286"/>
      <c r="F445" s="285"/>
      <c r="G445" s="286"/>
      <c r="H445" s="319"/>
    </row>
    <row r="446" spans="1:8" ht="13.5" thickBot="1">
      <c r="A446" s="295" t="s">
        <v>530</v>
      </c>
      <c r="B446" s="295"/>
      <c r="C446" s="295"/>
      <c r="D446" s="295"/>
      <c r="E446" s="320"/>
      <c r="F446" s="314"/>
      <c r="G446" s="314"/>
      <c r="H446" s="314"/>
    </row>
    <row r="447" spans="1:8" ht="13.5" thickBot="1">
      <c r="A447" s="297" t="s">
        <v>527</v>
      </c>
      <c r="B447" s="298"/>
      <c r="C447" s="299" t="s">
        <v>521</v>
      </c>
      <c r="D447" s="299"/>
      <c r="E447" s="321" t="s">
        <v>515</v>
      </c>
      <c r="F447" s="322" t="s">
        <v>7</v>
      </c>
      <c r="G447" s="303" t="s">
        <v>832</v>
      </c>
      <c r="H447" s="278" t="s">
        <v>831</v>
      </c>
    </row>
    <row r="448" spans="1:8">
      <c r="A448" s="323" t="s">
        <v>134</v>
      </c>
      <c r="B448" s="353" t="str">
        <f t="shared" ref="B448:B458" si="29">IF(A448="","",VLOOKUP(A448,MAT,2,FALSE))</f>
        <v>Agua</v>
      </c>
      <c r="C448" s="305"/>
      <c r="D448" s="306"/>
      <c r="E448" s="276" t="str">
        <f>IF(A448="","",VLOOKUP(A448,MAT,3,FALSE))</f>
        <v>Lt</v>
      </c>
      <c r="F448" s="405">
        <v>190</v>
      </c>
      <c r="G448" s="310">
        <f>IF(A448="","",VLOOKUP(A448,MAT,5,FALSE))</f>
        <v>20</v>
      </c>
      <c r="H448" s="311">
        <f>IF(A448="","",ROUND((G448*F448),0))</f>
        <v>3800</v>
      </c>
    </row>
    <row r="449" spans="1:8">
      <c r="A449" s="324" t="s">
        <v>561</v>
      </c>
      <c r="B449" s="353" t="str">
        <f t="shared" si="29"/>
        <v>Arena triturada de planta, pasante 3/8"</v>
      </c>
      <c r="C449" s="305"/>
      <c r="D449" s="306"/>
      <c r="E449" s="276" t="str">
        <f>IF(A449="","",VLOOKUP(A449,MAT,3,FALSE))</f>
        <v>m3</v>
      </c>
      <c r="F449" s="405">
        <v>0.67</v>
      </c>
      <c r="G449" s="310">
        <f>IF(A449="","",VLOOKUP(A449,MAT,5,FALSE))</f>
        <v>122570</v>
      </c>
      <c r="H449" s="311">
        <f>IF(A449="","",ROUND((G449*F449),0))</f>
        <v>82122</v>
      </c>
    </row>
    <row r="450" spans="1:8">
      <c r="A450" s="324" t="s">
        <v>1629</v>
      </c>
      <c r="B450" s="353" t="str">
        <f t="shared" si="29"/>
        <v>Gravilla triturada de Ø1/2".</v>
      </c>
      <c r="C450" s="305"/>
      <c r="D450" s="306"/>
      <c r="E450" s="276" t="str">
        <f>IF(A450="","",VLOOKUP(A450,MAT,3,FALSE))</f>
        <v>m3</v>
      </c>
      <c r="F450" s="405">
        <v>0.67</v>
      </c>
      <c r="G450" s="310">
        <f>IF(A450="","",VLOOKUP(A450,MAT,5,FALSE))</f>
        <v>138040</v>
      </c>
      <c r="H450" s="311">
        <f>IF(A450="","",ROUND((G450*F450),0))</f>
        <v>92487</v>
      </c>
    </row>
    <row r="451" spans="1:8">
      <c r="A451" s="324" t="s">
        <v>576</v>
      </c>
      <c r="B451" s="305" t="str">
        <f t="shared" si="29"/>
        <v>Cemento gris tipo Portland.</v>
      </c>
      <c r="C451" s="305"/>
      <c r="D451" s="306"/>
      <c r="E451" s="276" t="str">
        <f t="shared" ref="E451:E457" si="30">IF(A451="","",VLOOKUP(A451,MAT,3,FALSE))</f>
        <v>Kg.</v>
      </c>
      <c r="F451" s="405">
        <v>450</v>
      </c>
      <c r="G451" s="310">
        <f t="shared" ref="G451:G457" si="31">IF(A451="","",VLOOKUP(A451,MAT,5,FALSE))</f>
        <v>700</v>
      </c>
      <c r="H451" s="311">
        <f t="shared" ref="H451:H457" si="32">IF(A451="","",ROUND((G451*F451),0))</f>
        <v>315000</v>
      </c>
    </row>
    <row r="452" spans="1:8">
      <c r="A452" s="324"/>
      <c r="B452" s="305" t="str">
        <f t="shared" si="29"/>
        <v/>
      </c>
      <c r="C452" s="305"/>
      <c r="D452" s="306"/>
      <c r="E452" s="276" t="str">
        <f t="shared" si="30"/>
        <v/>
      </c>
      <c r="F452" s="405"/>
      <c r="G452" s="310" t="str">
        <f t="shared" si="31"/>
        <v/>
      </c>
      <c r="H452" s="311" t="str">
        <f t="shared" si="32"/>
        <v/>
      </c>
    </row>
    <row r="453" spans="1:8">
      <c r="A453" s="324"/>
      <c r="B453" s="305" t="str">
        <f t="shared" si="29"/>
        <v/>
      </c>
      <c r="C453" s="305"/>
      <c r="D453" s="306"/>
      <c r="E453" s="276" t="str">
        <f t="shared" si="30"/>
        <v/>
      </c>
      <c r="F453" s="405"/>
      <c r="G453" s="310" t="str">
        <f t="shared" si="31"/>
        <v/>
      </c>
      <c r="H453" s="311" t="str">
        <f t="shared" si="32"/>
        <v/>
      </c>
    </row>
    <row r="454" spans="1:8">
      <c r="A454" s="324"/>
      <c r="B454" s="305" t="str">
        <f t="shared" si="29"/>
        <v/>
      </c>
      <c r="C454" s="305"/>
      <c r="D454" s="306"/>
      <c r="E454" s="276" t="str">
        <f t="shared" si="30"/>
        <v/>
      </c>
      <c r="F454" s="405"/>
      <c r="G454" s="310" t="str">
        <f t="shared" si="31"/>
        <v/>
      </c>
      <c r="H454" s="311" t="str">
        <f t="shared" si="32"/>
        <v/>
      </c>
    </row>
    <row r="455" spans="1:8">
      <c r="A455" s="324"/>
      <c r="B455" s="305" t="str">
        <f t="shared" si="29"/>
        <v/>
      </c>
      <c r="C455" s="305"/>
      <c r="D455" s="306"/>
      <c r="E455" s="276" t="str">
        <f t="shared" si="30"/>
        <v/>
      </c>
      <c r="F455" s="405"/>
      <c r="G455" s="310" t="str">
        <f t="shared" si="31"/>
        <v/>
      </c>
      <c r="H455" s="311" t="str">
        <f t="shared" si="32"/>
        <v/>
      </c>
    </row>
    <row r="456" spans="1:8">
      <c r="A456" s="324"/>
      <c r="B456" s="305" t="str">
        <f t="shared" si="29"/>
        <v/>
      </c>
      <c r="C456" s="305"/>
      <c r="D456" s="306"/>
      <c r="E456" s="276" t="str">
        <f t="shared" si="30"/>
        <v/>
      </c>
      <c r="F456" s="405"/>
      <c r="G456" s="310" t="str">
        <f t="shared" si="31"/>
        <v/>
      </c>
      <c r="H456" s="311" t="str">
        <f t="shared" si="32"/>
        <v/>
      </c>
    </row>
    <row r="457" spans="1:8">
      <c r="A457" s="324"/>
      <c r="B457" s="305" t="str">
        <f t="shared" si="29"/>
        <v/>
      </c>
      <c r="C457" s="305"/>
      <c r="D457" s="306"/>
      <c r="E457" s="276" t="str">
        <f t="shared" si="30"/>
        <v/>
      </c>
      <c r="F457" s="405"/>
      <c r="G457" s="310" t="str">
        <f t="shared" si="31"/>
        <v/>
      </c>
      <c r="H457" s="311" t="str">
        <f t="shared" si="32"/>
        <v/>
      </c>
    </row>
    <row r="458" spans="1:8" ht="13.5" thickBot="1">
      <c r="A458" s="325"/>
      <c r="B458" s="326" t="str">
        <f t="shared" si="29"/>
        <v/>
      </c>
      <c r="C458" s="314"/>
      <c r="D458" s="314"/>
      <c r="E458" s="315" t="str">
        <f>IF(A458="","",VLOOKUP(A458,MAT,3,FALSE))</f>
        <v/>
      </c>
      <c r="F458" s="406"/>
      <c r="G458" s="327" t="str">
        <f>IF(A458="","",VLOOKUP(A458,MAT,5,FALSE))</f>
        <v/>
      </c>
      <c r="H458" s="311" t="str">
        <f>IF(A458="","",ROUND((G458*F458),0))</f>
        <v/>
      </c>
    </row>
    <row r="459" spans="1:8" ht="13.5" thickBot="1">
      <c r="A459" s="285"/>
      <c r="B459" s="285"/>
      <c r="C459" s="285"/>
      <c r="D459" s="285"/>
      <c r="E459" s="286"/>
      <c r="F459" s="285"/>
      <c r="G459" s="210" t="s">
        <v>529</v>
      </c>
      <c r="H459" s="328">
        <f>ROUND(SUM(H448:H458),0)</f>
        <v>493409</v>
      </c>
    </row>
    <row r="460" spans="1:8">
      <c r="A460" s="285"/>
      <c r="B460" s="285"/>
      <c r="C460" s="285"/>
      <c r="D460" s="285"/>
      <c r="E460" s="286"/>
      <c r="F460" s="285"/>
      <c r="G460" s="286"/>
      <c r="H460" s="329"/>
    </row>
    <row r="461" spans="1:8" ht="13.5" thickBot="1">
      <c r="A461" s="295" t="s">
        <v>531</v>
      </c>
      <c r="B461" s="285"/>
      <c r="C461" s="285"/>
      <c r="D461" s="285"/>
      <c r="E461" s="286"/>
      <c r="F461" s="285"/>
      <c r="G461" s="286"/>
      <c r="H461" s="330"/>
    </row>
    <row r="462" spans="1:8" ht="13.5" thickBot="1">
      <c r="A462" s="297" t="s">
        <v>527</v>
      </c>
      <c r="B462" s="2187" t="s">
        <v>532</v>
      </c>
      <c r="C462" s="2188"/>
      <c r="D462" s="331" t="s">
        <v>821</v>
      </c>
      <c r="E462" s="331" t="s">
        <v>820</v>
      </c>
      <c r="F462" s="331" t="s">
        <v>823</v>
      </c>
      <c r="G462" s="331" t="s">
        <v>963</v>
      </c>
      <c r="H462" s="416" t="s">
        <v>831</v>
      </c>
    </row>
    <row r="463" spans="1:8">
      <c r="A463" s="332" t="s">
        <v>561</v>
      </c>
      <c r="B463" s="305" t="str">
        <f>IF(A463="","",VLOOKUP(A463,MAT,2,FALSE))</f>
        <v>Arena triturada de planta, pasante 3/8"</v>
      </c>
      <c r="C463" s="333"/>
      <c r="D463" s="409" t="str">
        <f>IF(A463="","",VLOOKUP(A463,MAT,3,FALSE))</f>
        <v>m3</v>
      </c>
      <c r="E463" s="419">
        <f>IF(A463="","",VLOOKUP(A463,MAT,6,FALSE))</f>
        <v>60.5</v>
      </c>
      <c r="F463" s="413">
        <f>IF(A463="","",VLOOKUP(A463,A448:H458,6,FALSE))</f>
        <v>0.67</v>
      </c>
      <c r="G463" s="334">
        <f>IF(A463="","",VLOOKUP(A463,MAT,7,FALSE))</f>
        <v>1500</v>
      </c>
      <c r="H463" s="311">
        <f>IF(A463="","",ROUND((G463*F463*E463),0))</f>
        <v>60803</v>
      </c>
    </row>
    <row r="464" spans="1:8">
      <c r="A464" s="335" t="s">
        <v>1629</v>
      </c>
      <c r="B464" s="305" t="str">
        <f>IF(A464="","",VLOOKUP(A464,MAT,2,FALSE))</f>
        <v>Gravilla triturada de Ø1/2".</v>
      </c>
      <c r="D464" s="410" t="str">
        <f>IF(A464="","",VLOOKUP(A464,MAT,3,FALSE))</f>
        <v>m3</v>
      </c>
      <c r="E464" s="419">
        <f>IF(A464="","",VLOOKUP(A464,MAT,6,FALSE))</f>
        <v>60.5</v>
      </c>
      <c r="F464" s="413">
        <f>IF(A464="","",VLOOKUP(A464,A448:H458,6,FALSE))</f>
        <v>0.67</v>
      </c>
      <c r="G464" s="336">
        <f>IF(A464="","",VLOOKUP(A464,MAT,7,FALSE))</f>
        <v>1500</v>
      </c>
      <c r="H464" s="311">
        <f>IF(A464="","",ROUND((G464*F464*E464),0))</f>
        <v>60803</v>
      </c>
    </row>
    <row r="465" spans="1:8" ht="13.5" thickBot="1">
      <c r="A465" s="337"/>
      <c r="B465" s="338" t="str">
        <f>IF(A465="","",VLOOKUP(A465,MAT,2,FALSE))</f>
        <v/>
      </c>
      <c r="C465" s="338"/>
      <c r="D465" s="411" t="str">
        <f>IF(A465="","",VLOOKUP(A465,MAT,3,FALSE))</f>
        <v/>
      </c>
      <c r="E465" s="412" t="str">
        <f>IF(A465="","",VLOOKUP(A465,MAT,6,FALSE))</f>
        <v/>
      </c>
      <c r="F465" s="418" t="str">
        <f>IF(A465="","",VLOOKUP(A465,$A$23:$H$33,6,FALSE))</f>
        <v/>
      </c>
      <c r="G465" s="339" t="str">
        <f>IF(A465="","",VLOOKUP(A465,MAT,7,FALSE))</f>
        <v/>
      </c>
      <c r="H465" s="417" t="str">
        <f>IF(A465="","",ROUND((G465*F465*E465),0))</f>
        <v/>
      </c>
    </row>
    <row r="466" spans="1:8" ht="13.5" thickBot="1">
      <c r="E466" s="340"/>
      <c r="F466" s="341"/>
      <c r="G466" s="414" t="s">
        <v>529</v>
      </c>
      <c r="H466" s="415">
        <f>ROUND(SUM(H463:H465),0)</f>
        <v>121606</v>
      </c>
    </row>
    <row r="467" spans="1:8">
      <c r="E467" s="340"/>
      <c r="F467" s="341"/>
      <c r="G467" s="286"/>
      <c r="H467" s="343"/>
    </row>
    <row r="468" spans="1:8" ht="13.5" thickBot="1">
      <c r="A468" s="295" t="s">
        <v>534</v>
      </c>
      <c r="B468" s="295"/>
      <c r="C468" s="295"/>
      <c r="D468" s="285"/>
      <c r="E468" s="286"/>
      <c r="F468" s="285"/>
      <c r="G468" s="285"/>
      <c r="H468" s="314"/>
    </row>
    <row r="469" spans="1:8" ht="13.5" thickBot="1">
      <c r="A469" s="297" t="s">
        <v>527</v>
      </c>
      <c r="B469" s="2189" t="s">
        <v>514</v>
      </c>
      <c r="C469" s="2190"/>
      <c r="D469" s="2191"/>
      <c r="E469" s="277" t="s">
        <v>515</v>
      </c>
      <c r="F469" s="277" t="s">
        <v>535</v>
      </c>
      <c r="G469" s="531" t="s">
        <v>944</v>
      </c>
      <c r="H469" s="416" t="s">
        <v>831</v>
      </c>
    </row>
    <row r="470" spans="1:8">
      <c r="A470" s="344" t="s">
        <v>932</v>
      </c>
      <c r="B470" s="2192" t="str">
        <f>IF(A470="","",VLOOKUP(A470,MO,2,FALSE))</f>
        <v>Cuadrilla LL: Mezclas. (1 Of. + 3 Ayud.).</v>
      </c>
      <c r="C470" s="2193"/>
      <c r="D470" s="2194"/>
      <c r="E470" s="538" t="str">
        <f>IF(A470="","",VLOOKUP(A470,MO,13,FALSE))</f>
        <v>HC</v>
      </c>
      <c r="F470" s="544">
        <v>0.56000000000000005</v>
      </c>
      <c r="G470" s="540">
        <f>IF(A470="","",VLOOKUP(A470,MO,15,FALSE))</f>
        <v>80517</v>
      </c>
      <c r="H470" s="542">
        <f>IF(A470="","",ROUND((G470/F470),0))</f>
        <v>143780</v>
      </c>
    </row>
    <row r="471" spans="1:8">
      <c r="A471" s="344"/>
      <c r="B471" s="2179" t="str">
        <f>IF(A471="","",VLOOKUP(A471,MO,2,FALSE))</f>
        <v/>
      </c>
      <c r="C471" s="2180"/>
      <c r="D471" s="2181"/>
      <c r="E471" s="538" t="str">
        <f>IF(A471="","",VLOOKUP(A471,MO,13,FALSE))</f>
        <v/>
      </c>
      <c r="F471" s="544"/>
      <c r="G471" s="540" t="str">
        <f>IF(A471="","",VLOOKUP(A471,MO,15,FALSE))</f>
        <v/>
      </c>
      <c r="H471" s="542" t="str">
        <f>IF(A471="","",ROUND((G471/F471),0))</f>
        <v/>
      </c>
    </row>
    <row r="472" spans="1:8">
      <c r="A472" s="344"/>
      <c r="B472" s="2179" t="str">
        <f>IF(A472="","",VLOOKUP(A472,MO,2,FALSE))</f>
        <v/>
      </c>
      <c r="C472" s="2180"/>
      <c r="D472" s="2181"/>
      <c r="E472" s="538" t="str">
        <f>IF(A472="","",VLOOKUP(A472,MO,13,FALSE))</f>
        <v/>
      </c>
      <c r="F472" s="544"/>
      <c r="G472" s="541" t="str">
        <f>IF(A472="","",VLOOKUP(A472,MO,15,FALSE))</f>
        <v/>
      </c>
      <c r="H472" s="542" t="str">
        <f>IF(A472="","",ROUND((G472/F472),0))</f>
        <v/>
      </c>
    </row>
    <row r="473" spans="1:8" ht="13.5" thickBot="1">
      <c r="A473" s="345"/>
      <c r="B473" s="2182" t="str">
        <f>IF(A473="","",VLOOKUP(A473,MO,2,FALSE))</f>
        <v/>
      </c>
      <c r="C473" s="2183"/>
      <c r="D473" s="2184"/>
      <c r="E473" s="539" t="str">
        <f>IF(A473="","",VLOOKUP(A473,MO,13,FALSE))</f>
        <v/>
      </c>
      <c r="F473" s="545"/>
      <c r="G473" s="377" t="str">
        <f>IF(A473="","",VLOOKUP(A473,MO,15,FALSE))</f>
        <v/>
      </c>
      <c r="H473" s="543" t="str">
        <f>IF(A473="","",ROUND((G473/F473),0))</f>
        <v/>
      </c>
    </row>
    <row r="474" spans="1:8" ht="13.5" thickBot="1">
      <c r="A474" s="285"/>
      <c r="B474" s="285"/>
      <c r="C474" s="285"/>
      <c r="D474" s="285"/>
      <c r="E474" s="286"/>
      <c r="F474" s="285"/>
      <c r="G474" s="317" t="s">
        <v>529</v>
      </c>
      <c r="H474" s="342">
        <f>ROUND(SUM(H470:H473),0)</f>
        <v>143780</v>
      </c>
    </row>
    <row r="475" spans="1:8" ht="13.5" thickBot="1">
      <c r="A475" s="285"/>
      <c r="B475" s="285"/>
      <c r="C475" s="285"/>
      <c r="D475" s="285"/>
      <c r="E475" s="286"/>
      <c r="F475" s="285"/>
      <c r="G475" s="285"/>
      <c r="H475" s="285"/>
    </row>
    <row r="476" spans="1:8" ht="13.5" thickBot="1">
      <c r="A476" s="285"/>
      <c r="B476" s="285"/>
      <c r="C476" s="285"/>
      <c r="D476" s="285"/>
      <c r="E476" s="346" t="s">
        <v>536</v>
      </c>
      <c r="F476" s="347"/>
      <c r="G476" s="347"/>
      <c r="H476" s="348">
        <f>+ROUND(H444+H459+H466+H474,0)</f>
        <v>773984</v>
      </c>
    </row>
    <row r="477" spans="1:8">
      <c r="A477" s="285"/>
      <c r="B477" s="285"/>
      <c r="C477" s="285"/>
      <c r="D477" s="285"/>
      <c r="E477" s="806" t="s">
        <v>2696</v>
      </c>
      <c r="F477" s="807">
        <v>0.3</v>
      </c>
      <c r="G477" s="807">
        <v>0.3</v>
      </c>
      <c r="H477" s="809">
        <f>H476*G477</f>
        <v>232195.19999999998</v>
      </c>
    </row>
    <row r="478" spans="1:8">
      <c r="A478" s="285"/>
      <c r="B478" s="285"/>
      <c r="C478" s="285"/>
      <c r="D478" s="285"/>
      <c r="E478" s="806"/>
      <c r="F478" s="807"/>
      <c r="G478" s="807"/>
      <c r="H478" s="809">
        <f>SUM(H476:H477)</f>
        <v>1006179.2</v>
      </c>
    </row>
    <row r="479" spans="1:8">
      <c r="A479" s="285"/>
      <c r="B479" s="285"/>
      <c r="C479" s="285"/>
      <c r="D479" s="285"/>
      <c r="E479" s="346"/>
      <c r="F479" s="347"/>
      <c r="G479" s="347"/>
      <c r="H479" s="349"/>
    </row>
    <row r="480" spans="1:8">
      <c r="A480" s="285"/>
      <c r="B480" s="285"/>
      <c r="C480" s="285"/>
      <c r="D480" s="285"/>
      <c r="E480" s="346"/>
      <c r="F480" s="347"/>
      <c r="G480" s="347"/>
      <c r="H480" s="349"/>
    </row>
    <row r="481" spans="1:8">
      <c r="A481" s="285"/>
      <c r="B481" s="285"/>
      <c r="C481" s="285"/>
      <c r="D481" s="285"/>
      <c r="E481" s="346"/>
      <c r="F481" s="347"/>
      <c r="G481" s="347"/>
      <c r="H481" s="349"/>
    </row>
    <row r="482" spans="1:8">
      <c r="A482" s="285"/>
      <c r="B482" s="285"/>
      <c r="C482" s="285"/>
      <c r="D482" s="285"/>
      <c r="E482" s="346"/>
      <c r="F482" s="347"/>
      <c r="G482" s="347"/>
      <c r="H482" s="349"/>
    </row>
    <row r="484" spans="1:8">
      <c r="A484" s="703" t="str">
        <f>+[14]PRESUPUESTO!$A$113</f>
        <v>__________________________________________</v>
      </c>
      <c r="B484" s="703"/>
    </row>
    <row r="485" spans="1:8">
      <c r="A485" s="810" t="str">
        <f>+[14]PRESUPUESTO!$A$114</f>
        <v>Ing. JHON FREDY GARCIA MENDEZ</v>
      </c>
      <c r="B485" s="703"/>
    </row>
    <row r="486" spans="1:8">
      <c r="A486" s="811" t="str">
        <f>+[14]PRESUPUESTO!$A$115</f>
        <v>M.P.  70268-326294 TLM.</v>
      </c>
      <c r="B486" s="703"/>
    </row>
    <row r="487" spans="1:8">
      <c r="A487" s="811" t="str">
        <f>+[14]PRESUPUESTO!$A$116</f>
        <v>CONSULTOR</v>
      </c>
      <c r="B487" s="703"/>
    </row>
    <row r="490" spans="1:8" ht="13.5" thickBot="1"/>
    <row r="491" spans="1:8">
      <c r="A491" s="284"/>
      <c r="B491" s="2195"/>
      <c r="C491" s="2196"/>
      <c r="D491" s="2196"/>
      <c r="E491" s="284"/>
      <c r="F491" s="285"/>
      <c r="G491" s="286"/>
      <c r="H491" s="287"/>
    </row>
    <row r="492" spans="1:8">
      <c r="A492" s="96">
        <v>1</v>
      </c>
      <c r="B492" s="2185" t="s">
        <v>948</v>
      </c>
      <c r="C492" s="2185"/>
      <c r="D492" s="2185"/>
      <c r="E492" s="2185"/>
      <c r="F492" s="289"/>
      <c r="G492" s="290" t="s">
        <v>525</v>
      </c>
      <c r="H492" s="97" t="s">
        <v>352</v>
      </c>
    </row>
    <row r="493" spans="1:8">
      <c r="A493" s="432">
        <v>1.7</v>
      </c>
      <c r="B493" s="2186" t="s">
        <v>2421</v>
      </c>
      <c r="C493" s="2186"/>
      <c r="D493" s="2186"/>
      <c r="E493" s="2186"/>
      <c r="F493" s="291"/>
      <c r="G493" s="290"/>
      <c r="H493" s="97"/>
    </row>
    <row r="494" spans="1:8">
      <c r="A494" s="96"/>
      <c r="B494" s="420"/>
      <c r="C494" s="421"/>
      <c r="D494" s="421"/>
      <c r="E494" s="421"/>
      <c r="F494" s="292"/>
      <c r="G494" s="286"/>
      <c r="H494" s="287"/>
    </row>
    <row r="495" spans="1:8">
      <c r="A495" s="97"/>
      <c r="B495" s="293"/>
      <c r="C495" s="293"/>
      <c r="D495" s="293"/>
      <c r="E495" s="293"/>
      <c r="F495" s="293"/>
      <c r="G495" s="294"/>
      <c r="H495" s="294"/>
    </row>
    <row r="496" spans="1:8" ht="13.5" thickBot="1">
      <c r="A496" s="295" t="s">
        <v>526</v>
      </c>
      <c r="B496" s="295"/>
      <c r="C496" s="285"/>
      <c r="D496" s="296"/>
      <c r="E496" s="296"/>
      <c r="F496" s="296"/>
      <c r="G496" s="296"/>
      <c r="H496" s="296"/>
    </row>
    <row r="497" spans="1:8" ht="13.5" thickBot="1">
      <c r="A497" s="297" t="s">
        <v>527</v>
      </c>
      <c r="B497" s="298"/>
      <c r="C497" s="299" t="s">
        <v>521</v>
      </c>
      <c r="D497" s="300"/>
      <c r="E497" s="301" t="s">
        <v>515</v>
      </c>
      <c r="F497" s="302" t="s">
        <v>528</v>
      </c>
      <c r="G497" s="303" t="s">
        <v>832</v>
      </c>
      <c r="H497" s="278" t="s">
        <v>831</v>
      </c>
    </row>
    <row r="498" spans="1:8">
      <c r="A498" s="304" t="s">
        <v>967</v>
      </c>
      <c r="B498" s="305" t="str">
        <f>IF(A498="","",VLOOKUP(A498,EQUI,2,FALSE))</f>
        <v>Herramienta Menor (10% de la mano de obra).</v>
      </c>
      <c r="C498" s="306"/>
      <c r="D498" s="306"/>
      <c r="E498" s="276" t="str">
        <f>IF(A498="","",VLOOKUP(A498,EQUI,3,FALSE))</f>
        <v>%</v>
      </c>
      <c r="F498" s="433">
        <f>IF(A498="","",VLOOKUP(A498,EQUI,4,FALSE))</f>
        <v>0.1</v>
      </c>
      <c r="G498" s="307">
        <f>ROUND(F498*H534,0)</f>
        <v>14378</v>
      </c>
      <c r="H498" s="308">
        <f>+G498</f>
        <v>14378</v>
      </c>
    </row>
    <row r="499" spans="1:8">
      <c r="A499" s="304" t="s">
        <v>497</v>
      </c>
      <c r="B499" s="305" t="str">
        <f>IF(A499="","",VLOOKUP(A499,EQUI,2,FALSE))</f>
        <v>Mezcladora mecánica (1.0 bultos)</v>
      </c>
      <c r="C499" s="306"/>
      <c r="D499" s="306"/>
      <c r="E499" s="276" t="str">
        <f>IF(A499="","",VLOOKUP(A499,EQUI,3))</f>
        <v>Dia</v>
      </c>
      <c r="F499" s="405">
        <v>0.1</v>
      </c>
      <c r="G499" s="310">
        <f>IF(A499="","",VLOOKUP(A499,EQUI,4))</f>
        <v>80000</v>
      </c>
      <c r="H499" s="311">
        <f>IF(A499="","",ROUND((G499*F499),0))</f>
        <v>8000</v>
      </c>
    </row>
    <row r="500" spans="1:8">
      <c r="A500" s="304"/>
      <c r="B500" s="305" t="str">
        <f>IF(A500="","",VLOOKUP(A500,EQUI,2))</f>
        <v/>
      </c>
      <c r="C500" s="306"/>
      <c r="D500" s="306"/>
      <c r="E500" s="276" t="str">
        <f>IF(A500="","",VLOOKUP(A500,EQUI,3))</f>
        <v/>
      </c>
      <c r="F500" s="405"/>
      <c r="G500" s="310" t="str">
        <f>IF(A500="","",VLOOKUP(A500,EQUI,4))</f>
        <v/>
      </c>
      <c r="H500" s="311" t="str">
        <f>IF(A500="","",ROUND((G500*F500),0))</f>
        <v/>
      </c>
    </row>
    <row r="501" spans="1:8">
      <c r="A501" s="304"/>
      <c r="B501" s="305" t="str">
        <f>IF(A501="","",VLOOKUP(A501,EQUI,2))</f>
        <v/>
      </c>
      <c r="C501" s="306"/>
      <c r="D501" s="306"/>
      <c r="E501" s="276" t="str">
        <f>IF(A501="","",VLOOKUP(A501,EQUI,3))</f>
        <v/>
      </c>
      <c r="F501" s="405"/>
      <c r="G501" s="310" t="str">
        <f>IF(A501="","",VLOOKUP(A501,EQUI,4))</f>
        <v/>
      </c>
      <c r="H501" s="311" t="str">
        <f>IF(A501="","",ROUND((G501*F501),0))</f>
        <v/>
      </c>
    </row>
    <row r="502" spans="1:8">
      <c r="A502" s="304"/>
      <c r="B502" s="305" t="str">
        <f>IF(A502="","",VLOOKUP(A502,EQUI,2))</f>
        <v/>
      </c>
      <c r="C502" s="306"/>
      <c r="D502" s="306"/>
      <c r="E502" s="276" t="str">
        <f>IF(A502="","",VLOOKUP(A502,EQUI,3))</f>
        <v/>
      </c>
      <c r="F502" s="405"/>
      <c r="G502" s="310" t="str">
        <f>IF(A502="","",VLOOKUP(A502,EQUI,4))</f>
        <v/>
      </c>
      <c r="H502" s="311" t="str">
        <f>IF(A502="","",ROUND((G502*F502),0))</f>
        <v/>
      </c>
    </row>
    <row r="503" spans="1:8" ht="13.5" thickBot="1">
      <c r="A503" s="312"/>
      <c r="B503" s="313" t="str">
        <f>IF(A503="","",VLOOKUP(A503,EQUI,2))</f>
        <v/>
      </c>
      <c r="C503" s="313"/>
      <c r="D503" s="314"/>
      <c r="E503" s="315" t="str">
        <f>IF(A503="","",VLOOKUP(A503,EQUI,3))</f>
        <v/>
      </c>
      <c r="F503" s="408"/>
      <c r="G503" s="316" t="str">
        <f>IF(A503="","",VLOOKUP(A503,EQUI,4))</f>
        <v/>
      </c>
      <c r="H503" s="311" t="str">
        <f>IF(A503="","",ROUND((G503*F503),0))</f>
        <v/>
      </c>
    </row>
    <row r="504" spans="1:8" ht="13.5" thickBot="1">
      <c r="A504" s="285"/>
      <c r="B504" s="285"/>
      <c r="C504" s="285"/>
      <c r="D504" s="285"/>
      <c r="E504" s="286"/>
      <c r="F504" s="285"/>
      <c r="G504" s="317" t="s">
        <v>529</v>
      </c>
      <c r="H504" s="318">
        <f>ROUND(SUM(H498:H503),0)</f>
        <v>22378</v>
      </c>
    </row>
    <row r="505" spans="1:8">
      <c r="A505" s="285"/>
      <c r="B505" s="285"/>
      <c r="C505" s="285"/>
      <c r="D505" s="285"/>
      <c r="E505" s="286"/>
      <c r="F505" s="285"/>
      <c r="G505" s="286"/>
      <c r="H505" s="319"/>
    </row>
    <row r="506" spans="1:8" ht="13.5" thickBot="1">
      <c r="A506" s="295" t="s">
        <v>530</v>
      </c>
      <c r="B506" s="295"/>
      <c r="C506" s="295"/>
      <c r="D506" s="295"/>
      <c r="E506" s="320"/>
      <c r="F506" s="314"/>
      <c r="G506" s="314"/>
      <c r="H506" s="314"/>
    </row>
    <row r="507" spans="1:8" ht="13.5" thickBot="1">
      <c r="A507" s="297" t="s">
        <v>527</v>
      </c>
      <c r="B507" s="298"/>
      <c r="C507" s="299" t="s">
        <v>521</v>
      </c>
      <c r="D507" s="299"/>
      <c r="E507" s="321" t="s">
        <v>515</v>
      </c>
      <c r="F507" s="322" t="s">
        <v>7</v>
      </c>
      <c r="G507" s="303" t="s">
        <v>832</v>
      </c>
      <c r="H507" s="278" t="s">
        <v>831</v>
      </c>
    </row>
    <row r="508" spans="1:8">
      <c r="A508" s="323" t="s">
        <v>134</v>
      </c>
      <c r="B508" s="353" t="str">
        <f t="shared" ref="B508:B518" si="33">IF(A508="","",VLOOKUP(A508,MAT,2,FALSE))</f>
        <v>Agua</v>
      </c>
      <c r="C508" s="305"/>
      <c r="D508" s="306"/>
      <c r="E508" s="276" t="str">
        <f>IF(A508="","",VLOOKUP(A508,MAT,3,FALSE))</f>
        <v>Lt</v>
      </c>
      <c r="F508" s="405">
        <v>190</v>
      </c>
      <c r="G508" s="310">
        <f>IF(A508="","",VLOOKUP(A508,MAT,5,FALSE))</f>
        <v>20</v>
      </c>
      <c r="H508" s="311">
        <f>IF(A508="","",ROUND((G508*F508),0))</f>
        <v>3800</v>
      </c>
    </row>
    <row r="509" spans="1:8">
      <c r="A509" s="324" t="s">
        <v>561</v>
      </c>
      <c r="B509" s="353" t="str">
        <f t="shared" si="33"/>
        <v>Arena triturada de planta, pasante 3/8"</v>
      </c>
      <c r="C509" s="305"/>
      <c r="D509" s="306"/>
      <c r="E509" s="276" t="str">
        <f>IF(A509="","",VLOOKUP(A509,MAT,3,FALSE))</f>
        <v>m3</v>
      </c>
      <c r="F509" s="405">
        <v>0.67</v>
      </c>
      <c r="G509" s="310">
        <f>IF(A509="","",VLOOKUP(A509,MAT,5,FALSE))</f>
        <v>122570</v>
      </c>
      <c r="H509" s="311">
        <f>IF(A509="","",ROUND((G509*F509),0))</f>
        <v>82122</v>
      </c>
    </row>
    <row r="510" spans="1:8">
      <c r="A510" s="324" t="s">
        <v>1629</v>
      </c>
      <c r="B510" s="353" t="str">
        <f t="shared" si="33"/>
        <v>Gravilla triturada de Ø1/2".</v>
      </c>
      <c r="C510" s="305"/>
      <c r="D510" s="306"/>
      <c r="E510" s="276" t="str">
        <f>IF(A510="","",VLOOKUP(A510,MAT,3,FALSE))</f>
        <v>m3</v>
      </c>
      <c r="F510" s="405">
        <v>0.67</v>
      </c>
      <c r="G510" s="310">
        <f>IF(A510="","",VLOOKUP(A510,MAT,5,FALSE))</f>
        <v>138040</v>
      </c>
      <c r="H510" s="311">
        <f>IF(A510="","",ROUND((G510*F510),0))</f>
        <v>92487</v>
      </c>
    </row>
    <row r="511" spans="1:8">
      <c r="A511" s="324" t="s">
        <v>576</v>
      </c>
      <c r="B511" s="305" t="str">
        <f t="shared" si="33"/>
        <v>Cemento gris tipo Portland.</v>
      </c>
      <c r="C511" s="305"/>
      <c r="D511" s="306"/>
      <c r="E511" s="276" t="str">
        <f t="shared" ref="E511:E517" si="34">IF(A511="","",VLOOKUP(A511,MAT,3,FALSE))</f>
        <v>Kg.</v>
      </c>
      <c r="F511" s="405">
        <v>450</v>
      </c>
      <c r="G511" s="310">
        <f t="shared" ref="G511:G517" si="35">IF(A511="","",VLOOKUP(A511,MAT,5,FALSE))</f>
        <v>700</v>
      </c>
      <c r="H511" s="311">
        <f t="shared" ref="H511:H517" si="36">IF(A511="","",ROUND((G511*F511),0))</f>
        <v>315000</v>
      </c>
    </row>
    <row r="512" spans="1:8">
      <c r="A512" s="1042" t="s">
        <v>1671</v>
      </c>
      <c r="B512" s="305" t="str">
        <f t="shared" si="33"/>
        <v>Impermeabilizante para concretos, plastocrete o silimar.</v>
      </c>
      <c r="C512" s="305"/>
      <c r="D512" s="306"/>
      <c r="E512" s="276" t="str">
        <f t="shared" si="34"/>
        <v>kg</v>
      </c>
      <c r="F512" s="405">
        <v>2.25</v>
      </c>
      <c r="G512" s="310">
        <f t="shared" si="35"/>
        <v>24962</v>
      </c>
      <c r="H512" s="311">
        <f t="shared" si="36"/>
        <v>56165</v>
      </c>
    </row>
    <row r="513" spans="1:8">
      <c r="A513" s="324"/>
      <c r="B513" s="305" t="str">
        <f t="shared" si="33"/>
        <v/>
      </c>
      <c r="C513" s="305"/>
      <c r="D513" s="306"/>
      <c r="E513" s="276" t="str">
        <f t="shared" si="34"/>
        <v/>
      </c>
      <c r="F513" s="405"/>
      <c r="G513" s="310" t="str">
        <f t="shared" si="35"/>
        <v/>
      </c>
      <c r="H513" s="311" t="str">
        <f t="shared" si="36"/>
        <v/>
      </c>
    </row>
    <row r="514" spans="1:8">
      <c r="A514" s="324"/>
      <c r="B514" s="305" t="str">
        <f t="shared" si="33"/>
        <v/>
      </c>
      <c r="C514" s="305"/>
      <c r="D514" s="306"/>
      <c r="E514" s="276" t="str">
        <f t="shared" si="34"/>
        <v/>
      </c>
      <c r="F514" s="405"/>
      <c r="G514" s="310" t="str">
        <f t="shared" si="35"/>
        <v/>
      </c>
      <c r="H514" s="311" t="str">
        <f t="shared" si="36"/>
        <v/>
      </c>
    </row>
    <row r="515" spans="1:8">
      <c r="A515" s="324"/>
      <c r="B515" s="305" t="str">
        <f t="shared" si="33"/>
        <v/>
      </c>
      <c r="C515" s="305"/>
      <c r="D515" s="306"/>
      <c r="E515" s="276" t="str">
        <f t="shared" si="34"/>
        <v/>
      </c>
      <c r="F515" s="405"/>
      <c r="G515" s="310" t="str">
        <f t="shared" si="35"/>
        <v/>
      </c>
      <c r="H515" s="311" t="str">
        <f t="shared" si="36"/>
        <v/>
      </c>
    </row>
    <row r="516" spans="1:8">
      <c r="A516" s="324"/>
      <c r="B516" s="305" t="str">
        <f t="shared" si="33"/>
        <v/>
      </c>
      <c r="C516" s="305"/>
      <c r="D516" s="306"/>
      <c r="E516" s="276" t="str">
        <f t="shared" si="34"/>
        <v/>
      </c>
      <c r="F516" s="405"/>
      <c r="G516" s="310" t="str">
        <f t="shared" si="35"/>
        <v/>
      </c>
      <c r="H516" s="311" t="str">
        <f t="shared" si="36"/>
        <v/>
      </c>
    </row>
    <row r="517" spans="1:8">
      <c r="A517" s="324"/>
      <c r="B517" s="305" t="str">
        <f t="shared" si="33"/>
        <v/>
      </c>
      <c r="C517" s="305"/>
      <c r="D517" s="306"/>
      <c r="E517" s="276" t="str">
        <f t="shared" si="34"/>
        <v/>
      </c>
      <c r="F517" s="405"/>
      <c r="G517" s="310" t="str">
        <f t="shared" si="35"/>
        <v/>
      </c>
      <c r="H517" s="311" t="str">
        <f t="shared" si="36"/>
        <v/>
      </c>
    </row>
    <row r="518" spans="1:8" ht="13.5" thickBot="1">
      <c r="A518" s="325"/>
      <c r="B518" s="326" t="str">
        <f t="shared" si="33"/>
        <v/>
      </c>
      <c r="C518" s="314"/>
      <c r="D518" s="314"/>
      <c r="E518" s="315" t="str">
        <f>IF(A518="","",VLOOKUP(A518,MAT,3,FALSE))</f>
        <v/>
      </c>
      <c r="F518" s="406"/>
      <c r="G518" s="327" t="str">
        <f>IF(A518="","",VLOOKUP(A518,MAT,5,FALSE))</f>
        <v/>
      </c>
      <c r="H518" s="311" t="str">
        <f>IF(A518="","",ROUND((G518*F518),0))</f>
        <v/>
      </c>
    </row>
    <row r="519" spans="1:8" ht="13.5" thickBot="1">
      <c r="A519" s="285"/>
      <c r="B519" s="285"/>
      <c r="C519" s="285"/>
      <c r="D519" s="285"/>
      <c r="E519" s="286"/>
      <c r="F519" s="285"/>
      <c r="G519" s="210" t="s">
        <v>529</v>
      </c>
      <c r="H519" s="328">
        <f>ROUND(SUM(H508:H518),0)</f>
        <v>549574</v>
      </c>
    </row>
    <row r="520" spans="1:8">
      <c r="A520" s="285"/>
      <c r="B520" s="285"/>
      <c r="C520" s="285"/>
      <c r="D520" s="285"/>
      <c r="E520" s="286"/>
      <c r="F520" s="285"/>
      <c r="G520" s="286"/>
      <c r="H520" s="329"/>
    </row>
    <row r="521" spans="1:8" ht="13.5" thickBot="1">
      <c r="A521" s="295" t="s">
        <v>531</v>
      </c>
      <c r="B521" s="285"/>
      <c r="C521" s="285"/>
      <c r="D521" s="285"/>
      <c r="E521" s="286"/>
      <c r="F521" s="285"/>
      <c r="G521" s="286"/>
      <c r="H521" s="330"/>
    </row>
    <row r="522" spans="1:8" ht="13.5" thickBot="1">
      <c r="A522" s="297" t="s">
        <v>527</v>
      </c>
      <c r="B522" s="2187" t="s">
        <v>532</v>
      </c>
      <c r="C522" s="2188"/>
      <c r="D522" s="331" t="s">
        <v>821</v>
      </c>
      <c r="E522" s="331" t="s">
        <v>820</v>
      </c>
      <c r="F522" s="331" t="s">
        <v>823</v>
      </c>
      <c r="G522" s="331" t="s">
        <v>963</v>
      </c>
      <c r="H522" s="416" t="s">
        <v>831</v>
      </c>
    </row>
    <row r="523" spans="1:8">
      <c r="A523" s="332" t="s">
        <v>561</v>
      </c>
      <c r="B523" s="305" t="str">
        <f>IF(A523="","",VLOOKUP(A523,MAT,2,FALSE))</f>
        <v>Arena triturada de planta, pasante 3/8"</v>
      </c>
      <c r="C523" s="333"/>
      <c r="D523" s="409" t="str">
        <f>IF(A523="","",VLOOKUP(A523,MAT,3,FALSE))</f>
        <v>m3</v>
      </c>
      <c r="E523" s="419">
        <f>IF(A523="","",VLOOKUP(A523,MAT,6,FALSE))</f>
        <v>60.5</v>
      </c>
      <c r="F523" s="413">
        <f>IF(A523="","",VLOOKUP(A523,A508:H518,6,FALSE))</f>
        <v>0.67</v>
      </c>
      <c r="G523" s="334">
        <f>IF(A523="","",VLOOKUP(A523,MAT,7,FALSE))</f>
        <v>1500</v>
      </c>
      <c r="H523" s="311">
        <f>IF(A523="","",ROUND((G523*F523*E523),0))</f>
        <v>60803</v>
      </c>
    </row>
    <row r="524" spans="1:8">
      <c r="A524" s="335" t="s">
        <v>1629</v>
      </c>
      <c r="B524" s="305" t="str">
        <f>IF(A524="","",VLOOKUP(A524,MAT,2,FALSE))</f>
        <v>Gravilla triturada de Ø1/2".</v>
      </c>
      <c r="D524" s="410" t="str">
        <f>IF(A524="","",VLOOKUP(A524,MAT,3,FALSE))</f>
        <v>m3</v>
      </c>
      <c r="E524" s="419">
        <f>IF(A524="","",VLOOKUP(A524,MAT,6,FALSE))</f>
        <v>60.5</v>
      </c>
      <c r="F524" s="413">
        <f>IF(A524="","",VLOOKUP(A524,A508:H518,6,FALSE))</f>
        <v>0.67</v>
      </c>
      <c r="G524" s="336">
        <f>IF(A524="","",VLOOKUP(A524,MAT,7,FALSE))</f>
        <v>1500</v>
      </c>
      <c r="H524" s="311">
        <f>IF(A524="","",ROUND((G524*F524*E524),0))</f>
        <v>60803</v>
      </c>
    </row>
    <row r="525" spans="1:8" ht="13.5" thickBot="1">
      <c r="A525" s="337"/>
      <c r="B525" s="338" t="str">
        <f>IF(A525="","",VLOOKUP(A525,MAT,2,FALSE))</f>
        <v/>
      </c>
      <c r="C525" s="338"/>
      <c r="D525" s="411" t="str">
        <f>IF(A525="","",VLOOKUP(A525,MAT,3,FALSE))</f>
        <v/>
      </c>
      <c r="E525" s="412" t="str">
        <f>IF(A525="","",VLOOKUP(A525,MAT,6,FALSE))</f>
        <v/>
      </c>
      <c r="F525" s="418" t="str">
        <f>IF(A525="","",VLOOKUP(A525,$A$23:$H$33,6,FALSE))</f>
        <v/>
      </c>
      <c r="G525" s="339" t="str">
        <f>IF(A525="","",VLOOKUP(A525,MAT,7,FALSE))</f>
        <v/>
      </c>
      <c r="H525" s="417" t="str">
        <f>IF(A525="","",ROUND((G525*F525*E525),0))</f>
        <v/>
      </c>
    </row>
    <row r="526" spans="1:8" ht="13.5" thickBot="1">
      <c r="E526" s="340"/>
      <c r="F526" s="341"/>
      <c r="G526" s="414" t="s">
        <v>529</v>
      </c>
      <c r="H526" s="415">
        <f>ROUND(SUM(H523:H525),0)</f>
        <v>121606</v>
      </c>
    </row>
    <row r="527" spans="1:8">
      <c r="E527" s="340"/>
      <c r="F527" s="341"/>
      <c r="G527" s="286"/>
      <c r="H527" s="343"/>
    </row>
    <row r="528" spans="1:8" ht="13.5" thickBot="1">
      <c r="A528" s="295" t="s">
        <v>534</v>
      </c>
      <c r="B528" s="295"/>
      <c r="C528" s="295"/>
      <c r="D528" s="285"/>
      <c r="E528" s="286"/>
      <c r="F528" s="285"/>
      <c r="G528" s="285"/>
      <c r="H528" s="314"/>
    </row>
    <row r="529" spans="1:8" ht="13.5" thickBot="1">
      <c r="A529" s="297" t="s">
        <v>527</v>
      </c>
      <c r="B529" s="2189" t="s">
        <v>514</v>
      </c>
      <c r="C529" s="2190"/>
      <c r="D529" s="2191"/>
      <c r="E529" s="277" t="s">
        <v>515</v>
      </c>
      <c r="F529" s="277" t="s">
        <v>535</v>
      </c>
      <c r="G529" s="531" t="s">
        <v>944</v>
      </c>
      <c r="H529" s="416" t="s">
        <v>831</v>
      </c>
    </row>
    <row r="530" spans="1:8">
      <c r="A530" s="344" t="s">
        <v>932</v>
      </c>
      <c r="B530" s="2192" t="str">
        <f>IF(A530="","",VLOOKUP(A530,MO,2,FALSE))</f>
        <v>Cuadrilla LL: Mezclas. (1 Of. + 3 Ayud.).</v>
      </c>
      <c r="C530" s="2193"/>
      <c r="D530" s="2194"/>
      <c r="E530" s="538" t="str">
        <f>IF(A530="","",VLOOKUP(A530,MO,13,FALSE))</f>
        <v>HC</v>
      </c>
      <c r="F530" s="544">
        <v>0.56000000000000005</v>
      </c>
      <c r="G530" s="540">
        <f>IF(A530="","",VLOOKUP(A530,MO,15,FALSE))</f>
        <v>80517</v>
      </c>
      <c r="H530" s="542">
        <f>IF(A530="","",ROUND((G530/F530),0))</f>
        <v>143780</v>
      </c>
    </row>
    <row r="531" spans="1:8">
      <c r="A531" s="344"/>
      <c r="B531" s="2179" t="str">
        <f>IF(A531="","",VLOOKUP(A531,MO,2,FALSE))</f>
        <v/>
      </c>
      <c r="C531" s="2180"/>
      <c r="D531" s="2181"/>
      <c r="E531" s="538" t="str">
        <f>IF(A531="","",VLOOKUP(A531,MO,13,FALSE))</f>
        <v/>
      </c>
      <c r="F531" s="544"/>
      <c r="G531" s="540" t="str">
        <f>IF(A531="","",VLOOKUP(A531,MO,15,FALSE))</f>
        <v/>
      </c>
      <c r="H531" s="542" t="str">
        <f>IF(A531="","",ROUND((G531/F531),0))</f>
        <v/>
      </c>
    </row>
    <row r="532" spans="1:8">
      <c r="A532" s="344"/>
      <c r="B532" s="2179" t="str">
        <f>IF(A532="","",VLOOKUP(A532,MO,2,FALSE))</f>
        <v/>
      </c>
      <c r="C532" s="2180"/>
      <c r="D532" s="2181"/>
      <c r="E532" s="538" t="str">
        <f>IF(A532="","",VLOOKUP(A532,MO,13,FALSE))</f>
        <v/>
      </c>
      <c r="F532" s="544"/>
      <c r="G532" s="541" t="str">
        <f>IF(A532="","",VLOOKUP(A532,MO,15,FALSE))</f>
        <v/>
      </c>
      <c r="H532" s="542" t="str">
        <f>IF(A532="","",ROUND((G532/F532),0))</f>
        <v/>
      </c>
    </row>
    <row r="533" spans="1:8" ht="13.5" thickBot="1">
      <c r="A533" s="345"/>
      <c r="B533" s="2182" t="str">
        <f>IF(A533="","",VLOOKUP(A533,MO,2,FALSE))</f>
        <v/>
      </c>
      <c r="C533" s="2183"/>
      <c r="D533" s="2184"/>
      <c r="E533" s="539" t="str">
        <f>IF(A533="","",VLOOKUP(A533,MO,13,FALSE))</f>
        <v/>
      </c>
      <c r="F533" s="545"/>
      <c r="G533" s="377" t="str">
        <f>IF(A533="","",VLOOKUP(A533,MO,15,FALSE))</f>
        <v/>
      </c>
      <c r="H533" s="543" t="str">
        <f>IF(A533="","",ROUND((G533/F533),0))</f>
        <v/>
      </c>
    </row>
    <row r="534" spans="1:8" ht="13.5" thickBot="1">
      <c r="A534" s="285"/>
      <c r="B534" s="285"/>
      <c r="C534" s="285"/>
      <c r="D534" s="285"/>
      <c r="E534" s="286"/>
      <c r="F534" s="285"/>
      <c r="G534" s="317" t="s">
        <v>529</v>
      </c>
      <c r="H534" s="342">
        <f>ROUND(SUM(H530:H533),0)</f>
        <v>143780</v>
      </c>
    </row>
    <row r="535" spans="1:8" ht="13.5" thickBot="1">
      <c r="A535" s="285"/>
      <c r="B535" s="285"/>
      <c r="C535" s="285"/>
      <c r="D535" s="285"/>
      <c r="E535" s="286"/>
      <c r="F535" s="285"/>
      <c r="G535" s="285"/>
      <c r="H535" s="285"/>
    </row>
    <row r="536" spans="1:8" ht="13.5" thickBot="1">
      <c r="A536" s="285"/>
      <c r="B536" s="285"/>
      <c r="C536" s="285"/>
      <c r="D536" s="285"/>
      <c r="E536" s="346" t="s">
        <v>536</v>
      </c>
      <c r="F536" s="347"/>
      <c r="G536" s="347"/>
      <c r="H536" s="348">
        <f>+ROUND(H504+H519+H526+H534,0)</f>
        <v>837338</v>
      </c>
    </row>
    <row r="537" spans="1:8">
      <c r="A537" s="285"/>
      <c r="B537" s="285"/>
      <c r="C537" s="285"/>
      <c r="D537" s="285"/>
      <c r="E537" s="806" t="s">
        <v>2696</v>
      </c>
      <c r="F537" s="807">
        <v>0.3</v>
      </c>
      <c r="G537" s="807">
        <v>0.3</v>
      </c>
      <c r="H537" s="809">
        <f>H536*G537</f>
        <v>251201.4</v>
      </c>
    </row>
    <row r="538" spans="1:8">
      <c r="A538" s="285"/>
      <c r="B538" s="285"/>
      <c r="C538" s="285"/>
      <c r="D538" s="285"/>
      <c r="E538" s="806"/>
      <c r="F538" s="807"/>
      <c r="G538" s="807"/>
      <c r="H538" s="809">
        <f>SUM(H536:H537)</f>
        <v>1088539.3999999999</v>
      </c>
    </row>
    <row r="539" spans="1:8">
      <c r="A539" s="285"/>
      <c r="B539" s="285"/>
      <c r="C539" s="285"/>
      <c r="D539" s="285"/>
      <c r="E539" s="346"/>
      <c r="F539" s="347"/>
      <c r="G539" s="347"/>
      <c r="H539" s="349"/>
    </row>
    <row r="540" spans="1:8">
      <c r="A540" s="285"/>
      <c r="B540" s="285"/>
      <c r="C540" s="285"/>
      <c r="D540" s="285"/>
      <c r="E540" s="346"/>
      <c r="F540" s="347"/>
      <c r="G540" s="347"/>
      <c r="H540" s="349"/>
    </row>
    <row r="541" spans="1:8">
      <c r="A541" s="285"/>
      <c r="B541" s="285"/>
      <c r="C541" s="285"/>
      <c r="D541" s="285"/>
      <c r="E541" s="346"/>
      <c r="F541" s="347"/>
      <c r="G541" s="347"/>
      <c r="H541" s="349"/>
    </row>
    <row r="542" spans="1:8">
      <c r="A542" s="285"/>
      <c r="B542" s="285"/>
      <c r="C542" s="285"/>
      <c r="D542" s="285"/>
      <c r="E542" s="346"/>
      <c r="F542" s="347"/>
      <c r="G542" s="347"/>
      <c r="H542" s="349"/>
    </row>
    <row r="544" spans="1:8">
      <c r="A544" s="703" t="str">
        <f>+[14]PRESUPUESTO!$A$113</f>
        <v>__________________________________________</v>
      </c>
      <c r="B544" s="703"/>
    </row>
    <row r="545" spans="1:8">
      <c r="A545" s="810" t="str">
        <f>+[14]PRESUPUESTO!$A$114</f>
        <v>Ing. JHON FREDY GARCIA MENDEZ</v>
      </c>
      <c r="B545" s="703"/>
    </row>
    <row r="546" spans="1:8">
      <c r="A546" s="811" t="str">
        <f>+[14]PRESUPUESTO!$A$115</f>
        <v>M.P.  70268-326294 TLM.</v>
      </c>
      <c r="B546" s="703"/>
    </row>
    <row r="547" spans="1:8">
      <c r="A547" s="811" t="str">
        <f>+[14]PRESUPUESTO!$A$116</f>
        <v>CONSULTOR</v>
      </c>
      <c r="B547" s="703"/>
    </row>
    <row r="555" spans="1:8" ht="13.5" thickBot="1"/>
    <row r="556" spans="1:8">
      <c r="A556" s="284"/>
      <c r="B556" s="2195"/>
      <c r="C556" s="2195"/>
      <c r="D556" s="2195"/>
      <c r="E556" s="284"/>
      <c r="F556" s="285"/>
      <c r="G556" s="286"/>
      <c r="H556" s="287"/>
    </row>
    <row r="557" spans="1:8" ht="16.5" customHeight="1">
      <c r="A557" s="96">
        <v>2</v>
      </c>
      <c r="B557" s="2185" t="s">
        <v>964</v>
      </c>
      <c r="C557" s="2185"/>
      <c r="D557" s="2185"/>
      <c r="E557" s="2185"/>
      <c r="F557" s="289"/>
      <c r="G557" s="290" t="s">
        <v>525</v>
      </c>
      <c r="H557" s="97" t="s">
        <v>352</v>
      </c>
    </row>
    <row r="558" spans="1:8">
      <c r="A558" s="432">
        <v>2.1</v>
      </c>
      <c r="B558" s="2186" t="s">
        <v>952</v>
      </c>
      <c r="C558" s="2186"/>
      <c r="D558" s="2186"/>
      <c r="E558" s="2186"/>
      <c r="F558" s="291"/>
      <c r="G558" s="290"/>
      <c r="H558" s="97"/>
    </row>
    <row r="559" spans="1:8">
      <c r="A559" s="96"/>
      <c r="B559" s="420"/>
      <c r="C559" s="421"/>
      <c r="D559" s="421"/>
      <c r="E559" s="421"/>
      <c r="F559" s="292"/>
      <c r="G559" s="286"/>
      <c r="H559" s="287"/>
    </row>
    <row r="560" spans="1:8">
      <c r="A560" s="97"/>
      <c r="B560" s="293"/>
      <c r="C560" s="293"/>
      <c r="D560" s="293"/>
      <c r="E560" s="293"/>
      <c r="F560" s="293"/>
      <c r="G560" s="294"/>
      <c r="H560" s="294"/>
    </row>
    <row r="561" spans="1:8" ht="13.5" thickBot="1">
      <c r="A561" s="295" t="s">
        <v>526</v>
      </c>
      <c r="B561" s="295"/>
      <c r="C561" s="285"/>
      <c r="D561" s="296"/>
      <c r="E561" s="296"/>
      <c r="F561" s="296"/>
      <c r="G561" s="296"/>
      <c r="H561" s="296"/>
    </row>
    <row r="562" spans="1:8" ht="13.5" thickBot="1">
      <c r="A562" s="297" t="s">
        <v>527</v>
      </c>
      <c r="B562" s="298"/>
      <c r="C562" s="299" t="s">
        <v>521</v>
      </c>
      <c r="D562" s="300"/>
      <c r="E562" s="301" t="s">
        <v>515</v>
      </c>
      <c r="F562" s="302" t="s">
        <v>528</v>
      </c>
      <c r="G562" s="303" t="s">
        <v>832</v>
      </c>
      <c r="H562" s="278" t="s">
        <v>831</v>
      </c>
    </row>
    <row r="563" spans="1:8">
      <c r="A563" s="304" t="s">
        <v>966</v>
      </c>
      <c r="B563" s="305" t="str">
        <f>IF(A563="","",VLOOKUP(A563,EQUI,2,FALSE))</f>
        <v>Herramienta Menor (5% de la mano de obra).</v>
      </c>
      <c r="C563" s="306"/>
      <c r="D563" s="306"/>
      <c r="E563" s="276" t="str">
        <f>IF(A563="","",VLOOKUP(A563,EQUI,3,FALSE))</f>
        <v>%</v>
      </c>
      <c r="F563" s="433">
        <f>IF(A563="","",VLOOKUP(A563,EQUI,4,FALSE))</f>
        <v>0.05</v>
      </c>
      <c r="G563" s="307">
        <f>ROUND(F563*H599,0)</f>
        <v>4736</v>
      </c>
      <c r="H563" s="308">
        <f>+G563</f>
        <v>4736</v>
      </c>
    </row>
    <row r="564" spans="1:8">
      <c r="A564" s="304" t="s">
        <v>497</v>
      </c>
      <c r="B564" s="305" t="str">
        <f>IF(A564="","",VLOOKUP(A564,EQUI,2,FALSE))</f>
        <v>Mezcladora mecánica (1.0 bultos)</v>
      </c>
      <c r="C564" s="306"/>
      <c r="D564" s="306"/>
      <c r="E564" s="276" t="str">
        <f>IF(A564="","",VLOOKUP(A564,EQUI,3))</f>
        <v>Dia</v>
      </c>
      <c r="F564" s="405">
        <v>0.1</v>
      </c>
      <c r="G564" s="310">
        <f>IF(A564="","",VLOOKUP(A564,EQUI,4))</f>
        <v>80000</v>
      </c>
      <c r="H564" s="311">
        <f>IF(A564="","",ROUND((G564*F564),0))</f>
        <v>8000</v>
      </c>
    </row>
    <row r="565" spans="1:8">
      <c r="A565" s="304"/>
      <c r="B565" s="305" t="str">
        <f>IF(A565="","",VLOOKUP(A565,EQUI,2))</f>
        <v/>
      </c>
      <c r="C565" s="306"/>
      <c r="D565" s="306"/>
      <c r="E565" s="276" t="str">
        <f>IF(A565="","",VLOOKUP(A565,EQUI,3))</f>
        <v/>
      </c>
      <c r="F565" s="405"/>
      <c r="G565" s="310" t="str">
        <f>IF(A565="","",VLOOKUP(A565,EQUI,4))</f>
        <v/>
      </c>
      <c r="H565" s="311" t="str">
        <f>IF(A565="","",ROUND((G565*F565),0))</f>
        <v/>
      </c>
    </row>
    <row r="566" spans="1:8">
      <c r="A566" s="304"/>
      <c r="B566" s="305" t="str">
        <f>IF(A566="","",VLOOKUP(A566,EQUI,2))</f>
        <v/>
      </c>
      <c r="C566" s="306"/>
      <c r="D566" s="306"/>
      <c r="E566" s="276" t="str">
        <f>IF(A566="","",VLOOKUP(A566,EQUI,3))</f>
        <v/>
      </c>
      <c r="F566" s="405"/>
      <c r="G566" s="310" t="str">
        <f>IF(A566="","",VLOOKUP(A566,EQUI,4))</f>
        <v/>
      </c>
      <c r="H566" s="311" t="str">
        <f>IF(A566="","",ROUND((G566*F566),0))</f>
        <v/>
      </c>
    </row>
    <row r="567" spans="1:8">
      <c r="A567" s="304"/>
      <c r="B567" s="305" t="str">
        <f>IF(A567="","",VLOOKUP(A567,EQUI,2))</f>
        <v/>
      </c>
      <c r="C567" s="306"/>
      <c r="D567" s="306"/>
      <c r="E567" s="276" t="str">
        <f>IF(A567="","",VLOOKUP(A567,EQUI,3))</f>
        <v/>
      </c>
      <c r="F567" s="405"/>
      <c r="G567" s="310" t="str">
        <f>IF(A567="","",VLOOKUP(A567,EQUI,4))</f>
        <v/>
      </c>
      <c r="H567" s="311" t="str">
        <f>IF(A567="","",ROUND((G567*F567),0))</f>
        <v/>
      </c>
    </row>
    <row r="568" spans="1:8" ht="13.5" thickBot="1">
      <c r="A568" s="312"/>
      <c r="B568" s="313" t="str">
        <f>IF(A568="","",VLOOKUP(A568,EQUI,2))</f>
        <v/>
      </c>
      <c r="C568" s="313"/>
      <c r="D568" s="314"/>
      <c r="E568" s="315" t="str">
        <f>IF(A568="","",VLOOKUP(A568,EQUI,3))</f>
        <v/>
      </c>
      <c r="F568" s="408"/>
      <c r="G568" s="316" t="str">
        <f>IF(A568="","",VLOOKUP(A568,EQUI,4))</f>
        <v/>
      </c>
      <c r="H568" s="311" t="str">
        <f>IF(A568="","",ROUND((G568*F568),0))</f>
        <v/>
      </c>
    </row>
    <row r="569" spans="1:8" ht="13.5" thickBot="1">
      <c r="A569" s="285"/>
      <c r="B569" s="285"/>
      <c r="C569" s="285"/>
      <c r="D569" s="285"/>
      <c r="E569" s="286"/>
      <c r="F569" s="285"/>
      <c r="G569" s="317" t="s">
        <v>529</v>
      </c>
      <c r="H569" s="318">
        <f>ROUND(SUM(H563:H568),0)</f>
        <v>12736</v>
      </c>
    </row>
    <row r="570" spans="1:8">
      <c r="A570" s="285"/>
      <c r="B570" s="285"/>
      <c r="C570" s="285"/>
      <c r="D570" s="285"/>
      <c r="E570" s="286"/>
      <c r="F570" s="285"/>
      <c r="G570" s="286"/>
      <c r="H570" s="319"/>
    </row>
    <row r="571" spans="1:8" ht="13.5" thickBot="1">
      <c r="A571" s="295" t="s">
        <v>530</v>
      </c>
      <c r="B571" s="295"/>
      <c r="C571" s="295"/>
      <c r="D571" s="295"/>
      <c r="E571" s="320"/>
      <c r="F571" s="314"/>
      <c r="G571" s="314"/>
      <c r="H571" s="314"/>
    </row>
    <row r="572" spans="1:8" ht="13.5" thickBot="1">
      <c r="A572" s="297" t="s">
        <v>527</v>
      </c>
      <c r="B572" s="298"/>
      <c r="C572" s="299" t="s">
        <v>521</v>
      </c>
      <c r="D572" s="299"/>
      <c r="E572" s="321" t="s">
        <v>515</v>
      </c>
      <c r="F572" s="322" t="s">
        <v>7</v>
      </c>
      <c r="G572" s="303" t="s">
        <v>832</v>
      </c>
      <c r="H572" s="278" t="s">
        <v>831</v>
      </c>
    </row>
    <row r="573" spans="1:8">
      <c r="A573" s="323" t="s">
        <v>134</v>
      </c>
      <c r="B573" s="353" t="str">
        <f t="shared" ref="B573:B583" si="37">IF(A573="","",VLOOKUP(A573,MAT,2,FALSE))</f>
        <v>Agua</v>
      </c>
      <c r="C573" s="305"/>
      <c r="D573" s="306"/>
      <c r="E573" s="276" t="str">
        <f>IF(A573="","",VLOOKUP(A573,MAT,3,FALSE))</f>
        <v>Lt</v>
      </c>
      <c r="F573" s="405">
        <v>250</v>
      </c>
      <c r="G573" s="310">
        <f>IF(A573="","",VLOOKUP(A573,MAT,5,FALSE))</f>
        <v>20</v>
      </c>
      <c r="H573" s="311">
        <f>IF(A573="","",ROUND((G573*F573),0))</f>
        <v>5000</v>
      </c>
    </row>
    <row r="574" spans="1:8">
      <c r="A574" s="324" t="s">
        <v>560</v>
      </c>
      <c r="B574" s="353" t="str">
        <f t="shared" si="37"/>
        <v>Arena fina de río.</v>
      </c>
      <c r="C574" s="305"/>
      <c r="D574" s="306"/>
      <c r="E574" s="276" t="str">
        <f>IF(A574="","",VLOOKUP(A574,MAT,3,FALSE))</f>
        <v>m3</v>
      </c>
      <c r="F574" s="405">
        <v>0.97</v>
      </c>
      <c r="G574" s="310">
        <f>IF(A574="","",VLOOKUP(A574,MAT,5,FALSE))</f>
        <v>60000</v>
      </c>
      <c r="H574" s="311">
        <f>IF(A574="","",ROUND((G574*F574),0))</f>
        <v>58200</v>
      </c>
    </row>
    <row r="575" spans="1:8">
      <c r="A575" s="324" t="s">
        <v>576</v>
      </c>
      <c r="B575" s="353" t="str">
        <f t="shared" si="37"/>
        <v>Cemento gris tipo Portland.</v>
      </c>
      <c r="C575" s="305"/>
      <c r="D575" s="306"/>
      <c r="E575" s="276" t="str">
        <f>IF(A575="","",VLOOKUP(A575,MAT,3,FALSE))</f>
        <v>Kg.</v>
      </c>
      <c r="F575" s="405">
        <v>610</v>
      </c>
      <c r="G575" s="310">
        <f>IF(A575="","",VLOOKUP(A575,MAT,5,FALSE))</f>
        <v>700</v>
      </c>
      <c r="H575" s="311">
        <f>IF(A575="","",ROUND((G575*F575),0))</f>
        <v>427000</v>
      </c>
    </row>
    <row r="576" spans="1:8">
      <c r="A576" s="324"/>
      <c r="B576" s="305" t="str">
        <f t="shared" si="37"/>
        <v/>
      </c>
      <c r="C576" s="305"/>
      <c r="D576" s="306"/>
      <c r="E576" s="276" t="str">
        <f t="shared" ref="E576:E582" si="38">IF(A576="","",VLOOKUP(A576,MAT,3,FALSE))</f>
        <v/>
      </c>
      <c r="F576" s="405"/>
      <c r="G576" s="310" t="str">
        <f t="shared" ref="G576:G582" si="39">IF(A576="","",VLOOKUP(A576,MAT,5,FALSE))</f>
        <v/>
      </c>
      <c r="H576" s="311" t="str">
        <f t="shared" ref="H576:H582" si="40">IF(A576="","",ROUND((G576*F576),0))</f>
        <v/>
      </c>
    </row>
    <row r="577" spans="1:8">
      <c r="A577" s="324"/>
      <c r="B577" s="305" t="str">
        <f t="shared" si="37"/>
        <v/>
      </c>
      <c r="C577" s="305"/>
      <c r="D577" s="306"/>
      <c r="E577" s="276" t="str">
        <f t="shared" si="38"/>
        <v/>
      </c>
      <c r="F577" s="405"/>
      <c r="G577" s="310" t="str">
        <f t="shared" si="39"/>
        <v/>
      </c>
      <c r="H577" s="311" t="str">
        <f t="shared" si="40"/>
        <v/>
      </c>
    </row>
    <row r="578" spans="1:8">
      <c r="A578" s="324"/>
      <c r="B578" s="305" t="str">
        <f t="shared" si="37"/>
        <v/>
      </c>
      <c r="C578" s="305"/>
      <c r="D578" s="306"/>
      <c r="E578" s="276" t="str">
        <f t="shared" si="38"/>
        <v/>
      </c>
      <c r="F578" s="405"/>
      <c r="G578" s="310" t="str">
        <f t="shared" si="39"/>
        <v/>
      </c>
      <c r="H578" s="311" t="str">
        <f t="shared" si="40"/>
        <v/>
      </c>
    </row>
    <row r="579" spans="1:8">
      <c r="A579" s="324"/>
      <c r="B579" s="305" t="str">
        <f t="shared" si="37"/>
        <v/>
      </c>
      <c r="C579" s="305"/>
      <c r="D579" s="306"/>
      <c r="E579" s="276" t="str">
        <f t="shared" si="38"/>
        <v/>
      </c>
      <c r="F579" s="405"/>
      <c r="G579" s="310" t="str">
        <f t="shared" si="39"/>
        <v/>
      </c>
      <c r="H579" s="311" t="str">
        <f t="shared" si="40"/>
        <v/>
      </c>
    </row>
    <row r="580" spans="1:8">
      <c r="A580" s="324"/>
      <c r="B580" s="305" t="str">
        <f t="shared" si="37"/>
        <v/>
      </c>
      <c r="C580" s="305"/>
      <c r="D580" s="306"/>
      <c r="E580" s="276" t="str">
        <f t="shared" si="38"/>
        <v/>
      </c>
      <c r="F580" s="405"/>
      <c r="G580" s="310" t="str">
        <f t="shared" si="39"/>
        <v/>
      </c>
      <c r="H580" s="311" t="str">
        <f t="shared" si="40"/>
        <v/>
      </c>
    </row>
    <row r="581" spans="1:8">
      <c r="A581" s="324"/>
      <c r="B581" s="305" t="str">
        <f t="shared" si="37"/>
        <v/>
      </c>
      <c r="C581" s="305"/>
      <c r="D581" s="306"/>
      <c r="E581" s="276" t="str">
        <f t="shared" si="38"/>
        <v/>
      </c>
      <c r="F581" s="405"/>
      <c r="G581" s="310" t="str">
        <f t="shared" si="39"/>
        <v/>
      </c>
      <c r="H581" s="311" t="str">
        <f t="shared" si="40"/>
        <v/>
      </c>
    </row>
    <row r="582" spans="1:8">
      <c r="A582" s="324"/>
      <c r="B582" s="305" t="str">
        <f t="shared" si="37"/>
        <v/>
      </c>
      <c r="C582" s="305"/>
      <c r="D582" s="306"/>
      <c r="E582" s="276" t="str">
        <f t="shared" si="38"/>
        <v/>
      </c>
      <c r="F582" s="405"/>
      <c r="G582" s="310" t="str">
        <f t="shared" si="39"/>
        <v/>
      </c>
      <c r="H582" s="311" t="str">
        <f t="shared" si="40"/>
        <v/>
      </c>
    </row>
    <row r="583" spans="1:8" ht="13.5" thickBot="1">
      <c r="A583" s="325"/>
      <c r="B583" s="326" t="str">
        <f t="shared" si="37"/>
        <v/>
      </c>
      <c r="C583" s="314"/>
      <c r="D583" s="314"/>
      <c r="E583" s="315" t="str">
        <f>IF(A583="","",VLOOKUP(A583,MAT,3,FALSE))</f>
        <v/>
      </c>
      <c r="F583" s="406"/>
      <c r="G583" s="327" t="str">
        <f>IF(A583="","",VLOOKUP(A583,MAT,5,FALSE))</f>
        <v/>
      </c>
      <c r="H583" s="311" t="str">
        <f>IF(A583="","",ROUND((G583*F583),0))</f>
        <v/>
      </c>
    </row>
    <row r="584" spans="1:8" ht="13.5" thickBot="1">
      <c r="A584" s="285"/>
      <c r="B584" s="285"/>
      <c r="C584" s="285"/>
      <c r="D584" s="285"/>
      <c r="E584" s="286"/>
      <c r="F584" s="285"/>
      <c r="G584" s="210" t="s">
        <v>529</v>
      </c>
      <c r="H584" s="328">
        <f>ROUND(SUM(H573:H583),0)</f>
        <v>490200</v>
      </c>
    </row>
    <row r="585" spans="1:8">
      <c r="A585" s="285"/>
      <c r="B585" s="285"/>
      <c r="C585" s="285"/>
      <c r="D585" s="285"/>
      <c r="E585" s="286"/>
      <c r="F585" s="285"/>
      <c r="G585" s="286"/>
      <c r="H585" s="329"/>
    </row>
    <row r="586" spans="1:8" ht="13.5" thickBot="1">
      <c r="A586" s="295" t="s">
        <v>531</v>
      </c>
      <c r="B586" s="285"/>
      <c r="C586" s="285"/>
      <c r="D586" s="285"/>
      <c r="E586" s="286"/>
      <c r="F586" s="285"/>
      <c r="G586" s="286"/>
      <c r="H586" s="330"/>
    </row>
    <row r="587" spans="1:8" ht="13.5" thickBot="1">
      <c r="A587" s="297" t="s">
        <v>527</v>
      </c>
      <c r="B587" s="2187" t="s">
        <v>532</v>
      </c>
      <c r="C587" s="2188"/>
      <c r="D587" s="331" t="s">
        <v>821</v>
      </c>
      <c r="E587" s="331" t="s">
        <v>820</v>
      </c>
      <c r="F587" s="331" t="s">
        <v>823</v>
      </c>
      <c r="G587" s="331" t="s">
        <v>963</v>
      </c>
      <c r="H587" s="416" t="s">
        <v>831</v>
      </c>
    </row>
    <row r="588" spans="1:8">
      <c r="A588" s="332" t="s">
        <v>560</v>
      </c>
      <c r="B588" s="305" t="str">
        <f>IF(A588="","",VLOOKUP(A588,MAT,2,FALSE))</f>
        <v>Arena fina de río.</v>
      </c>
      <c r="C588" s="333"/>
      <c r="D588" s="409" t="str">
        <f>IF(A588="","",VLOOKUP(A588,MAT,3,FALSE))</f>
        <v>m3</v>
      </c>
      <c r="E588" s="419">
        <f>IF(A588="","",VLOOKUP(A588,MAT,6,FALSE))</f>
        <v>15</v>
      </c>
      <c r="F588" s="413">
        <f>IF(A588="","",VLOOKUP(A588,A573:H583,6,FALSE))</f>
        <v>0.97</v>
      </c>
      <c r="G588" s="334">
        <f>IF(A588="","",VLOOKUP(A588,MAT,7,FALSE))</f>
        <v>1500</v>
      </c>
      <c r="H588" s="311">
        <f>IF(A588="","",ROUND((G588*F588*E588),0))</f>
        <v>21825</v>
      </c>
    </row>
    <row r="589" spans="1:8">
      <c r="A589" s="335"/>
      <c r="B589" s="305" t="str">
        <f>IF(A589="","",VLOOKUP(A589,MAT,2,FALSE))</f>
        <v/>
      </c>
      <c r="D589" s="410" t="str">
        <f>IF(A589="","",VLOOKUP(A589,MAT,3,FALSE))</f>
        <v/>
      </c>
      <c r="E589" s="419" t="str">
        <f>IF(A589="","",VLOOKUP(A589,MAT,6,FALSE))</f>
        <v/>
      </c>
      <c r="F589" s="413" t="str">
        <f>IF(A589="","",VLOOKUP(A589,A573:H583,6,FALSE))</f>
        <v/>
      </c>
      <c r="G589" s="336" t="str">
        <f>IF(A589="","",VLOOKUP(A589,MAT,7,FALSE))</f>
        <v/>
      </c>
      <c r="H589" s="311" t="str">
        <f>IF(A589="","",ROUND((G589*F589*E589),0))</f>
        <v/>
      </c>
    </row>
    <row r="590" spans="1:8" ht="13.5" thickBot="1">
      <c r="A590" s="337"/>
      <c r="B590" s="338" t="str">
        <f>IF(A590="","",VLOOKUP(A590,MAT,2,FALSE))</f>
        <v/>
      </c>
      <c r="C590" s="338"/>
      <c r="D590" s="411" t="str">
        <f>IF(A590="","",VLOOKUP(A590,MAT,3,FALSE))</f>
        <v/>
      </c>
      <c r="E590" s="412" t="str">
        <f>IF(A590="","",VLOOKUP(A590,MAT,6,FALSE))</f>
        <v/>
      </c>
      <c r="F590" s="418" t="str">
        <f>IF(A590="","",VLOOKUP(A590,$A$23:$H$33,6,FALSE))</f>
        <v/>
      </c>
      <c r="G590" s="339" t="str">
        <f>IF(A590="","",VLOOKUP(A590,MAT,7,FALSE))</f>
        <v/>
      </c>
      <c r="H590" s="417" t="str">
        <f>IF(A590="","",ROUND((G590*F590*E590),0))</f>
        <v/>
      </c>
    </row>
    <row r="591" spans="1:8" ht="13.5" thickBot="1">
      <c r="E591" s="340"/>
      <c r="F591" s="341"/>
      <c r="G591" s="414" t="s">
        <v>529</v>
      </c>
      <c r="H591" s="415">
        <f>ROUND(SUM(H588:H590),0)</f>
        <v>21825</v>
      </c>
    </row>
    <row r="592" spans="1:8">
      <c r="E592" s="340"/>
      <c r="F592" s="341"/>
      <c r="G592" s="286"/>
      <c r="H592" s="343"/>
    </row>
    <row r="593" spans="1:8" ht="13.5" thickBot="1">
      <c r="A593" s="295" t="s">
        <v>534</v>
      </c>
      <c r="B593" s="295"/>
      <c r="C593" s="295"/>
      <c r="D593" s="285"/>
      <c r="E593" s="286"/>
      <c r="F593" s="285"/>
      <c r="G593" s="285"/>
      <c r="H593" s="314"/>
    </row>
    <row r="594" spans="1:8" ht="13.5" thickBot="1">
      <c r="A594" s="297" t="s">
        <v>527</v>
      </c>
      <c r="B594" s="2189" t="s">
        <v>514</v>
      </c>
      <c r="C594" s="2190"/>
      <c r="D594" s="2191"/>
      <c r="E594" s="277" t="s">
        <v>515</v>
      </c>
      <c r="F594" s="277" t="s">
        <v>535</v>
      </c>
      <c r="G594" s="531" t="s">
        <v>944</v>
      </c>
      <c r="H594" s="416" t="s">
        <v>831</v>
      </c>
    </row>
    <row r="595" spans="1:8">
      <c r="A595" s="344" t="s">
        <v>932</v>
      </c>
      <c r="B595" s="2192" t="str">
        <f>IF(A595="","",VLOOKUP(A595,MO,2,FALSE))</f>
        <v>Cuadrilla LL: Mezclas. (1 Of. + 3 Ayud.).</v>
      </c>
      <c r="C595" s="2193"/>
      <c r="D595" s="2194"/>
      <c r="E595" s="538" t="str">
        <f>IF(A595="","",VLOOKUP(A595,MO,13,FALSE))</f>
        <v>HC</v>
      </c>
      <c r="F595" s="544">
        <v>0.85</v>
      </c>
      <c r="G595" s="540">
        <f>IF(A595="","",VLOOKUP(A595,MO,15,FALSE))</f>
        <v>80517</v>
      </c>
      <c r="H595" s="542">
        <f>IF(A595="","",ROUND((G595/F595),0))</f>
        <v>94726</v>
      </c>
    </row>
    <row r="596" spans="1:8">
      <c r="A596" s="344"/>
      <c r="B596" s="2179" t="str">
        <f>IF(A596="","",VLOOKUP(A596,MO,2,FALSE))</f>
        <v/>
      </c>
      <c r="C596" s="2180"/>
      <c r="D596" s="2181"/>
      <c r="E596" s="538" t="str">
        <f>IF(A596="","",VLOOKUP(A596,MO,13,FALSE))</f>
        <v/>
      </c>
      <c r="F596" s="544"/>
      <c r="G596" s="540" t="str">
        <f>IF(A596="","",VLOOKUP(A596,MO,15,FALSE))</f>
        <v/>
      </c>
      <c r="H596" s="542" t="str">
        <f>IF(A596="","",ROUND((G596/F596),0))</f>
        <v/>
      </c>
    </row>
    <row r="597" spans="1:8">
      <c r="A597" s="344"/>
      <c r="B597" s="2179" t="str">
        <f>IF(A597="","",VLOOKUP(A597,MO,2,FALSE))</f>
        <v/>
      </c>
      <c r="C597" s="2180"/>
      <c r="D597" s="2181"/>
      <c r="E597" s="538" t="str">
        <f>IF(A597="","",VLOOKUP(A597,MO,13,FALSE))</f>
        <v/>
      </c>
      <c r="F597" s="544"/>
      <c r="G597" s="541" t="str">
        <f>IF(A597="","",VLOOKUP(A597,MO,15,FALSE))</f>
        <v/>
      </c>
      <c r="H597" s="542" t="str">
        <f>IF(A597="","",ROUND((G597/F597),0))</f>
        <v/>
      </c>
    </row>
    <row r="598" spans="1:8" ht="13.5" thickBot="1">
      <c r="A598" s="345"/>
      <c r="B598" s="2182" t="str">
        <f>IF(A598="","",VLOOKUP(A598,MO,2,FALSE))</f>
        <v/>
      </c>
      <c r="C598" s="2183"/>
      <c r="D598" s="2184"/>
      <c r="E598" s="539" t="str">
        <f>IF(A598="","",VLOOKUP(A598,MO,13,FALSE))</f>
        <v/>
      </c>
      <c r="F598" s="545"/>
      <c r="G598" s="377" t="str">
        <f>IF(A598="","",VLOOKUP(A598,MO,15,FALSE))</f>
        <v/>
      </c>
      <c r="H598" s="543" t="str">
        <f>IF(A598="","",ROUND((G598/F598),0))</f>
        <v/>
      </c>
    </row>
    <row r="599" spans="1:8" ht="13.5" thickBot="1">
      <c r="A599" s="285"/>
      <c r="B599" s="285"/>
      <c r="C599" s="285"/>
      <c r="D599" s="285"/>
      <c r="E599" s="286"/>
      <c r="F599" s="285"/>
      <c r="G599" s="317" t="s">
        <v>529</v>
      </c>
      <c r="H599" s="342">
        <f>ROUND(SUM(H595:H598),0)</f>
        <v>94726</v>
      </c>
    </row>
    <row r="600" spans="1:8" ht="13.5" thickBot="1">
      <c r="A600" s="285"/>
      <c r="B600" s="285"/>
      <c r="C600" s="285"/>
      <c r="D600" s="285"/>
      <c r="E600" s="286"/>
      <c r="F600" s="285"/>
      <c r="G600" s="285"/>
      <c r="H600" s="285"/>
    </row>
    <row r="601" spans="1:8" ht="13.5" thickBot="1">
      <c r="A601" s="285"/>
      <c r="B601" s="285"/>
      <c r="C601" s="285"/>
      <c r="D601" s="285"/>
      <c r="E601" s="346" t="s">
        <v>536</v>
      </c>
      <c r="F601" s="347"/>
      <c r="G601" s="347"/>
      <c r="H601" s="348">
        <f>+ROUND(H569+H584+H591+H599,0)</f>
        <v>619487</v>
      </c>
    </row>
    <row r="602" spans="1:8">
      <c r="A602" s="285"/>
      <c r="B602" s="285"/>
      <c r="C602" s="285"/>
      <c r="D602" s="285"/>
      <c r="E602" s="806" t="s">
        <v>2696</v>
      </c>
      <c r="F602" s="807">
        <v>0.3</v>
      </c>
      <c r="G602" s="807">
        <v>0.3</v>
      </c>
      <c r="H602" s="809">
        <f>H601*G602</f>
        <v>185846.1</v>
      </c>
    </row>
    <row r="603" spans="1:8">
      <c r="E603" s="806"/>
      <c r="F603" s="807"/>
      <c r="G603" s="807"/>
      <c r="H603" s="809">
        <f>SUM(H601:H602)</f>
        <v>805333.1</v>
      </c>
    </row>
    <row r="604" spans="1:8">
      <c r="A604" s="703" t="str">
        <f>+[14]PRESUPUESTO!$A$113</f>
        <v>__________________________________________</v>
      </c>
      <c r="B604" s="703"/>
    </row>
    <row r="605" spans="1:8">
      <c r="A605" s="810" t="str">
        <f>+[14]PRESUPUESTO!$A$114</f>
        <v>Ing. JHON FREDY GARCIA MENDEZ</v>
      </c>
      <c r="B605" s="703"/>
    </row>
    <row r="606" spans="1:8">
      <c r="A606" s="811" t="str">
        <f>+[14]PRESUPUESTO!$A$115</f>
        <v>M.P.  70268-326294 TLM.</v>
      </c>
      <c r="B606" s="703"/>
    </row>
    <row r="607" spans="1:8">
      <c r="A607" s="811" t="str">
        <f>+[14]PRESUPUESTO!$A$116</f>
        <v>CONSULTOR</v>
      </c>
      <c r="B607" s="703"/>
    </row>
    <row r="623" spans="1:8" ht="13.5" thickBot="1"/>
    <row r="624" spans="1:8">
      <c r="A624" s="284"/>
      <c r="B624" s="2195"/>
      <c r="C624" s="2196"/>
      <c r="D624" s="2196"/>
      <c r="E624" s="284"/>
      <c r="F624" s="285"/>
      <c r="G624" s="286"/>
      <c r="H624" s="287"/>
    </row>
    <row r="625" spans="1:8">
      <c r="A625" s="96">
        <v>2</v>
      </c>
      <c r="B625" s="2185" t="s">
        <v>964</v>
      </c>
      <c r="C625" s="2185"/>
      <c r="D625" s="2185"/>
      <c r="E625" s="2185"/>
      <c r="F625" s="289"/>
      <c r="G625" s="290" t="s">
        <v>525</v>
      </c>
      <c r="H625" s="97" t="s">
        <v>352</v>
      </c>
    </row>
    <row r="626" spans="1:8">
      <c r="A626" s="432">
        <v>2.2000000000000002</v>
      </c>
      <c r="B626" s="2186" t="s">
        <v>549</v>
      </c>
      <c r="C626" s="2186"/>
      <c r="D626" s="2186"/>
      <c r="E626" s="2186"/>
      <c r="F626" s="291"/>
      <c r="G626" s="290"/>
      <c r="H626" s="97"/>
    </row>
    <row r="627" spans="1:8">
      <c r="A627" s="96"/>
      <c r="B627" s="420"/>
      <c r="C627" s="421"/>
      <c r="D627" s="421"/>
      <c r="E627" s="421"/>
      <c r="F627" s="292"/>
      <c r="G627" s="286"/>
      <c r="H627" s="287"/>
    </row>
    <row r="628" spans="1:8">
      <c r="A628" s="97"/>
      <c r="B628" s="293"/>
      <c r="C628" s="293"/>
      <c r="D628" s="293"/>
      <c r="E628" s="293"/>
      <c r="F628" s="293"/>
      <c r="G628" s="294"/>
      <c r="H628" s="294"/>
    </row>
    <row r="629" spans="1:8" ht="13.5" thickBot="1">
      <c r="A629" s="295" t="s">
        <v>526</v>
      </c>
      <c r="B629" s="295"/>
      <c r="C629" s="285"/>
      <c r="D629" s="296"/>
      <c r="E629" s="296"/>
      <c r="F629" s="296"/>
      <c r="G629" s="296"/>
      <c r="H629" s="296"/>
    </row>
    <row r="630" spans="1:8" ht="13.5" thickBot="1">
      <c r="A630" s="297" t="s">
        <v>527</v>
      </c>
      <c r="B630" s="298"/>
      <c r="C630" s="299" t="s">
        <v>521</v>
      </c>
      <c r="D630" s="300"/>
      <c r="E630" s="301" t="s">
        <v>515</v>
      </c>
      <c r="F630" s="302" t="s">
        <v>528</v>
      </c>
      <c r="G630" s="303" t="s">
        <v>832</v>
      </c>
      <c r="H630" s="278" t="s">
        <v>831</v>
      </c>
    </row>
    <row r="631" spans="1:8">
      <c r="A631" s="304" t="s">
        <v>966</v>
      </c>
      <c r="B631" s="305" t="str">
        <f>IF(A631="","",VLOOKUP(A631,EQUI,2,FALSE))</f>
        <v>Herramienta Menor (5% de la mano de obra).</v>
      </c>
      <c r="C631" s="306"/>
      <c r="D631" s="306"/>
      <c r="E631" s="276" t="str">
        <f>IF(A631="","",VLOOKUP(A631,EQUI,3,FALSE))</f>
        <v>%</v>
      </c>
      <c r="F631" s="433">
        <f>IF(A631="","",VLOOKUP(A631,EQUI,4,FALSE))</f>
        <v>0.05</v>
      </c>
      <c r="G631" s="307">
        <f>ROUND(F631*H667,0)</f>
        <v>4736</v>
      </c>
      <c r="H631" s="308">
        <f>+G631</f>
        <v>4736</v>
      </c>
    </row>
    <row r="632" spans="1:8">
      <c r="A632" s="304" t="s">
        <v>497</v>
      </c>
      <c r="B632" s="305" t="str">
        <f>IF(A632="","",VLOOKUP(A632,EQUI,2,FALSE))</f>
        <v>Mezcladora mecánica (1.0 bultos)</v>
      </c>
      <c r="C632" s="306"/>
      <c r="D632" s="306"/>
      <c r="E632" s="276" t="str">
        <f>IF(A632="","",VLOOKUP(A632,EQUI,3))</f>
        <v>Dia</v>
      </c>
      <c r="F632" s="405">
        <v>0.1</v>
      </c>
      <c r="G632" s="310">
        <f>IF(A632="","",VLOOKUP(A632,EQUI,4))</f>
        <v>80000</v>
      </c>
      <c r="H632" s="311">
        <f>IF(A632="","",ROUND((G632*F632),0))</f>
        <v>8000</v>
      </c>
    </row>
    <row r="633" spans="1:8">
      <c r="A633" s="304"/>
      <c r="B633" s="305" t="str">
        <f>IF(A633="","",VLOOKUP(A633,EQUI,2))</f>
        <v/>
      </c>
      <c r="C633" s="306"/>
      <c r="D633" s="306"/>
      <c r="E633" s="276" t="str">
        <f>IF(A633="","",VLOOKUP(A633,EQUI,3))</f>
        <v/>
      </c>
      <c r="F633" s="405"/>
      <c r="G633" s="310" t="str">
        <f>IF(A633="","",VLOOKUP(A633,EQUI,4))</f>
        <v/>
      </c>
      <c r="H633" s="311" t="str">
        <f>IF(A633="","",ROUND((G633*F633),0))</f>
        <v/>
      </c>
    </row>
    <row r="634" spans="1:8">
      <c r="A634" s="304"/>
      <c r="B634" s="305" t="str">
        <f>IF(A634="","",VLOOKUP(A634,EQUI,2))</f>
        <v/>
      </c>
      <c r="C634" s="306"/>
      <c r="D634" s="306"/>
      <c r="E634" s="276" t="str">
        <f>IF(A634="","",VLOOKUP(A634,EQUI,3))</f>
        <v/>
      </c>
      <c r="F634" s="405"/>
      <c r="G634" s="310" t="str">
        <f>IF(A634="","",VLOOKUP(A634,EQUI,4))</f>
        <v/>
      </c>
      <c r="H634" s="311" t="str">
        <f>IF(A634="","",ROUND((G634*F634),0))</f>
        <v/>
      </c>
    </row>
    <row r="635" spans="1:8">
      <c r="A635" s="304"/>
      <c r="B635" s="305" t="str">
        <f>IF(A635="","",VLOOKUP(A635,EQUI,2))</f>
        <v/>
      </c>
      <c r="C635" s="306"/>
      <c r="D635" s="306"/>
      <c r="E635" s="276" t="str">
        <f>IF(A635="","",VLOOKUP(A635,EQUI,3))</f>
        <v/>
      </c>
      <c r="F635" s="405"/>
      <c r="G635" s="310" t="str">
        <f>IF(A635="","",VLOOKUP(A635,EQUI,4))</f>
        <v/>
      </c>
      <c r="H635" s="311" t="str">
        <f>IF(A635="","",ROUND((G635*F635),0))</f>
        <v/>
      </c>
    </row>
    <row r="636" spans="1:8" ht="13.5" thickBot="1">
      <c r="A636" s="312"/>
      <c r="B636" s="313" t="str">
        <f>IF(A636="","",VLOOKUP(A636,EQUI,2))</f>
        <v/>
      </c>
      <c r="C636" s="313"/>
      <c r="D636" s="314"/>
      <c r="E636" s="315" t="str">
        <f>IF(A636="","",VLOOKUP(A636,EQUI,3))</f>
        <v/>
      </c>
      <c r="F636" s="408"/>
      <c r="G636" s="316" t="str">
        <f>IF(A636="","",VLOOKUP(A636,EQUI,4))</f>
        <v/>
      </c>
      <c r="H636" s="311" t="str">
        <f>IF(A636="","",ROUND((G636*F636),0))</f>
        <v/>
      </c>
    </row>
    <row r="637" spans="1:8" ht="13.5" thickBot="1">
      <c r="A637" s="285"/>
      <c r="B637" s="285"/>
      <c r="C637" s="285"/>
      <c r="D637" s="285"/>
      <c r="E637" s="286"/>
      <c r="F637" s="285"/>
      <c r="G637" s="317" t="s">
        <v>529</v>
      </c>
      <c r="H637" s="318">
        <f>ROUND(SUM(H631:H636),0)</f>
        <v>12736</v>
      </c>
    </row>
    <row r="638" spans="1:8">
      <c r="A638" s="285"/>
      <c r="B638" s="285"/>
      <c r="C638" s="285"/>
      <c r="D638" s="285"/>
      <c r="E638" s="286"/>
      <c r="F638" s="285"/>
      <c r="G638" s="286"/>
      <c r="H638" s="319"/>
    </row>
    <row r="639" spans="1:8" ht="13.5" thickBot="1">
      <c r="A639" s="295" t="s">
        <v>530</v>
      </c>
      <c r="B639" s="295"/>
      <c r="C639" s="295"/>
      <c r="D639" s="295"/>
      <c r="E639" s="320"/>
      <c r="F639" s="314"/>
      <c r="G639" s="314"/>
      <c r="H639" s="314"/>
    </row>
    <row r="640" spans="1:8" ht="13.5" thickBot="1">
      <c r="A640" s="297" t="s">
        <v>527</v>
      </c>
      <c r="B640" s="298"/>
      <c r="C640" s="299" t="s">
        <v>521</v>
      </c>
      <c r="D640" s="299"/>
      <c r="E640" s="321" t="s">
        <v>515</v>
      </c>
      <c r="F640" s="322" t="s">
        <v>7</v>
      </c>
      <c r="G640" s="303" t="s">
        <v>832</v>
      </c>
      <c r="H640" s="278" t="s">
        <v>831</v>
      </c>
    </row>
    <row r="641" spans="1:8">
      <c r="A641" s="323" t="s">
        <v>134</v>
      </c>
      <c r="B641" s="353" t="str">
        <f t="shared" ref="B641:B651" si="41">IF(A641="","",VLOOKUP(A641,MAT,2,FALSE))</f>
        <v>Agua</v>
      </c>
      <c r="C641" s="305"/>
      <c r="D641" s="306"/>
      <c r="E641" s="276" t="str">
        <f>IF(A641="","",VLOOKUP(A641,MAT,3,FALSE))</f>
        <v>Lt</v>
      </c>
      <c r="F641" s="405">
        <v>240</v>
      </c>
      <c r="G641" s="310">
        <f>IF(A641="","",VLOOKUP(A641,MAT,5,FALSE))</f>
        <v>20</v>
      </c>
      <c r="H641" s="311">
        <f>IF(A641="","",ROUND((G641*F641),0))</f>
        <v>4800</v>
      </c>
    </row>
    <row r="642" spans="1:8">
      <c r="A642" s="324" t="s">
        <v>560</v>
      </c>
      <c r="B642" s="353" t="str">
        <f t="shared" si="41"/>
        <v>Arena fina de río.</v>
      </c>
      <c r="C642" s="305"/>
      <c r="D642" s="306"/>
      <c r="E642" s="276" t="str">
        <f>IF(A642="","",VLOOKUP(A642,MAT,3,FALSE))</f>
        <v>m3</v>
      </c>
      <c r="F642" s="405">
        <v>1.0900000000000001</v>
      </c>
      <c r="G642" s="310">
        <f>IF(A642="","",VLOOKUP(A642,MAT,5,FALSE))</f>
        <v>60000</v>
      </c>
      <c r="H642" s="311">
        <f>IF(A642="","",ROUND((G642*F642),0))</f>
        <v>65400</v>
      </c>
    </row>
    <row r="643" spans="1:8">
      <c r="A643" s="324" t="s">
        <v>576</v>
      </c>
      <c r="B643" s="353" t="str">
        <f t="shared" si="41"/>
        <v>Cemento gris tipo Portland.</v>
      </c>
      <c r="C643" s="305"/>
      <c r="D643" s="306"/>
      <c r="E643" s="276" t="str">
        <f>IF(A643="","",VLOOKUP(A643,MAT,3,FALSE))</f>
        <v>Kg.</v>
      </c>
      <c r="F643" s="405">
        <v>454</v>
      </c>
      <c r="G643" s="310">
        <f>IF(A643="","",VLOOKUP(A643,MAT,5,FALSE))</f>
        <v>700</v>
      </c>
      <c r="H643" s="311">
        <f>IF(A643="","",ROUND((G643*F643),0))</f>
        <v>317800</v>
      </c>
    </row>
    <row r="644" spans="1:8">
      <c r="A644" s="324"/>
      <c r="B644" s="305" t="str">
        <f t="shared" si="41"/>
        <v/>
      </c>
      <c r="C644" s="305"/>
      <c r="D644" s="306"/>
      <c r="E644" s="276" t="str">
        <f t="shared" ref="E644:E650" si="42">IF(A644="","",VLOOKUP(A644,MAT,3,FALSE))</f>
        <v/>
      </c>
      <c r="F644" s="405"/>
      <c r="G644" s="310" t="str">
        <f t="shared" ref="G644:G650" si="43">IF(A644="","",VLOOKUP(A644,MAT,5,FALSE))</f>
        <v/>
      </c>
      <c r="H644" s="311" t="str">
        <f t="shared" ref="H644:H650" si="44">IF(A644="","",ROUND((G644*F644),0))</f>
        <v/>
      </c>
    </row>
    <row r="645" spans="1:8">
      <c r="A645" s="324"/>
      <c r="B645" s="305" t="str">
        <f t="shared" si="41"/>
        <v/>
      </c>
      <c r="C645" s="305"/>
      <c r="D645" s="306"/>
      <c r="E645" s="276" t="str">
        <f t="shared" si="42"/>
        <v/>
      </c>
      <c r="F645" s="405"/>
      <c r="G645" s="310" t="str">
        <f t="shared" si="43"/>
        <v/>
      </c>
      <c r="H645" s="311" t="str">
        <f t="shared" si="44"/>
        <v/>
      </c>
    </row>
    <row r="646" spans="1:8">
      <c r="A646" s="324"/>
      <c r="B646" s="305" t="str">
        <f t="shared" si="41"/>
        <v/>
      </c>
      <c r="C646" s="305"/>
      <c r="D646" s="306"/>
      <c r="E646" s="276" t="str">
        <f t="shared" si="42"/>
        <v/>
      </c>
      <c r="F646" s="405"/>
      <c r="G646" s="310" t="str">
        <f t="shared" si="43"/>
        <v/>
      </c>
      <c r="H646" s="311" t="str">
        <f t="shared" si="44"/>
        <v/>
      </c>
    </row>
    <row r="647" spans="1:8">
      <c r="A647" s="324"/>
      <c r="B647" s="305" t="str">
        <f t="shared" si="41"/>
        <v/>
      </c>
      <c r="C647" s="305"/>
      <c r="D647" s="306"/>
      <c r="E647" s="276" t="str">
        <f t="shared" si="42"/>
        <v/>
      </c>
      <c r="F647" s="405"/>
      <c r="G647" s="310" t="str">
        <f t="shared" si="43"/>
        <v/>
      </c>
      <c r="H647" s="311" t="str">
        <f t="shared" si="44"/>
        <v/>
      </c>
    </row>
    <row r="648" spans="1:8">
      <c r="A648" s="324"/>
      <c r="B648" s="305" t="str">
        <f t="shared" si="41"/>
        <v/>
      </c>
      <c r="C648" s="305"/>
      <c r="D648" s="306"/>
      <c r="E648" s="276" t="str">
        <f t="shared" si="42"/>
        <v/>
      </c>
      <c r="F648" s="405"/>
      <c r="G648" s="310" t="str">
        <f t="shared" si="43"/>
        <v/>
      </c>
      <c r="H648" s="311" t="str">
        <f t="shared" si="44"/>
        <v/>
      </c>
    </row>
    <row r="649" spans="1:8">
      <c r="A649" s="324"/>
      <c r="B649" s="305" t="str">
        <f t="shared" si="41"/>
        <v/>
      </c>
      <c r="C649" s="305"/>
      <c r="D649" s="306"/>
      <c r="E649" s="276" t="str">
        <f t="shared" si="42"/>
        <v/>
      </c>
      <c r="F649" s="405"/>
      <c r="G649" s="310" t="str">
        <f t="shared" si="43"/>
        <v/>
      </c>
      <c r="H649" s="311" t="str">
        <f t="shared" si="44"/>
        <v/>
      </c>
    </row>
    <row r="650" spans="1:8">
      <c r="A650" s="324"/>
      <c r="B650" s="305" t="str">
        <f t="shared" si="41"/>
        <v/>
      </c>
      <c r="C650" s="305"/>
      <c r="D650" s="306"/>
      <c r="E650" s="276" t="str">
        <f t="shared" si="42"/>
        <v/>
      </c>
      <c r="F650" s="405"/>
      <c r="G650" s="310" t="str">
        <f t="shared" si="43"/>
        <v/>
      </c>
      <c r="H650" s="311" t="str">
        <f t="shared" si="44"/>
        <v/>
      </c>
    </row>
    <row r="651" spans="1:8" ht="13.5" thickBot="1">
      <c r="A651" s="325"/>
      <c r="B651" s="326" t="str">
        <f t="shared" si="41"/>
        <v/>
      </c>
      <c r="C651" s="314"/>
      <c r="D651" s="314"/>
      <c r="E651" s="315" t="str">
        <f>IF(A651="","",VLOOKUP(A651,MAT,3,FALSE))</f>
        <v/>
      </c>
      <c r="F651" s="406"/>
      <c r="G651" s="327" t="str">
        <f>IF(A651="","",VLOOKUP(A651,MAT,5,FALSE))</f>
        <v/>
      </c>
      <c r="H651" s="311" t="str">
        <f>IF(A651="","",ROUND((G651*F651),0))</f>
        <v/>
      </c>
    </row>
    <row r="652" spans="1:8" ht="13.5" thickBot="1">
      <c r="A652" s="285"/>
      <c r="B652" s="285"/>
      <c r="C652" s="285"/>
      <c r="D652" s="285"/>
      <c r="E652" s="286"/>
      <c r="F652" s="285"/>
      <c r="G652" s="210" t="s">
        <v>529</v>
      </c>
      <c r="H652" s="328">
        <f>ROUND(SUM(H641:H651),0)</f>
        <v>388000</v>
      </c>
    </row>
    <row r="653" spans="1:8">
      <c r="A653" s="285"/>
      <c r="B653" s="285"/>
      <c r="C653" s="285"/>
      <c r="D653" s="285"/>
      <c r="E653" s="286"/>
      <c r="F653" s="285"/>
      <c r="G653" s="286"/>
      <c r="H653" s="329"/>
    </row>
    <row r="654" spans="1:8" ht="13.5" thickBot="1">
      <c r="A654" s="295" t="s">
        <v>531</v>
      </c>
      <c r="B654" s="285"/>
      <c r="C654" s="285"/>
      <c r="D654" s="285"/>
      <c r="E654" s="286"/>
      <c r="F654" s="285"/>
      <c r="G654" s="286"/>
      <c r="H654" s="330"/>
    </row>
    <row r="655" spans="1:8" ht="13.5" thickBot="1">
      <c r="A655" s="297" t="s">
        <v>527</v>
      </c>
      <c r="B655" s="2187" t="s">
        <v>532</v>
      </c>
      <c r="C655" s="2188"/>
      <c r="D655" s="331" t="s">
        <v>821</v>
      </c>
      <c r="E655" s="331" t="s">
        <v>820</v>
      </c>
      <c r="F655" s="331" t="s">
        <v>823</v>
      </c>
      <c r="G655" s="331" t="s">
        <v>963</v>
      </c>
      <c r="H655" s="416" t="s">
        <v>831</v>
      </c>
    </row>
    <row r="656" spans="1:8">
      <c r="A656" s="332" t="s">
        <v>560</v>
      </c>
      <c r="B656" s="305" t="str">
        <f>IF(A656="","",VLOOKUP(A656,MAT,2,FALSE))</f>
        <v>Arena fina de río.</v>
      </c>
      <c r="C656" s="333"/>
      <c r="D656" s="409" t="str">
        <f>IF(A656="","",VLOOKUP(A656,MAT,3,FALSE))</f>
        <v>m3</v>
      </c>
      <c r="E656" s="419">
        <f>IF(A656="","",VLOOKUP(A656,MAT,6,FALSE))</f>
        <v>15</v>
      </c>
      <c r="F656" s="413">
        <f>IF(A656="","",VLOOKUP(A656,A641:H651,6,FALSE))</f>
        <v>1.0900000000000001</v>
      </c>
      <c r="G656" s="334">
        <f>IF(A656="","",VLOOKUP(A656,MAT,7,FALSE))</f>
        <v>1500</v>
      </c>
      <c r="H656" s="311">
        <f>IF(A656="","",ROUND((G656*F656*E656),0))</f>
        <v>24525</v>
      </c>
    </row>
    <row r="657" spans="1:8">
      <c r="A657" s="335"/>
      <c r="B657" s="305" t="str">
        <f>IF(A657="","",VLOOKUP(A657,MAT,2,FALSE))</f>
        <v/>
      </c>
      <c r="D657" s="410" t="str">
        <f>IF(A657="","",VLOOKUP(A657,MAT,3,FALSE))</f>
        <v/>
      </c>
      <c r="E657" s="419" t="str">
        <f>IF(A657="","",VLOOKUP(A657,MAT,6,FALSE))</f>
        <v/>
      </c>
      <c r="F657" s="413" t="str">
        <f>IF(A657="","",VLOOKUP(A657,A641:H651,6,FALSE))</f>
        <v/>
      </c>
      <c r="G657" s="336" t="str">
        <f>IF(A657="","",VLOOKUP(A657,MAT,7,FALSE))</f>
        <v/>
      </c>
      <c r="H657" s="311" t="str">
        <f>IF(A657="","",ROUND((G657*F657*E657),0))</f>
        <v/>
      </c>
    </row>
    <row r="658" spans="1:8" ht="13.5" thickBot="1">
      <c r="A658" s="337"/>
      <c r="B658" s="338" t="str">
        <f>IF(A658="","",VLOOKUP(A658,MAT,2,FALSE))</f>
        <v/>
      </c>
      <c r="C658" s="338"/>
      <c r="D658" s="411" t="str">
        <f>IF(A658="","",VLOOKUP(A658,MAT,3,FALSE))</f>
        <v/>
      </c>
      <c r="E658" s="412" t="str">
        <f>IF(A658="","",VLOOKUP(A658,MAT,6,FALSE))</f>
        <v/>
      </c>
      <c r="F658" s="418" t="str">
        <f>IF(A658="","",VLOOKUP(A658,$A$23:$H$33,6,FALSE))</f>
        <v/>
      </c>
      <c r="G658" s="339" t="str">
        <f>IF(A658="","",VLOOKUP(A658,MAT,7,FALSE))</f>
        <v/>
      </c>
      <c r="H658" s="417" t="str">
        <f>IF(A658="","",ROUND((G658*F658*E658),0))</f>
        <v/>
      </c>
    </row>
    <row r="659" spans="1:8" ht="13.5" thickBot="1">
      <c r="E659" s="340"/>
      <c r="F659" s="341"/>
      <c r="G659" s="414" t="s">
        <v>529</v>
      </c>
      <c r="H659" s="415">
        <f>ROUND(SUM(H656:H658),0)</f>
        <v>24525</v>
      </c>
    </row>
    <row r="660" spans="1:8">
      <c r="E660" s="340"/>
      <c r="F660" s="341"/>
      <c r="G660" s="286"/>
      <c r="H660" s="343"/>
    </row>
    <row r="661" spans="1:8" ht="13.5" thickBot="1">
      <c r="A661" s="295" t="s">
        <v>534</v>
      </c>
      <c r="B661" s="295"/>
      <c r="C661" s="295"/>
      <c r="D661" s="285"/>
      <c r="E661" s="286"/>
      <c r="F661" s="285"/>
      <c r="G661" s="285"/>
      <c r="H661" s="314"/>
    </row>
    <row r="662" spans="1:8" ht="13.5" thickBot="1">
      <c r="A662" s="297" t="s">
        <v>527</v>
      </c>
      <c r="B662" s="2189" t="s">
        <v>514</v>
      </c>
      <c r="C662" s="2190"/>
      <c r="D662" s="2191"/>
      <c r="E662" s="277" t="s">
        <v>515</v>
      </c>
      <c r="F662" s="277" t="s">
        <v>535</v>
      </c>
      <c r="G662" s="531" t="s">
        <v>944</v>
      </c>
      <c r="H662" s="416" t="s">
        <v>831</v>
      </c>
    </row>
    <row r="663" spans="1:8">
      <c r="A663" s="344" t="s">
        <v>932</v>
      </c>
      <c r="B663" s="2192" t="str">
        <f>IF(A663="","",VLOOKUP(A663,MO,2,FALSE))</f>
        <v>Cuadrilla LL: Mezclas. (1 Of. + 3 Ayud.).</v>
      </c>
      <c r="C663" s="2193"/>
      <c r="D663" s="2194"/>
      <c r="E663" s="538" t="str">
        <f>IF(A663="","",VLOOKUP(A663,MO,13,FALSE))</f>
        <v>HC</v>
      </c>
      <c r="F663" s="544">
        <v>0.85</v>
      </c>
      <c r="G663" s="540">
        <f>IF(A663="","",VLOOKUP(A663,MO,15,FALSE))</f>
        <v>80517</v>
      </c>
      <c r="H663" s="542">
        <f>IF(A663="","",ROUND((G663/F663),0))</f>
        <v>94726</v>
      </c>
    </row>
    <row r="664" spans="1:8">
      <c r="A664" s="344"/>
      <c r="B664" s="2179" t="str">
        <f>IF(A664="","",VLOOKUP(A664,MO,2,FALSE))</f>
        <v/>
      </c>
      <c r="C664" s="2180"/>
      <c r="D664" s="2181"/>
      <c r="E664" s="538" t="str">
        <f>IF(A664="","",VLOOKUP(A664,MO,13,FALSE))</f>
        <v/>
      </c>
      <c r="F664" s="544"/>
      <c r="G664" s="540" t="str">
        <f>IF(A664="","",VLOOKUP(A664,MO,15,FALSE))</f>
        <v/>
      </c>
      <c r="H664" s="542" t="str">
        <f>IF(A664="","",ROUND((G664/F664),0))</f>
        <v/>
      </c>
    </row>
    <row r="665" spans="1:8">
      <c r="A665" s="344"/>
      <c r="B665" s="2179" t="str">
        <f>IF(A665="","",VLOOKUP(A665,MO,2,FALSE))</f>
        <v/>
      </c>
      <c r="C665" s="2180"/>
      <c r="D665" s="2181"/>
      <c r="E665" s="538" t="str">
        <f>IF(A665="","",VLOOKUP(A665,MO,13,FALSE))</f>
        <v/>
      </c>
      <c r="F665" s="544"/>
      <c r="G665" s="541" t="str">
        <f>IF(A665="","",VLOOKUP(A665,MO,15,FALSE))</f>
        <v/>
      </c>
      <c r="H665" s="542" t="str">
        <f>IF(A665="","",ROUND((G665/F665),0))</f>
        <v/>
      </c>
    </row>
    <row r="666" spans="1:8" ht="13.5" thickBot="1">
      <c r="A666" s="345"/>
      <c r="B666" s="2182" t="str">
        <f>IF(A666="","",VLOOKUP(A666,MO,2,FALSE))</f>
        <v/>
      </c>
      <c r="C666" s="2183"/>
      <c r="D666" s="2184"/>
      <c r="E666" s="539" t="str">
        <f>IF(A666="","",VLOOKUP(A666,MO,13,FALSE))</f>
        <v/>
      </c>
      <c r="F666" s="545"/>
      <c r="G666" s="377" t="str">
        <f>IF(A666="","",VLOOKUP(A666,MO,15,FALSE))</f>
        <v/>
      </c>
      <c r="H666" s="543" t="str">
        <f>IF(A666="","",ROUND((G666/F666),0))</f>
        <v/>
      </c>
    </row>
    <row r="667" spans="1:8" ht="13.5" thickBot="1">
      <c r="A667" s="285"/>
      <c r="B667" s="285"/>
      <c r="C667" s="285"/>
      <c r="D667" s="285"/>
      <c r="E667" s="286"/>
      <c r="F667" s="285"/>
      <c r="G667" s="317" t="s">
        <v>529</v>
      </c>
      <c r="H667" s="342">
        <f>ROUND(SUM(H663:H666),0)</f>
        <v>94726</v>
      </c>
    </row>
    <row r="668" spans="1:8" ht="13.5" thickBot="1">
      <c r="A668" s="285"/>
      <c r="B668" s="285"/>
      <c r="C668" s="285"/>
      <c r="D668" s="285"/>
      <c r="E668" s="286"/>
      <c r="F668" s="285"/>
      <c r="G668" s="285"/>
      <c r="H668" s="285"/>
    </row>
    <row r="669" spans="1:8" ht="13.5" thickBot="1">
      <c r="A669" s="285"/>
      <c r="B669" s="285"/>
      <c r="C669" s="285"/>
      <c r="D669" s="285"/>
      <c r="E669" s="346" t="s">
        <v>536</v>
      </c>
      <c r="F669" s="347"/>
      <c r="G669" s="347"/>
      <c r="H669" s="348">
        <f>+ROUND(H637+H652+H659+H667,0)</f>
        <v>519987</v>
      </c>
    </row>
    <row r="670" spans="1:8">
      <c r="A670" s="285"/>
      <c r="B670" s="285"/>
      <c r="C670" s="285"/>
      <c r="D670" s="285"/>
      <c r="E670" s="806" t="s">
        <v>2696</v>
      </c>
      <c r="F670" s="807">
        <v>0.3</v>
      </c>
      <c r="G670" s="807">
        <v>0.3</v>
      </c>
      <c r="H670" s="809">
        <f>H669*G670</f>
        <v>155996.1</v>
      </c>
    </row>
    <row r="671" spans="1:8">
      <c r="E671" s="806"/>
      <c r="F671" s="807"/>
      <c r="G671" s="807"/>
      <c r="H671" s="809">
        <f>SUM(H669:H670)</f>
        <v>675983.1</v>
      </c>
    </row>
    <row r="672" spans="1:8">
      <c r="A672" s="703" t="str">
        <f>+[14]PRESUPUESTO!$A$113</f>
        <v>__________________________________________</v>
      </c>
      <c r="B672" s="703"/>
    </row>
    <row r="673" spans="1:2">
      <c r="A673" s="810" t="str">
        <f>+[14]PRESUPUESTO!$A$114</f>
        <v>Ing. JHON FREDY GARCIA MENDEZ</v>
      </c>
      <c r="B673" s="703"/>
    </row>
    <row r="674" spans="1:2">
      <c r="A674" s="811" t="str">
        <f>+[14]PRESUPUESTO!$A$115</f>
        <v>M.P.  70268-326294 TLM.</v>
      </c>
      <c r="B674" s="703"/>
    </row>
    <row r="675" spans="1:2">
      <c r="A675" s="811" t="str">
        <f>+[14]PRESUPUESTO!$A$116</f>
        <v>CONSULTOR</v>
      </c>
      <c r="B675" s="703"/>
    </row>
    <row r="691" spans="1:8" ht="13.5" thickBot="1"/>
    <row r="692" spans="1:8">
      <c r="A692" s="284"/>
      <c r="B692" s="2195"/>
      <c r="C692" s="2196"/>
      <c r="D692" s="2196"/>
      <c r="E692" s="284"/>
      <c r="F692" s="285"/>
      <c r="G692" s="286"/>
      <c r="H692" s="287"/>
    </row>
    <row r="693" spans="1:8">
      <c r="A693" s="96">
        <v>2</v>
      </c>
      <c r="B693" s="2185" t="s">
        <v>964</v>
      </c>
      <c r="C693" s="2185"/>
      <c r="D693" s="2185"/>
      <c r="E693" s="2185"/>
      <c r="F693" s="289"/>
      <c r="G693" s="290" t="s">
        <v>525</v>
      </c>
      <c r="H693" s="97" t="s">
        <v>352</v>
      </c>
    </row>
    <row r="694" spans="1:8">
      <c r="A694" s="432">
        <v>2.2999999999999998</v>
      </c>
      <c r="B694" s="2186" t="s">
        <v>969</v>
      </c>
      <c r="C694" s="2186"/>
      <c r="D694" s="2186"/>
      <c r="E694" s="2186"/>
      <c r="F694" s="291"/>
      <c r="G694" s="290"/>
      <c r="H694" s="97"/>
    </row>
    <row r="695" spans="1:8">
      <c r="A695" s="96"/>
      <c r="B695" s="420"/>
      <c r="C695" s="421"/>
      <c r="D695" s="421"/>
      <c r="E695" s="421"/>
      <c r="F695" s="292"/>
      <c r="G695" s="286"/>
      <c r="H695" s="287"/>
    </row>
    <row r="696" spans="1:8">
      <c r="A696" s="97"/>
      <c r="B696" s="293"/>
      <c r="C696" s="293"/>
      <c r="D696" s="293"/>
      <c r="E696" s="293"/>
      <c r="F696" s="293"/>
      <c r="G696" s="294"/>
      <c r="H696" s="294"/>
    </row>
    <row r="697" spans="1:8" ht="13.5" thickBot="1">
      <c r="A697" s="295" t="s">
        <v>526</v>
      </c>
      <c r="B697" s="295"/>
      <c r="C697" s="285"/>
      <c r="D697" s="296"/>
      <c r="E697" s="296"/>
      <c r="F697" s="296"/>
      <c r="G697" s="296"/>
      <c r="H697" s="296"/>
    </row>
    <row r="698" spans="1:8" ht="13.5" thickBot="1">
      <c r="A698" s="297" t="s">
        <v>527</v>
      </c>
      <c r="B698" s="298"/>
      <c r="C698" s="299" t="s">
        <v>521</v>
      </c>
      <c r="D698" s="300"/>
      <c r="E698" s="301" t="s">
        <v>515</v>
      </c>
      <c r="F698" s="302" t="s">
        <v>528</v>
      </c>
      <c r="G698" s="303" t="s">
        <v>832</v>
      </c>
      <c r="H698" s="278" t="s">
        <v>831</v>
      </c>
    </row>
    <row r="699" spans="1:8">
      <c r="A699" s="304" t="s">
        <v>966</v>
      </c>
      <c r="B699" s="305" t="str">
        <f>IF(A699="","",VLOOKUP(A699,EQUI,2,FALSE))</f>
        <v>Herramienta Menor (5% de la mano de obra).</v>
      </c>
      <c r="C699" s="306"/>
      <c r="D699" s="306"/>
      <c r="E699" s="276" t="str">
        <f>IF(A699="","",VLOOKUP(A699,EQUI,3,FALSE))</f>
        <v>%</v>
      </c>
      <c r="F699" s="433">
        <f>IF(A699="","",VLOOKUP(A699,EQUI,4,FALSE))</f>
        <v>0.05</v>
      </c>
      <c r="G699" s="307">
        <f>ROUND(F699*H735,0)</f>
        <v>4736</v>
      </c>
      <c r="H699" s="308">
        <f>+G699</f>
        <v>4736</v>
      </c>
    </row>
    <row r="700" spans="1:8">
      <c r="A700" s="304" t="s">
        <v>497</v>
      </c>
      <c r="B700" s="305" t="str">
        <f>IF(A700="","",VLOOKUP(A700,EQUI,2,FALSE))</f>
        <v>Mezcladora mecánica (1.0 bultos)</v>
      </c>
      <c r="C700" s="306"/>
      <c r="D700" s="306"/>
      <c r="E700" s="276" t="str">
        <f>IF(A700="","",VLOOKUP(A700,EQUI,3))</f>
        <v>Dia</v>
      </c>
      <c r="F700" s="405">
        <v>0.1</v>
      </c>
      <c r="G700" s="310">
        <f>IF(A700="","",VLOOKUP(A700,EQUI,4))</f>
        <v>80000</v>
      </c>
      <c r="H700" s="311">
        <f>IF(A700="","",ROUND((G700*F700),0))</f>
        <v>8000</v>
      </c>
    </row>
    <row r="701" spans="1:8">
      <c r="A701" s="304"/>
      <c r="B701" s="305" t="str">
        <f>IF(A701="","",VLOOKUP(A701,EQUI,2))</f>
        <v/>
      </c>
      <c r="C701" s="306"/>
      <c r="D701" s="306"/>
      <c r="E701" s="276" t="str">
        <f>IF(A701="","",VLOOKUP(A701,EQUI,3))</f>
        <v/>
      </c>
      <c r="F701" s="405"/>
      <c r="G701" s="310" t="str">
        <f>IF(A701="","",VLOOKUP(A701,EQUI,4))</f>
        <v/>
      </c>
      <c r="H701" s="311" t="str">
        <f>IF(A701="","",ROUND((G701*F701),0))</f>
        <v/>
      </c>
    </row>
    <row r="702" spans="1:8">
      <c r="A702" s="304"/>
      <c r="B702" s="305" t="str">
        <f>IF(A702="","",VLOOKUP(A702,EQUI,2))</f>
        <v/>
      </c>
      <c r="C702" s="306"/>
      <c r="D702" s="306"/>
      <c r="E702" s="276" t="str">
        <f>IF(A702="","",VLOOKUP(A702,EQUI,3))</f>
        <v/>
      </c>
      <c r="F702" s="405"/>
      <c r="G702" s="310" t="str">
        <f>IF(A702="","",VLOOKUP(A702,EQUI,4))</f>
        <v/>
      </c>
      <c r="H702" s="311" t="str">
        <f>IF(A702="","",ROUND((G702*F702),0))</f>
        <v/>
      </c>
    </row>
    <row r="703" spans="1:8">
      <c r="A703" s="304"/>
      <c r="B703" s="305" t="str">
        <f>IF(A703="","",VLOOKUP(A703,EQUI,2))</f>
        <v/>
      </c>
      <c r="C703" s="306"/>
      <c r="D703" s="306"/>
      <c r="E703" s="276" t="str">
        <f>IF(A703="","",VLOOKUP(A703,EQUI,3))</f>
        <v/>
      </c>
      <c r="F703" s="405"/>
      <c r="G703" s="310" t="str">
        <f>IF(A703="","",VLOOKUP(A703,EQUI,4))</f>
        <v/>
      </c>
      <c r="H703" s="311" t="str">
        <f>IF(A703="","",ROUND((G703*F703),0))</f>
        <v/>
      </c>
    </row>
    <row r="704" spans="1:8" ht="13.5" thickBot="1">
      <c r="A704" s="312"/>
      <c r="B704" s="313" t="str">
        <f>IF(A704="","",VLOOKUP(A704,EQUI,2))</f>
        <v/>
      </c>
      <c r="C704" s="313"/>
      <c r="D704" s="314"/>
      <c r="E704" s="315" t="str">
        <f>IF(A704="","",VLOOKUP(A704,EQUI,3))</f>
        <v/>
      </c>
      <c r="F704" s="408"/>
      <c r="G704" s="316" t="str">
        <f>IF(A704="","",VLOOKUP(A704,EQUI,4))</f>
        <v/>
      </c>
      <c r="H704" s="311" t="str">
        <f>IF(A704="","",ROUND((G704*F704),0))</f>
        <v/>
      </c>
    </row>
    <row r="705" spans="1:8" ht="13.5" thickBot="1">
      <c r="A705" s="285"/>
      <c r="B705" s="285"/>
      <c r="C705" s="285"/>
      <c r="D705" s="285"/>
      <c r="E705" s="286"/>
      <c r="F705" s="285"/>
      <c r="G705" s="317" t="s">
        <v>529</v>
      </c>
      <c r="H705" s="318">
        <f>ROUND(SUM(H699:H704),0)</f>
        <v>12736</v>
      </c>
    </row>
    <row r="706" spans="1:8">
      <c r="A706" s="285"/>
      <c r="B706" s="285"/>
      <c r="C706" s="285"/>
      <c r="D706" s="285"/>
      <c r="E706" s="286"/>
      <c r="F706" s="285"/>
      <c r="G706" s="286"/>
      <c r="H706" s="319"/>
    </row>
    <row r="707" spans="1:8" ht="13.5" thickBot="1">
      <c r="A707" s="295" t="s">
        <v>530</v>
      </c>
      <c r="B707" s="295"/>
      <c r="C707" s="295"/>
      <c r="D707" s="295"/>
      <c r="E707" s="320"/>
      <c r="F707" s="314"/>
      <c r="G707" s="314"/>
      <c r="H707" s="314"/>
    </row>
    <row r="708" spans="1:8" ht="13.5" thickBot="1">
      <c r="A708" s="297" t="s">
        <v>527</v>
      </c>
      <c r="B708" s="298"/>
      <c r="C708" s="299" t="s">
        <v>521</v>
      </c>
      <c r="D708" s="299"/>
      <c r="E708" s="321" t="s">
        <v>515</v>
      </c>
      <c r="F708" s="322" t="s">
        <v>7</v>
      </c>
      <c r="G708" s="303" t="s">
        <v>832</v>
      </c>
      <c r="H708" s="278" t="s">
        <v>831</v>
      </c>
    </row>
    <row r="709" spans="1:8">
      <c r="A709" s="323" t="s">
        <v>134</v>
      </c>
      <c r="B709" s="353" t="str">
        <f t="shared" ref="B709:B719" si="45">IF(A709="","",VLOOKUP(A709,MAT,2,FALSE))</f>
        <v>Agua</v>
      </c>
      <c r="C709" s="305"/>
      <c r="D709" s="306"/>
      <c r="E709" s="276" t="str">
        <f>IF(A709="","",VLOOKUP(A709,MAT,3,FALSE))</f>
        <v>Lt</v>
      </c>
      <c r="F709" s="405">
        <v>240</v>
      </c>
      <c r="G709" s="310">
        <f>IF(A709="","",VLOOKUP(A709,MAT,5,FALSE))</f>
        <v>20</v>
      </c>
      <c r="H709" s="311">
        <f>IF(A709="","",ROUND((G709*F709),0))</f>
        <v>4800</v>
      </c>
    </row>
    <row r="710" spans="1:8">
      <c r="A710" s="324" t="s">
        <v>560</v>
      </c>
      <c r="B710" s="353" t="str">
        <f t="shared" si="45"/>
        <v>Arena fina de río.</v>
      </c>
      <c r="C710" s="305"/>
      <c r="D710" s="306"/>
      <c r="E710" s="276" t="str">
        <f>IF(A710="","",VLOOKUP(A710,MAT,3,FALSE))</f>
        <v>m3</v>
      </c>
      <c r="F710" s="405">
        <v>1.0900000000000001</v>
      </c>
      <c r="G710" s="310">
        <f>IF(A710="","",VLOOKUP(A710,MAT,5,FALSE))</f>
        <v>60000</v>
      </c>
      <c r="H710" s="311">
        <f>IF(A710="","",ROUND((G710*F710),0))</f>
        <v>65400</v>
      </c>
    </row>
    <row r="711" spans="1:8">
      <c r="A711" s="324" t="s">
        <v>576</v>
      </c>
      <c r="B711" s="353" t="str">
        <f t="shared" si="45"/>
        <v>Cemento gris tipo Portland.</v>
      </c>
      <c r="C711" s="305"/>
      <c r="D711" s="306"/>
      <c r="E711" s="276" t="str">
        <f>IF(A711="","",VLOOKUP(A711,MAT,3,FALSE))</f>
        <v>Kg.</v>
      </c>
      <c r="F711" s="405">
        <v>454</v>
      </c>
      <c r="G711" s="310">
        <f>IF(A711="","",VLOOKUP(A711,MAT,5,FALSE))</f>
        <v>700</v>
      </c>
      <c r="H711" s="311">
        <f>IF(A711="","",ROUND((G711*F711),0))</f>
        <v>317800</v>
      </c>
    </row>
    <row r="712" spans="1:8">
      <c r="A712" s="1042" t="s">
        <v>1671</v>
      </c>
      <c r="B712" s="305" t="str">
        <f t="shared" si="45"/>
        <v>Impermeabilizante para concretos, plastocrete o silimar.</v>
      </c>
      <c r="C712" s="305"/>
      <c r="D712" s="306"/>
      <c r="E712" s="276" t="str">
        <f t="shared" ref="E712:E718" si="46">IF(A712="","",VLOOKUP(A712,MAT,3,FALSE))</f>
        <v>kg</v>
      </c>
      <c r="F712" s="405">
        <v>10.92</v>
      </c>
      <c r="G712" s="310">
        <f t="shared" ref="G712:G718" si="47">IF(A712="","",VLOOKUP(A712,MAT,5,FALSE))</f>
        <v>24962</v>
      </c>
      <c r="H712" s="311">
        <f t="shared" ref="H712:H718" si="48">IF(A712="","",ROUND((G712*F712),0))</f>
        <v>272585</v>
      </c>
    </row>
    <row r="713" spans="1:8">
      <c r="A713" s="324"/>
      <c r="B713" s="305" t="str">
        <f t="shared" si="45"/>
        <v/>
      </c>
      <c r="C713" s="305"/>
      <c r="D713" s="306"/>
      <c r="E713" s="276" t="str">
        <f t="shared" si="46"/>
        <v/>
      </c>
      <c r="F713" s="405"/>
      <c r="G713" s="310" t="str">
        <f t="shared" si="47"/>
        <v/>
      </c>
      <c r="H713" s="311" t="str">
        <f t="shared" si="48"/>
        <v/>
      </c>
    </row>
    <row r="714" spans="1:8">
      <c r="A714" s="324"/>
      <c r="B714" s="305" t="str">
        <f t="shared" si="45"/>
        <v/>
      </c>
      <c r="C714" s="305"/>
      <c r="D714" s="306"/>
      <c r="E714" s="276" t="str">
        <f t="shared" si="46"/>
        <v/>
      </c>
      <c r="F714" s="405"/>
      <c r="G714" s="310" t="str">
        <f t="shared" si="47"/>
        <v/>
      </c>
      <c r="H714" s="311" t="str">
        <f t="shared" si="48"/>
        <v/>
      </c>
    </row>
    <row r="715" spans="1:8">
      <c r="A715" s="324"/>
      <c r="B715" s="305" t="str">
        <f t="shared" si="45"/>
        <v/>
      </c>
      <c r="C715" s="305"/>
      <c r="D715" s="306"/>
      <c r="E715" s="276" t="str">
        <f t="shared" si="46"/>
        <v/>
      </c>
      <c r="F715" s="405"/>
      <c r="G715" s="310" t="str">
        <f t="shared" si="47"/>
        <v/>
      </c>
      <c r="H715" s="311" t="str">
        <f t="shared" si="48"/>
        <v/>
      </c>
    </row>
    <row r="716" spans="1:8">
      <c r="A716" s="324"/>
      <c r="B716" s="305" t="str">
        <f t="shared" si="45"/>
        <v/>
      </c>
      <c r="C716" s="305"/>
      <c r="D716" s="306"/>
      <c r="E716" s="276" t="str">
        <f t="shared" si="46"/>
        <v/>
      </c>
      <c r="F716" s="405"/>
      <c r="G716" s="310" t="str">
        <f t="shared" si="47"/>
        <v/>
      </c>
      <c r="H716" s="311" t="str">
        <f t="shared" si="48"/>
        <v/>
      </c>
    </row>
    <row r="717" spans="1:8">
      <c r="A717" s="324"/>
      <c r="B717" s="305" t="str">
        <f t="shared" si="45"/>
        <v/>
      </c>
      <c r="C717" s="305"/>
      <c r="D717" s="306"/>
      <c r="E717" s="276" t="str">
        <f t="shared" si="46"/>
        <v/>
      </c>
      <c r="F717" s="405"/>
      <c r="G717" s="310" t="str">
        <f t="shared" si="47"/>
        <v/>
      </c>
      <c r="H717" s="311" t="str">
        <f t="shared" si="48"/>
        <v/>
      </c>
    </row>
    <row r="718" spans="1:8">
      <c r="A718" s="324"/>
      <c r="B718" s="305" t="str">
        <f t="shared" si="45"/>
        <v/>
      </c>
      <c r="C718" s="305"/>
      <c r="D718" s="306"/>
      <c r="E718" s="276" t="str">
        <f t="shared" si="46"/>
        <v/>
      </c>
      <c r="F718" s="405"/>
      <c r="G718" s="310" t="str">
        <f t="shared" si="47"/>
        <v/>
      </c>
      <c r="H718" s="311" t="str">
        <f t="shared" si="48"/>
        <v/>
      </c>
    </row>
    <row r="719" spans="1:8" ht="13.5" thickBot="1">
      <c r="A719" s="325"/>
      <c r="B719" s="326" t="str">
        <f t="shared" si="45"/>
        <v/>
      </c>
      <c r="C719" s="314"/>
      <c r="D719" s="314"/>
      <c r="E719" s="315" t="str">
        <f>IF(A719="","",VLOOKUP(A719,MAT,3,FALSE))</f>
        <v/>
      </c>
      <c r="F719" s="406"/>
      <c r="G719" s="327" t="str">
        <f>IF(A719="","",VLOOKUP(A719,MAT,5,FALSE))</f>
        <v/>
      </c>
      <c r="H719" s="311" t="str">
        <f>IF(A719="","",ROUND((G719*F719),0))</f>
        <v/>
      </c>
    </row>
    <row r="720" spans="1:8" ht="13.5" thickBot="1">
      <c r="A720" s="285"/>
      <c r="B720" s="285"/>
      <c r="C720" s="285"/>
      <c r="D720" s="285"/>
      <c r="E720" s="286"/>
      <c r="F720" s="285"/>
      <c r="G720" s="210" t="s">
        <v>529</v>
      </c>
      <c r="H720" s="328">
        <f>ROUND(SUM(H709:H719),0)</f>
        <v>660585</v>
      </c>
    </row>
    <row r="721" spans="1:8">
      <c r="A721" s="285"/>
      <c r="B721" s="285"/>
      <c r="C721" s="285"/>
      <c r="D721" s="285"/>
      <c r="E721" s="286"/>
      <c r="F721" s="285"/>
      <c r="G721" s="286"/>
      <c r="H721" s="329"/>
    </row>
    <row r="722" spans="1:8" ht="13.5" thickBot="1">
      <c r="A722" s="295" t="s">
        <v>531</v>
      </c>
      <c r="B722" s="285"/>
      <c r="C722" s="285"/>
      <c r="D722" s="285"/>
      <c r="E722" s="286"/>
      <c r="F722" s="285"/>
      <c r="G722" s="286"/>
      <c r="H722" s="330"/>
    </row>
    <row r="723" spans="1:8" ht="13.5" thickBot="1">
      <c r="A723" s="297" t="s">
        <v>527</v>
      </c>
      <c r="B723" s="2187" t="s">
        <v>532</v>
      </c>
      <c r="C723" s="2188"/>
      <c r="D723" s="331" t="s">
        <v>821</v>
      </c>
      <c r="E723" s="331" t="s">
        <v>820</v>
      </c>
      <c r="F723" s="331" t="s">
        <v>823</v>
      </c>
      <c r="G723" s="331" t="s">
        <v>963</v>
      </c>
      <c r="H723" s="416" t="s">
        <v>831</v>
      </c>
    </row>
    <row r="724" spans="1:8">
      <c r="A724" s="332" t="s">
        <v>560</v>
      </c>
      <c r="B724" s="305" t="str">
        <f>IF(A724="","",VLOOKUP(A724,MAT,2,FALSE))</f>
        <v>Arena fina de río.</v>
      </c>
      <c r="C724" s="333"/>
      <c r="D724" s="409" t="str">
        <f>IF(A724="","",VLOOKUP(A724,MAT,3,FALSE))</f>
        <v>m3</v>
      </c>
      <c r="E724" s="419">
        <f>IF(A724="","",VLOOKUP(A724,MAT,6,FALSE))</f>
        <v>15</v>
      </c>
      <c r="F724" s="413">
        <f>IF(A724="","",VLOOKUP(A724,A709:H719,6,FALSE))</f>
        <v>1.0900000000000001</v>
      </c>
      <c r="G724" s="334">
        <f>IF(A724="","",VLOOKUP(A724,MAT,7,FALSE))</f>
        <v>1500</v>
      </c>
      <c r="H724" s="311">
        <f>IF(A724="","",ROUND((G724*F724*E724),0))</f>
        <v>24525</v>
      </c>
    </row>
    <row r="725" spans="1:8">
      <c r="A725" s="335"/>
      <c r="B725" s="305" t="str">
        <f>IF(A725="","",VLOOKUP(A725,MAT,2,FALSE))</f>
        <v/>
      </c>
      <c r="D725" s="410" t="str">
        <f>IF(A725="","",VLOOKUP(A725,MAT,3,FALSE))</f>
        <v/>
      </c>
      <c r="E725" s="419" t="str">
        <f>IF(A725="","",VLOOKUP(A725,MAT,6,FALSE))</f>
        <v/>
      </c>
      <c r="F725" s="413" t="str">
        <f>IF(A725="","",VLOOKUP(A725,A709:H719,6,FALSE))</f>
        <v/>
      </c>
      <c r="G725" s="336" t="str">
        <f>IF(A725="","",VLOOKUP(A725,MAT,7,FALSE))</f>
        <v/>
      </c>
      <c r="H725" s="311" t="str">
        <f>IF(A725="","",ROUND((G725*F725*E725),0))</f>
        <v/>
      </c>
    </row>
    <row r="726" spans="1:8" ht="13.5" thickBot="1">
      <c r="A726" s="337"/>
      <c r="B726" s="338" t="str">
        <f>IF(A726="","",VLOOKUP(A726,MAT,2,FALSE))</f>
        <v/>
      </c>
      <c r="C726" s="338"/>
      <c r="D726" s="411" t="str">
        <f>IF(A726="","",VLOOKUP(A726,MAT,3,FALSE))</f>
        <v/>
      </c>
      <c r="E726" s="412" t="str">
        <f>IF(A726="","",VLOOKUP(A726,MAT,6,FALSE))</f>
        <v/>
      </c>
      <c r="F726" s="418" t="str">
        <f>IF(A726="","",VLOOKUP(A726,$A$23:$H$33,6,FALSE))</f>
        <v/>
      </c>
      <c r="G726" s="339" t="str">
        <f>IF(A726="","",VLOOKUP(A726,MAT,7,FALSE))</f>
        <v/>
      </c>
      <c r="H726" s="417" t="str">
        <f>IF(A726="","",ROUND((G726*F726*E726),0))</f>
        <v/>
      </c>
    </row>
    <row r="727" spans="1:8" ht="13.5" thickBot="1">
      <c r="E727" s="340"/>
      <c r="F727" s="341"/>
      <c r="G727" s="414" t="s">
        <v>529</v>
      </c>
      <c r="H727" s="415">
        <f>ROUND(SUM(H724:H726),0)</f>
        <v>24525</v>
      </c>
    </row>
    <row r="728" spans="1:8">
      <c r="E728" s="340"/>
      <c r="F728" s="341"/>
      <c r="G728" s="286"/>
      <c r="H728" s="343"/>
    </row>
    <row r="729" spans="1:8" ht="13.5" thickBot="1">
      <c r="A729" s="295" t="s">
        <v>534</v>
      </c>
      <c r="B729" s="295"/>
      <c r="C729" s="295"/>
      <c r="D729" s="285"/>
      <c r="E729" s="286"/>
      <c r="F729" s="285"/>
      <c r="G729" s="285"/>
      <c r="H729" s="314"/>
    </row>
    <row r="730" spans="1:8" ht="13.5" thickBot="1">
      <c r="A730" s="297" t="s">
        <v>527</v>
      </c>
      <c r="B730" s="2189" t="s">
        <v>514</v>
      </c>
      <c r="C730" s="2190"/>
      <c r="D730" s="2191"/>
      <c r="E730" s="277" t="s">
        <v>515</v>
      </c>
      <c r="F730" s="277" t="s">
        <v>535</v>
      </c>
      <c r="G730" s="531" t="s">
        <v>944</v>
      </c>
      <c r="H730" s="416" t="s">
        <v>831</v>
      </c>
    </row>
    <row r="731" spans="1:8">
      <c r="A731" s="344" t="s">
        <v>932</v>
      </c>
      <c r="B731" s="2192" t="str">
        <f>IF(A731="","",VLOOKUP(A731,MO,2,FALSE))</f>
        <v>Cuadrilla LL: Mezclas. (1 Of. + 3 Ayud.).</v>
      </c>
      <c r="C731" s="2193"/>
      <c r="D731" s="2194"/>
      <c r="E731" s="538" t="str">
        <f>IF(A731="","",VLOOKUP(A731,MO,13,FALSE))</f>
        <v>HC</v>
      </c>
      <c r="F731" s="544">
        <v>0.85</v>
      </c>
      <c r="G731" s="540">
        <f>IF(A731="","",VLOOKUP(A731,MO,15,FALSE))</f>
        <v>80517</v>
      </c>
      <c r="H731" s="542">
        <f>IF(A731="","",ROUND((G731/F731),0))</f>
        <v>94726</v>
      </c>
    </row>
    <row r="732" spans="1:8">
      <c r="A732" s="344"/>
      <c r="B732" s="2179" t="str">
        <f>IF(A732="","",VLOOKUP(A732,MO,2,FALSE))</f>
        <v/>
      </c>
      <c r="C732" s="2180"/>
      <c r="D732" s="2181"/>
      <c r="E732" s="538" t="str">
        <f>IF(A732="","",VLOOKUP(A732,MO,13,FALSE))</f>
        <v/>
      </c>
      <c r="F732" s="544"/>
      <c r="G732" s="540" t="str">
        <f>IF(A732="","",VLOOKUP(A732,MO,15,FALSE))</f>
        <v/>
      </c>
      <c r="H732" s="542" t="str">
        <f>IF(A732="","",ROUND((G732/F732),0))</f>
        <v/>
      </c>
    </row>
    <row r="733" spans="1:8">
      <c r="A733" s="344"/>
      <c r="B733" s="2179" t="str">
        <f>IF(A733="","",VLOOKUP(A733,MO,2,FALSE))</f>
        <v/>
      </c>
      <c r="C733" s="2180"/>
      <c r="D733" s="2181"/>
      <c r="E733" s="538" t="str">
        <f>IF(A733="","",VLOOKUP(A733,MO,13,FALSE))</f>
        <v/>
      </c>
      <c r="F733" s="544"/>
      <c r="G733" s="541" t="str">
        <f>IF(A733="","",VLOOKUP(A733,MO,15,FALSE))</f>
        <v/>
      </c>
      <c r="H733" s="542" t="str">
        <f>IF(A733="","",ROUND((G733/F733),0))</f>
        <v/>
      </c>
    </row>
    <row r="734" spans="1:8" ht="13.5" thickBot="1">
      <c r="A734" s="345"/>
      <c r="B734" s="2182" t="str">
        <f>IF(A734="","",VLOOKUP(A734,MO,2,FALSE))</f>
        <v/>
      </c>
      <c r="C734" s="2183"/>
      <c r="D734" s="2184"/>
      <c r="E734" s="539" t="str">
        <f>IF(A734="","",VLOOKUP(A734,MO,13,FALSE))</f>
        <v/>
      </c>
      <c r="F734" s="545"/>
      <c r="G734" s="377" t="str">
        <f>IF(A734="","",VLOOKUP(A734,MO,15,FALSE))</f>
        <v/>
      </c>
      <c r="H734" s="543" t="str">
        <f>IF(A734="","",ROUND((G734/F734),0))</f>
        <v/>
      </c>
    </row>
    <row r="735" spans="1:8" ht="13.5" thickBot="1">
      <c r="A735" s="285"/>
      <c r="B735" s="285"/>
      <c r="C735" s="285"/>
      <c r="D735" s="285"/>
      <c r="E735" s="286"/>
      <c r="F735" s="285"/>
      <c r="G735" s="317" t="s">
        <v>529</v>
      </c>
      <c r="H735" s="342">
        <f>ROUND(SUM(H731:H734),0)</f>
        <v>94726</v>
      </c>
    </row>
    <row r="736" spans="1:8" ht="13.5" thickBot="1">
      <c r="A736" s="285"/>
      <c r="B736" s="285"/>
      <c r="C736" s="285"/>
      <c r="D736" s="285"/>
      <c r="E736" s="286"/>
      <c r="F736" s="285"/>
      <c r="G736" s="285"/>
      <c r="H736" s="285"/>
    </row>
    <row r="737" spans="1:8" ht="13.5" thickBot="1">
      <c r="A737" s="285"/>
      <c r="B737" s="285"/>
      <c r="C737" s="285"/>
      <c r="D737" s="285"/>
      <c r="E737" s="346" t="s">
        <v>536</v>
      </c>
      <c r="F737" s="347"/>
      <c r="G737" s="347"/>
      <c r="H737" s="348">
        <f>+ROUND(H705+H720+H727+H735,0)</f>
        <v>792572</v>
      </c>
    </row>
    <row r="738" spans="1:8">
      <c r="A738" s="285"/>
      <c r="B738" s="285"/>
      <c r="C738" s="285"/>
      <c r="D738" s="285"/>
      <c r="E738" s="806" t="s">
        <v>2696</v>
      </c>
      <c r="F738" s="807">
        <v>0.3</v>
      </c>
      <c r="G738" s="807">
        <v>0.3</v>
      </c>
      <c r="H738" s="809">
        <f>H737*G738</f>
        <v>237771.59999999998</v>
      </c>
    </row>
    <row r="739" spans="1:8">
      <c r="E739" s="806"/>
      <c r="F739" s="807"/>
      <c r="G739" s="807"/>
      <c r="H739" s="809">
        <f>SUM(H737:H738)</f>
        <v>1030343.6</v>
      </c>
    </row>
    <row r="740" spans="1:8">
      <c r="A740" s="703" t="str">
        <f>+[14]PRESUPUESTO!$A$113</f>
        <v>__________________________________________</v>
      </c>
      <c r="B740" s="703"/>
    </row>
    <row r="741" spans="1:8">
      <c r="A741" s="810" t="str">
        <f>+[14]PRESUPUESTO!$A$114</f>
        <v>Ing. JHON FREDY GARCIA MENDEZ</v>
      </c>
      <c r="B741" s="703"/>
    </row>
    <row r="742" spans="1:8">
      <c r="A742" s="811" t="str">
        <f>+[14]PRESUPUESTO!$A$115</f>
        <v>M.P.  70268-326294 TLM.</v>
      </c>
      <c r="B742" s="703"/>
    </row>
    <row r="743" spans="1:8">
      <c r="A743" s="811" t="str">
        <f>+[14]PRESUPUESTO!$A$116</f>
        <v>CONSULTOR</v>
      </c>
      <c r="B743" s="703"/>
    </row>
    <row r="759" spans="1:8" ht="13.5" thickBot="1"/>
    <row r="760" spans="1:8">
      <c r="A760" s="284"/>
      <c r="B760" s="2195"/>
      <c r="C760" s="2196"/>
      <c r="D760" s="2196"/>
      <c r="E760" s="284"/>
      <c r="F760" s="285"/>
      <c r="G760" s="286"/>
      <c r="H760" s="287"/>
    </row>
    <row r="761" spans="1:8">
      <c r="A761" s="96">
        <v>2</v>
      </c>
      <c r="B761" s="2185" t="s">
        <v>964</v>
      </c>
      <c r="C761" s="2185"/>
      <c r="D761" s="2185"/>
      <c r="E761" s="2185"/>
      <c r="F761" s="289"/>
      <c r="G761" s="290" t="s">
        <v>525</v>
      </c>
      <c r="H761" s="97" t="s">
        <v>352</v>
      </c>
    </row>
    <row r="762" spans="1:8">
      <c r="A762" s="432">
        <v>2.4</v>
      </c>
      <c r="B762" s="2186" t="s">
        <v>548</v>
      </c>
      <c r="C762" s="2186"/>
      <c r="D762" s="2186"/>
      <c r="E762" s="2186"/>
      <c r="F762" s="291"/>
      <c r="G762" s="290"/>
      <c r="H762" s="97"/>
    </row>
    <row r="763" spans="1:8">
      <c r="A763" s="96"/>
      <c r="B763" s="420"/>
      <c r="C763" s="421"/>
      <c r="D763" s="421"/>
      <c r="E763" s="421"/>
      <c r="F763" s="292"/>
      <c r="G763" s="286"/>
      <c r="H763" s="287"/>
    </row>
    <row r="764" spans="1:8">
      <c r="A764" s="97"/>
      <c r="B764" s="293"/>
      <c r="C764" s="293"/>
      <c r="D764" s="293"/>
      <c r="E764" s="293"/>
      <c r="F764" s="293"/>
      <c r="G764" s="294"/>
      <c r="H764" s="294"/>
    </row>
    <row r="765" spans="1:8" ht="13.5" thickBot="1">
      <c r="A765" s="295" t="s">
        <v>526</v>
      </c>
      <c r="B765" s="295"/>
      <c r="C765" s="285"/>
      <c r="D765" s="296"/>
      <c r="E765" s="296"/>
      <c r="F765" s="296"/>
      <c r="G765" s="296"/>
      <c r="H765" s="296"/>
    </row>
    <row r="766" spans="1:8" ht="13.5" thickBot="1">
      <c r="A766" s="297" t="s">
        <v>527</v>
      </c>
      <c r="B766" s="298"/>
      <c r="C766" s="299" t="s">
        <v>521</v>
      </c>
      <c r="D766" s="300"/>
      <c r="E766" s="301" t="s">
        <v>515</v>
      </c>
      <c r="F766" s="302" t="s">
        <v>528</v>
      </c>
      <c r="G766" s="303" t="s">
        <v>832</v>
      </c>
      <c r="H766" s="278" t="s">
        <v>831</v>
      </c>
    </row>
    <row r="767" spans="1:8">
      <c r="A767" s="304" t="s">
        <v>966</v>
      </c>
      <c r="B767" s="305" t="str">
        <f>IF(A767="","",VLOOKUP(A767,EQUI,2,FALSE))</f>
        <v>Herramienta Menor (5% de la mano de obra).</v>
      </c>
      <c r="C767" s="306"/>
      <c r="D767" s="306"/>
      <c r="E767" s="276" t="str">
        <f>IF(A767="","",VLOOKUP(A767,EQUI,3,FALSE))</f>
        <v>%</v>
      </c>
      <c r="F767" s="433">
        <f>IF(A767="","",VLOOKUP(A767,EQUI,4,FALSE))</f>
        <v>0.05</v>
      </c>
      <c r="G767" s="307">
        <f>ROUND(F767*H803,0)</f>
        <v>4736</v>
      </c>
      <c r="H767" s="308">
        <f>+G767</f>
        <v>4736</v>
      </c>
    </row>
    <row r="768" spans="1:8">
      <c r="A768" s="304" t="s">
        <v>497</v>
      </c>
      <c r="B768" s="305" t="str">
        <f>IF(A768="","",VLOOKUP(A768,EQUI,2,FALSE))</f>
        <v>Mezcladora mecánica (1.0 bultos)</v>
      </c>
      <c r="C768" s="306"/>
      <c r="D768" s="306"/>
      <c r="E768" s="276" t="str">
        <f>IF(A768="","",VLOOKUP(A768,EQUI,3))</f>
        <v>Dia</v>
      </c>
      <c r="F768" s="405">
        <v>0.1</v>
      </c>
      <c r="G768" s="310">
        <f>IF(A768="","",VLOOKUP(A768,EQUI,4))</f>
        <v>80000</v>
      </c>
      <c r="H768" s="311">
        <f>IF(A768="","",ROUND((G768*F768),0))</f>
        <v>8000</v>
      </c>
    </row>
    <row r="769" spans="1:8">
      <c r="A769" s="304"/>
      <c r="B769" s="305" t="str">
        <f>IF(A769="","",VLOOKUP(A769,EQUI,2))</f>
        <v/>
      </c>
      <c r="C769" s="306"/>
      <c r="D769" s="306"/>
      <c r="E769" s="276" t="str">
        <f>IF(A769="","",VLOOKUP(A769,EQUI,3))</f>
        <v/>
      </c>
      <c r="F769" s="405"/>
      <c r="G769" s="310" t="str">
        <f>IF(A769="","",VLOOKUP(A769,EQUI,4))</f>
        <v/>
      </c>
      <c r="H769" s="311" t="str">
        <f>IF(A769="","",ROUND((G769*F769),0))</f>
        <v/>
      </c>
    </row>
    <row r="770" spans="1:8">
      <c r="A770" s="304"/>
      <c r="B770" s="305" t="str">
        <f>IF(A770="","",VLOOKUP(A770,EQUI,2))</f>
        <v/>
      </c>
      <c r="C770" s="306"/>
      <c r="D770" s="306"/>
      <c r="E770" s="276" t="str">
        <f>IF(A770="","",VLOOKUP(A770,EQUI,3))</f>
        <v/>
      </c>
      <c r="F770" s="405"/>
      <c r="G770" s="310" t="str">
        <f>IF(A770="","",VLOOKUP(A770,EQUI,4))</f>
        <v/>
      </c>
      <c r="H770" s="311" t="str">
        <f>IF(A770="","",ROUND((G770*F770),0))</f>
        <v/>
      </c>
    </row>
    <row r="771" spans="1:8">
      <c r="A771" s="304"/>
      <c r="B771" s="305" t="str">
        <f>IF(A771="","",VLOOKUP(A771,EQUI,2))</f>
        <v/>
      </c>
      <c r="C771" s="306"/>
      <c r="D771" s="306"/>
      <c r="E771" s="276" t="str">
        <f>IF(A771="","",VLOOKUP(A771,EQUI,3))</f>
        <v/>
      </c>
      <c r="F771" s="405"/>
      <c r="G771" s="310" t="str">
        <f>IF(A771="","",VLOOKUP(A771,EQUI,4))</f>
        <v/>
      </c>
      <c r="H771" s="311" t="str">
        <f>IF(A771="","",ROUND((G771*F771),0))</f>
        <v/>
      </c>
    </row>
    <row r="772" spans="1:8" ht="13.5" thickBot="1">
      <c r="A772" s="312"/>
      <c r="B772" s="313" t="str">
        <f>IF(A772="","",VLOOKUP(A772,EQUI,2))</f>
        <v/>
      </c>
      <c r="C772" s="313"/>
      <c r="D772" s="314"/>
      <c r="E772" s="315" t="str">
        <f>IF(A772="","",VLOOKUP(A772,EQUI,3))</f>
        <v/>
      </c>
      <c r="F772" s="408"/>
      <c r="G772" s="316" t="str">
        <f>IF(A772="","",VLOOKUP(A772,EQUI,4))</f>
        <v/>
      </c>
      <c r="H772" s="311" t="str">
        <f>IF(A772="","",ROUND((G772*F772),0))</f>
        <v/>
      </c>
    </row>
    <row r="773" spans="1:8" ht="13.5" thickBot="1">
      <c r="A773" s="285"/>
      <c r="B773" s="285"/>
      <c r="C773" s="285"/>
      <c r="D773" s="285"/>
      <c r="E773" s="286"/>
      <c r="F773" s="285"/>
      <c r="G773" s="317" t="s">
        <v>529</v>
      </c>
      <c r="H773" s="318">
        <f>ROUND(SUM(H767:H772),0)</f>
        <v>12736</v>
      </c>
    </row>
    <row r="774" spans="1:8">
      <c r="A774" s="285"/>
      <c r="B774" s="285"/>
      <c r="C774" s="285"/>
      <c r="D774" s="285"/>
      <c r="E774" s="286"/>
      <c r="F774" s="285"/>
      <c r="G774" s="286"/>
      <c r="H774" s="319"/>
    </row>
    <row r="775" spans="1:8" ht="13.5" thickBot="1">
      <c r="A775" s="295" t="s">
        <v>530</v>
      </c>
      <c r="B775" s="295"/>
      <c r="C775" s="295"/>
      <c r="D775" s="295"/>
      <c r="E775" s="320"/>
      <c r="F775" s="314"/>
      <c r="G775" s="314"/>
      <c r="H775" s="314"/>
    </row>
    <row r="776" spans="1:8" ht="13.5" thickBot="1">
      <c r="A776" s="297" t="s">
        <v>527</v>
      </c>
      <c r="B776" s="298"/>
      <c r="C776" s="299" t="s">
        <v>521</v>
      </c>
      <c r="D776" s="299"/>
      <c r="E776" s="321" t="s">
        <v>515</v>
      </c>
      <c r="F776" s="322" t="s">
        <v>7</v>
      </c>
      <c r="G776" s="303" t="s">
        <v>832</v>
      </c>
      <c r="H776" s="278" t="s">
        <v>831</v>
      </c>
    </row>
    <row r="777" spans="1:8">
      <c r="A777" s="323" t="s">
        <v>134</v>
      </c>
      <c r="B777" s="353" t="str">
        <f t="shared" ref="B777:B787" si="49">IF(A777="","",VLOOKUP(A777,MAT,2,FALSE))</f>
        <v>Agua</v>
      </c>
      <c r="C777" s="305"/>
      <c r="D777" s="306"/>
      <c r="E777" s="276" t="str">
        <f>IF(A777="","",VLOOKUP(A777,MAT,3,FALSE))</f>
        <v>Lt</v>
      </c>
      <c r="F777" s="405">
        <v>220</v>
      </c>
      <c r="G777" s="310">
        <f>IF(A777="","",VLOOKUP(A777,MAT,5,FALSE))</f>
        <v>20</v>
      </c>
      <c r="H777" s="311">
        <f>IF(A777="","",ROUND((G777*F777),0))</f>
        <v>4400</v>
      </c>
    </row>
    <row r="778" spans="1:8">
      <c r="A778" s="324" t="s">
        <v>560</v>
      </c>
      <c r="B778" s="353" t="str">
        <f t="shared" si="49"/>
        <v>Arena fina de río.</v>
      </c>
      <c r="C778" s="305"/>
      <c r="D778" s="306"/>
      <c r="E778" s="276" t="str">
        <f>IF(A778="","",VLOOKUP(A778,MAT,3,FALSE))</f>
        <v>m3</v>
      </c>
      <c r="F778" s="405">
        <v>1.1599999999999999</v>
      </c>
      <c r="G778" s="310">
        <f>IF(A778="","",VLOOKUP(A778,MAT,5,FALSE))</f>
        <v>60000</v>
      </c>
      <c r="H778" s="311">
        <f>IF(A778="","",ROUND((G778*F778),0))</f>
        <v>69600</v>
      </c>
    </row>
    <row r="779" spans="1:8">
      <c r="A779" s="324" t="s">
        <v>576</v>
      </c>
      <c r="B779" s="353" t="str">
        <f t="shared" si="49"/>
        <v>Cemento gris tipo Portland.</v>
      </c>
      <c r="C779" s="305"/>
      <c r="D779" s="306"/>
      <c r="E779" s="276" t="str">
        <f>IF(A779="","",VLOOKUP(A779,MAT,3,FALSE))</f>
        <v>Kg.</v>
      </c>
      <c r="F779" s="405">
        <v>364</v>
      </c>
      <c r="G779" s="310">
        <f>IF(A779="","",VLOOKUP(A779,MAT,5,FALSE))</f>
        <v>700</v>
      </c>
      <c r="H779" s="311">
        <f>IF(A779="","",ROUND((G779*F779),0))</f>
        <v>254800</v>
      </c>
    </row>
    <row r="780" spans="1:8">
      <c r="A780" s="324"/>
      <c r="B780" s="305" t="str">
        <f t="shared" si="49"/>
        <v/>
      </c>
      <c r="C780" s="305"/>
      <c r="D780" s="306"/>
      <c r="E780" s="276" t="str">
        <f t="shared" ref="E780:E786" si="50">IF(A780="","",VLOOKUP(A780,MAT,3,FALSE))</f>
        <v/>
      </c>
      <c r="F780" s="405"/>
      <c r="G780" s="310" t="str">
        <f t="shared" ref="G780:G786" si="51">IF(A780="","",VLOOKUP(A780,MAT,5,FALSE))</f>
        <v/>
      </c>
      <c r="H780" s="311" t="str">
        <f t="shared" ref="H780:H786" si="52">IF(A780="","",ROUND((G780*F780),0))</f>
        <v/>
      </c>
    </row>
    <row r="781" spans="1:8">
      <c r="A781" s="324"/>
      <c r="B781" s="305" t="str">
        <f t="shared" si="49"/>
        <v/>
      </c>
      <c r="C781" s="305"/>
      <c r="D781" s="306"/>
      <c r="E781" s="276" t="str">
        <f t="shared" si="50"/>
        <v/>
      </c>
      <c r="F781" s="405"/>
      <c r="G781" s="310" t="str">
        <f t="shared" si="51"/>
        <v/>
      </c>
      <c r="H781" s="311" t="str">
        <f t="shared" si="52"/>
        <v/>
      </c>
    </row>
    <row r="782" spans="1:8">
      <c r="A782" s="324"/>
      <c r="B782" s="305" t="str">
        <f t="shared" si="49"/>
        <v/>
      </c>
      <c r="C782" s="305"/>
      <c r="D782" s="306"/>
      <c r="E782" s="276" t="str">
        <f t="shared" si="50"/>
        <v/>
      </c>
      <c r="F782" s="405"/>
      <c r="G782" s="310" t="str">
        <f t="shared" si="51"/>
        <v/>
      </c>
      <c r="H782" s="311" t="str">
        <f t="shared" si="52"/>
        <v/>
      </c>
    </row>
    <row r="783" spans="1:8">
      <c r="A783" s="324"/>
      <c r="B783" s="305" t="str">
        <f t="shared" si="49"/>
        <v/>
      </c>
      <c r="C783" s="305"/>
      <c r="D783" s="306"/>
      <c r="E783" s="276" t="str">
        <f t="shared" si="50"/>
        <v/>
      </c>
      <c r="F783" s="405"/>
      <c r="G783" s="310" t="str">
        <f t="shared" si="51"/>
        <v/>
      </c>
      <c r="H783" s="311" t="str">
        <f t="shared" si="52"/>
        <v/>
      </c>
    </row>
    <row r="784" spans="1:8">
      <c r="A784" s="324"/>
      <c r="B784" s="305" t="str">
        <f t="shared" si="49"/>
        <v/>
      </c>
      <c r="C784" s="305"/>
      <c r="D784" s="306"/>
      <c r="E784" s="276" t="str">
        <f t="shared" si="50"/>
        <v/>
      </c>
      <c r="F784" s="405"/>
      <c r="G784" s="310" t="str">
        <f t="shared" si="51"/>
        <v/>
      </c>
      <c r="H784" s="311" t="str">
        <f t="shared" si="52"/>
        <v/>
      </c>
    </row>
    <row r="785" spans="1:8">
      <c r="A785" s="324"/>
      <c r="B785" s="305" t="str">
        <f t="shared" si="49"/>
        <v/>
      </c>
      <c r="C785" s="305"/>
      <c r="D785" s="306"/>
      <c r="E785" s="276" t="str">
        <f t="shared" si="50"/>
        <v/>
      </c>
      <c r="F785" s="405"/>
      <c r="G785" s="310" t="str">
        <f t="shared" si="51"/>
        <v/>
      </c>
      <c r="H785" s="311" t="str">
        <f t="shared" si="52"/>
        <v/>
      </c>
    </row>
    <row r="786" spans="1:8">
      <c r="A786" s="324"/>
      <c r="B786" s="305" t="str">
        <f t="shared" si="49"/>
        <v/>
      </c>
      <c r="C786" s="305"/>
      <c r="D786" s="306"/>
      <c r="E786" s="276" t="str">
        <f t="shared" si="50"/>
        <v/>
      </c>
      <c r="F786" s="405"/>
      <c r="G786" s="310" t="str">
        <f t="shared" si="51"/>
        <v/>
      </c>
      <c r="H786" s="311" t="str">
        <f t="shared" si="52"/>
        <v/>
      </c>
    </row>
    <row r="787" spans="1:8" ht="13.5" thickBot="1">
      <c r="A787" s="325"/>
      <c r="B787" s="326" t="str">
        <f t="shared" si="49"/>
        <v/>
      </c>
      <c r="C787" s="314"/>
      <c r="D787" s="314"/>
      <c r="E787" s="315" t="str">
        <f>IF(A787="","",VLOOKUP(A787,MAT,3,FALSE))</f>
        <v/>
      </c>
      <c r="F787" s="406"/>
      <c r="G787" s="327" t="str">
        <f>IF(A787="","",VLOOKUP(A787,MAT,5,FALSE))</f>
        <v/>
      </c>
      <c r="H787" s="311" t="str">
        <f>IF(A787="","",ROUND((G787*F787),0))</f>
        <v/>
      </c>
    </row>
    <row r="788" spans="1:8" ht="13.5" thickBot="1">
      <c r="A788" s="285"/>
      <c r="B788" s="285"/>
      <c r="C788" s="285"/>
      <c r="D788" s="285"/>
      <c r="E788" s="286"/>
      <c r="F788" s="285"/>
      <c r="G788" s="210" t="s">
        <v>529</v>
      </c>
      <c r="H788" s="328">
        <f>ROUND(SUM(H777:H787),0)</f>
        <v>328800</v>
      </c>
    </row>
    <row r="789" spans="1:8">
      <c r="A789" s="285"/>
      <c r="B789" s="285"/>
      <c r="C789" s="285"/>
      <c r="D789" s="285"/>
      <c r="E789" s="286"/>
      <c r="F789" s="285"/>
      <c r="G789" s="286"/>
      <c r="H789" s="329"/>
    </row>
    <row r="790" spans="1:8" ht="13.5" thickBot="1">
      <c r="A790" s="295" t="s">
        <v>531</v>
      </c>
      <c r="B790" s="285"/>
      <c r="C790" s="285"/>
      <c r="D790" s="285"/>
      <c r="E790" s="286"/>
      <c r="F790" s="285"/>
      <c r="G790" s="286"/>
      <c r="H790" s="330"/>
    </row>
    <row r="791" spans="1:8" ht="13.5" thickBot="1">
      <c r="A791" s="297" t="s">
        <v>527</v>
      </c>
      <c r="B791" s="2187" t="s">
        <v>532</v>
      </c>
      <c r="C791" s="2188"/>
      <c r="D791" s="331" t="s">
        <v>821</v>
      </c>
      <c r="E791" s="331" t="s">
        <v>820</v>
      </c>
      <c r="F791" s="331" t="s">
        <v>823</v>
      </c>
      <c r="G791" s="331" t="s">
        <v>963</v>
      </c>
      <c r="H791" s="416" t="s">
        <v>831</v>
      </c>
    </row>
    <row r="792" spans="1:8">
      <c r="A792" s="332" t="s">
        <v>560</v>
      </c>
      <c r="B792" s="305" t="str">
        <f>IF(A792="","",VLOOKUP(A792,MAT,2,FALSE))</f>
        <v>Arena fina de río.</v>
      </c>
      <c r="C792" s="333"/>
      <c r="D792" s="409" t="str">
        <f>IF(A792="","",VLOOKUP(A792,MAT,3,FALSE))</f>
        <v>m3</v>
      </c>
      <c r="E792" s="419">
        <f>IF(A792="","",VLOOKUP(A792,MAT,6,FALSE))</f>
        <v>15</v>
      </c>
      <c r="F792" s="413">
        <f>IF(A792="","",VLOOKUP(A792,A777:H787,6,FALSE))</f>
        <v>1.1599999999999999</v>
      </c>
      <c r="G792" s="334">
        <f>IF(A792="","",VLOOKUP(A792,MAT,7,FALSE))</f>
        <v>1500</v>
      </c>
      <c r="H792" s="311">
        <f>IF(A792="","",ROUND((G792*F792*E792),0))</f>
        <v>26100</v>
      </c>
    </row>
    <row r="793" spans="1:8">
      <c r="A793" s="335"/>
      <c r="B793" s="305" t="str">
        <f>IF(A793="","",VLOOKUP(A793,MAT,2,FALSE))</f>
        <v/>
      </c>
      <c r="D793" s="410" t="str">
        <f>IF(A793="","",VLOOKUP(A793,MAT,3,FALSE))</f>
        <v/>
      </c>
      <c r="E793" s="419" t="str">
        <f>IF(A793="","",VLOOKUP(A793,MAT,6,FALSE))</f>
        <v/>
      </c>
      <c r="F793" s="413" t="str">
        <f>IF(A793="","",VLOOKUP(A793,A777:H787,6,FALSE))</f>
        <v/>
      </c>
      <c r="G793" s="336" t="str">
        <f>IF(A793="","",VLOOKUP(A793,MAT,7,FALSE))</f>
        <v/>
      </c>
      <c r="H793" s="311" t="str">
        <f>IF(A793="","",ROUND((G793*F793*E793),0))</f>
        <v/>
      </c>
    </row>
    <row r="794" spans="1:8" ht="13.5" thickBot="1">
      <c r="A794" s="337"/>
      <c r="B794" s="338" t="str">
        <f>IF(A794="","",VLOOKUP(A794,MAT,2,FALSE))</f>
        <v/>
      </c>
      <c r="C794" s="338"/>
      <c r="D794" s="411" t="str">
        <f>IF(A794="","",VLOOKUP(A794,MAT,3,FALSE))</f>
        <v/>
      </c>
      <c r="E794" s="412" t="str">
        <f>IF(A794="","",VLOOKUP(A794,MAT,6,FALSE))</f>
        <v/>
      </c>
      <c r="F794" s="418" t="str">
        <f>IF(A794="","",VLOOKUP(A794,$A$23:$H$33,6,FALSE))</f>
        <v/>
      </c>
      <c r="G794" s="339" t="str">
        <f>IF(A794="","",VLOOKUP(A794,MAT,7,FALSE))</f>
        <v/>
      </c>
      <c r="H794" s="417" t="str">
        <f>IF(A794="","",ROUND((G794*F794*E794),0))</f>
        <v/>
      </c>
    </row>
    <row r="795" spans="1:8" ht="13.5" thickBot="1">
      <c r="E795" s="340"/>
      <c r="F795" s="341"/>
      <c r="G795" s="414" t="s">
        <v>529</v>
      </c>
      <c r="H795" s="415">
        <f>ROUND(SUM(H792:H794),0)</f>
        <v>26100</v>
      </c>
    </row>
    <row r="796" spans="1:8">
      <c r="E796" s="340"/>
      <c r="F796" s="341"/>
      <c r="G796" s="286"/>
      <c r="H796" s="343"/>
    </row>
    <row r="797" spans="1:8" ht="13.5" thickBot="1">
      <c r="A797" s="295" t="s">
        <v>534</v>
      </c>
      <c r="B797" s="295"/>
      <c r="C797" s="295"/>
      <c r="D797" s="285"/>
      <c r="E797" s="286"/>
      <c r="F797" s="285"/>
      <c r="G797" s="285"/>
      <c r="H797" s="314"/>
    </row>
    <row r="798" spans="1:8" ht="13.5" thickBot="1">
      <c r="A798" s="297" t="s">
        <v>527</v>
      </c>
      <c r="B798" s="2189" t="s">
        <v>514</v>
      </c>
      <c r="C798" s="2190"/>
      <c r="D798" s="2191"/>
      <c r="E798" s="277" t="s">
        <v>515</v>
      </c>
      <c r="F798" s="277" t="s">
        <v>535</v>
      </c>
      <c r="G798" s="531" t="s">
        <v>944</v>
      </c>
      <c r="H798" s="416" t="s">
        <v>831</v>
      </c>
    </row>
    <row r="799" spans="1:8">
      <c r="A799" s="344" t="s">
        <v>932</v>
      </c>
      <c r="B799" s="2192" t="str">
        <f>IF(A799="","",VLOOKUP(A799,MO,2,FALSE))</f>
        <v>Cuadrilla LL: Mezclas. (1 Of. + 3 Ayud.).</v>
      </c>
      <c r="C799" s="2193"/>
      <c r="D799" s="2194"/>
      <c r="E799" s="538" t="str">
        <f>IF(A799="","",VLOOKUP(A799,MO,13,FALSE))</f>
        <v>HC</v>
      </c>
      <c r="F799" s="544">
        <v>0.85</v>
      </c>
      <c r="G799" s="540">
        <f>IF(A799="","",VLOOKUP(A799,MO,15,FALSE))</f>
        <v>80517</v>
      </c>
      <c r="H799" s="542">
        <f>IF(A799="","",ROUND((G799/F799),0))</f>
        <v>94726</v>
      </c>
    </row>
    <row r="800" spans="1:8">
      <c r="A800" s="344"/>
      <c r="B800" s="2179" t="str">
        <f>IF(A800="","",VLOOKUP(A800,MO,2,FALSE))</f>
        <v/>
      </c>
      <c r="C800" s="2180"/>
      <c r="D800" s="2181"/>
      <c r="E800" s="538" t="str">
        <f>IF(A800="","",VLOOKUP(A800,MO,13,FALSE))</f>
        <v/>
      </c>
      <c r="F800" s="544"/>
      <c r="G800" s="540" t="str">
        <f>IF(A800="","",VLOOKUP(A800,MO,15,FALSE))</f>
        <v/>
      </c>
      <c r="H800" s="542" t="str">
        <f>IF(A800="","",ROUND((G800/F800),0))</f>
        <v/>
      </c>
    </row>
    <row r="801" spans="1:8">
      <c r="A801" s="344"/>
      <c r="B801" s="2179" t="str">
        <f>IF(A801="","",VLOOKUP(A801,MO,2,FALSE))</f>
        <v/>
      </c>
      <c r="C801" s="2180"/>
      <c r="D801" s="2181"/>
      <c r="E801" s="538" t="str">
        <f>IF(A801="","",VLOOKUP(A801,MO,13,FALSE))</f>
        <v/>
      </c>
      <c r="F801" s="544"/>
      <c r="G801" s="541" t="str">
        <f>IF(A801="","",VLOOKUP(A801,MO,15,FALSE))</f>
        <v/>
      </c>
      <c r="H801" s="542" t="str">
        <f>IF(A801="","",ROUND((G801/F801),0))</f>
        <v/>
      </c>
    </row>
    <row r="802" spans="1:8" ht="13.5" thickBot="1">
      <c r="A802" s="345"/>
      <c r="B802" s="2182" t="str">
        <f>IF(A802="","",VLOOKUP(A802,MO,2,FALSE))</f>
        <v/>
      </c>
      <c r="C802" s="2183"/>
      <c r="D802" s="2184"/>
      <c r="E802" s="539" t="str">
        <f>IF(A802="","",VLOOKUP(A802,MO,13,FALSE))</f>
        <v/>
      </c>
      <c r="F802" s="545"/>
      <c r="G802" s="377" t="str">
        <f>IF(A802="","",VLOOKUP(A802,MO,15,FALSE))</f>
        <v/>
      </c>
      <c r="H802" s="543" t="str">
        <f>IF(A802="","",ROUND((G802/F802),0))</f>
        <v/>
      </c>
    </row>
    <row r="803" spans="1:8" ht="13.5" thickBot="1">
      <c r="A803" s="285"/>
      <c r="B803" s="285"/>
      <c r="C803" s="285"/>
      <c r="D803" s="285"/>
      <c r="E803" s="286"/>
      <c r="F803" s="285"/>
      <c r="G803" s="317" t="s">
        <v>529</v>
      </c>
      <c r="H803" s="342">
        <f>ROUND(SUM(H799:H802),0)</f>
        <v>94726</v>
      </c>
    </row>
    <row r="804" spans="1:8" ht="13.5" thickBot="1">
      <c r="A804" s="285"/>
      <c r="B804" s="285"/>
      <c r="C804" s="285"/>
      <c r="D804" s="285"/>
      <c r="E804" s="286"/>
      <c r="F804" s="285"/>
      <c r="G804" s="285"/>
      <c r="H804" s="285"/>
    </row>
    <row r="805" spans="1:8" ht="13.5" thickBot="1">
      <c r="A805" s="285"/>
      <c r="B805" s="285"/>
      <c r="C805" s="285"/>
      <c r="D805" s="285"/>
      <c r="E805" s="346" t="s">
        <v>536</v>
      </c>
      <c r="F805" s="347"/>
      <c r="G805" s="347"/>
      <c r="H805" s="348">
        <f>+ROUND(H773+H788+H795+H803,0)</f>
        <v>462362</v>
      </c>
    </row>
    <row r="806" spans="1:8">
      <c r="A806" s="285"/>
      <c r="B806" s="285"/>
      <c r="C806" s="285"/>
      <c r="D806" s="285"/>
      <c r="E806" s="806" t="s">
        <v>2696</v>
      </c>
      <c r="F806" s="807">
        <v>0.3</v>
      </c>
      <c r="G806" s="807">
        <v>0.3</v>
      </c>
      <c r="H806" s="809">
        <f>H805*G806</f>
        <v>138708.6</v>
      </c>
    </row>
    <row r="807" spans="1:8">
      <c r="E807" s="806"/>
      <c r="F807" s="807"/>
      <c r="G807" s="807"/>
      <c r="H807" s="809">
        <f>SUM(H805:H806)</f>
        <v>601070.6</v>
      </c>
    </row>
    <row r="808" spans="1:8">
      <c r="A808" s="703" t="str">
        <f>+[14]PRESUPUESTO!$A$113</f>
        <v>__________________________________________</v>
      </c>
      <c r="B808" s="703"/>
    </row>
    <row r="809" spans="1:8">
      <c r="A809" s="810" t="str">
        <f>+[14]PRESUPUESTO!$A$114</f>
        <v>Ing. JHON FREDY GARCIA MENDEZ</v>
      </c>
      <c r="B809" s="703"/>
    </row>
    <row r="810" spans="1:8">
      <c r="A810" s="811" t="str">
        <f>+[14]PRESUPUESTO!$A$115</f>
        <v>M.P.  70268-326294 TLM.</v>
      </c>
      <c r="B810" s="703"/>
    </row>
    <row r="811" spans="1:8">
      <c r="A811" s="811" t="str">
        <f>+[14]PRESUPUESTO!$A$116</f>
        <v>CONSULTOR</v>
      </c>
      <c r="B811" s="703"/>
    </row>
    <row r="827" spans="1:8" ht="13.5" thickBot="1"/>
    <row r="828" spans="1:8">
      <c r="A828" s="284"/>
      <c r="B828" s="2195"/>
      <c r="C828" s="2196"/>
      <c r="D828" s="2196"/>
      <c r="E828" s="284"/>
      <c r="F828" s="285"/>
      <c r="G828" s="286"/>
      <c r="H828" s="287"/>
    </row>
    <row r="829" spans="1:8">
      <c r="A829" s="96">
        <v>2</v>
      </c>
      <c r="B829" s="2185" t="s">
        <v>964</v>
      </c>
      <c r="C829" s="2185"/>
      <c r="D829" s="2185"/>
      <c r="E829" s="2185"/>
      <c r="F829" s="289"/>
      <c r="G829" s="290" t="s">
        <v>525</v>
      </c>
      <c r="H829" s="97" t="s">
        <v>352</v>
      </c>
    </row>
    <row r="830" spans="1:8">
      <c r="A830" s="432">
        <v>2.5</v>
      </c>
      <c r="B830" s="2186" t="s">
        <v>972</v>
      </c>
      <c r="C830" s="2186"/>
      <c r="D830" s="2186"/>
      <c r="E830" s="2186"/>
      <c r="F830" s="291"/>
      <c r="G830" s="290"/>
      <c r="H830" s="97"/>
    </row>
    <row r="831" spans="1:8">
      <c r="A831" s="96"/>
      <c r="B831" s="420"/>
      <c r="C831" s="421"/>
      <c r="D831" s="421"/>
      <c r="E831" s="421"/>
      <c r="F831" s="292"/>
      <c r="G831" s="286"/>
      <c r="H831" s="287"/>
    </row>
    <row r="832" spans="1:8">
      <c r="A832" s="97"/>
      <c r="B832" s="293"/>
      <c r="C832" s="293"/>
      <c r="D832" s="293"/>
      <c r="E832" s="293"/>
      <c r="F832" s="293"/>
      <c r="G832" s="294"/>
      <c r="H832" s="294"/>
    </row>
    <row r="833" spans="1:8" ht="13.5" thickBot="1">
      <c r="A833" s="295" t="s">
        <v>526</v>
      </c>
      <c r="B833" s="295"/>
      <c r="C833" s="285"/>
      <c r="D833" s="296"/>
      <c r="E833" s="296"/>
      <c r="F833" s="296"/>
      <c r="G833" s="296"/>
      <c r="H833" s="296"/>
    </row>
    <row r="834" spans="1:8" ht="13.5" thickBot="1">
      <c r="A834" s="297" t="s">
        <v>527</v>
      </c>
      <c r="B834" s="298"/>
      <c r="C834" s="299" t="s">
        <v>521</v>
      </c>
      <c r="D834" s="300"/>
      <c r="E834" s="301" t="s">
        <v>515</v>
      </c>
      <c r="F834" s="302" t="s">
        <v>528</v>
      </c>
      <c r="G834" s="303" t="s">
        <v>832</v>
      </c>
      <c r="H834" s="278" t="s">
        <v>831</v>
      </c>
    </row>
    <row r="835" spans="1:8">
      <c r="A835" s="304" t="s">
        <v>966</v>
      </c>
      <c r="B835" s="305" t="str">
        <f>IF(A835="","",VLOOKUP(A835,EQUI,2,FALSE))</f>
        <v>Herramienta Menor (5% de la mano de obra).</v>
      </c>
      <c r="C835" s="306"/>
      <c r="D835" s="306"/>
      <c r="E835" s="276" t="str">
        <f>IF(A835="","",VLOOKUP(A835,EQUI,3,FALSE))</f>
        <v>%</v>
      </c>
      <c r="F835" s="433">
        <f>IF(A835="","",VLOOKUP(A835,EQUI,4,FALSE))</f>
        <v>0.05</v>
      </c>
      <c r="G835" s="307">
        <f>ROUND(F835*H871,0)</f>
        <v>4736</v>
      </c>
      <c r="H835" s="308">
        <f>+G835</f>
        <v>4736</v>
      </c>
    </row>
    <row r="836" spans="1:8">
      <c r="A836" s="304" t="s">
        <v>497</v>
      </c>
      <c r="B836" s="305" t="str">
        <f>IF(A836="","",VLOOKUP(A836,EQUI,2,FALSE))</f>
        <v>Mezcladora mecánica (1.0 bultos)</v>
      </c>
      <c r="C836" s="306"/>
      <c r="D836" s="306"/>
      <c r="E836" s="276" t="str">
        <f>IF(A836="","",VLOOKUP(A836,EQUI,3))</f>
        <v>Dia</v>
      </c>
      <c r="F836" s="405">
        <v>0.1</v>
      </c>
      <c r="G836" s="310">
        <f>IF(A836="","",VLOOKUP(A836,EQUI,4))</f>
        <v>80000</v>
      </c>
      <c r="H836" s="311">
        <f>IF(A836="","",ROUND((G836*F836),0))</f>
        <v>8000</v>
      </c>
    </row>
    <row r="837" spans="1:8">
      <c r="A837" s="304"/>
      <c r="B837" s="305" t="str">
        <f>IF(A837="","",VLOOKUP(A837,EQUI,2))</f>
        <v/>
      </c>
      <c r="C837" s="306"/>
      <c r="D837" s="306"/>
      <c r="E837" s="276" t="str">
        <f>IF(A837="","",VLOOKUP(A837,EQUI,3))</f>
        <v/>
      </c>
      <c r="F837" s="405"/>
      <c r="G837" s="310" t="str">
        <f>IF(A837="","",VLOOKUP(A837,EQUI,4))</f>
        <v/>
      </c>
      <c r="H837" s="311" t="str">
        <f>IF(A837="","",ROUND((G837*F837),0))</f>
        <v/>
      </c>
    </row>
    <row r="838" spans="1:8">
      <c r="A838" s="304"/>
      <c r="B838" s="305" t="str">
        <f>IF(A838="","",VLOOKUP(A838,EQUI,2))</f>
        <v/>
      </c>
      <c r="C838" s="306"/>
      <c r="D838" s="306"/>
      <c r="E838" s="276" t="str">
        <f>IF(A838="","",VLOOKUP(A838,EQUI,3))</f>
        <v/>
      </c>
      <c r="F838" s="405"/>
      <c r="G838" s="310" t="str">
        <f>IF(A838="","",VLOOKUP(A838,EQUI,4))</f>
        <v/>
      </c>
      <c r="H838" s="311" t="str">
        <f>IF(A838="","",ROUND((G838*F838),0))</f>
        <v/>
      </c>
    </row>
    <row r="839" spans="1:8">
      <c r="A839" s="304"/>
      <c r="B839" s="305" t="str">
        <f>IF(A839="","",VLOOKUP(A839,EQUI,2))</f>
        <v/>
      </c>
      <c r="C839" s="306"/>
      <c r="D839" s="306"/>
      <c r="E839" s="276" t="str">
        <f>IF(A839="","",VLOOKUP(A839,EQUI,3))</f>
        <v/>
      </c>
      <c r="F839" s="405"/>
      <c r="G839" s="310" t="str">
        <f>IF(A839="","",VLOOKUP(A839,EQUI,4))</f>
        <v/>
      </c>
      <c r="H839" s="311" t="str">
        <f>IF(A839="","",ROUND((G839*F839),0))</f>
        <v/>
      </c>
    </row>
    <row r="840" spans="1:8" ht="13.5" thickBot="1">
      <c r="A840" s="312"/>
      <c r="B840" s="313" t="str">
        <f>IF(A840="","",VLOOKUP(A840,EQUI,2))</f>
        <v/>
      </c>
      <c r="C840" s="313"/>
      <c r="D840" s="314"/>
      <c r="E840" s="315" t="str">
        <f>IF(A840="","",VLOOKUP(A840,EQUI,3))</f>
        <v/>
      </c>
      <c r="F840" s="408"/>
      <c r="G840" s="316" t="str">
        <f>IF(A840="","",VLOOKUP(A840,EQUI,4))</f>
        <v/>
      </c>
      <c r="H840" s="311" t="str">
        <f>IF(A840="","",ROUND((G840*F840),0))</f>
        <v/>
      </c>
    </row>
    <row r="841" spans="1:8" ht="13.5" thickBot="1">
      <c r="A841" s="285"/>
      <c r="B841" s="285"/>
      <c r="C841" s="285"/>
      <c r="D841" s="285"/>
      <c r="E841" s="286"/>
      <c r="F841" s="285"/>
      <c r="G841" s="317" t="s">
        <v>529</v>
      </c>
      <c r="H841" s="318">
        <f>ROUND(SUM(H835:H840),0)</f>
        <v>12736</v>
      </c>
    </row>
    <row r="842" spans="1:8">
      <c r="A842" s="285"/>
      <c r="B842" s="285"/>
      <c r="C842" s="285"/>
      <c r="D842" s="285"/>
      <c r="E842" s="286"/>
      <c r="F842" s="285"/>
      <c r="G842" s="286"/>
      <c r="H842" s="319"/>
    </row>
    <row r="843" spans="1:8" ht="13.5" thickBot="1">
      <c r="A843" s="295" t="s">
        <v>530</v>
      </c>
      <c r="B843" s="295"/>
      <c r="C843" s="295"/>
      <c r="D843" s="295"/>
      <c r="E843" s="320"/>
      <c r="F843" s="314"/>
      <c r="G843" s="314"/>
      <c r="H843" s="314"/>
    </row>
    <row r="844" spans="1:8" ht="13.5" thickBot="1">
      <c r="A844" s="297" t="s">
        <v>527</v>
      </c>
      <c r="B844" s="298"/>
      <c r="C844" s="299" t="s">
        <v>521</v>
      </c>
      <c r="D844" s="299"/>
      <c r="E844" s="321" t="s">
        <v>515</v>
      </c>
      <c r="F844" s="322" t="s">
        <v>7</v>
      </c>
      <c r="G844" s="303" t="s">
        <v>832</v>
      </c>
      <c r="H844" s="278" t="s">
        <v>831</v>
      </c>
    </row>
    <row r="845" spans="1:8">
      <c r="A845" s="323" t="s">
        <v>134</v>
      </c>
      <c r="B845" s="353" t="str">
        <f t="shared" ref="B845:B855" si="53">IF(A845="","",VLOOKUP(A845,MAT,2,FALSE))</f>
        <v>Agua</v>
      </c>
      <c r="C845" s="305"/>
      <c r="D845" s="306"/>
      <c r="E845" s="276" t="str">
        <f>IF(A845="","",VLOOKUP(A845,MAT,3,FALSE))</f>
        <v>Lt</v>
      </c>
      <c r="F845" s="405">
        <v>220</v>
      </c>
      <c r="G845" s="310">
        <f>IF(A845="","",VLOOKUP(A845,MAT,5,FALSE))</f>
        <v>20</v>
      </c>
      <c r="H845" s="311">
        <f>IF(A845="","",ROUND((G845*F845),0))</f>
        <v>4400</v>
      </c>
    </row>
    <row r="846" spans="1:8">
      <c r="A846" s="324" t="s">
        <v>560</v>
      </c>
      <c r="B846" s="353" t="str">
        <f t="shared" si="53"/>
        <v>Arena fina de río.</v>
      </c>
      <c r="C846" s="305"/>
      <c r="D846" s="306"/>
      <c r="E846" s="276" t="str">
        <f>IF(A846="","",VLOOKUP(A846,MAT,3,FALSE))</f>
        <v>m3</v>
      </c>
      <c r="F846" s="405">
        <v>1.1599999999999999</v>
      </c>
      <c r="G846" s="310">
        <f>IF(A846="","",VLOOKUP(A846,MAT,5,FALSE))</f>
        <v>60000</v>
      </c>
      <c r="H846" s="311">
        <f>IF(A846="","",ROUND((G846*F846),0))</f>
        <v>69600</v>
      </c>
    </row>
    <row r="847" spans="1:8">
      <c r="A847" s="324" t="s">
        <v>576</v>
      </c>
      <c r="B847" s="353" t="str">
        <f t="shared" si="53"/>
        <v>Cemento gris tipo Portland.</v>
      </c>
      <c r="C847" s="305"/>
      <c r="D847" s="306"/>
      <c r="E847" s="276" t="str">
        <f>IF(A847="","",VLOOKUP(A847,MAT,3,FALSE))</f>
        <v>Kg.</v>
      </c>
      <c r="F847" s="405">
        <v>364</v>
      </c>
      <c r="G847" s="310">
        <f>IF(A847="","",VLOOKUP(A847,MAT,5,FALSE))</f>
        <v>700</v>
      </c>
      <c r="H847" s="311">
        <f>IF(A847="","",ROUND((G847*F847),0))</f>
        <v>254800</v>
      </c>
    </row>
    <row r="848" spans="1:8">
      <c r="A848" s="1042" t="s">
        <v>1671</v>
      </c>
      <c r="B848" s="305" t="str">
        <f t="shared" si="53"/>
        <v>Impermeabilizante para concretos, plastocrete o silimar.</v>
      </c>
      <c r="C848" s="305"/>
      <c r="D848" s="306"/>
      <c r="E848" s="276" t="str">
        <f t="shared" ref="E848:E854" si="54">IF(A848="","",VLOOKUP(A848,MAT,3,FALSE))</f>
        <v>kg</v>
      </c>
      <c r="F848" s="405">
        <v>10.92</v>
      </c>
      <c r="G848" s="310">
        <f t="shared" ref="G848:G854" si="55">IF(A848="","",VLOOKUP(A848,MAT,5,FALSE))</f>
        <v>24962</v>
      </c>
      <c r="H848" s="311">
        <f t="shared" ref="H848:H854" si="56">IF(A848="","",ROUND((G848*F848),0))</f>
        <v>272585</v>
      </c>
    </row>
    <row r="849" spans="1:8">
      <c r="A849" s="324"/>
      <c r="B849" s="305" t="str">
        <f t="shared" si="53"/>
        <v/>
      </c>
      <c r="C849" s="305"/>
      <c r="D849" s="306"/>
      <c r="E849" s="276" t="str">
        <f t="shared" si="54"/>
        <v/>
      </c>
      <c r="F849" s="405"/>
      <c r="G849" s="310" t="str">
        <f t="shared" si="55"/>
        <v/>
      </c>
      <c r="H849" s="311" t="str">
        <f t="shared" si="56"/>
        <v/>
      </c>
    </row>
    <row r="850" spans="1:8">
      <c r="A850" s="324"/>
      <c r="B850" s="305" t="str">
        <f t="shared" si="53"/>
        <v/>
      </c>
      <c r="C850" s="305"/>
      <c r="D850" s="306"/>
      <c r="E850" s="276" t="str">
        <f t="shared" si="54"/>
        <v/>
      </c>
      <c r="F850" s="405"/>
      <c r="G850" s="310" t="str">
        <f t="shared" si="55"/>
        <v/>
      </c>
      <c r="H850" s="311" t="str">
        <f t="shared" si="56"/>
        <v/>
      </c>
    </row>
    <row r="851" spans="1:8">
      <c r="A851" s="324"/>
      <c r="B851" s="305" t="str">
        <f t="shared" si="53"/>
        <v/>
      </c>
      <c r="C851" s="305"/>
      <c r="D851" s="306"/>
      <c r="E851" s="276" t="str">
        <f t="shared" si="54"/>
        <v/>
      </c>
      <c r="F851" s="405"/>
      <c r="G851" s="310" t="str">
        <f t="shared" si="55"/>
        <v/>
      </c>
      <c r="H851" s="311" t="str">
        <f t="shared" si="56"/>
        <v/>
      </c>
    </row>
    <row r="852" spans="1:8">
      <c r="A852" s="324"/>
      <c r="B852" s="305" t="str">
        <f t="shared" si="53"/>
        <v/>
      </c>
      <c r="C852" s="305"/>
      <c r="D852" s="306"/>
      <c r="E852" s="276" t="str">
        <f t="shared" si="54"/>
        <v/>
      </c>
      <c r="F852" s="405"/>
      <c r="G852" s="310" t="str">
        <f t="shared" si="55"/>
        <v/>
      </c>
      <c r="H852" s="311" t="str">
        <f t="shared" si="56"/>
        <v/>
      </c>
    </row>
    <row r="853" spans="1:8">
      <c r="A853" s="324"/>
      <c r="B853" s="305" t="str">
        <f t="shared" si="53"/>
        <v/>
      </c>
      <c r="C853" s="305"/>
      <c r="D853" s="306"/>
      <c r="E853" s="276" t="str">
        <f t="shared" si="54"/>
        <v/>
      </c>
      <c r="F853" s="405"/>
      <c r="G853" s="310" t="str">
        <f t="shared" si="55"/>
        <v/>
      </c>
      <c r="H853" s="311" t="str">
        <f t="shared" si="56"/>
        <v/>
      </c>
    </row>
    <row r="854" spans="1:8">
      <c r="A854" s="324"/>
      <c r="B854" s="305" t="str">
        <f t="shared" si="53"/>
        <v/>
      </c>
      <c r="C854" s="305"/>
      <c r="D854" s="306"/>
      <c r="E854" s="276" t="str">
        <f t="shared" si="54"/>
        <v/>
      </c>
      <c r="F854" s="405"/>
      <c r="G854" s="310" t="str">
        <f t="shared" si="55"/>
        <v/>
      </c>
      <c r="H854" s="311" t="str">
        <f t="shared" si="56"/>
        <v/>
      </c>
    </row>
    <row r="855" spans="1:8" ht="13.5" thickBot="1">
      <c r="A855" s="325"/>
      <c r="B855" s="326" t="str">
        <f t="shared" si="53"/>
        <v/>
      </c>
      <c r="C855" s="314"/>
      <c r="D855" s="314"/>
      <c r="E855" s="315" t="str">
        <f>IF(A855="","",VLOOKUP(A855,MAT,3,FALSE))</f>
        <v/>
      </c>
      <c r="F855" s="406"/>
      <c r="G855" s="327" t="str">
        <f>IF(A855="","",VLOOKUP(A855,MAT,5,FALSE))</f>
        <v/>
      </c>
      <c r="H855" s="311" t="str">
        <f>IF(A855="","",ROUND((G855*F855),0))</f>
        <v/>
      </c>
    </row>
    <row r="856" spans="1:8" ht="13.5" thickBot="1">
      <c r="A856" s="285"/>
      <c r="B856" s="285"/>
      <c r="C856" s="285"/>
      <c r="D856" s="285"/>
      <c r="E856" s="286"/>
      <c r="F856" s="285"/>
      <c r="G856" s="210" t="s">
        <v>529</v>
      </c>
      <c r="H856" s="328">
        <f>ROUND(SUM(H845:H855),0)</f>
        <v>601385</v>
      </c>
    </row>
    <row r="857" spans="1:8">
      <c r="A857" s="285"/>
      <c r="B857" s="285"/>
      <c r="C857" s="285"/>
      <c r="D857" s="285"/>
      <c r="E857" s="286"/>
      <c r="F857" s="285"/>
      <c r="G857" s="286"/>
      <c r="H857" s="329"/>
    </row>
    <row r="858" spans="1:8" ht="13.5" thickBot="1">
      <c r="A858" s="295" t="s">
        <v>531</v>
      </c>
      <c r="B858" s="285"/>
      <c r="C858" s="285"/>
      <c r="D858" s="285"/>
      <c r="E858" s="286"/>
      <c r="F858" s="285"/>
      <c r="G858" s="286"/>
      <c r="H858" s="330"/>
    </row>
    <row r="859" spans="1:8" ht="13.5" thickBot="1">
      <c r="A859" s="297" t="s">
        <v>527</v>
      </c>
      <c r="B859" s="2187" t="s">
        <v>532</v>
      </c>
      <c r="C859" s="2188"/>
      <c r="D859" s="331" t="s">
        <v>821</v>
      </c>
      <c r="E859" s="331" t="s">
        <v>820</v>
      </c>
      <c r="F859" s="331" t="s">
        <v>823</v>
      </c>
      <c r="G859" s="331" t="s">
        <v>963</v>
      </c>
      <c r="H859" s="416" t="s">
        <v>831</v>
      </c>
    </row>
    <row r="860" spans="1:8">
      <c r="A860" s="332" t="s">
        <v>560</v>
      </c>
      <c r="B860" s="305" t="str">
        <f>IF(A860="","",VLOOKUP(A860,MAT,2,FALSE))</f>
        <v>Arena fina de río.</v>
      </c>
      <c r="C860" s="333"/>
      <c r="D860" s="409" t="str">
        <f>IF(A860="","",VLOOKUP(A860,MAT,3,FALSE))</f>
        <v>m3</v>
      </c>
      <c r="E860" s="419">
        <f>IF(A860="","",VLOOKUP(A860,MAT,6,FALSE))</f>
        <v>15</v>
      </c>
      <c r="F860" s="413">
        <f>IF(A860="","",VLOOKUP(A860,A845:H855,6,FALSE))</f>
        <v>1.1599999999999999</v>
      </c>
      <c r="G860" s="334">
        <f>IF(A860="","",VLOOKUP(A860,MAT,7,FALSE))</f>
        <v>1500</v>
      </c>
      <c r="H860" s="311">
        <f>IF(A860="","",ROUND((G860*F860*E860),0))</f>
        <v>26100</v>
      </c>
    </row>
    <row r="861" spans="1:8">
      <c r="A861" s="335"/>
      <c r="B861" s="305" t="str">
        <f>IF(A861="","",VLOOKUP(A861,MAT,2,FALSE))</f>
        <v/>
      </c>
      <c r="D861" s="410" t="str">
        <f>IF(A861="","",VLOOKUP(A861,MAT,3,FALSE))</f>
        <v/>
      </c>
      <c r="E861" s="419" t="str">
        <f>IF(A861="","",VLOOKUP(A861,MAT,6,FALSE))</f>
        <v/>
      </c>
      <c r="F861" s="413" t="str">
        <f>IF(A861="","",VLOOKUP(A861,A845:H855,6,FALSE))</f>
        <v/>
      </c>
      <c r="G861" s="336" t="str">
        <f>IF(A861="","",VLOOKUP(A861,MAT,7,FALSE))</f>
        <v/>
      </c>
      <c r="H861" s="311" t="str">
        <f>IF(A861="","",ROUND((G861*F861*E861),0))</f>
        <v/>
      </c>
    </row>
    <row r="862" spans="1:8" ht="13.5" thickBot="1">
      <c r="A862" s="337"/>
      <c r="B862" s="338" t="str">
        <f>IF(A862="","",VLOOKUP(A862,MAT,2,FALSE))</f>
        <v/>
      </c>
      <c r="C862" s="338"/>
      <c r="D862" s="411" t="str">
        <f>IF(A862="","",VLOOKUP(A862,MAT,3,FALSE))</f>
        <v/>
      </c>
      <c r="E862" s="412" t="str">
        <f>IF(A862="","",VLOOKUP(A862,MAT,6,FALSE))</f>
        <v/>
      </c>
      <c r="F862" s="418" t="str">
        <f>IF(A862="","",VLOOKUP(A862,$A$23:$H$33,6,FALSE))</f>
        <v/>
      </c>
      <c r="G862" s="339" t="str">
        <f>IF(A862="","",VLOOKUP(A862,MAT,7,FALSE))</f>
        <v/>
      </c>
      <c r="H862" s="417" t="str">
        <f>IF(A862="","",ROUND((G862*F862*E862),0))</f>
        <v/>
      </c>
    </row>
    <row r="863" spans="1:8" ht="13.5" thickBot="1">
      <c r="E863" s="340"/>
      <c r="F863" s="341"/>
      <c r="G863" s="414" t="s">
        <v>529</v>
      </c>
      <c r="H863" s="415">
        <f>ROUND(SUM(H860:H862),0)</f>
        <v>26100</v>
      </c>
    </row>
    <row r="864" spans="1:8">
      <c r="E864" s="340"/>
      <c r="F864" s="341"/>
      <c r="G864" s="286"/>
      <c r="H864" s="343"/>
    </row>
    <row r="865" spans="1:8" ht="13.5" thickBot="1">
      <c r="A865" s="295" t="s">
        <v>534</v>
      </c>
      <c r="B865" s="295"/>
      <c r="C865" s="295"/>
      <c r="D865" s="285"/>
      <c r="E865" s="286"/>
      <c r="F865" s="285"/>
      <c r="G865" s="285"/>
      <c r="H865" s="314"/>
    </row>
    <row r="866" spans="1:8" ht="13.5" thickBot="1">
      <c r="A866" s="297" t="s">
        <v>527</v>
      </c>
      <c r="B866" s="2189" t="s">
        <v>514</v>
      </c>
      <c r="C866" s="2190"/>
      <c r="D866" s="2191"/>
      <c r="E866" s="277" t="s">
        <v>515</v>
      </c>
      <c r="F866" s="277" t="s">
        <v>535</v>
      </c>
      <c r="G866" s="531" t="s">
        <v>944</v>
      </c>
      <c r="H866" s="416" t="s">
        <v>831</v>
      </c>
    </row>
    <row r="867" spans="1:8">
      <c r="A867" s="344" t="s">
        <v>932</v>
      </c>
      <c r="B867" s="2192" t="str">
        <f>IF(A867="","",VLOOKUP(A867,MO,2,FALSE))</f>
        <v>Cuadrilla LL: Mezclas. (1 Of. + 3 Ayud.).</v>
      </c>
      <c r="C867" s="2193"/>
      <c r="D867" s="2194"/>
      <c r="E867" s="538" t="str">
        <f>IF(A867="","",VLOOKUP(A867,MO,13,FALSE))</f>
        <v>HC</v>
      </c>
      <c r="F867" s="544">
        <v>0.85</v>
      </c>
      <c r="G867" s="540">
        <f>IF(A867="","",VLOOKUP(A867,MO,15,FALSE))</f>
        <v>80517</v>
      </c>
      <c r="H867" s="542">
        <f>IF(A867="","",ROUND((G867/F867),0))</f>
        <v>94726</v>
      </c>
    </row>
    <row r="868" spans="1:8">
      <c r="A868" s="344"/>
      <c r="B868" s="2179" t="str">
        <f>IF(A868="","",VLOOKUP(A868,MO,2,FALSE))</f>
        <v/>
      </c>
      <c r="C868" s="2180"/>
      <c r="D868" s="2181"/>
      <c r="E868" s="538" t="str">
        <f>IF(A868="","",VLOOKUP(A868,MO,13,FALSE))</f>
        <v/>
      </c>
      <c r="F868" s="544"/>
      <c r="G868" s="540" t="str">
        <f>IF(A868="","",VLOOKUP(A868,MO,15,FALSE))</f>
        <v/>
      </c>
      <c r="H868" s="542" t="str">
        <f>IF(A868="","",ROUND((G868/F868),0))</f>
        <v/>
      </c>
    </row>
    <row r="869" spans="1:8">
      <c r="A869" s="344"/>
      <c r="B869" s="2179" t="str">
        <f>IF(A869="","",VLOOKUP(A869,MO,2,FALSE))</f>
        <v/>
      </c>
      <c r="C869" s="2180"/>
      <c r="D869" s="2181"/>
      <c r="E869" s="538" t="str">
        <f>IF(A869="","",VLOOKUP(A869,MO,13,FALSE))</f>
        <v/>
      </c>
      <c r="F869" s="544"/>
      <c r="G869" s="541" t="str">
        <f>IF(A869="","",VLOOKUP(A869,MO,15,FALSE))</f>
        <v/>
      </c>
      <c r="H869" s="542" t="str">
        <f>IF(A869="","",ROUND((G869/F869),0))</f>
        <v/>
      </c>
    </row>
    <row r="870" spans="1:8" ht="13.5" thickBot="1">
      <c r="A870" s="345"/>
      <c r="B870" s="2182" t="str">
        <f>IF(A870="","",VLOOKUP(A870,MO,2,FALSE))</f>
        <v/>
      </c>
      <c r="C870" s="2183"/>
      <c r="D870" s="2184"/>
      <c r="E870" s="539" t="str">
        <f>IF(A870="","",VLOOKUP(A870,MO,13,FALSE))</f>
        <v/>
      </c>
      <c r="F870" s="545"/>
      <c r="G870" s="377" t="str">
        <f>IF(A870="","",VLOOKUP(A870,MO,15,FALSE))</f>
        <v/>
      </c>
      <c r="H870" s="543" t="str">
        <f>IF(A870="","",ROUND((G870/F870),0))</f>
        <v/>
      </c>
    </row>
    <row r="871" spans="1:8" ht="13.5" thickBot="1">
      <c r="A871" s="285"/>
      <c r="B871" s="285"/>
      <c r="C871" s="285"/>
      <c r="D871" s="285"/>
      <c r="E871" s="286"/>
      <c r="F871" s="285"/>
      <c r="G871" s="317" t="s">
        <v>529</v>
      </c>
      <c r="H871" s="342">
        <f>ROUND(SUM(H867:H870),0)</f>
        <v>94726</v>
      </c>
    </row>
    <row r="872" spans="1:8" ht="13.5" thickBot="1">
      <c r="A872" s="285"/>
      <c r="B872" s="285"/>
      <c r="C872" s="285"/>
      <c r="D872" s="285"/>
      <c r="E872" s="286"/>
      <c r="F872" s="285"/>
      <c r="G872" s="285"/>
      <c r="H872" s="285"/>
    </row>
    <row r="873" spans="1:8" ht="13.5" thickBot="1">
      <c r="A873" s="285"/>
      <c r="B873" s="285"/>
      <c r="C873" s="285"/>
      <c r="D873" s="285"/>
      <c r="E873" s="346" t="s">
        <v>536</v>
      </c>
      <c r="F873" s="347"/>
      <c r="G873" s="347"/>
      <c r="H873" s="348">
        <f>+ROUND(H841+H856+H863+H871,0)</f>
        <v>734947</v>
      </c>
    </row>
    <row r="874" spans="1:8">
      <c r="A874" s="285"/>
      <c r="B874" s="285"/>
      <c r="C874" s="285"/>
      <c r="D874" s="285"/>
      <c r="E874" s="806" t="s">
        <v>2696</v>
      </c>
      <c r="F874" s="807">
        <v>0.3</v>
      </c>
      <c r="G874" s="807">
        <v>0.3</v>
      </c>
      <c r="H874" s="809">
        <f>H873*G874</f>
        <v>220484.1</v>
      </c>
    </row>
    <row r="875" spans="1:8">
      <c r="E875" s="806"/>
      <c r="F875" s="807"/>
      <c r="G875" s="807"/>
      <c r="H875" s="809">
        <f>SUM(H873:H874)</f>
        <v>955431.1</v>
      </c>
    </row>
    <row r="876" spans="1:8">
      <c r="A876" s="703" t="str">
        <f>+[14]PRESUPUESTO!$A$113</f>
        <v>__________________________________________</v>
      </c>
      <c r="B876" s="703"/>
    </row>
    <row r="877" spans="1:8">
      <c r="A877" s="810" t="str">
        <f>+[14]PRESUPUESTO!$A$114</f>
        <v>Ing. JHON FREDY GARCIA MENDEZ</v>
      </c>
      <c r="B877" s="703"/>
    </row>
    <row r="878" spans="1:8">
      <c r="A878" s="811" t="str">
        <f>+[14]PRESUPUESTO!$A$115</f>
        <v>M.P.  70268-326294 TLM.</v>
      </c>
      <c r="B878" s="703"/>
    </row>
    <row r="879" spans="1:8">
      <c r="A879" s="811" t="str">
        <f>+[14]PRESUPUESTO!$A$116</f>
        <v>CONSULTOR</v>
      </c>
      <c r="B879" s="703"/>
    </row>
    <row r="895" spans="1:8" ht="13.5" thickBot="1"/>
    <row r="896" spans="1:8">
      <c r="A896" s="284"/>
      <c r="B896" s="2195"/>
      <c r="C896" s="2196"/>
      <c r="D896" s="2196"/>
      <c r="E896" s="284"/>
      <c r="F896" s="285"/>
      <c r="G896" s="286"/>
      <c r="H896" s="287"/>
    </row>
    <row r="897" spans="1:8">
      <c r="A897" s="96">
        <v>2</v>
      </c>
      <c r="B897" s="2185" t="s">
        <v>964</v>
      </c>
      <c r="C897" s="2185"/>
      <c r="D897" s="2185"/>
      <c r="E897" s="2185"/>
      <c r="F897" s="289"/>
      <c r="G897" s="290" t="s">
        <v>525</v>
      </c>
      <c r="H897" s="97" t="s">
        <v>352</v>
      </c>
    </row>
    <row r="898" spans="1:8">
      <c r="A898" s="432">
        <v>2.6</v>
      </c>
      <c r="B898" s="2186" t="s">
        <v>547</v>
      </c>
      <c r="C898" s="2186"/>
      <c r="D898" s="2186"/>
      <c r="E898" s="2186"/>
      <c r="F898" s="291"/>
      <c r="G898" s="290"/>
      <c r="H898" s="97"/>
    </row>
    <row r="899" spans="1:8">
      <c r="A899" s="96"/>
      <c r="B899" s="420"/>
      <c r="C899" s="421"/>
      <c r="D899" s="421"/>
      <c r="E899" s="421"/>
      <c r="F899" s="292"/>
      <c r="G899" s="286"/>
      <c r="H899" s="287"/>
    </row>
    <row r="900" spans="1:8">
      <c r="A900" s="97"/>
      <c r="B900" s="293"/>
      <c r="C900" s="293"/>
      <c r="D900" s="293"/>
      <c r="E900" s="293"/>
      <c r="F900" s="293"/>
      <c r="G900" s="294"/>
      <c r="H900" s="294"/>
    </row>
    <row r="901" spans="1:8" ht="13.5" thickBot="1">
      <c r="A901" s="295" t="s">
        <v>526</v>
      </c>
      <c r="B901" s="295"/>
      <c r="C901" s="285"/>
      <c r="D901" s="296"/>
      <c r="E901" s="296"/>
      <c r="F901" s="296"/>
      <c r="G901" s="296"/>
      <c r="H901" s="296"/>
    </row>
    <row r="902" spans="1:8" ht="13.5" thickBot="1">
      <c r="A902" s="297" t="s">
        <v>527</v>
      </c>
      <c r="B902" s="298"/>
      <c r="C902" s="299" t="s">
        <v>521</v>
      </c>
      <c r="D902" s="300"/>
      <c r="E902" s="301" t="s">
        <v>515</v>
      </c>
      <c r="F902" s="302" t="s">
        <v>528</v>
      </c>
      <c r="G902" s="303" t="s">
        <v>832</v>
      </c>
      <c r="H902" s="278" t="s">
        <v>831</v>
      </c>
    </row>
    <row r="903" spans="1:8">
      <c r="A903" s="304" t="s">
        <v>966</v>
      </c>
      <c r="B903" s="305" t="str">
        <f>IF(A903="","",VLOOKUP(A903,EQUI,2,FALSE))</f>
        <v>Herramienta Menor (5% de la mano de obra).</v>
      </c>
      <c r="C903" s="306"/>
      <c r="D903" s="306"/>
      <c r="E903" s="276" t="str">
        <f>IF(A903="","",VLOOKUP(A903,EQUI,3,FALSE))</f>
        <v>%</v>
      </c>
      <c r="F903" s="433">
        <f>IF(A903="","",VLOOKUP(A903,EQUI,4,FALSE))</f>
        <v>0.05</v>
      </c>
      <c r="G903" s="307">
        <f>ROUND(F903*H939,0)</f>
        <v>4736</v>
      </c>
      <c r="H903" s="308">
        <f>+G903</f>
        <v>4736</v>
      </c>
    </row>
    <row r="904" spans="1:8">
      <c r="A904" s="304" t="s">
        <v>497</v>
      </c>
      <c r="B904" s="305" t="str">
        <f>IF(A904="","",VLOOKUP(A904,EQUI,2,FALSE))</f>
        <v>Mezcladora mecánica (1.0 bultos)</v>
      </c>
      <c r="C904" s="306"/>
      <c r="D904" s="306"/>
      <c r="E904" s="276" t="str">
        <f>IF(A904="","",VLOOKUP(A904,EQUI,3))</f>
        <v>Dia</v>
      </c>
      <c r="F904" s="405">
        <v>0.1</v>
      </c>
      <c r="G904" s="310">
        <f>IF(A904="","",VLOOKUP(A904,EQUI,4))</f>
        <v>80000</v>
      </c>
      <c r="H904" s="311">
        <f>IF(A904="","",ROUND((G904*F904),0))</f>
        <v>8000</v>
      </c>
    </row>
    <row r="905" spans="1:8">
      <c r="A905" s="304"/>
      <c r="B905" s="305" t="str">
        <f>IF(A905="","",VLOOKUP(A905,EQUI,2))</f>
        <v/>
      </c>
      <c r="C905" s="306"/>
      <c r="D905" s="306"/>
      <c r="E905" s="276" t="str">
        <f>IF(A905="","",VLOOKUP(A905,EQUI,3))</f>
        <v/>
      </c>
      <c r="F905" s="405"/>
      <c r="G905" s="310" t="str">
        <f>IF(A905="","",VLOOKUP(A905,EQUI,4))</f>
        <v/>
      </c>
      <c r="H905" s="311" t="str">
        <f>IF(A905="","",ROUND((G905*F905),0))</f>
        <v/>
      </c>
    </row>
    <row r="906" spans="1:8">
      <c r="A906" s="304"/>
      <c r="B906" s="305" t="str">
        <f>IF(A906="","",VLOOKUP(A906,EQUI,2))</f>
        <v/>
      </c>
      <c r="C906" s="306"/>
      <c r="D906" s="306"/>
      <c r="E906" s="276" t="str">
        <f>IF(A906="","",VLOOKUP(A906,EQUI,3))</f>
        <v/>
      </c>
      <c r="F906" s="405"/>
      <c r="G906" s="310" t="str">
        <f>IF(A906="","",VLOOKUP(A906,EQUI,4))</f>
        <v/>
      </c>
      <c r="H906" s="311" t="str">
        <f>IF(A906="","",ROUND((G906*F906),0))</f>
        <v/>
      </c>
    </row>
    <row r="907" spans="1:8">
      <c r="A907" s="304"/>
      <c r="B907" s="305" t="str">
        <f>IF(A907="","",VLOOKUP(A907,EQUI,2))</f>
        <v/>
      </c>
      <c r="C907" s="306"/>
      <c r="D907" s="306"/>
      <c r="E907" s="276" t="str">
        <f>IF(A907="","",VLOOKUP(A907,EQUI,3))</f>
        <v/>
      </c>
      <c r="F907" s="405"/>
      <c r="G907" s="310" t="str">
        <f>IF(A907="","",VLOOKUP(A907,EQUI,4))</f>
        <v/>
      </c>
      <c r="H907" s="311" t="str">
        <f>IF(A907="","",ROUND((G907*F907),0))</f>
        <v/>
      </c>
    </row>
    <row r="908" spans="1:8" ht="13.5" thickBot="1">
      <c r="A908" s="312"/>
      <c r="B908" s="313" t="str">
        <f>IF(A908="","",VLOOKUP(A908,EQUI,2))</f>
        <v/>
      </c>
      <c r="C908" s="313"/>
      <c r="D908" s="314"/>
      <c r="E908" s="315" t="str">
        <f>IF(A908="","",VLOOKUP(A908,EQUI,3))</f>
        <v/>
      </c>
      <c r="F908" s="408"/>
      <c r="G908" s="316" t="str">
        <f>IF(A908="","",VLOOKUP(A908,EQUI,4))</f>
        <v/>
      </c>
      <c r="H908" s="311" t="str">
        <f>IF(A908="","",ROUND((G908*F908),0))</f>
        <v/>
      </c>
    </row>
    <row r="909" spans="1:8" ht="13.5" thickBot="1">
      <c r="A909" s="285"/>
      <c r="B909" s="285"/>
      <c r="C909" s="285"/>
      <c r="D909" s="285"/>
      <c r="E909" s="286"/>
      <c r="F909" s="285"/>
      <c r="G909" s="317" t="s">
        <v>529</v>
      </c>
      <c r="H909" s="318">
        <f>ROUND(SUM(H903:H908),0)</f>
        <v>12736</v>
      </c>
    </row>
    <row r="910" spans="1:8">
      <c r="A910" s="285"/>
      <c r="B910" s="285"/>
      <c r="C910" s="285"/>
      <c r="D910" s="285"/>
      <c r="E910" s="286"/>
      <c r="F910" s="285"/>
      <c r="G910" s="286"/>
      <c r="H910" s="319"/>
    </row>
    <row r="911" spans="1:8" ht="13.5" thickBot="1">
      <c r="A911" s="295" t="s">
        <v>530</v>
      </c>
      <c r="B911" s="295"/>
      <c r="C911" s="295"/>
      <c r="D911" s="295"/>
      <c r="E911" s="320"/>
      <c r="F911" s="314"/>
      <c r="G911" s="314"/>
      <c r="H911" s="314"/>
    </row>
    <row r="912" spans="1:8" ht="13.5" thickBot="1">
      <c r="A912" s="297" t="s">
        <v>527</v>
      </c>
      <c r="B912" s="298"/>
      <c r="C912" s="299" t="s">
        <v>521</v>
      </c>
      <c r="D912" s="299"/>
      <c r="E912" s="321" t="s">
        <v>515</v>
      </c>
      <c r="F912" s="322" t="s">
        <v>7</v>
      </c>
      <c r="G912" s="303" t="s">
        <v>832</v>
      </c>
      <c r="H912" s="278" t="s">
        <v>831</v>
      </c>
    </row>
    <row r="913" spans="1:8">
      <c r="A913" s="323" t="s">
        <v>134</v>
      </c>
      <c r="B913" s="353" t="str">
        <f t="shared" ref="B913:B923" si="57">IF(A913="","",VLOOKUP(A913,MAT,2,FALSE))</f>
        <v>Agua</v>
      </c>
      <c r="C913" s="305"/>
      <c r="D913" s="306"/>
      <c r="E913" s="276" t="str">
        <f>IF(A913="","",VLOOKUP(A913,MAT,3,FALSE))</f>
        <v>Lt</v>
      </c>
      <c r="F913" s="405">
        <v>182</v>
      </c>
      <c r="G913" s="310">
        <f>IF(A913="","",VLOOKUP(A913,MAT,5,FALSE))</f>
        <v>20</v>
      </c>
      <c r="H913" s="311">
        <f>IF(A913="","",ROUND((G913*F913),0))</f>
        <v>3640</v>
      </c>
    </row>
    <row r="914" spans="1:8">
      <c r="A914" s="324" t="s">
        <v>560</v>
      </c>
      <c r="B914" s="353" t="str">
        <f t="shared" si="57"/>
        <v>Arena fina de río.</v>
      </c>
      <c r="C914" s="305"/>
      <c r="D914" s="306"/>
      <c r="E914" s="276" t="str">
        <f>IF(A914="","",VLOOKUP(A914,MAT,3,FALSE))</f>
        <v>m3</v>
      </c>
      <c r="F914" s="405">
        <v>1.2</v>
      </c>
      <c r="G914" s="310">
        <f>IF(A914="","",VLOOKUP(A914,MAT,5,FALSE))</f>
        <v>60000</v>
      </c>
      <c r="H914" s="311">
        <f>IF(A914="","",ROUND((G914*F914),0))</f>
        <v>72000</v>
      </c>
    </row>
    <row r="915" spans="1:8">
      <c r="A915" s="324" t="s">
        <v>576</v>
      </c>
      <c r="B915" s="353" t="str">
        <f t="shared" si="57"/>
        <v>Cemento gris tipo Portland.</v>
      </c>
      <c r="C915" s="305"/>
      <c r="D915" s="306"/>
      <c r="E915" s="276" t="str">
        <f>IF(A915="","",VLOOKUP(A915,MAT,3,FALSE))</f>
        <v>Kg.</v>
      </c>
      <c r="F915" s="405">
        <v>302</v>
      </c>
      <c r="G915" s="310">
        <f>IF(A915="","",VLOOKUP(A915,MAT,5,FALSE))</f>
        <v>700</v>
      </c>
      <c r="H915" s="311">
        <f>IF(A915="","",ROUND((G915*F915),0))</f>
        <v>211400</v>
      </c>
    </row>
    <row r="916" spans="1:8">
      <c r="A916" s="324"/>
      <c r="B916" s="305" t="str">
        <f t="shared" si="57"/>
        <v/>
      </c>
      <c r="C916" s="305"/>
      <c r="D916" s="306"/>
      <c r="E916" s="276" t="str">
        <f t="shared" ref="E916:E922" si="58">IF(A916="","",VLOOKUP(A916,MAT,3,FALSE))</f>
        <v/>
      </c>
      <c r="F916" s="405"/>
      <c r="G916" s="310" t="str">
        <f t="shared" ref="G916:G922" si="59">IF(A916="","",VLOOKUP(A916,MAT,5,FALSE))</f>
        <v/>
      </c>
      <c r="H916" s="311" t="str">
        <f t="shared" ref="H916:H922" si="60">IF(A916="","",ROUND((G916*F916),0))</f>
        <v/>
      </c>
    </row>
    <row r="917" spans="1:8">
      <c r="A917" s="324"/>
      <c r="B917" s="305" t="str">
        <f t="shared" si="57"/>
        <v/>
      </c>
      <c r="C917" s="305"/>
      <c r="D917" s="306"/>
      <c r="E917" s="276" t="str">
        <f t="shared" si="58"/>
        <v/>
      </c>
      <c r="F917" s="405"/>
      <c r="G917" s="310" t="str">
        <f t="shared" si="59"/>
        <v/>
      </c>
      <c r="H917" s="311" t="str">
        <f t="shared" si="60"/>
        <v/>
      </c>
    </row>
    <row r="918" spans="1:8">
      <c r="A918" s="324"/>
      <c r="B918" s="305" t="str">
        <f t="shared" si="57"/>
        <v/>
      </c>
      <c r="C918" s="305"/>
      <c r="D918" s="306"/>
      <c r="E918" s="276" t="str">
        <f t="shared" si="58"/>
        <v/>
      </c>
      <c r="F918" s="405"/>
      <c r="G918" s="310" t="str">
        <f t="shared" si="59"/>
        <v/>
      </c>
      <c r="H918" s="311" t="str">
        <f t="shared" si="60"/>
        <v/>
      </c>
    </row>
    <row r="919" spans="1:8">
      <c r="A919" s="324"/>
      <c r="B919" s="305" t="str">
        <f t="shared" si="57"/>
        <v/>
      </c>
      <c r="C919" s="305"/>
      <c r="D919" s="306"/>
      <c r="E919" s="276" t="str">
        <f t="shared" si="58"/>
        <v/>
      </c>
      <c r="F919" s="405"/>
      <c r="G919" s="310" t="str">
        <f t="shared" si="59"/>
        <v/>
      </c>
      <c r="H919" s="311" t="str">
        <f t="shared" si="60"/>
        <v/>
      </c>
    </row>
    <row r="920" spans="1:8">
      <c r="A920" s="324"/>
      <c r="B920" s="305" t="str">
        <f t="shared" si="57"/>
        <v/>
      </c>
      <c r="C920" s="305"/>
      <c r="D920" s="306"/>
      <c r="E920" s="276" t="str">
        <f t="shared" si="58"/>
        <v/>
      </c>
      <c r="F920" s="405"/>
      <c r="G920" s="310" t="str">
        <f t="shared" si="59"/>
        <v/>
      </c>
      <c r="H920" s="311" t="str">
        <f t="shared" si="60"/>
        <v/>
      </c>
    </row>
    <row r="921" spans="1:8">
      <c r="A921" s="324"/>
      <c r="B921" s="305" t="str">
        <f t="shared" si="57"/>
        <v/>
      </c>
      <c r="C921" s="305"/>
      <c r="D921" s="306"/>
      <c r="E921" s="276" t="str">
        <f t="shared" si="58"/>
        <v/>
      </c>
      <c r="F921" s="405"/>
      <c r="G921" s="310" t="str">
        <f t="shared" si="59"/>
        <v/>
      </c>
      <c r="H921" s="311" t="str">
        <f t="shared" si="60"/>
        <v/>
      </c>
    </row>
    <row r="922" spans="1:8">
      <c r="A922" s="324"/>
      <c r="B922" s="305" t="str">
        <f t="shared" si="57"/>
        <v/>
      </c>
      <c r="C922" s="305"/>
      <c r="D922" s="306"/>
      <c r="E922" s="276" t="str">
        <f t="shared" si="58"/>
        <v/>
      </c>
      <c r="F922" s="405"/>
      <c r="G922" s="310" t="str">
        <f t="shared" si="59"/>
        <v/>
      </c>
      <c r="H922" s="311" t="str">
        <f t="shared" si="60"/>
        <v/>
      </c>
    </row>
    <row r="923" spans="1:8" ht="13.5" thickBot="1">
      <c r="A923" s="325"/>
      <c r="B923" s="326" t="str">
        <f t="shared" si="57"/>
        <v/>
      </c>
      <c r="C923" s="314"/>
      <c r="D923" s="314"/>
      <c r="E923" s="315" t="str">
        <f>IF(A923="","",VLOOKUP(A923,MAT,3,FALSE))</f>
        <v/>
      </c>
      <c r="F923" s="406"/>
      <c r="G923" s="327" t="str">
        <f>IF(A923="","",VLOOKUP(A923,MAT,5,FALSE))</f>
        <v/>
      </c>
      <c r="H923" s="311" t="str">
        <f>IF(A923="","",ROUND((G923*F923),0))</f>
        <v/>
      </c>
    </row>
    <row r="924" spans="1:8" ht="13.5" thickBot="1">
      <c r="A924" s="285"/>
      <c r="B924" s="285"/>
      <c r="C924" s="285"/>
      <c r="D924" s="285"/>
      <c r="E924" s="286"/>
      <c r="F924" s="285"/>
      <c r="G924" s="210" t="s">
        <v>529</v>
      </c>
      <c r="H924" s="328">
        <f>ROUND(SUM(H913:H923),0)</f>
        <v>287040</v>
      </c>
    </row>
    <row r="925" spans="1:8">
      <c r="A925" s="285"/>
      <c r="B925" s="285"/>
      <c r="C925" s="285"/>
      <c r="D925" s="285"/>
      <c r="E925" s="286"/>
      <c r="F925" s="285"/>
      <c r="G925" s="286"/>
      <c r="H925" s="329"/>
    </row>
    <row r="926" spans="1:8" ht="13.5" thickBot="1">
      <c r="A926" s="295" t="s">
        <v>531</v>
      </c>
      <c r="B926" s="285"/>
      <c r="C926" s="285"/>
      <c r="D926" s="285"/>
      <c r="E926" s="286"/>
      <c r="F926" s="285"/>
      <c r="G926" s="286"/>
      <c r="H926" s="330"/>
    </row>
    <row r="927" spans="1:8" ht="13.5" thickBot="1">
      <c r="A927" s="297" t="s">
        <v>527</v>
      </c>
      <c r="B927" s="2187" t="s">
        <v>532</v>
      </c>
      <c r="C927" s="2188"/>
      <c r="D927" s="331" t="s">
        <v>821</v>
      </c>
      <c r="E927" s="331" t="s">
        <v>820</v>
      </c>
      <c r="F927" s="331" t="s">
        <v>823</v>
      </c>
      <c r="G927" s="331" t="s">
        <v>963</v>
      </c>
      <c r="H927" s="416" t="s">
        <v>831</v>
      </c>
    </row>
    <row r="928" spans="1:8">
      <c r="A928" s="332" t="s">
        <v>560</v>
      </c>
      <c r="B928" s="305" t="str">
        <f>IF(A928="","",VLOOKUP(A928,MAT,2,FALSE))</f>
        <v>Arena fina de río.</v>
      </c>
      <c r="C928" s="333"/>
      <c r="D928" s="409" t="str">
        <f>IF(A928="","",VLOOKUP(A928,MAT,3,FALSE))</f>
        <v>m3</v>
      </c>
      <c r="E928" s="419">
        <f>IF(A928="","",VLOOKUP(A928,MAT,6,FALSE))</f>
        <v>15</v>
      </c>
      <c r="F928" s="413">
        <f>IF(A928="","",VLOOKUP(A928,A913:H923,6,FALSE))</f>
        <v>1.2</v>
      </c>
      <c r="G928" s="334">
        <f>IF(A928="","",VLOOKUP(A928,MAT,7,FALSE))</f>
        <v>1500</v>
      </c>
      <c r="H928" s="311">
        <f>IF(A928="","",ROUND((G928*F928*E928),0))</f>
        <v>27000</v>
      </c>
    </row>
    <row r="929" spans="1:8">
      <c r="A929" s="335"/>
      <c r="B929" s="305" t="str">
        <f>IF(A929="","",VLOOKUP(A929,MAT,2,FALSE))</f>
        <v/>
      </c>
      <c r="D929" s="410" t="str">
        <f>IF(A929="","",VLOOKUP(A929,MAT,3,FALSE))</f>
        <v/>
      </c>
      <c r="E929" s="419" t="str">
        <f>IF(A929="","",VLOOKUP(A929,MAT,6,FALSE))</f>
        <v/>
      </c>
      <c r="F929" s="413" t="str">
        <f>IF(A929="","",VLOOKUP(A929,A913:H923,6,FALSE))</f>
        <v/>
      </c>
      <c r="G929" s="336" t="str">
        <f>IF(A929="","",VLOOKUP(A929,MAT,7,FALSE))</f>
        <v/>
      </c>
      <c r="H929" s="311" t="str">
        <f>IF(A929="","",ROUND((G929*F929*E929),0))</f>
        <v/>
      </c>
    </row>
    <row r="930" spans="1:8" ht="13.5" thickBot="1">
      <c r="A930" s="337"/>
      <c r="B930" s="338" t="str">
        <f>IF(A930="","",VLOOKUP(A930,MAT,2,FALSE))</f>
        <v/>
      </c>
      <c r="C930" s="338"/>
      <c r="D930" s="411" t="str">
        <f>IF(A930="","",VLOOKUP(A930,MAT,3,FALSE))</f>
        <v/>
      </c>
      <c r="E930" s="412" t="str">
        <f>IF(A930="","",VLOOKUP(A930,MAT,6,FALSE))</f>
        <v/>
      </c>
      <c r="F930" s="418" t="str">
        <f>IF(A930="","",VLOOKUP(A930,$A$23:$H$33,6,FALSE))</f>
        <v/>
      </c>
      <c r="G930" s="339" t="str">
        <f>IF(A930="","",VLOOKUP(A930,MAT,7,FALSE))</f>
        <v/>
      </c>
      <c r="H930" s="417" t="str">
        <f>IF(A930="","",ROUND((G930*F930*E930),0))</f>
        <v/>
      </c>
    </row>
    <row r="931" spans="1:8" ht="13.5" thickBot="1">
      <c r="E931" s="340"/>
      <c r="F931" s="341"/>
      <c r="G931" s="414" t="s">
        <v>529</v>
      </c>
      <c r="H931" s="415">
        <f>ROUND(SUM(H928:H930),0)</f>
        <v>27000</v>
      </c>
    </row>
    <row r="932" spans="1:8">
      <c r="E932" s="340"/>
      <c r="F932" s="341"/>
      <c r="G932" s="286"/>
      <c r="H932" s="343"/>
    </row>
    <row r="933" spans="1:8" ht="13.5" thickBot="1">
      <c r="A933" s="295" t="s">
        <v>534</v>
      </c>
      <c r="B933" s="295"/>
      <c r="C933" s="295"/>
      <c r="D933" s="285"/>
      <c r="E933" s="286"/>
      <c r="F933" s="285"/>
      <c r="G933" s="285"/>
      <c r="H933" s="314"/>
    </row>
    <row r="934" spans="1:8" ht="13.5" thickBot="1">
      <c r="A934" s="297" t="s">
        <v>527</v>
      </c>
      <c r="B934" s="2189" t="s">
        <v>514</v>
      </c>
      <c r="C934" s="2190"/>
      <c r="D934" s="2191"/>
      <c r="E934" s="277" t="s">
        <v>515</v>
      </c>
      <c r="F934" s="277" t="s">
        <v>535</v>
      </c>
      <c r="G934" s="531" t="s">
        <v>944</v>
      </c>
      <c r="H934" s="416" t="s">
        <v>831</v>
      </c>
    </row>
    <row r="935" spans="1:8">
      <c r="A935" s="344" t="s">
        <v>932</v>
      </c>
      <c r="B935" s="2192" t="str">
        <f>IF(A935="","",VLOOKUP(A935,MO,2,FALSE))</f>
        <v>Cuadrilla LL: Mezclas. (1 Of. + 3 Ayud.).</v>
      </c>
      <c r="C935" s="2193"/>
      <c r="D935" s="2194"/>
      <c r="E935" s="538" t="str">
        <f>IF(A935="","",VLOOKUP(A935,MO,13,FALSE))</f>
        <v>HC</v>
      </c>
      <c r="F935" s="544">
        <v>0.85</v>
      </c>
      <c r="G935" s="540">
        <f>IF(A935="","",VLOOKUP(A935,MO,15,FALSE))</f>
        <v>80517</v>
      </c>
      <c r="H935" s="542">
        <f>IF(A935="","",ROUND((G935/F935),0))</f>
        <v>94726</v>
      </c>
    </row>
    <row r="936" spans="1:8">
      <c r="A936" s="344"/>
      <c r="B936" s="2179" t="str">
        <f>IF(A936="","",VLOOKUP(A936,MO,2,FALSE))</f>
        <v/>
      </c>
      <c r="C936" s="2180"/>
      <c r="D936" s="2181"/>
      <c r="E936" s="538" t="str">
        <f>IF(A936="","",VLOOKUP(A936,MO,13,FALSE))</f>
        <v/>
      </c>
      <c r="F936" s="544"/>
      <c r="G936" s="540" t="str">
        <f>IF(A936="","",VLOOKUP(A936,MO,15,FALSE))</f>
        <v/>
      </c>
      <c r="H936" s="542" t="str">
        <f>IF(A936="","",ROUND((G936/F936),0))</f>
        <v/>
      </c>
    </row>
    <row r="937" spans="1:8">
      <c r="A937" s="344"/>
      <c r="B937" s="2179" t="str">
        <f>IF(A937="","",VLOOKUP(A937,MO,2,FALSE))</f>
        <v/>
      </c>
      <c r="C937" s="2180"/>
      <c r="D937" s="2181"/>
      <c r="E937" s="538" t="str">
        <f>IF(A937="","",VLOOKUP(A937,MO,13,FALSE))</f>
        <v/>
      </c>
      <c r="F937" s="544"/>
      <c r="G937" s="541" t="str">
        <f>IF(A937="","",VLOOKUP(A937,MO,15,FALSE))</f>
        <v/>
      </c>
      <c r="H937" s="542" t="str">
        <f>IF(A937="","",ROUND((G937/F937),0))</f>
        <v/>
      </c>
    </row>
    <row r="938" spans="1:8" ht="13.5" thickBot="1">
      <c r="A938" s="345"/>
      <c r="B938" s="2182" t="str">
        <f>IF(A938="","",VLOOKUP(A938,MO,2,FALSE))</f>
        <v/>
      </c>
      <c r="C938" s="2183"/>
      <c r="D938" s="2184"/>
      <c r="E938" s="539" t="str">
        <f>IF(A938="","",VLOOKUP(A938,MO,13,FALSE))</f>
        <v/>
      </c>
      <c r="F938" s="545"/>
      <c r="G938" s="377" t="str">
        <f>IF(A938="","",VLOOKUP(A938,MO,15,FALSE))</f>
        <v/>
      </c>
      <c r="H938" s="543" t="str">
        <f>IF(A938="","",ROUND((G938/F938),0))</f>
        <v/>
      </c>
    </row>
    <row r="939" spans="1:8" ht="13.5" thickBot="1">
      <c r="A939" s="285"/>
      <c r="B939" s="285"/>
      <c r="C939" s="285"/>
      <c r="D939" s="285"/>
      <c r="E939" s="286"/>
      <c r="F939" s="285"/>
      <c r="G939" s="317" t="s">
        <v>529</v>
      </c>
      <c r="H939" s="342">
        <f>ROUND(SUM(H935:H938),0)</f>
        <v>94726</v>
      </c>
    </row>
    <row r="940" spans="1:8" ht="13.5" thickBot="1">
      <c r="A940" s="285"/>
      <c r="B940" s="285"/>
      <c r="C940" s="285"/>
      <c r="D940" s="285"/>
      <c r="E940" s="286"/>
      <c r="F940" s="285"/>
      <c r="G940" s="285"/>
      <c r="H940" s="285"/>
    </row>
    <row r="941" spans="1:8" ht="13.5" thickBot="1">
      <c r="A941" s="285"/>
      <c r="B941" s="285"/>
      <c r="C941" s="285"/>
      <c r="D941" s="285"/>
      <c r="E941" s="346" t="s">
        <v>536</v>
      </c>
      <c r="F941" s="347"/>
      <c r="G941" s="347"/>
      <c r="H941" s="348">
        <f>+ROUND(H909+H924+H931+H939,0)</f>
        <v>421502</v>
      </c>
    </row>
    <row r="942" spans="1:8">
      <c r="A942" s="285"/>
      <c r="B942" s="285"/>
      <c r="C942" s="285"/>
      <c r="D942" s="285"/>
      <c r="E942" s="806" t="s">
        <v>2696</v>
      </c>
      <c r="F942" s="807">
        <v>0.3</v>
      </c>
      <c r="G942" s="807">
        <v>0.3</v>
      </c>
      <c r="H942" s="809">
        <f>H941*G942</f>
        <v>126450.59999999999</v>
      </c>
    </row>
    <row r="943" spans="1:8">
      <c r="E943" s="806"/>
      <c r="F943" s="807"/>
      <c r="G943" s="807"/>
      <c r="H943" s="809">
        <f>SUM(H941:H942)</f>
        <v>547952.6</v>
      </c>
    </row>
    <row r="944" spans="1:8">
      <c r="A944" s="703" t="str">
        <f>+[14]PRESUPUESTO!$A$113</f>
        <v>__________________________________________</v>
      </c>
      <c r="B944" s="703"/>
    </row>
    <row r="945" spans="1:2">
      <c r="A945" s="810" t="str">
        <f>+[14]PRESUPUESTO!$A$114</f>
        <v>Ing. JHON FREDY GARCIA MENDEZ</v>
      </c>
      <c r="B945" s="703"/>
    </row>
    <row r="946" spans="1:2">
      <c r="A946" s="811" t="str">
        <f>+[14]PRESUPUESTO!$A$115</f>
        <v>M.P.  70268-326294 TLM.</v>
      </c>
      <c r="B946" s="703"/>
    </row>
    <row r="947" spans="1:2">
      <c r="A947" s="811" t="str">
        <f>+[14]PRESUPUESTO!$A$116</f>
        <v>CONSULTOR</v>
      </c>
      <c r="B947" s="703"/>
    </row>
    <row r="963" spans="1:8" ht="13.5" thickBot="1"/>
    <row r="964" spans="1:8">
      <c r="A964" s="284"/>
      <c r="B964" s="2195"/>
      <c r="C964" s="2196"/>
      <c r="D964" s="2196"/>
      <c r="E964" s="284"/>
      <c r="F964" s="285"/>
      <c r="G964" s="286"/>
      <c r="H964" s="287"/>
    </row>
    <row r="965" spans="1:8">
      <c r="A965" s="96">
        <v>2</v>
      </c>
      <c r="B965" s="2185" t="s">
        <v>964</v>
      </c>
      <c r="C965" s="2185"/>
      <c r="D965" s="2185"/>
      <c r="E965" s="2185"/>
      <c r="F965" s="289"/>
      <c r="G965" s="290" t="s">
        <v>525</v>
      </c>
      <c r="H965" s="97" t="s">
        <v>352</v>
      </c>
    </row>
    <row r="966" spans="1:8">
      <c r="A966" s="432">
        <v>2.7</v>
      </c>
      <c r="B966" s="2186" t="s">
        <v>546</v>
      </c>
      <c r="C966" s="2186"/>
      <c r="D966" s="2186"/>
      <c r="E966" s="2186"/>
      <c r="F966" s="291"/>
      <c r="G966" s="290"/>
      <c r="H966" s="97"/>
    </row>
    <row r="967" spans="1:8">
      <c r="A967" s="96"/>
      <c r="B967" s="420"/>
      <c r="C967" s="421"/>
      <c r="D967" s="421"/>
      <c r="E967" s="421"/>
      <c r="F967" s="292"/>
      <c r="G967" s="286"/>
      <c r="H967" s="287"/>
    </row>
    <row r="968" spans="1:8">
      <c r="A968" s="97"/>
      <c r="B968" s="293"/>
      <c r="C968" s="293"/>
      <c r="D968" s="293"/>
      <c r="E968" s="293"/>
      <c r="F968" s="293"/>
      <c r="G968" s="294"/>
      <c r="H968" s="294"/>
    </row>
    <row r="969" spans="1:8" ht="13.5" thickBot="1">
      <c r="A969" s="295" t="s">
        <v>526</v>
      </c>
      <c r="B969" s="295"/>
      <c r="C969" s="285"/>
      <c r="D969" s="296"/>
      <c r="E969" s="296"/>
      <c r="F969" s="296"/>
      <c r="G969" s="296"/>
      <c r="H969" s="296"/>
    </row>
    <row r="970" spans="1:8" ht="13.5" thickBot="1">
      <c r="A970" s="297" t="s">
        <v>527</v>
      </c>
      <c r="B970" s="298"/>
      <c r="C970" s="299" t="s">
        <v>521</v>
      </c>
      <c r="D970" s="300"/>
      <c r="E970" s="301" t="s">
        <v>515</v>
      </c>
      <c r="F970" s="302" t="s">
        <v>528</v>
      </c>
      <c r="G970" s="303" t="s">
        <v>832</v>
      </c>
      <c r="H970" s="278" t="s">
        <v>831</v>
      </c>
    </row>
    <row r="971" spans="1:8">
      <c r="A971" s="304" t="s">
        <v>966</v>
      </c>
      <c r="B971" s="305" t="str">
        <f>IF(A971="","",VLOOKUP(A971,EQUI,2,FALSE))</f>
        <v>Herramienta Menor (5% de la mano de obra).</v>
      </c>
      <c r="C971" s="306"/>
      <c r="D971" s="306"/>
      <c r="E971" s="276" t="str">
        <f>IF(A971="","",VLOOKUP(A971,EQUI,3,FALSE))</f>
        <v>%</v>
      </c>
      <c r="F971" s="433">
        <f>IF(A971="","",VLOOKUP(A971,EQUI,4,FALSE))</f>
        <v>0.05</v>
      </c>
      <c r="G971" s="307">
        <f>ROUND(F971*H1007,0)</f>
        <v>4736</v>
      </c>
      <c r="H971" s="308">
        <f>+G971</f>
        <v>4736</v>
      </c>
    </row>
    <row r="972" spans="1:8">
      <c r="A972" s="304" t="s">
        <v>497</v>
      </c>
      <c r="B972" s="305" t="str">
        <f>IF(A972="","",VLOOKUP(A972,EQUI,2,FALSE))</f>
        <v>Mezcladora mecánica (1.0 bultos)</v>
      </c>
      <c r="C972" s="306"/>
      <c r="D972" s="306"/>
      <c r="E972" s="276" t="str">
        <f>IF(A972="","",VLOOKUP(A972,EQUI,3))</f>
        <v>Dia</v>
      </c>
      <c r="F972" s="405">
        <v>0.1</v>
      </c>
      <c r="G972" s="310">
        <f>IF(A972="","",VLOOKUP(A972,EQUI,4))</f>
        <v>80000</v>
      </c>
      <c r="H972" s="311">
        <f>IF(A972="","",ROUND((G972*F972),0))</f>
        <v>8000</v>
      </c>
    </row>
    <row r="973" spans="1:8">
      <c r="A973" s="304"/>
      <c r="B973" s="305" t="str">
        <f>IF(A973="","",VLOOKUP(A973,EQUI,2))</f>
        <v/>
      </c>
      <c r="C973" s="306"/>
      <c r="D973" s="306"/>
      <c r="E973" s="276" t="str">
        <f>IF(A973="","",VLOOKUP(A973,EQUI,3))</f>
        <v/>
      </c>
      <c r="F973" s="405"/>
      <c r="G973" s="310" t="str">
        <f>IF(A973="","",VLOOKUP(A973,EQUI,4))</f>
        <v/>
      </c>
      <c r="H973" s="311" t="str">
        <f>IF(A973="","",ROUND((G973*F973),0))</f>
        <v/>
      </c>
    </row>
    <row r="974" spans="1:8">
      <c r="A974" s="304"/>
      <c r="B974" s="305" t="str">
        <f>IF(A974="","",VLOOKUP(A974,EQUI,2))</f>
        <v/>
      </c>
      <c r="C974" s="306"/>
      <c r="D974" s="306"/>
      <c r="E974" s="276" t="str">
        <f>IF(A974="","",VLOOKUP(A974,EQUI,3))</f>
        <v/>
      </c>
      <c r="F974" s="405"/>
      <c r="G974" s="310" t="str">
        <f>IF(A974="","",VLOOKUP(A974,EQUI,4))</f>
        <v/>
      </c>
      <c r="H974" s="311" t="str">
        <f>IF(A974="","",ROUND((G974*F974),0))</f>
        <v/>
      </c>
    </row>
    <row r="975" spans="1:8">
      <c r="A975" s="304"/>
      <c r="B975" s="305" t="str">
        <f>IF(A975="","",VLOOKUP(A975,EQUI,2))</f>
        <v/>
      </c>
      <c r="C975" s="306"/>
      <c r="D975" s="306"/>
      <c r="E975" s="276" t="str">
        <f>IF(A975="","",VLOOKUP(A975,EQUI,3))</f>
        <v/>
      </c>
      <c r="F975" s="405"/>
      <c r="G975" s="310" t="str">
        <f>IF(A975="","",VLOOKUP(A975,EQUI,4))</f>
        <v/>
      </c>
      <c r="H975" s="311" t="str">
        <f>IF(A975="","",ROUND((G975*F975),0))</f>
        <v/>
      </c>
    </row>
    <row r="976" spans="1:8" ht="13.5" thickBot="1">
      <c r="A976" s="312"/>
      <c r="B976" s="313" t="str">
        <f>IF(A976="","",VLOOKUP(A976,EQUI,2))</f>
        <v/>
      </c>
      <c r="C976" s="313"/>
      <c r="D976" s="314"/>
      <c r="E976" s="315" t="str">
        <f>IF(A976="","",VLOOKUP(A976,EQUI,3))</f>
        <v/>
      </c>
      <c r="F976" s="408"/>
      <c r="G976" s="316" t="str">
        <f>IF(A976="","",VLOOKUP(A976,EQUI,4))</f>
        <v/>
      </c>
      <c r="H976" s="311" t="str">
        <f>IF(A976="","",ROUND((G976*F976),0))</f>
        <v/>
      </c>
    </row>
    <row r="977" spans="1:8" ht="13.5" thickBot="1">
      <c r="A977" s="285"/>
      <c r="B977" s="285"/>
      <c r="C977" s="285"/>
      <c r="D977" s="285"/>
      <c r="E977" s="286"/>
      <c r="F977" s="285"/>
      <c r="G977" s="317" t="s">
        <v>529</v>
      </c>
      <c r="H977" s="318">
        <f>ROUND(SUM(H971:H976),0)</f>
        <v>12736</v>
      </c>
    </row>
    <row r="978" spans="1:8">
      <c r="A978" s="285"/>
      <c r="B978" s="285"/>
      <c r="C978" s="285"/>
      <c r="D978" s="285"/>
      <c r="E978" s="286"/>
      <c r="F978" s="285"/>
      <c r="G978" s="286"/>
      <c r="H978" s="319"/>
    </row>
    <row r="979" spans="1:8" ht="13.5" thickBot="1">
      <c r="A979" s="295" t="s">
        <v>530</v>
      </c>
      <c r="B979" s="295"/>
      <c r="C979" s="295"/>
      <c r="D979" s="295"/>
      <c r="E979" s="320"/>
      <c r="F979" s="314"/>
      <c r="G979" s="314"/>
      <c r="H979" s="314"/>
    </row>
    <row r="980" spans="1:8" ht="13.5" thickBot="1">
      <c r="A980" s="297" t="s">
        <v>527</v>
      </c>
      <c r="B980" s="298"/>
      <c r="C980" s="299" t="s">
        <v>521</v>
      </c>
      <c r="D980" s="299"/>
      <c r="E980" s="321" t="s">
        <v>515</v>
      </c>
      <c r="F980" s="322" t="s">
        <v>7</v>
      </c>
      <c r="G980" s="303" t="s">
        <v>832</v>
      </c>
      <c r="H980" s="278" t="s">
        <v>831</v>
      </c>
    </row>
    <row r="981" spans="1:8">
      <c r="A981" s="323" t="s">
        <v>134</v>
      </c>
      <c r="B981" s="353" t="str">
        <f t="shared" ref="B981:B991" si="61">IF(A981="","",VLOOKUP(A981,MAT,2,FALSE))</f>
        <v>Agua</v>
      </c>
      <c r="C981" s="305"/>
      <c r="D981" s="306"/>
      <c r="E981" s="276" t="str">
        <f>IF(A981="","",VLOOKUP(A981,MAT,3,FALSE))</f>
        <v>Lt</v>
      </c>
      <c r="F981" s="405">
        <v>158</v>
      </c>
      <c r="G981" s="310">
        <f>IF(A981="","",VLOOKUP(A981,MAT,5,FALSE))</f>
        <v>20</v>
      </c>
      <c r="H981" s="311">
        <f>IF(A981="","",ROUND((G981*F981),0))</f>
        <v>3160</v>
      </c>
    </row>
    <row r="982" spans="1:8">
      <c r="A982" s="324" t="s">
        <v>560</v>
      </c>
      <c r="B982" s="353" t="str">
        <f t="shared" si="61"/>
        <v>Arena fina de río.</v>
      </c>
      <c r="C982" s="305"/>
      <c r="D982" s="306"/>
      <c r="E982" s="276" t="str">
        <f>IF(A982="","",VLOOKUP(A982,MAT,3,FALSE))</f>
        <v>m3</v>
      </c>
      <c r="F982" s="405">
        <v>1.2</v>
      </c>
      <c r="G982" s="310">
        <f>IF(A982="","",VLOOKUP(A982,MAT,5,FALSE))</f>
        <v>60000</v>
      </c>
      <c r="H982" s="311">
        <f>IF(A982="","",ROUND((G982*F982),0))</f>
        <v>72000</v>
      </c>
    </row>
    <row r="983" spans="1:8">
      <c r="A983" s="324" t="s">
        <v>576</v>
      </c>
      <c r="B983" s="353" t="str">
        <f t="shared" si="61"/>
        <v>Cemento gris tipo Portland.</v>
      </c>
      <c r="C983" s="305"/>
      <c r="D983" s="306"/>
      <c r="E983" s="276" t="str">
        <f>IF(A983="","",VLOOKUP(A983,MAT,3,FALSE))</f>
        <v>Kg.</v>
      </c>
      <c r="F983" s="405">
        <v>261</v>
      </c>
      <c r="G983" s="310">
        <f>IF(A983="","",VLOOKUP(A983,MAT,5,FALSE))</f>
        <v>700</v>
      </c>
      <c r="H983" s="311">
        <f>IF(A983="","",ROUND((G983*F983),0))</f>
        <v>182700</v>
      </c>
    </row>
    <row r="984" spans="1:8">
      <c r="A984" s="324"/>
      <c r="B984" s="305" t="str">
        <f t="shared" si="61"/>
        <v/>
      </c>
      <c r="C984" s="305"/>
      <c r="D984" s="306"/>
      <c r="E984" s="276" t="str">
        <f t="shared" ref="E984:E990" si="62">IF(A984="","",VLOOKUP(A984,MAT,3,FALSE))</f>
        <v/>
      </c>
      <c r="F984" s="405"/>
      <c r="G984" s="310" t="str">
        <f t="shared" ref="G984:G990" si="63">IF(A984="","",VLOOKUP(A984,MAT,5,FALSE))</f>
        <v/>
      </c>
      <c r="H984" s="311" t="str">
        <f t="shared" ref="H984:H990" si="64">IF(A984="","",ROUND((G984*F984),0))</f>
        <v/>
      </c>
    </row>
    <row r="985" spans="1:8">
      <c r="A985" s="324"/>
      <c r="B985" s="305" t="str">
        <f t="shared" si="61"/>
        <v/>
      </c>
      <c r="C985" s="305"/>
      <c r="D985" s="306"/>
      <c r="E985" s="276" t="str">
        <f t="shared" si="62"/>
        <v/>
      </c>
      <c r="F985" s="405"/>
      <c r="G985" s="310" t="str">
        <f t="shared" si="63"/>
        <v/>
      </c>
      <c r="H985" s="311" t="str">
        <f t="shared" si="64"/>
        <v/>
      </c>
    </row>
    <row r="986" spans="1:8">
      <c r="A986" s="324"/>
      <c r="B986" s="305" t="str">
        <f t="shared" si="61"/>
        <v/>
      </c>
      <c r="C986" s="305"/>
      <c r="D986" s="306"/>
      <c r="E986" s="276" t="str">
        <f t="shared" si="62"/>
        <v/>
      </c>
      <c r="F986" s="405"/>
      <c r="G986" s="310" t="str">
        <f t="shared" si="63"/>
        <v/>
      </c>
      <c r="H986" s="311" t="str">
        <f t="shared" si="64"/>
        <v/>
      </c>
    </row>
    <row r="987" spans="1:8">
      <c r="A987" s="324"/>
      <c r="B987" s="305" t="str">
        <f t="shared" si="61"/>
        <v/>
      </c>
      <c r="C987" s="305"/>
      <c r="D987" s="306"/>
      <c r="E987" s="276" t="str">
        <f t="shared" si="62"/>
        <v/>
      </c>
      <c r="F987" s="405"/>
      <c r="G987" s="310" t="str">
        <f t="shared" si="63"/>
        <v/>
      </c>
      <c r="H987" s="311" t="str">
        <f t="shared" si="64"/>
        <v/>
      </c>
    </row>
    <row r="988" spans="1:8">
      <c r="A988" s="324"/>
      <c r="B988" s="305" t="str">
        <f t="shared" si="61"/>
        <v/>
      </c>
      <c r="C988" s="305"/>
      <c r="D988" s="306"/>
      <c r="E988" s="276" t="str">
        <f t="shared" si="62"/>
        <v/>
      </c>
      <c r="F988" s="405"/>
      <c r="G988" s="310" t="str">
        <f t="shared" si="63"/>
        <v/>
      </c>
      <c r="H988" s="311" t="str">
        <f t="shared" si="64"/>
        <v/>
      </c>
    </row>
    <row r="989" spans="1:8">
      <c r="A989" s="324"/>
      <c r="B989" s="305" t="str">
        <f t="shared" si="61"/>
        <v/>
      </c>
      <c r="C989" s="305"/>
      <c r="D989" s="306"/>
      <c r="E989" s="276" t="str">
        <f t="shared" si="62"/>
        <v/>
      </c>
      <c r="F989" s="405"/>
      <c r="G989" s="310" t="str">
        <f t="shared" si="63"/>
        <v/>
      </c>
      <c r="H989" s="311" t="str">
        <f t="shared" si="64"/>
        <v/>
      </c>
    </row>
    <row r="990" spans="1:8">
      <c r="A990" s="324"/>
      <c r="B990" s="305" t="str">
        <f t="shared" si="61"/>
        <v/>
      </c>
      <c r="C990" s="305"/>
      <c r="D990" s="306"/>
      <c r="E990" s="276" t="str">
        <f t="shared" si="62"/>
        <v/>
      </c>
      <c r="F990" s="405"/>
      <c r="G990" s="310" t="str">
        <f t="shared" si="63"/>
        <v/>
      </c>
      <c r="H990" s="311" t="str">
        <f t="shared" si="64"/>
        <v/>
      </c>
    </row>
    <row r="991" spans="1:8" ht="13.5" thickBot="1">
      <c r="A991" s="325"/>
      <c r="B991" s="326" t="str">
        <f t="shared" si="61"/>
        <v/>
      </c>
      <c r="C991" s="314"/>
      <c r="D991" s="314"/>
      <c r="E991" s="315" t="str">
        <f>IF(A991="","",VLOOKUP(A991,MAT,3,FALSE))</f>
        <v/>
      </c>
      <c r="F991" s="406"/>
      <c r="G991" s="327" t="str">
        <f>IF(A991="","",VLOOKUP(A991,MAT,5,FALSE))</f>
        <v/>
      </c>
      <c r="H991" s="311" t="str">
        <f>IF(A991="","",ROUND((G991*F991),0))</f>
        <v/>
      </c>
    </row>
    <row r="992" spans="1:8" ht="13.5" thickBot="1">
      <c r="A992" s="285"/>
      <c r="B992" s="285"/>
      <c r="C992" s="285"/>
      <c r="D992" s="285"/>
      <c r="E992" s="286"/>
      <c r="F992" s="285"/>
      <c r="G992" s="210" t="s">
        <v>529</v>
      </c>
      <c r="H992" s="328">
        <f>ROUND(SUM(H981:H991),0)</f>
        <v>257860</v>
      </c>
    </row>
    <row r="993" spans="1:8">
      <c r="A993" s="285"/>
      <c r="B993" s="285"/>
      <c r="C993" s="285"/>
      <c r="D993" s="285"/>
      <c r="E993" s="286"/>
      <c r="F993" s="285"/>
      <c r="G993" s="286"/>
      <c r="H993" s="329"/>
    </row>
    <row r="994" spans="1:8" ht="13.5" thickBot="1">
      <c r="A994" s="295" t="s">
        <v>531</v>
      </c>
      <c r="B994" s="285"/>
      <c r="C994" s="285"/>
      <c r="D994" s="285"/>
      <c r="E994" s="286"/>
      <c r="F994" s="285"/>
      <c r="G994" s="286"/>
      <c r="H994" s="330"/>
    </row>
    <row r="995" spans="1:8" ht="13.5" thickBot="1">
      <c r="A995" s="297" t="s">
        <v>527</v>
      </c>
      <c r="B995" s="2187" t="s">
        <v>532</v>
      </c>
      <c r="C995" s="2188"/>
      <c r="D995" s="331" t="s">
        <v>821</v>
      </c>
      <c r="E995" s="331" t="s">
        <v>820</v>
      </c>
      <c r="F995" s="331" t="s">
        <v>823</v>
      </c>
      <c r="G995" s="331" t="s">
        <v>963</v>
      </c>
      <c r="H995" s="416" t="s">
        <v>831</v>
      </c>
    </row>
    <row r="996" spans="1:8">
      <c r="A996" s="332" t="s">
        <v>560</v>
      </c>
      <c r="B996" s="305" t="str">
        <f>IF(A996="","",VLOOKUP(A996,MAT,2,FALSE))</f>
        <v>Arena fina de río.</v>
      </c>
      <c r="C996" s="333"/>
      <c r="D996" s="409" t="str">
        <f>IF(A996="","",VLOOKUP(A996,MAT,3,FALSE))</f>
        <v>m3</v>
      </c>
      <c r="E996" s="419">
        <f>IF(A996="","",VLOOKUP(A996,MAT,6,FALSE))</f>
        <v>15</v>
      </c>
      <c r="F996" s="413">
        <f>IF(A996="","",VLOOKUP(A996,A981:H991,6,FALSE))</f>
        <v>1.2</v>
      </c>
      <c r="G996" s="334">
        <f>IF(A996="","",VLOOKUP(A996,MAT,7,FALSE))</f>
        <v>1500</v>
      </c>
      <c r="H996" s="311">
        <f>IF(A996="","",ROUND((G996*F996*E996),0))</f>
        <v>27000</v>
      </c>
    </row>
    <row r="997" spans="1:8">
      <c r="A997" s="335"/>
      <c r="B997" s="305" t="str">
        <f>IF(A997="","",VLOOKUP(A997,MAT,2,FALSE))</f>
        <v/>
      </c>
      <c r="D997" s="410" t="str">
        <f>IF(A997="","",VLOOKUP(A997,MAT,3,FALSE))</f>
        <v/>
      </c>
      <c r="E997" s="419" t="str">
        <f>IF(A997="","",VLOOKUP(A997,MAT,6,FALSE))</f>
        <v/>
      </c>
      <c r="F997" s="413" t="str">
        <f>IF(A997="","",VLOOKUP(A997,A981:H991,6,FALSE))</f>
        <v/>
      </c>
      <c r="G997" s="336" t="str">
        <f>IF(A997="","",VLOOKUP(A997,MAT,7,FALSE))</f>
        <v/>
      </c>
      <c r="H997" s="311" t="str">
        <f>IF(A997="","",ROUND((G997*F997*E997),0))</f>
        <v/>
      </c>
    </row>
    <row r="998" spans="1:8" ht="13.5" thickBot="1">
      <c r="A998" s="337"/>
      <c r="B998" s="338" t="str">
        <f>IF(A998="","",VLOOKUP(A998,MAT,2,FALSE))</f>
        <v/>
      </c>
      <c r="C998" s="338"/>
      <c r="D998" s="411" t="str">
        <f>IF(A998="","",VLOOKUP(A998,MAT,3,FALSE))</f>
        <v/>
      </c>
      <c r="E998" s="412" t="str">
        <f>IF(A998="","",VLOOKUP(A998,MAT,6,FALSE))</f>
        <v/>
      </c>
      <c r="F998" s="418" t="str">
        <f>IF(A998="","",VLOOKUP(A998,$A$23:$H$33,6,FALSE))</f>
        <v/>
      </c>
      <c r="G998" s="339" t="str">
        <f>IF(A998="","",VLOOKUP(A998,MAT,7,FALSE))</f>
        <v/>
      </c>
      <c r="H998" s="417" t="str">
        <f>IF(A998="","",ROUND((G998*F998*E998),0))</f>
        <v/>
      </c>
    </row>
    <row r="999" spans="1:8" ht="13.5" thickBot="1">
      <c r="E999" s="340"/>
      <c r="F999" s="341"/>
      <c r="G999" s="414" t="s">
        <v>529</v>
      </c>
      <c r="H999" s="415">
        <f>ROUND(SUM(H996:H998),0)</f>
        <v>27000</v>
      </c>
    </row>
    <row r="1000" spans="1:8">
      <c r="E1000" s="340"/>
      <c r="F1000" s="341"/>
      <c r="G1000" s="286"/>
      <c r="H1000" s="343"/>
    </row>
    <row r="1001" spans="1:8" ht="13.5" thickBot="1">
      <c r="A1001" s="295" t="s">
        <v>534</v>
      </c>
      <c r="B1001" s="295"/>
      <c r="C1001" s="295"/>
      <c r="D1001" s="285"/>
      <c r="E1001" s="286"/>
      <c r="F1001" s="285"/>
      <c r="G1001" s="285"/>
      <c r="H1001" s="314"/>
    </row>
    <row r="1002" spans="1:8" ht="13.5" thickBot="1">
      <c r="A1002" s="297" t="s">
        <v>527</v>
      </c>
      <c r="B1002" s="2189" t="s">
        <v>514</v>
      </c>
      <c r="C1002" s="2190"/>
      <c r="D1002" s="2191"/>
      <c r="E1002" s="277" t="s">
        <v>515</v>
      </c>
      <c r="F1002" s="277" t="s">
        <v>535</v>
      </c>
      <c r="G1002" s="531" t="s">
        <v>944</v>
      </c>
      <c r="H1002" s="416" t="s">
        <v>831</v>
      </c>
    </row>
    <row r="1003" spans="1:8">
      <c r="A1003" s="344" t="s">
        <v>932</v>
      </c>
      <c r="B1003" s="2192" t="str">
        <f>IF(A1003="","",VLOOKUP(A1003,MO,2,FALSE))</f>
        <v>Cuadrilla LL: Mezclas. (1 Of. + 3 Ayud.).</v>
      </c>
      <c r="C1003" s="2193"/>
      <c r="D1003" s="2194"/>
      <c r="E1003" s="538" t="str">
        <f>IF(A1003="","",VLOOKUP(A1003,MO,13,FALSE))</f>
        <v>HC</v>
      </c>
      <c r="F1003" s="544">
        <v>0.85</v>
      </c>
      <c r="G1003" s="540">
        <f>IF(A1003="","",VLOOKUP(A1003,MO,15,FALSE))</f>
        <v>80517</v>
      </c>
      <c r="H1003" s="542">
        <f>IF(A1003="","",ROUND((G1003/F1003),0))</f>
        <v>94726</v>
      </c>
    </row>
    <row r="1004" spans="1:8">
      <c r="A1004" s="344"/>
      <c r="B1004" s="2179" t="str">
        <f>IF(A1004="","",VLOOKUP(A1004,MO,2,FALSE))</f>
        <v/>
      </c>
      <c r="C1004" s="2180"/>
      <c r="D1004" s="2181"/>
      <c r="E1004" s="538" t="str">
        <f>IF(A1004="","",VLOOKUP(A1004,MO,13,FALSE))</f>
        <v/>
      </c>
      <c r="F1004" s="544"/>
      <c r="G1004" s="540" t="str">
        <f>IF(A1004="","",VLOOKUP(A1004,MO,15,FALSE))</f>
        <v/>
      </c>
      <c r="H1004" s="542" t="str">
        <f>IF(A1004="","",ROUND((G1004/F1004),0))</f>
        <v/>
      </c>
    </row>
    <row r="1005" spans="1:8">
      <c r="A1005" s="344"/>
      <c r="B1005" s="2179" t="str">
        <f>IF(A1005="","",VLOOKUP(A1005,MO,2,FALSE))</f>
        <v/>
      </c>
      <c r="C1005" s="2180"/>
      <c r="D1005" s="2181"/>
      <c r="E1005" s="538" t="str">
        <f>IF(A1005="","",VLOOKUP(A1005,MO,13,FALSE))</f>
        <v/>
      </c>
      <c r="F1005" s="544"/>
      <c r="G1005" s="541" t="str">
        <f>IF(A1005="","",VLOOKUP(A1005,MO,15,FALSE))</f>
        <v/>
      </c>
      <c r="H1005" s="542" t="str">
        <f>IF(A1005="","",ROUND((G1005/F1005),0))</f>
        <v/>
      </c>
    </row>
    <row r="1006" spans="1:8" ht="13.5" thickBot="1">
      <c r="A1006" s="345"/>
      <c r="B1006" s="2182" t="str">
        <f>IF(A1006="","",VLOOKUP(A1006,MO,2,FALSE))</f>
        <v/>
      </c>
      <c r="C1006" s="2183"/>
      <c r="D1006" s="2184"/>
      <c r="E1006" s="539" t="str">
        <f>IF(A1006="","",VLOOKUP(A1006,MO,13,FALSE))</f>
        <v/>
      </c>
      <c r="F1006" s="545"/>
      <c r="G1006" s="377" t="str">
        <f>IF(A1006="","",VLOOKUP(A1006,MO,15,FALSE))</f>
        <v/>
      </c>
      <c r="H1006" s="543" t="str">
        <f>IF(A1006="","",ROUND((G1006/F1006),0))</f>
        <v/>
      </c>
    </row>
    <row r="1007" spans="1:8" ht="13.5" thickBot="1">
      <c r="A1007" s="285"/>
      <c r="B1007" s="285"/>
      <c r="C1007" s="285"/>
      <c r="D1007" s="285"/>
      <c r="E1007" s="286"/>
      <c r="F1007" s="285"/>
      <c r="G1007" s="317" t="s">
        <v>529</v>
      </c>
      <c r="H1007" s="342">
        <f>ROUND(SUM(H1003:H1006),0)</f>
        <v>94726</v>
      </c>
    </row>
    <row r="1008" spans="1:8" ht="13.5" thickBot="1">
      <c r="A1008" s="285"/>
      <c r="B1008" s="285"/>
      <c r="C1008" s="285"/>
      <c r="D1008" s="285"/>
      <c r="E1008" s="286"/>
      <c r="F1008" s="285"/>
      <c r="G1008" s="285"/>
      <c r="H1008" s="285"/>
    </row>
    <row r="1009" spans="1:8" ht="13.5" thickBot="1">
      <c r="A1009" s="285"/>
      <c r="B1009" s="285"/>
      <c r="C1009" s="285"/>
      <c r="D1009" s="285"/>
      <c r="E1009" s="346" t="s">
        <v>536</v>
      </c>
      <c r="F1009" s="347"/>
      <c r="G1009" s="347"/>
      <c r="H1009" s="348">
        <f>+ROUND(H977+H992+H999+H1007,0)</f>
        <v>392322</v>
      </c>
    </row>
    <row r="1010" spans="1:8">
      <c r="A1010" s="285"/>
      <c r="B1010" s="285"/>
      <c r="C1010" s="285"/>
      <c r="D1010" s="285"/>
      <c r="E1010" s="806" t="s">
        <v>2696</v>
      </c>
      <c r="F1010" s="807">
        <v>0.3</v>
      </c>
      <c r="G1010" s="807">
        <v>0.3</v>
      </c>
      <c r="H1010" s="809">
        <f>H1009*G1010</f>
        <v>117696.59999999999</v>
      </c>
    </row>
    <row r="1011" spans="1:8">
      <c r="E1011" s="806"/>
      <c r="F1011" s="807"/>
      <c r="G1011" s="807"/>
      <c r="H1011" s="809">
        <f>SUM(H1009:H1010)</f>
        <v>510018.6</v>
      </c>
    </row>
    <row r="1012" spans="1:8">
      <c r="A1012" s="703" t="str">
        <f>+[14]PRESUPUESTO!$A$113</f>
        <v>__________________________________________</v>
      </c>
      <c r="B1012" s="703"/>
    </row>
    <row r="1013" spans="1:8">
      <c r="A1013" s="810" t="str">
        <f>+[14]PRESUPUESTO!$A$114</f>
        <v>Ing. JHON FREDY GARCIA MENDEZ</v>
      </c>
      <c r="B1013" s="703"/>
    </row>
    <row r="1014" spans="1:8">
      <c r="A1014" s="811" t="str">
        <f>+[14]PRESUPUESTO!$A$115</f>
        <v>M.P.  70268-326294 TLM.</v>
      </c>
      <c r="B1014" s="703"/>
    </row>
    <row r="1015" spans="1:8">
      <c r="A1015" s="811" t="str">
        <f>+[14]PRESUPUESTO!$A$116</f>
        <v>CONSULTOR</v>
      </c>
      <c r="B1015" s="703"/>
    </row>
  </sheetData>
  <mergeCells count="154">
    <mergeCell ref="F2:H2"/>
    <mergeCell ref="F3:H3"/>
    <mergeCell ref="F4:H4"/>
    <mergeCell ref="A5:E5"/>
    <mergeCell ref="F5:H5"/>
    <mergeCell ref="B63:D63"/>
    <mergeCell ref="B6:D6"/>
    <mergeCell ref="D2:E4"/>
    <mergeCell ref="B44:D44"/>
    <mergeCell ref="B45:D45"/>
    <mergeCell ref="B46:D46"/>
    <mergeCell ref="B47:D47"/>
    <mergeCell ref="B48:D48"/>
    <mergeCell ref="B7:E7"/>
    <mergeCell ref="B8:E8"/>
    <mergeCell ref="B37:C37"/>
    <mergeCell ref="B58:D58"/>
    <mergeCell ref="B59:E59"/>
    <mergeCell ref="B60:E60"/>
    <mergeCell ref="B64:E64"/>
    <mergeCell ref="B127:E127"/>
    <mergeCell ref="B284:D284"/>
    <mergeCell ref="B285:D285"/>
    <mergeCell ref="B65:E65"/>
    <mergeCell ref="B94:C94"/>
    <mergeCell ref="B102:D102"/>
    <mergeCell ref="B103:D103"/>
    <mergeCell ref="B104:D104"/>
    <mergeCell ref="B105:D105"/>
    <mergeCell ref="B128:E128"/>
    <mergeCell ref="B157:C157"/>
    <mergeCell ref="B164:D164"/>
    <mergeCell ref="B101:D101"/>
    <mergeCell ref="B120:D120"/>
    <mergeCell ref="B121:E121"/>
    <mergeCell ref="B122:E122"/>
    <mergeCell ref="B126:D126"/>
    <mergeCell ref="B277:C277"/>
    <mergeCell ref="B168:D168"/>
    <mergeCell ref="B186:E186"/>
    <mergeCell ref="B187:E187"/>
    <mergeCell ref="B216:C216"/>
    <mergeCell ref="B223:D223"/>
    <mergeCell ref="B288:D288"/>
    <mergeCell ref="B248:E248"/>
    <mergeCell ref="B165:D165"/>
    <mergeCell ref="B166:D166"/>
    <mergeCell ref="B167:D167"/>
    <mergeCell ref="B363:D363"/>
    <mergeCell ref="B286:D286"/>
    <mergeCell ref="B287:D287"/>
    <mergeCell ref="B247:E247"/>
    <mergeCell ref="B246:D246"/>
    <mergeCell ref="B304:E304"/>
    <mergeCell ref="B305:E305"/>
    <mergeCell ref="B334:C334"/>
    <mergeCell ref="B341:D341"/>
    <mergeCell ref="B342:D342"/>
    <mergeCell ref="B343:D343"/>
    <mergeCell ref="B344:D344"/>
    <mergeCell ref="B345:D345"/>
    <mergeCell ref="B224:D224"/>
    <mergeCell ref="B225:D225"/>
    <mergeCell ref="B226:D226"/>
    <mergeCell ref="B227:D227"/>
    <mergeCell ref="B364:E364"/>
    <mergeCell ref="B365:E365"/>
    <mergeCell ref="B394:C394"/>
    <mergeCell ref="B401:D401"/>
    <mergeCell ref="B402:D402"/>
    <mergeCell ref="B403:D403"/>
    <mergeCell ref="B404:D404"/>
    <mergeCell ref="B405:D405"/>
    <mergeCell ref="B431:D431"/>
    <mergeCell ref="B432:E432"/>
    <mergeCell ref="B433:E433"/>
    <mergeCell ref="B462:C462"/>
    <mergeCell ref="B469:D469"/>
    <mergeCell ref="B470:D470"/>
    <mergeCell ref="B471:D471"/>
    <mergeCell ref="B472:D472"/>
    <mergeCell ref="B473:D473"/>
    <mergeCell ref="B556:D556"/>
    <mergeCell ref="B491:D491"/>
    <mergeCell ref="B492:E492"/>
    <mergeCell ref="B493:E493"/>
    <mergeCell ref="B522:C522"/>
    <mergeCell ref="B529:D529"/>
    <mergeCell ref="B530:D530"/>
    <mergeCell ref="B531:D531"/>
    <mergeCell ref="B532:D532"/>
    <mergeCell ref="B533:D533"/>
    <mergeCell ref="B557:E557"/>
    <mergeCell ref="B558:E558"/>
    <mergeCell ref="B587:C587"/>
    <mergeCell ref="B594:D594"/>
    <mergeCell ref="B595:D595"/>
    <mergeCell ref="B596:D596"/>
    <mergeCell ref="B597:D597"/>
    <mergeCell ref="B598:D598"/>
    <mergeCell ref="B624:D624"/>
    <mergeCell ref="B625:E625"/>
    <mergeCell ref="B626:E626"/>
    <mergeCell ref="B655:C655"/>
    <mergeCell ref="B662:D662"/>
    <mergeCell ref="B663:D663"/>
    <mergeCell ref="B664:D664"/>
    <mergeCell ref="B665:D665"/>
    <mergeCell ref="B666:D666"/>
    <mergeCell ref="B692:D692"/>
    <mergeCell ref="B693:E693"/>
    <mergeCell ref="B694:E694"/>
    <mergeCell ref="B723:C723"/>
    <mergeCell ref="B730:D730"/>
    <mergeCell ref="B731:D731"/>
    <mergeCell ref="B732:D732"/>
    <mergeCell ref="B733:D733"/>
    <mergeCell ref="B734:D734"/>
    <mergeCell ref="B760:D760"/>
    <mergeCell ref="B761:E761"/>
    <mergeCell ref="B762:E762"/>
    <mergeCell ref="B791:C791"/>
    <mergeCell ref="B798:D798"/>
    <mergeCell ref="B799:D799"/>
    <mergeCell ref="B800:D800"/>
    <mergeCell ref="B801:D801"/>
    <mergeCell ref="B802:D802"/>
    <mergeCell ref="B828:D828"/>
    <mergeCell ref="B829:E829"/>
    <mergeCell ref="B830:E830"/>
    <mergeCell ref="B859:C859"/>
    <mergeCell ref="B866:D866"/>
    <mergeCell ref="B867:D867"/>
    <mergeCell ref="B868:D868"/>
    <mergeCell ref="B869:D869"/>
    <mergeCell ref="B870:D870"/>
    <mergeCell ref="B896:D896"/>
    <mergeCell ref="B1005:D1005"/>
    <mergeCell ref="B1006:D1006"/>
    <mergeCell ref="B965:E965"/>
    <mergeCell ref="B966:E966"/>
    <mergeCell ref="B995:C995"/>
    <mergeCell ref="B1002:D1002"/>
    <mergeCell ref="B1003:D1003"/>
    <mergeCell ref="B1004:D1004"/>
    <mergeCell ref="B897:E897"/>
    <mergeCell ref="B898:E898"/>
    <mergeCell ref="B927:C927"/>
    <mergeCell ref="B934:D934"/>
    <mergeCell ref="B935:D935"/>
    <mergeCell ref="B936:D936"/>
    <mergeCell ref="B937:D937"/>
    <mergeCell ref="B938:D938"/>
    <mergeCell ref="B964:D964"/>
  </mergeCells>
  <pageMargins left="0.74803149606299213" right="0.74803149606299213" top="0.98425196850393704" bottom="0.98425196850393704" header="0" footer="0"/>
  <pageSetup paperSize="9" scale="75" orientation="portrait" r:id="rId1"/>
  <headerFooter alignWithMargins="0"/>
  <rowBreaks count="15" manualBreakCount="15">
    <brk id="62" max="16383" man="1"/>
    <brk id="122" max="7" man="1"/>
    <brk id="183" max="7" man="1"/>
    <brk id="245" max="16383" man="1"/>
    <brk id="300" max="7" man="1"/>
    <brk id="362" max="16383" man="1"/>
    <brk id="427" max="7" man="1"/>
    <brk id="489" max="7" man="1"/>
    <brk id="555" max="16383" man="1"/>
    <brk id="623" max="16383" man="1"/>
    <brk id="691" max="16383" man="1"/>
    <brk id="759" max="16383" man="1"/>
    <brk id="827" max="16383" man="1"/>
    <brk id="895" max="16383" man="1"/>
    <brk id="963" max="16383" man="1"/>
  </rowBreaks>
  <drawing r:id="rId2"/>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Hoja7">
    <tabColor rgb="FF7030A0"/>
  </sheetPr>
  <dimension ref="A1:I66"/>
  <sheetViews>
    <sheetView workbookViewId="0"/>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2.710937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t="e">
        <f>+PRESUPUESTO!#REF!</f>
        <v>#REF!</v>
      </c>
      <c r="B7" s="2185" t="e">
        <f>+PRESUPUESTO!#REF!</f>
        <v>#REF!</v>
      </c>
      <c r="C7" s="2185"/>
      <c r="D7" s="2185"/>
      <c r="E7" s="2185"/>
      <c r="F7" s="289"/>
      <c r="G7" s="290" t="s">
        <v>525</v>
      </c>
      <c r="H7" s="97" t="e">
        <f>+PRESUPUESTO!#REF!</f>
        <v>#REF!</v>
      </c>
    </row>
    <row r="8" spans="1:9" ht="15.95" customHeight="1">
      <c r="A8" s="97" t="e">
        <f>+PRESUPUESTO!#REF!</f>
        <v>#REF!</v>
      </c>
      <c r="B8" s="2217" t="e">
        <f>+PRESUPUESTO!#REF!</f>
        <v>#REF!</v>
      </c>
      <c r="C8" s="2217"/>
      <c r="D8" s="2217"/>
      <c r="E8" s="221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967</v>
      </c>
      <c r="B13" s="305" t="str">
        <f t="shared" ref="B13:B18" si="0">IF(A13="","",VLOOKUP(A13,EQUI,2,FALSE))</f>
        <v>Herramienta Menor (10% de la mano de obra).</v>
      </c>
      <c r="C13" s="306"/>
      <c r="D13" s="306"/>
      <c r="E13" s="276" t="str">
        <f>IF(A13="","",VLOOKUP(A13,EQUI,3,FALSE))</f>
        <v>%</v>
      </c>
      <c r="F13" s="433">
        <f>IF(A13="","",VLOOKUP(A13,EQUI,4,FALSE))</f>
        <v>0.1</v>
      </c>
      <c r="G13" s="307">
        <f>ROUND(F13*H54,0)</f>
        <v>9473</v>
      </c>
      <c r="H13" s="308">
        <f>+G13</f>
        <v>9473</v>
      </c>
      <c r="I13" s="309"/>
    </row>
    <row r="14" spans="1:9">
      <c r="A14" s="536" t="s">
        <v>497</v>
      </c>
      <c r="B14" s="305" t="str">
        <f t="shared" si="0"/>
        <v>Mezcladora mecánica (1.0 bultos)</v>
      </c>
      <c r="C14" s="306"/>
      <c r="D14" s="306"/>
      <c r="E14" s="276" t="str">
        <f>IF(A14="","",VLOOKUP(A14,EQUI,3))</f>
        <v>Dia</v>
      </c>
      <c r="F14" s="405">
        <v>7.5</v>
      </c>
      <c r="G14" s="310">
        <f>IF(A14="","",VLOOKUP(A14,EQUI,4,FALSE))</f>
        <v>80000</v>
      </c>
      <c r="H14" s="311">
        <f>IF(A14="","",ROUND((G14/F14),0))</f>
        <v>10667</v>
      </c>
    </row>
    <row r="15" spans="1:9">
      <c r="A15" s="536"/>
      <c r="B15" s="305" t="str">
        <f t="shared" si="0"/>
        <v/>
      </c>
      <c r="C15" s="306"/>
      <c r="D15" s="306"/>
      <c r="E15" s="276" t="str">
        <f>IF(A15="","",VLOOKUP(A15,EQUI,3))</f>
        <v/>
      </c>
      <c r="F15" s="405"/>
      <c r="G15" s="310" t="str">
        <f>IF(A15="","",VLOOKUP(A15,EQUI,4,FALSE))</f>
        <v/>
      </c>
      <c r="H15" s="311" t="str">
        <f>IF(A15="","",ROUND((G15/F15),0))</f>
        <v/>
      </c>
    </row>
    <row r="16" spans="1:9">
      <c r="A16" s="536"/>
      <c r="B16" s="305" t="str">
        <f t="shared" si="0"/>
        <v/>
      </c>
      <c r="C16" s="306"/>
      <c r="D16" s="306"/>
      <c r="E16" s="276" t="str">
        <f>IF(A16="","",VLOOKUP(A16,EQUI,3))</f>
        <v/>
      </c>
      <c r="F16" s="405"/>
      <c r="G16" s="310" t="str">
        <f>IF(A16="","",VLOOKUP(A16,EQUI,4,FALSE))</f>
        <v/>
      </c>
      <c r="H16" s="311" t="str">
        <f>IF(A16="","",ROUND((G16/F16),0))</f>
        <v/>
      </c>
    </row>
    <row r="17" spans="1:8">
      <c r="A17" s="536"/>
      <c r="B17" s="305" t="str">
        <f t="shared" si="0"/>
        <v/>
      </c>
      <c r="C17" s="306"/>
      <c r="D17" s="306"/>
      <c r="E17" s="276" t="str">
        <f>IF(A17="","",VLOOKUP(A17,EQUI,3))</f>
        <v/>
      </c>
      <c r="F17" s="405"/>
      <c r="G17" s="310" t="str">
        <f>IF(A17="","",VLOOKUP(A17,EQUI,4,FALSE))</f>
        <v/>
      </c>
      <c r="H17" s="311" t="str">
        <f>IF(A17="","",ROUND((G17/F17),0))</f>
        <v/>
      </c>
    </row>
    <row r="18" spans="1:8" ht="13.5" thickBot="1">
      <c r="A18" s="537"/>
      <c r="B18" s="313" t="str">
        <f t="shared" si="0"/>
        <v/>
      </c>
      <c r="C18" s="313"/>
      <c r="D18" s="314"/>
      <c r="E18" s="315" t="str">
        <f>IF(A18="","",VLOOKUP(A18,EQUI,3))</f>
        <v/>
      </c>
      <c r="F18" s="408"/>
      <c r="G18" s="316" t="str">
        <f>IF(A18="","",VLOOKUP(A18,EQUI,4,FALSE))</f>
        <v/>
      </c>
      <c r="H18" s="311" t="str">
        <f>IF(A18="","",ROUND((G18/F18),0))</f>
        <v/>
      </c>
    </row>
    <row r="19" spans="1:8" ht="13.5" thickBot="1">
      <c r="A19" s="285"/>
      <c r="B19" s="285"/>
      <c r="C19" s="285"/>
      <c r="D19" s="285"/>
      <c r="E19" s="286"/>
      <c r="F19" s="285"/>
      <c r="G19" s="317" t="s">
        <v>529</v>
      </c>
      <c r="H19" s="318">
        <f>ROUND(SUM(H13:H18),0)</f>
        <v>20140</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t="s">
        <v>134</v>
      </c>
      <c r="B23" s="353" t="str">
        <f t="shared" ref="B23:B29" si="1">IF(A23="","",VLOOKUP(A23,MAT,2,FALSE))</f>
        <v>Agua</v>
      </c>
      <c r="C23" s="305"/>
      <c r="D23" s="306"/>
      <c r="E23" s="276" t="str">
        <f t="shared" ref="E23:E29" si="2">IF(A23="","",VLOOKUP(A23,MAT,3,FALSE))</f>
        <v>Lt</v>
      </c>
      <c r="F23" s="405">
        <v>180</v>
      </c>
      <c r="G23" s="310">
        <f t="shared" ref="G23:G29" si="3">IF(A23="","",VLOOKUP(A23,MAT,5,FALSE))</f>
        <v>20</v>
      </c>
      <c r="H23" s="311">
        <f t="shared" ref="H23:H29" si="4">IF(A23="","",ROUND((G23*F23),0))</f>
        <v>3600</v>
      </c>
    </row>
    <row r="24" spans="1:8">
      <c r="A24" s="534" t="s">
        <v>561</v>
      </c>
      <c r="B24" s="353" t="str">
        <f t="shared" si="1"/>
        <v>Arena triturada de planta, pasante 3/8"</v>
      </c>
      <c r="C24" s="305"/>
      <c r="D24" s="306"/>
      <c r="E24" s="276" t="str">
        <f t="shared" si="2"/>
        <v>m3</v>
      </c>
      <c r="F24" s="405">
        <v>0.56000000000000005</v>
      </c>
      <c r="G24" s="310">
        <f t="shared" si="3"/>
        <v>122570</v>
      </c>
      <c r="H24" s="311">
        <f t="shared" si="4"/>
        <v>68639</v>
      </c>
    </row>
    <row r="25" spans="1:8">
      <c r="A25" s="534" t="s">
        <v>1629</v>
      </c>
      <c r="B25" s="353" t="str">
        <f t="shared" si="1"/>
        <v>Gravilla triturada de Ø1/2".</v>
      </c>
      <c r="C25" s="305"/>
      <c r="D25" s="306"/>
      <c r="E25" s="276" t="str">
        <f t="shared" si="2"/>
        <v>m3</v>
      </c>
      <c r="F25" s="405">
        <v>0.84</v>
      </c>
      <c r="G25" s="310">
        <f t="shared" si="3"/>
        <v>138040</v>
      </c>
      <c r="H25" s="311">
        <f t="shared" si="4"/>
        <v>115954</v>
      </c>
    </row>
    <row r="26" spans="1:8">
      <c r="A26" s="534" t="s">
        <v>576</v>
      </c>
      <c r="B26" s="305" t="str">
        <f t="shared" si="1"/>
        <v>Cemento gris tipo Portland.</v>
      </c>
      <c r="C26" s="305"/>
      <c r="D26" s="306"/>
      <c r="E26" s="276" t="str">
        <f t="shared" si="2"/>
        <v>Kg.</v>
      </c>
      <c r="F26" s="405">
        <v>350</v>
      </c>
      <c r="G26" s="310">
        <f t="shared" si="3"/>
        <v>700</v>
      </c>
      <c r="H26" s="311">
        <f t="shared" si="4"/>
        <v>245000</v>
      </c>
    </row>
    <row r="27" spans="1:8">
      <c r="A27" s="534" t="s">
        <v>1268</v>
      </c>
      <c r="B27" s="305" t="str">
        <f t="shared" si="1"/>
        <v>Adaptador Macho PVC de 4"</v>
      </c>
      <c r="C27" s="305"/>
      <c r="D27" s="306"/>
      <c r="E27" s="276" t="str">
        <f t="shared" si="2"/>
        <v>Und.</v>
      </c>
      <c r="F27" s="405"/>
      <c r="G27" s="310">
        <f t="shared" si="3"/>
        <v>32341</v>
      </c>
      <c r="H27" s="311">
        <f t="shared" si="4"/>
        <v>0</v>
      </c>
    </row>
    <row r="28" spans="1:8">
      <c r="A28" s="534" t="s">
        <v>1500</v>
      </c>
      <c r="B28" s="305" t="str">
        <f t="shared" si="1"/>
        <v xml:space="preserve">Codo PVC Gran Radio  de 10 x 11,25 </v>
      </c>
      <c r="C28" s="305"/>
      <c r="D28" s="306"/>
      <c r="E28" s="276" t="str">
        <f t="shared" si="2"/>
        <v>Und.</v>
      </c>
      <c r="F28" s="405"/>
      <c r="G28" s="310">
        <f t="shared" si="3"/>
        <v>0</v>
      </c>
      <c r="H28" s="311">
        <f t="shared" si="4"/>
        <v>0</v>
      </c>
    </row>
    <row r="29" spans="1:8">
      <c r="A29" s="534" t="s">
        <v>1635</v>
      </c>
      <c r="B29" s="305" t="str">
        <f t="shared" si="1"/>
        <v xml:space="preserve">Codo PVC Gran Radio  de 12 x 45 </v>
      </c>
      <c r="C29" s="305"/>
      <c r="D29" s="306"/>
      <c r="E29" s="276" t="str">
        <f t="shared" si="2"/>
        <v>Und.</v>
      </c>
      <c r="F29" s="405"/>
      <c r="G29" s="310">
        <f t="shared" si="3"/>
        <v>0</v>
      </c>
      <c r="H29" s="311">
        <f t="shared" si="4"/>
        <v>0</v>
      </c>
    </row>
    <row r="30" spans="1:8">
      <c r="A30" s="534"/>
      <c r="B30" s="305" t="str">
        <f t="shared" ref="B30:B36" si="5">IF(A30="","",VLOOKUP(A30,MAT,2,FALSE))</f>
        <v/>
      </c>
      <c r="C30" s="305"/>
      <c r="D30" s="306"/>
      <c r="E30" s="276" t="str">
        <f t="shared" ref="E30:E36" si="6">IF(A30="","",VLOOKUP(A30,MAT,3,FALSE))</f>
        <v/>
      </c>
      <c r="F30" s="405"/>
      <c r="G30" s="310" t="str">
        <f t="shared" ref="G30:G36" si="7">IF(A30="","",VLOOKUP(A30,MAT,5,FALSE))</f>
        <v/>
      </c>
      <c r="H30" s="311" t="str">
        <f t="shared" ref="H30:H36" si="8">IF(A30="","",ROUND((G30*F30),0))</f>
        <v/>
      </c>
    </row>
    <row r="31" spans="1:8">
      <c r="A31" s="534"/>
      <c r="B31" s="305" t="str">
        <f t="shared" si="5"/>
        <v/>
      </c>
      <c r="C31" s="305"/>
      <c r="D31" s="306"/>
      <c r="E31" s="276" t="str">
        <f t="shared" si="6"/>
        <v/>
      </c>
      <c r="F31" s="405"/>
      <c r="G31" s="310" t="str">
        <f t="shared" si="7"/>
        <v/>
      </c>
      <c r="H31" s="311" t="str">
        <f t="shared" si="8"/>
        <v/>
      </c>
    </row>
    <row r="32" spans="1:8">
      <c r="A32" s="534"/>
      <c r="B32" s="305" t="str">
        <f t="shared" si="5"/>
        <v/>
      </c>
      <c r="C32" s="305"/>
      <c r="D32" s="306"/>
      <c r="E32" s="276" t="str">
        <f t="shared" si="6"/>
        <v/>
      </c>
      <c r="F32" s="405"/>
      <c r="G32" s="310" t="str">
        <f t="shared" si="7"/>
        <v/>
      </c>
      <c r="H32" s="311" t="str">
        <f t="shared" si="8"/>
        <v/>
      </c>
    </row>
    <row r="33" spans="1:8">
      <c r="A33" s="534"/>
      <c r="B33" s="305" t="str">
        <f t="shared" si="5"/>
        <v/>
      </c>
      <c r="C33" s="305"/>
      <c r="D33" s="306"/>
      <c r="E33" s="276" t="str">
        <f t="shared" si="6"/>
        <v/>
      </c>
      <c r="F33" s="405"/>
      <c r="G33" s="310" t="str">
        <f t="shared" si="7"/>
        <v/>
      </c>
      <c r="H33" s="311" t="str">
        <f t="shared" si="8"/>
        <v/>
      </c>
    </row>
    <row r="34" spans="1:8">
      <c r="A34" s="534"/>
      <c r="B34" s="305" t="str">
        <f t="shared" si="5"/>
        <v/>
      </c>
      <c r="C34" s="305"/>
      <c r="D34" s="306"/>
      <c r="E34" s="276" t="str">
        <f t="shared" si="6"/>
        <v/>
      </c>
      <c r="F34" s="405"/>
      <c r="G34" s="310" t="str">
        <f t="shared" si="7"/>
        <v/>
      </c>
      <c r="H34" s="311" t="str">
        <f t="shared" si="8"/>
        <v/>
      </c>
    </row>
    <row r="35" spans="1:8">
      <c r="A35" s="534"/>
      <c r="B35" s="305" t="str">
        <f t="shared" si="5"/>
        <v/>
      </c>
      <c r="C35" s="305"/>
      <c r="D35" s="306"/>
      <c r="E35" s="276" t="str">
        <f t="shared" si="6"/>
        <v/>
      </c>
      <c r="F35" s="405"/>
      <c r="G35" s="310" t="str">
        <f t="shared" si="7"/>
        <v/>
      </c>
      <c r="H35" s="311" t="str">
        <f t="shared" si="8"/>
        <v/>
      </c>
    </row>
    <row r="36" spans="1:8" ht="13.5" thickBot="1">
      <c r="A36" s="535"/>
      <c r="B36" s="326" t="str">
        <f t="shared" si="5"/>
        <v/>
      </c>
      <c r="C36" s="314"/>
      <c r="D36" s="314"/>
      <c r="E36" s="315" t="str">
        <f t="shared" si="6"/>
        <v/>
      </c>
      <c r="F36" s="406"/>
      <c r="G36" s="327" t="str">
        <f t="shared" si="7"/>
        <v/>
      </c>
      <c r="H36" s="311" t="str">
        <f t="shared" si="8"/>
        <v/>
      </c>
    </row>
    <row r="37" spans="1:8" ht="13.5" thickBot="1">
      <c r="A37" s="285"/>
      <c r="B37" s="285"/>
      <c r="C37" s="285"/>
      <c r="D37" s="285"/>
      <c r="E37" s="286"/>
      <c r="F37" s="285"/>
      <c r="G37" s="210" t="s">
        <v>529</v>
      </c>
      <c r="H37" s="328">
        <f>ROUND(SUM(H23:H36),0)</f>
        <v>433193</v>
      </c>
    </row>
    <row r="38" spans="1:8">
      <c r="A38" s="285"/>
      <c r="B38" s="285"/>
      <c r="C38" s="285"/>
      <c r="D38" s="285"/>
      <c r="E38" s="286"/>
      <c r="F38" s="285"/>
      <c r="G38" s="286"/>
      <c r="H38" s="329"/>
    </row>
    <row r="39" spans="1:8" ht="13.5" thickBot="1">
      <c r="A39" s="295" t="s">
        <v>531</v>
      </c>
      <c r="B39" s="285"/>
      <c r="C39" s="285"/>
      <c r="D39" s="285"/>
      <c r="E39" s="286"/>
      <c r="F39" s="285"/>
      <c r="G39" s="286"/>
      <c r="H39" s="330"/>
    </row>
    <row r="40" spans="1:8" ht="13.5" thickBot="1">
      <c r="A40" s="297" t="s">
        <v>527</v>
      </c>
      <c r="B40" s="2187" t="s">
        <v>532</v>
      </c>
      <c r="C40" s="2188"/>
      <c r="D40" s="331" t="s">
        <v>821</v>
      </c>
      <c r="E40" s="331" t="s">
        <v>820</v>
      </c>
      <c r="F40" s="331" t="s">
        <v>823</v>
      </c>
      <c r="G40" s="331" t="s">
        <v>822</v>
      </c>
      <c r="H40" s="416" t="s">
        <v>831</v>
      </c>
    </row>
    <row r="41" spans="1:8">
      <c r="A41" s="546" t="s">
        <v>561</v>
      </c>
      <c r="B41" s="305" t="str">
        <f>IF(A41="","",VLOOKUP(A41,MAT,2,FALSE))</f>
        <v>Arena triturada de planta, pasante 3/8"</v>
      </c>
      <c r="C41" s="333"/>
      <c r="D41" s="409" t="str">
        <f>IF(A41="","",VLOOKUP(A41,MAT,3,FALSE))</f>
        <v>m3</v>
      </c>
      <c r="E41" s="419">
        <f>IF(A41="","",VLOOKUP(A41,MAT,6,FALSE))</f>
        <v>60.5</v>
      </c>
      <c r="F41" s="413">
        <f>IF(A41="","",VLOOKUP(A41,$A$23:$H$36,6,FALSE))</f>
        <v>0.56000000000000005</v>
      </c>
      <c r="G41" s="334">
        <f>IF(A41="","",VLOOKUP(A41,MAT,7,FALSE))</f>
        <v>1500</v>
      </c>
      <c r="H41" s="311">
        <f>IF(A41="","",ROUND((G41*F41*E41),0))</f>
        <v>50820</v>
      </c>
    </row>
    <row r="42" spans="1:8">
      <c r="A42" s="532" t="s">
        <v>1629</v>
      </c>
      <c r="B42" s="305" t="str">
        <f>IF(A42="","",VLOOKUP(A42,MAT,2,FALSE))</f>
        <v>Gravilla triturada de Ø1/2".</v>
      </c>
      <c r="C42" s="530"/>
      <c r="D42" s="409" t="str">
        <f>IF(A42="","",VLOOKUP(A42,MAT,3,FALSE))</f>
        <v>m3</v>
      </c>
      <c r="E42" s="419">
        <f>IF(A42="","",VLOOKUP(A42,MAT,6,FALSE))</f>
        <v>60.5</v>
      </c>
      <c r="F42" s="413">
        <f>IF(A42="","",VLOOKUP(A42,$A$23:$H$36,6,FALSE))</f>
        <v>0.84</v>
      </c>
      <c r="G42" s="334">
        <f>IF(A42="","",VLOOKUP(A42,MAT,7,FALSE))</f>
        <v>1500</v>
      </c>
      <c r="H42" s="311">
        <f>IF(A42="","",ROUND((G42*F42*E42),0))</f>
        <v>76230</v>
      </c>
    </row>
    <row r="43" spans="1:8">
      <c r="A43" s="532"/>
      <c r="B43" s="305" t="str">
        <f>IF(A43="","",VLOOKUP(A43,MAT,2,FALSE))</f>
        <v/>
      </c>
      <c r="C43" s="530"/>
      <c r="D43" s="409" t="str">
        <f>IF(A43="","",VLOOKUP(A43,MAT,3,FALSE))</f>
        <v/>
      </c>
      <c r="E43" s="419" t="str">
        <f>IF(A43="","",VLOOKUP(A43,MAT,6,FALSE))</f>
        <v/>
      </c>
      <c r="F43" s="413" t="str">
        <f>IF(A43="","",VLOOKUP(A43,$A$23:$H$36,6,FALSE))</f>
        <v/>
      </c>
      <c r="G43" s="334" t="str">
        <f>IF(A43="","",VLOOKUP(A43,MAT,7,FALSE))</f>
        <v/>
      </c>
      <c r="H43" s="311" t="str">
        <f>IF(A43="","",ROUND((G43*F43*E43),0))</f>
        <v/>
      </c>
    </row>
    <row r="44" spans="1:8">
      <c r="A44" s="547"/>
      <c r="B44" s="305" t="str">
        <f>IF(A44="","",VLOOKUP(A44,MAT,2,FALSE))</f>
        <v/>
      </c>
      <c r="D44" s="410" t="str">
        <f>IF(A44="","",VLOOKUP(A44,MAT,3,FALSE))</f>
        <v/>
      </c>
      <c r="E44" s="419" t="str">
        <f>IF(A44="","",VLOOKUP(A44,MAT,6,FALSE))</f>
        <v/>
      </c>
      <c r="F44" s="413" t="str">
        <f>IF(A44="","",VLOOKUP(A44,$A$23:$H$36,6,FALSE))</f>
        <v/>
      </c>
      <c r="G44" s="336" t="str">
        <f>IF(A44="","",VLOOKUP(A44,MAT,7,FALSE))</f>
        <v/>
      </c>
      <c r="H44" s="311" t="str">
        <f>IF(A44="","",ROUND((G44*F44*E44),0))</f>
        <v/>
      </c>
    </row>
    <row r="45" spans="1:8" ht="13.5" thickBot="1">
      <c r="A45" s="548"/>
      <c r="B45" s="338" t="str">
        <f>IF(A45="","",VLOOKUP(A45,MAT,2,FALSE))</f>
        <v/>
      </c>
      <c r="C45" s="338"/>
      <c r="D45" s="411" t="str">
        <f>IF(A45="","",VLOOKUP(A45,MAT,3,FALSE))</f>
        <v/>
      </c>
      <c r="E45" s="412" t="str">
        <f>IF(A45="","",VLOOKUP(A45,MAT,6,FALSE))</f>
        <v/>
      </c>
      <c r="F45" s="418" t="str">
        <f>IF(A45="","",VLOOKUP(A45,$A$23:$H$36,6,FALSE))</f>
        <v/>
      </c>
      <c r="G45" s="339" t="str">
        <f>IF(A45="","",VLOOKUP(A45,MAT,7,FALSE))</f>
        <v/>
      </c>
      <c r="H45" s="417" t="str">
        <f>IF(A45="","",ROUND((G45*F45*E45),0))</f>
        <v/>
      </c>
    </row>
    <row r="46" spans="1:8" ht="13.5" thickBot="1">
      <c r="E46" s="340"/>
      <c r="F46" s="341"/>
      <c r="G46" s="414" t="s">
        <v>529</v>
      </c>
      <c r="H46" s="415">
        <f>ROUND(SUM(H41:H45),0)</f>
        <v>127050</v>
      </c>
    </row>
    <row r="47" spans="1:8">
      <c r="E47" s="340"/>
      <c r="F47" s="341"/>
      <c r="G47" s="286"/>
      <c r="H47" s="343"/>
    </row>
    <row r="48" spans="1:8" ht="13.5" thickBot="1">
      <c r="A48" s="295" t="s">
        <v>534</v>
      </c>
      <c r="B48" s="295"/>
      <c r="C48" s="295"/>
      <c r="D48" s="285"/>
      <c r="E48" s="286"/>
      <c r="F48" s="285"/>
      <c r="G48" s="285"/>
      <c r="H48" s="314"/>
    </row>
    <row r="49" spans="1:8" ht="13.5" thickBot="1">
      <c r="A49" s="297" t="s">
        <v>527</v>
      </c>
      <c r="B49" s="2189" t="s">
        <v>514</v>
      </c>
      <c r="C49" s="2190"/>
      <c r="D49" s="2191"/>
      <c r="E49" s="277" t="s">
        <v>515</v>
      </c>
      <c r="F49" s="277" t="s">
        <v>535</v>
      </c>
      <c r="G49" s="531" t="s">
        <v>944</v>
      </c>
      <c r="H49" s="416" t="s">
        <v>831</v>
      </c>
    </row>
    <row r="50" spans="1:8">
      <c r="A50" s="555" t="s">
        <v>932</v>
      </c>
      <c r="B50" s="2192" t="str">
        <f>IF(A50="","",VLOOKUP(A50,MO,2,FALSE))</f>
        <v>Cuadrilla LL: Mezclas. (1 Of. + 3 Ayud.).</v>
      </c>
      <c r="C50" s="2193"/>
      <c r="D50" s="2194"/>
      <c r="E50" s="538" t="str">
        <f>IF(A50="","",VLOOKUP(A50,MO,13,FALSE))</f>
        <v>HC</v>
      </c>
      <c r="F50" s="544">
        <v>0.85</v>
      </c>
      <c r="G50" s="540">
        <f>IF(A50="","",VLOOKUP(A50,MO,15,FALSE))</f>
        <v>80517</v>
      </c>
      <c r="H50" s="542">
        <f>IF(A50="","",ROUND((G50/F50),0))</f>
        <v>94726</v>
      </c>
    </row>
    <row r="51" spans="1:8">
      <c r="A51" s="555"/>
      <c r="B51" s="2179" t="str">
        <f>IF(A51="","",VLOOKUP(A51,MO,2,FALSE))</f>
        <v/>
      </c>
      <c r="C51" s="2180"/>
      <c r="D51" s="2181"/>
      <c r="E51" s="538" t="str">
        <f>IF(A51="","",VLOOKUP(A51,MO,13,FALSE))</f>
        <v/>
      </c>
      <c r="F51" s="544"/>
      <c r="G51" s="540" t="str">
        <f>IF(A51="","",VLOOKUP(A51,MO,15,FALSE))</f>
        <v/>
      </c>
      <c r="H51" s="542" t="str">
        <f>IF(A51="","",ROUND((G51/F51),0))</f>
        <v/>
      </c>
    </row>
    <row r="52" spans="1:8">
      <c r="A52" s="555"/>
      <c r="B52" s="2179" t="str">
        <f>IF(A52="","",VLOOKUP(A52,MO,2,FALSE))</f>
        <v/>
      </c>
      <c r="C52" s="2180"/>
      <c r="D52" s="2181"/>
      <c r="E52" s="538" t="str">
        <f>IF(A52="","",VLOOKUP(A52,MO,13,FALSE))</f>
        <v/>
      </c>
      <c r="F52" s="544"/>
      <c r="G52" s="541" t="str">
        <f>IF(A52="","",VLOOKUP(A52,MO,15,FALSE))</f>
        <v/>
      </c>
      <c r="H52" s="542" t="str">
        <f>IF(A52="","",ROUND((G52/F52),0))</f>
        <v/>
      </c>
    </row>
    <row r="53" spans="1:8" ht="13.5" thickBot="1">
      <c r="A53" s="556"/>
      <c r="B53" s="2182" t="str">
        <f>IF(A53="","",VLOOKUP(A53,MO,2,FALSE))</f>
        <v/>
      </c>
      <c r="C53" s="2183"/>
      <c r="D53" s="2184"/>
      <c r="E53" s="539" t="str">
        <f>IF(A53="","",VLOOKUP(A53,MO,13,FALSE))</f>
        <v/>
      </c>
      <c r="F53" s="545"/>
      <c r="G53" s="377" t="str">
        <f>IF(A53="","",VLOOKUP(A53,MO,15,FALSE))</f>
        <v/>
      </c>
      <c r="H53" s="543" t="str">
        <f>IF(A53="","",ROUND((G53/F53),0))</f>
        <v/>
      </c>
    </row>
    <row r="54" spans="1:8" ht="13.5" thickBot="1">
      <c r="A54" s="285"/>
      <c r="B54" s="285"/>
      <c r="C54" s="285"/>
      <c r="D54" s="285"/>
      <c r="E54" s="286"/>
      <c r="F54" s="285"/>
      <c r="G54" s="317" t="s">
        <v>529</v>
      </c>
      <c r="H54" s="342">
        <f>ROUND(SUM(H50:H53),0)</f>
        <v>94726</v>
      </c>
    </row>
    <row r="55" spans="1:8" ht="13.5" thickBot="1">
      <c r="A55" s="285"/>
      <c r="B55" s="285"/>
      <c r="C55" s="285"/>
      <c r="D55" s="285"/>
      <c r="E55" s="286"/>
      <c r="F55" s="285"/>
      <c r="G55" s="285"/>
      <c r="H55" s="285"/>
    </row>
    <row r="56" spans="1:8" ht="13.5" thickBot="1">
      <c r="A56" s="285"/>
      <c r="B56" s="285"/>
      <c r="C56" s="285"/>
      <c r="D56" s="285"/>
      <c r="E56" s="346" t="s">
        <v>536</v>
      </c>
      <c r="F56" s="347"/>
      <c r="G56" s="347"/>
      <c r="H56" s="348">
        <f>+ROUND(H19+H37+H46+H54,0)</f>
        <v>675109</v>
      </c>
    </row>
    <row r="57" spans="1:8">
      <c r="A57" s="285"/>
      <c r="B57" s="285"/>
      <c r="C57" s="285"/>
      <c r="D57" s="285"/>
      <c r="E57" s="346"/>
      <c r="F57" s="347"/>
      <c r="G57" s="347"/>
      <c r="H57" s="349"/>
    </row>
    <row r="58" spans="1:8">
      <c r="A58" s="285"/>
      <c r="B58" s="285"/>
      <c r="C58" s="285"/>
      <c r="D58" s="285"/>
      <c r="E58" s="346"/>
      <c r="F58" s="347"/>
      <c r="G58" s="347"/>
      <c r="H58" s="349"/>
    </row>
    <row r="59" spans="1:8">
      <c r="A59" s="285"/>
      <c r="B59" s="285"/>
      <c r="C59" s="285"/>
      <c r="D59" s="285"/>
      <c r="E59" s="346"/>
      <c r="F59" s="347"/>
      <c r="G59" s="347"/>
      <c r="H59" s="349"/>
    </row>
    <row r="60" spans="1:8">
      <c r="A60" s="285"/>
      <c r="B60" s="285"/>
      <c r="C60" s="285"/>
      <c r="D60" s="285"/>
      <c r="E60" s="346"/>
      <c r="F60" s="347"/>
      <c r="G60" s="347"/>
      <c r="H60" s="349"/>
    </row>
    <row r="61" spans="1:8">
      <c r="A61" s="285"/>
      <c r="B61" s="285"/>
      <c r="C61" s="285"/>
      <c r="D61" s="285"/>
      <c r="E61" s="346"/>
      <c r="F61" s="347"/>
      <c r="G61" s="347"/>
      <c r="H61" s="349"/>
    </row>
    <row r="63" spans="1:8">
      <c r="A63" s="247" t="str">
        <f>+PRESUPUESTO!$A$100</f>
        <v>______________________________________________</v>
      </c>
    </row>
    <row r="64" spans="1:8">
      <c r="A64" s="350" t="str">
        <f>+PRESUPUESTO!$A$101</f>
        <v>Ing. JHON FREDY GARCIA MENDEZ</v>
      </c>
    </row>
    <row r="65" spans="1:1">
      <c r="A65" s="351" t="str">
        <f>+PRESUPUESTO!$A$103</f>
        <v>M.P.  70268-326294 TLM.</v>
      </c>
    </row>
    <row r="66" spans="1:1">
      <c r="A66" s="351" t="str">
        <f>+PRESUPUESTO!$A$104</f>
        <v>CONSULTOR</v>
      </c>
    </row>
  </sheetData>
  <mergeCells count="15">
    <mergeCell ref="D2:E4"/>
    <mergeCell ref="F2:H2"/>
    <mergeCell ref="F3:H3"/>
    <mergeCell ref="F4:H4"/>
    <mergeCell ref="A5:E5"/>
    <mergeCell ref="F5:H5"/>
    <mergeCell ref="B51:D51"/>
    <mergeCell ref="B52:D52"/>
    <mergeCell ref="B53:D53"/>
    <mergeCell ref="B6:D6"/>
    <mergeCell ref="B7:E7"/>
    <mergeCell ref="B8:E8"/>
    <mergeCell ref="B40:C40"/>
    <mergeCell ref="B49:D49"/>
    <mergeCell ref="B50:D50"/>
  </mergeCells>
  <pageMargins left="0.75" right="0.75" top="1" bottom="1" header="0" footer="0"/>
  <pageSetup paperSize="9" scale="73" orientation="portrait" horizontalDpi="300" verticalDpi="300" r:id="rId1"/>
  <headerFooter alignWithMargins="0"/>
  <drawing r:id="rId2"/>
  <legacyDrawing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Hoja87">
    <tabColor theme="8" tint="0.79998168889431442"/>
  </sheetPr>
  <dimension ref="A1:I62"/>
  <sheetViews>
    <sheetView view="pageBreakPreview" topLeftCell="A23" zoomScale="98" zoomScaleNormal="85" zoomScaleSheetLayoutView="98" workbookViewId="0">
      <selection activeCell="F47" sqref="F47"/>
    </sheetView>
  </sheetViews>
  <sheetFormatPr baseColWidth="10" defaultColWidth="11.42578125" defaultRowHeight="12.75"/>
  <cols>
    <col min="1" max="1" width="9.140625" style="703" customWidth="1"/>
    <col min="2" max="2" width="12.28515625" style="703" bestFit="1" customWidth="1"/>
    <col min="3" max="3" width="25.85546875" style="703" customWidth="1"/>
    <col min="4" max="4" width="21" style="703" customWidth="1"/>
    <col min="5" max="5" width="13" style="703" customWidth="1"/>
    <col min="6" max="6" width="11.7109375" style="703" bestFit="1" customWidth="1"/>
    <col min="7" max="7" width="15.7109375" style="703" customWidth="1"/>
    <col min="8" max="8" width="14.28515625" style="703" customWidth="1"/>
    <col min="9" max="256" width="11.42578125" style="703"/>
    <col min="257" max="257" width="9.140625" style="703" customWidth="1"/>
    <col min="258" max="258" width="12.28515625" style="703" bestFit="1" customWidth="1"/>
    <col min="259" max="259" width="25.85546875" style="703" customWidth="1"/>
    <col min="260" max="260" width="21" style="703" customWidth="1"/>
    <col min="261" max="261" width="13" style="703" customWidth="1"/>
    <col min="262" max="262" width="11.7109375" style="703" bestFit="1" customWidth="1"/>
    <col min="263" max="263" width="14" style="703" customWidth="1"/>
    <col min="264" max="264" width="12.7109375" style="703" customWidth="1"/>
    <col min="265" max="512" width="11.42578125" style="703"/>
    <col min="513" max="513" width="9.140625" style="703" customWidth="1"/>
    <col min="514" max="514" width="12.28515625" style="703" bestFit="1" customWidth="1"/>
    <col min="515" max="515" width="25.85546875" style="703" customWidth="1"/>
    <col min="516" max="516" width="21" style="703" customWidth="1"/>
    <col min="517" max="517" width="13" style="703" customWidth="1"/>
    <col min="518" max="518" width="11.7109375" style="703" bestFit="1" customWidth="1"/>
    <col min="519" max="519" width="14" style="703" customWidth="1"/>
    <col min="520" max="520" width="12.7109375" style="703" customWidth="1"/>
    <col min="521" max="768" width="11.42578125" style="703"/>
    <col min="769" max="769" width="9.140625" style="703" customWidth="1"/>
    <col min="770" max="770" width="12.28515625" style="703" bestFit="1" customWidth="1"/>
    <col min="771" max="771" width="25.85546875" style="703" customWidth="1"/>
    <col min="772" max="772" width="21" style="703" customWidth="1"/>
    <col min="773" max="773" width="13" style="703" customWidth="1"/>
    <col min="774" max="774" width="11.7109375" style="703" bestFit="1" customWidth="1"/>
    <col min="775" max="775" width="14" style="703" customWidth="1"/>
    <col min="776" max="776" width="12.7109375" style="703" customWidth="1"/>
    <col min="777" max="1024" width="11.42578125" style="703"/>
    <col min="1025" max="1025" width="9.140625" style="703" customWidth="1"/>
    <col min="1026" max="1026" width="12.28515625" style="703" bestFit="1" customWidth="1"/>
    <col min="1027" max="1027" width="25.85546875" style="703" customWidth="1"/>
    <col min="1028" max="1028" width="21" style="703" customWidth="1"/>
    <col min="1029" max="1029" width="13" style="703" customWidth="1"/>
    <col min="1030" max="1030" width="11.7109375" style="703" bestFit="1" customWidth="1"/>
    <col min="1031" max="1031" width="14" style="703" customWidth="1"/>
    <col min="1032" max="1032" width="12.7109375" style="703" customWidth="1"/>
    <col min="1033" max="1280" width="11.42578125" style="703"/>
    <col min="1281" max="1281" width="9.140625" style="703" customWidth="1"/>
    <col min="1282" max="1282" width="12.28515625" style="703" bestFit="1" customWidth="1"/>
    <col min="1283" max="1283" width="25.85546875" style="703" customWidth="1"/>
    <col min="1284" max="1284" width="21" style="703" customWidth="1"/>
    <col min="1285" max="1285" width="13" style="703" customWidth="1"/>
    <col min="1286" max="1286" width="11.7109375" style="703" bestFit="1" customWidth="1"/>
    <col min="1287" max="1287" width="14" style="703" customWidth="1"/>
    <col min="1288" max="1288" width="12.7109375" style="703" customWidth="1"/>
    <col min="1289" max="1536" width="11.42578125" style="703"/>
    <col min="1537" max="1537" width="9.140625" style="703" customWidth="1"/>
    <col min="1538" max="1538" width="12.28515625" style="703" bestFit="1" customWidth="1"/>
    <col min="1539" max="1539" width="25.85546875" style="703" customWidth="1"/>
    <col min="1540" max="1540" width="21" style="703" customWidth="1"/>
    <col min="1541" max="1541" width="13" style="703" customWidth="1"/>
    <col min="1542" max="1542" width="11.7109375" style="703" bestFit="1" customWidth="1"/>
    <col min="1543" max="1543" width="14" style="703" customWidth="1"/>
    <col min="1544" max="1544" width="12.7109375" style="703" customWidth="1"/>
    <col min="1545" max="1792" width="11.42578125" style="703"/>
    <col min="1793" max="1793" width="9.140625" style="703" customWidth="1"/>
    <col min="1794" max="1794" width="12.28515625" style="703" bestFit="1" customWidth="1"/>
    <col min="1795" max="1795" width="25.85546875" style="703" customWidth="1"/>
    <col min="1796" max="1796" width="21" style="703" customWidth="1"/>
    <col min="1797" max="1797" width="13" style="703" customWidth="1"/>
    <col min="1798" max="1798" width="11.7109375" style="703" bestFit="1" customWidth="1"/>
    <col min="1799" max="1799" width="14" style="703" customWidth="1"/>
    <col min="1800" max="1800" width="12.7109375" style="703" customWidth="1"/>
    <col min="1801" max="2048" width="11.42578125" style="703"/>
    <col min="2049" max="2049" width="9.140625" style="703" customWidth="1"/>
    <col min="2050" max="2050" width="12.28515625" style="703" bestFit="1" customWidth="1"/>
    <col min="2051" max="2051" width="25.85546875" style="703" customWidth="1"/>
    <col min="2052" max="2052" width="21" style="703" customWidth="1"/>
    <col min="2053" max="2053" width="13" style="703" customWidth="1"/>
    <col min="2054" max="2054" width="11.7109375" style="703" bestFit="1" customWidth="1"/>
    <col min="2055" max="2055" width="14" style="703" customWidth="1"/>
    <col min="2056" max="2056" width="12.7109375" style="703" customWidth="1"/>
    <col min="2057" max="2304" width="11.42578125" style="703"/>
    <col min="2305" max="2305" width="9.140625" style="703" customWidth="1"/>
    <col min="2306" max="2306" width="12.28515625" style="703" bestFit="1" customWidth="1"/>
    <col min="2307" max="2307" width="25.85546875" style="703" customWidth="1"/>
    <col min="2308" max="2308" width="21" style="703" customWidth="1"/>
    <col min="2309" max="2309" width="13" style="703" customWidth="1"/>
    <col min="2310" max="2310" width="11.7109375" style="703" bestFit="1" customWidth="1"/>
    <col min="2311" max="2311" width="14" style="703" customWidth="1"/>
    <col min="2312" max="2312" width="12.7109375" style="703" customWidth="1"/>
    <col min="2313" max="2560" width="11.42578125" style="703"/>
    <col min="2561" max="2561" width="9.140625" style="703" customWidth="1"/>
    <col min="2562" max="2562" width="12.28515625" style="703" bestFit="1" customWidth="1"/>
    <col min="2563" max="2563" width="25.85546875" style="703" customWidth="1"/>
    <col min="2564" max="2564" width="21" style="703" customWidth="1"/>
    <col min="2565" max="2565" width="13" style="703" customWidth="1"/>
    <col min="2566" max="2566" width="11.7109375" style="703" bestFit="1" customWidth="1"/>
    <col min="2567" max="2567" width="14" style="703" customWidth="1"/>
    <col min="2568" max="2568" width="12.7109375" style="703" customWidth="1"/>
    <col min="2569" max="2816" width="11.42578125" style="703"/>
    <col min="2817" max="2817" width="9.140625" style="703" customWidth="1"/>
    <col min="2818" max="2818" width="12.28515625" style="703" bestFit="1" customWidth="1"/>
    <col min="2819" max="2819" width="25.85546875" style="703" customWidth="1"/>
    <col min="2820" max="2820" width="21" style="703" customWidth="1"/>
    <col min="2821" max="2821" width="13" style="703" customWidth="1"/>
    <col min="2822" max="2822" width="11.7109375" style="703" bestFit="1" customWidth="1"/>
    <col min="2823" max="2823" width="14" style="703" customWidth="1"/>
    <col min="2824" max="2824" width="12.7109375" style="703" customWidth="1"/>
    <col min="2825" max="3072" width="11.42578125" style="703"/>
    <col min="3073" max="3073" width="9.140625" style="703" customWidth="1"/>
    <col min="3074" max="3074" width="12.28515625" style="703" bestFit="1" customWidth="1"/>
    <col min="3075" max="3075" width="25.85546875" style="703" customWidth="1"/>
    <col min="3076" max="3076" width="21" style="703" customWidth="1"/>
    <col min="3077" max="3077" width="13" style="703" customWidth="1"/>
    <col min="3078" max="3078" width="11.7109375" style="703" bestFit="1" customWidth="1"/>
    <col min="3079" max="3079" width="14" style="703" customWidth="1"/>
    <col min="3080" max="3080" width="12.7109375" style="703" customWidth="1"/>
    <col min="3081" max="3328" width="11.42578125" style="703"/>
    <col min="3329" max="3329" width="9.140625" style="703" customWidth="1"/>
    <col min="3330" max="3330" width="12.28515625" style="703" bestFit="1" customWidth="1"/>
    <col min="3331" max="3331" width="25.85546875" style="703" customWidth="1"/>
    <col min="3332" max="3332" width="21" style="703" customWidth="1"/>
    <col min="3333" max="3333" width="13" style="703" customWidth="1"/>
    <col min="3334" max="3334" width="11.7109375" style="703" bestFit="1" customWidth="1"/>
    <col min="3335" max="3335" width="14" style="703" customWidth="1"/>
    <col min="3336" max="3336" width="12.7109375" style="703" customWidth="1"/>
    <col min="3337" max="3584" width="11.42578125" style="703"/>
    <col min="3585" max="3585" width="9.140625" style="703" customWidth="1"/>
    <col min="3586" max="3586" width="12.28515625" style="703" bestFit="1" customWidth="1"/>
    <col min="3587" max="3587" width="25.85546875" style="703" customWidth="1"/>
    <col min="3588" max="3588" width="21" style="703" customWidth="1"/>
    <col min="3589" max="3589" width="13" style="703" customWidth="1"/>
    <col min="3590" max="3590" width="11.7109375" style="703" bestFit="1" customWidth="1"/>
    <col min="3591" max="3591" width="14" style="703" customWidth="1"/>
    <col min="3592" max="3592" width="12.7109375" style="703" customWidth="1"/>
    <col min="3593" max="3840" width="11.42578125" style="703"/>
    <col min="3841" max="3841" width="9.140625" style="703" customWidth="1"/>
    <col min="3842" max="3842" width="12.28515625" style="703" bestFit="1" customWidth="1"/>
    <col min="3843" max="3843" width="25.85546875" style="703" customWidth="1"/>
    <col min="3844" max="3844" width="21" style="703" customWidth="1"/>
    <col min="3845" max="3845" width="13" style="703" customWidth="1"/>
    <col min="3846" max="3846" width="11.7109375" style="703" bestFit="1" customWidth="1"/>
    <col min="3847" max="3847" width="14" style="703" customWidth="1"/>
    <col min="3848" max="3848" width="12.7109375" style="703" customWidth="1"/>
    <col min="3849" max="4096" width="11.42578125" style="703"/>
    <col min="4097" max="4097" width="9.140625" style="703" customWidth="1"/>
    <col min="4098" max="4098" width="12.28515625" style="703" bestFit="1" customWidth="1"/>
    <col min="4099" max="4099" width="25.85546875" style="703" customWidth="1"/>
    <col min="4100" max="4100" width="21" style="703" customWidth="1"/>
    <col min="4101" max="4101" width="13" style="703" customWidth="1"/>
    <col min="4102" max="4102" width="11.7109375" style="703" bestFit="1" customWidth="1"/>
    <col min="4103" max="4103" width="14" style="703" customWidth="1"/>
    <col min="4104" max="4104" width="12.7109375" style="703" customWidth="1"/>
    <col min="4105" max="4352" width="11.42578125" style="703"/>
    <col min="4353" max="4353" width="9.140625" style="703" customWidth="1"/>
    <col min="4354" max="4354" width="12.28515625" style="703" bestFit="1" customWidth="1"/>
    <col min="4355" max="4355" width="25.85546875" style="703" customWidth="1"/>
    <col min="4356" max="4356" width="21" style="703" customWidth="1"/>
    <col min="4357" max="4357" width="13" style="703" customWidth="1"/>
    <col min="4358" max="4358" width="11.7109375" style="703" bestFit="1" customWidth="1"/>
    <col min="4359" max="4359" width="14" style="703" customWidth="1"/>
    <col min="4360" max="4360" width="12.7109375" style="703" customWidth="1"/>
    <col min="4361" max="4608" width="11.42578125" style="703"/>
    <col min="4609" max="4609" width="9.140625" style="703" customWidth="1"/>
    <col min="4610" max="4610" width="12.28515625" style="703" bestFit="1" customWidth="1"/>
    <col min="4611" max="4611" width="25.85546875" style="703" customWidth="1"/>
    <col min="4612" max="4612" width="21" style="703" customWidth="1"/>
    <col min="4613" max="4613" width="13" style="703" customWidth="1"/>
    <col min="4614" max="4614" width="11.7109375" style="703" bestFit="1" customWidth="1"/>
    <col min="4615" max="4615" width="14" style="703" customWidth="1"/>
    <col min="4616" max="4616" width="12.7109375" style="703" customWidth="1"/>
    <col min="4617" max="4864" width="11.42578125" style="703"/>
    <col min="4865" max="4865" width="9.140625" style="703" customWidth="1"/>
    <col min="4866" max="4866" width="12.28515625" style="703" bestFit="1" customWidth="1"/>
    <col min="4867" max="4867" width="25.85546875" style="703" customWidth="1"/>
    <col min="4868" max="4868" width="21" style="703" customWidth="1"/>
    <col min="4869" max="4869" width="13" style="703" customWidth="1"/>
    <col min="4870" max="4870" width="11.7109375" style="703" bestFit="1" customWidth="1"/>
    <col min="4871" max="4871" width="14" style="703" customWidth="1"/>
    <col min="4872" max="4872" width="12.7109375" style="703" customWidth="1"/>
    <col min="4873" max="5120" width="11.42578125" style="703"/>
    <col min="5121" max="5121" width="9.140625" style="703" customWidth="1"/>
    <col min="5122" max="5122" width="12.28515625" style="703" bestFit="1" customWidth="1"/>
    <col min="5123" max="5123" width="25.85546875" style="703" customWidth="1"/>
    <col min="5124" max="5124" width="21" style="703" customWidth="1"/>
    <col min="5125" max="5125" width="13" style="703" customWidth="1"/>
    <col min="5126" max="5126" width="11.7109375" style="703" bestFit="1" customWidth="1"/>
    <col min="5127" max="5127" width="14" style="703" customWidth="1"/>
    <col min="5128" max="5128" width="12.7109375" style="703" customWidth="1"/>
    <col min="5129" max="5376" width="11.42578125" style="703"/>
    <col min="5377" max="5377" width="9.140625" style="703" customWidth="1"/>
    <col min="5378" max="5378" width="12.28515625" style="703" bestFit="1" customWidth="1"/>
    <col min="5379" max="5379" width="25.85546875" style="703" customWidth="1"/>
    <col min="5380" max="5380" width="21" style="703" customWidth="1"/>
    <col min="5381" max="5381" width="13" style="703" customWidth="1"/>
    <col min="5382" max="5382" width="11.7109375" style="703" bestFit="1" customWidth="1"/>
    <col min="5383" max="5383" width="14" style="703" customWidth="1"/>
    <col min="5384" max="5384" width="12.7109375" style="703" customWidth="1"/>
    <col min="5385" max="5632" width="11.42578125" style="703"/>
    <col min="5633" max="5633" width="9.140625" style="703" customWidth="1"/>
    <col min="5634" max="5634" width="12.28515625" style="703" bestFit="1" customWidth="1"/>
    <col min="5635" max="5635" width="25.85546875" style="703" customWidth="1"/>
    <col min="5636" max="5636" width="21" style="703" customWidth="1"/>
    <col min="5637" max="5637" width="13" style="703" customWidth="1"/>
    <col min="5638" max="5638" width="11.7109375" style="703" bestFit="1" customWidth="1"/>
    <col min="5639" max="5639" width="14" style="703" customWidth="1"/>
    <col min="5640" max="5640" width="12.7109375" style="703" customWidth="1"/>
    <col min="5641" max="5888" width="11.42578125" style="703"/>
    <col min="5889" max="5889" width="9.140625" style="703" customWidth="1"/>
    <col min="5890" max="5890" width="12.28515625" style="703" bestFit="1" customWidth="1"/>
    <col min="5891" max="5891" width="25.85546875" style="703" customWidth="1"/>
    <col min="5892" max="5892" width="21" style="703" customWidth="1"/>
    <col min="5893" max="5893" width="13" style="703" customWidth="1"/>
    <col min="5894" max="5894" width="11.7109375" style="703" bestFit="1" customWidth="1"/>
    <col min="5895" max="5895" width="14" style="703" customWidth="1"/>
    <col min="5896" max="5896" width="12.7109375" style="703" customWidth="1"/>
    <col min="5897" max="6144" width="11.42578125" style="703"/>
    <col min="6145" max="6145" width="9.140625" style="703" customWidth="1"/>
    <col min="6146" max="6146" width="12.28515625" style="703" bestFit="1" customWidth="1"/>
    <col min="6147" max="6147" width="25.85546875" style="703" customWidth="1"/>
    <col min="6148" max="6148" width="21" style="703" customWidth="1"/>
    <col min="6149" max="6149" width="13" style="703" customWidth="1"/>
    <col min="6150" max="6150" width="11.7109375" style="703" bestFit="1" customWidth="1"/>
    <col min="6151" max="6151" width="14" style="703" customWidth="1"/>
    <col min="6152" max="6152" width="12.7109375" style="703" customWidth="1"/>
    <col min="6153" max="6400" width="11.42578125" style="703"/>
    <col min="6401" max="6401" width="9.140625" style="703" customWidth="1"/>
    <col min="6402" max="6402" width="12.28515625" style="703" bestFit="1" customWidth="1"/>
    <col min="6403" max="6403" width="25.85546875" style="703" customWidth="1"/>
    <col min="6404" max="6404" width="21" style="703" customWidth="1"/>
    <col min="6405" max="6405" width="13" style="703" customWidth="1"/>
    <col min="6406" max="6406" width="11.7109375" style="703" bestFit="1" customWidth="1"/>
    <col min="6407" max="6407" width="14" style="703" customWidth="1"/>
    <col min="6408" max="6408" width="12.7109375" style="703" customWidth="1"/>
    <col min="6409" max="6656" width="11.42578125" style="703"/>
    <col min="6657" max="6657" width="9.140625" style="703" customWidth="1"/>
    <col min="6658" max="6658" width="12.28515625" style="703" bestFit="1" customWidth="1"/>
    <col min="6659" max="6659" width="25.85546875" style="703" customWidth="1"/>
    <col min="6660" max="6660" width="21" style="703" customWidth="1"/>
    <col min="6661" max="6661" width="13" style="703" customWidth="1"/>
    <col min="6662" max="6662" width="11.7109375" style="703" bestFit="1" customWidth="1"/>
    <col min="6663" max="6663" width="14" style="703" customWidth="1"/>
    <col min="6664" max="6664" width="12.7109375" style="703" customWidth="1"/>
    <col min="6665" max="6912" width="11.42578125" style="703"/>
    <col min="6913" max="6913" width="9.140625" style="703" customWidth="1"/>
    <col min="6914" max="6914" width="12.28515625" style="703" bestFit="1" customWidth="1"/>
    <col min="6915" max="6915" width="25.85546875" style="703" customWidth="1"/>
    <col min="6916" max="6916" width="21" style="703" customWidth="1"/>
    <col min="6917" max="6917" width="13" style="703" customWidth="1"/>
    <col min="6918" max="6918" width="11.7109375" style="703" bestFit="1" customWidth="1"/>
    <col min="6919" max="6919" width="14" style="703" customWidth="1"/>
    <col min="6920" max="6920" width="12.7109375" style="703" customWidth="1"/>
    <col min="6921" max="7168" width="11.42578125" style="703"/>
    <col min="7169" max="7169" width="9.140625" style="703" customWidth="1"/>
    <col min="7170" max="7170" width="12.28515625" style="703" bestFit="1" customWidth="1"/>
    <col min="7171" max="7171" width="25.85546875" style="703" customWidth="1"/>
    <col min="7172" max="7172" width="21" style="703" customWidth="1"/>
    <col min="7173" max="7173" width="13" style="703" customWidth="1"/>
    <col min="7174" max="7174" width="11.7109375" style="703" bestFit="1" customWidth="1"/>
    <col min="7175" max="7175" width="14" style="703" customWidth="1"/>
    <col min="7176" max="7176" width="12.7109375" style="703" customWidth="1"/>
    <col min="7177" max="7424" width="11.42578125" style="703"/>
    <col min="7425" max="7425" width="9.140625" style="703" customWidth="1"/>
    <col min="7426" max="7426" width="12.28515625" style="703" bestFit="1" customWidth="1"/>
    <col min="7427" max="7427" width="25.85546875" style="703" customWidth="1"/>
    <col min="7428" max="7428" width="21" style="703" customWidth="1"/>
    <col min="7429" max="7429" width="13" style="703" customWidth="1"/>
    <col min="7430" max="7430" width="11.7109375" style="703" bestFit="1" customWidth="1"/>
    <col min="7431" max="7431" width="14" style="703" customWidth="1"/>
    <col min="7432" max="7432" width="12.7109375" style="703" customWidth="1"/>
    <col min="7433" max="7680" width="11.42578125" style="703"/>
    <col min="7681" max="7681" width="9.140625" style="703" customWidth="1"/>
    <col min="7682" max="7682" width="12.28515625" style="703" bestFit="1" customWidth="1"/>
    <col min="7683" max="7683" width="25.85546875" style="703" customWidth="1"/>
    <col min="7684" max="7684" width="21" style="703" customWidth="1"/>
    <col min="7685" max="7685" width="13" style="703" customWidth="1"/>
    <col min="7686" max="7686" width="11.7109375" style="703" bestFit="1" customWidth="1"/>
    <col min="7687" max="7687" width="14" style="703" customWidth="1"/>
    <col min="7688" max="7688" width="12.7109375" style="703" customWidth="1"/>
    <col min="7689" max="7936" width="11.42578125" style="703"/>
    <col min="7937" max="7937" width="9.140625" style="703" customWidth="1"/>
    <col min="7938" max="7938" width="12.28515625" style="703" bestFit="1" customWidth="1"/>
    <col min="7939" max="7939" width="25.85546875" style="703" customWidth="1"/>
    <col min="7940" max="7940" width="21" style="703" customWidth="1"/>
    <col min="7941" max="7941" width="13" style="703" customWidth="1"/>
    <col min="7942" max="7942" width="11.7109375" style="703" bestFit="1" customWidth="1"/>
    <col min="7943" max="7943" width="14" style="703" customWidth="1"/>
    <col min="7944" max="7944" width="12.7109375" style="703" customWidth="1"/>
    <col min="7945" max="8192" width="11.42578125" style="703"/>
    <col min="8193" max="8193" width="9.140625" style="703" customWidth="1"/>
    <col min="8194" max="8194" width="12.28515625" style="703" bestFit="1" customWidth="1"/>
    <col min="8195" max="8195" width="25.85546875" style="703" customWidth="1"/>
    <col min="8196" max="8196" width="21" style="703" customWidth="1"/>
    <col min="8197" max="8197" width="13" style="703" customWidth="1"/>
    <col min="8198" max="8198" width="11.7109375" style="703" bestFit="1" customWidth="1"/>
    <col min="8199" max="8199" width="14" style="703" customWidth="1"/>
    <col min="8200" max="8200" width="12.7109375" style="703" customWidth="1"/>
    <col min="8201" max="8448" width="11.42578125" style="703"/>
    <col min="8449" max="8449" width="9.140625" style="703" customWidth="1"/>
    <col min="8450" max="8450" width="12.28515625" style="703" bestFit="1" customWidth="1"/>
    <col min="8451" max="8451" width="25.85546875" style="703" customWidth="1"/>
    <col min="8452" max="8452" width="21" style="703" customWidth="1"/>
    <col min="8453" max="8453" width="13" style="703" customWidth="1"/>
    <col min="8454" max="8454" width="11.7109375" style="703" bestFit="1" customWidth="1"/>
    <col min="8455" max="8455" width="14" style="703" customWidth="1"/>
    <col min="8456" max="8456" width="12.7109375" style="703" customWidth="1"/>
    <col min="8457" max="8704" width="11.42578125" style="703"/>
    <col min="8705" max="8705" width="9.140625" style="703" customWidth="1"/>
    <col min="8706" max="8706" width="12.28515625" style="703" bestFit="1" customWidth="1"/>
    <col min="8707" max="8707" width="25.85546875" style="703" customWidth="1"/>
    <col min="8708" max="8708" width="21" style="703" customWidth="1"/>
    <col min="8709" max="8709" width="13" style="703" customWidth="1"/>
    <col min="8710" max="8710" width="11.7109375" style="703" bestFit="1" customWidth="1"/>
    <col min="8711" max="8711" width="14" style="703" customWidth="1"/>
    <col min="8712" max="8712" width="12.7109375" style="703" customWidth="1"/>
    <col min="8713" max="8960" width="11.42578125" style="703"/>
    <col min="8961" max="8961" width="9.140625" style="703" customWidth="1"/>
    <col min="8962" max="8962" width="12.28515625" style="703" bestFit="1" customWidth="1"/>
    <col min="8963" max="8963" width="25.85546875" style="703" customWidth="1"/>
    <col min="8964" max="8964" width="21" style="703" customWidth="1"/>
    <col min="8965" max="8965" width="13" style="703" customWidth="1"/>
    <col min="8966" max="8966" width="11.7109375" style="703" bestFit="1" customWidth="1"/>
    <col min="8967" max="8967" width="14" style="703" customWidth="1"/>
    <col min="8968" max="8968" width="12.7109375" style="703" customWidth="1"/>
    <col min="8969" max="9216" width="11.42578125" style="703"/>
    <col min="9217" max="9217" width="9.140625" style="703" customWidth="1"/>
    <col min="9218" max="9218" width="12.28515625" style="703" bestFit="1" customWidth="1"/>
    <col min="9219" max="9219" width="25.85546875" style="703" customWidth="1"/>
    <col min="9220" max="9220" width="21" style="703" customWidth="1"/>
    <col min="9221" max="9221" width="13" style="703" customWidth="1"/>
    <col min="9222" max="9222" width="11.7109375" style="703" bestFit="1" customWidth="1"/>
    <col min="9223" max="9223" width="14" style="703" customWidth="1"/>
    <col min="9224" max="9224" width="12.7109375" style="703" customWidth="1"/>
    <col min="9225" max="9472" width="11.42578125" style="703"/>
    <col min="9473" max="9473" width="9.140625" style="703" customWidth="1"/>
    <col min="9474" max="9474" width="12.28515625" style="703" bestFit="1" customWidth="1"/>
    <col min="9475" max="9475" width="25.85546875" style="703" customWidth="1"/>
    <col min="9476" max="9476" width="21" style="703" customWidth="1"/>
    <col min="9477" max="9477" width="13" style="703" customWidth="1"/>
    <col min="9478" max="9478" width="11.7109375" style="703" bestFit="1" customWidth="1"/>
    <col min="9479" max="9479" width="14" style="703" customWidth="1"/>
    <col min="9480" max="9480" width="12.7109375" style="703" customWidth="1"/>
    <col min="9481" max="9728" width="11.42578125" style="703"/>
    <col min="9729" max="9729" width="9.140625" style="703" customWidth="1"/>
    <col min="9730" max="9730" width="12.28515625" style="703" bestFit="1" customWidth="1"/>
    <col min="9731" max="9731" width="25.85546875" style="703" customWidth="1"/>
    <col min="9732" max="9732" width="21" style="703" customWidth="1"/>
    <col min="9733" max="9733" width="13" style="703" customWidth="1"/>
    <col min="9734" max="9734" width="11.7109375" style="703" bestFit="1" customWidth="1"/>
    <col min="9735" max="9735" width="14" style="703" customWidth="1"/>
    <col min="9736" max="9736" width="12.7109375" style="703" customWidth="1"/>
    <col min="9737" max="9984" width="11.42578125" style="703"/>
    <col min="9985" max="9985" width="9.140625" style="703" customWidth="1"/>
    <col min="9986" max="9986" width="12.28515625" style="703" bestFit="1" customWidth="1"/>
    <col min="9987" max="9987" width="25.85546875" style="703" customWidth="1"/>
    <col min="9988" max="9988" width="21" style="703" customWidth="1"/>
    <col min="9989" max="9989" width="13" style="703" customWidth="1"/>
    <col min="9990" max="9990" width="11.7109375" style="703" bestFit="1" customWidth="1"/>
    <col min="9991" max="9991" width="14" style="703" customWidth="1"/>
    <col min="9992" max="9992" width="12.7109375" style="703" customWidth="1"/>
    <col min="9993" max="10240" width="11.42578125" style="703"/>
    <col min="10241" max="10241" width="9.140625" style="703" customWidth="1"/>
    <col min="10242" max="10242" width="12.28515625" style="703" bestFit="1" customWidth="1"/>
    <col min="10243" max="10243" width="25.85546875" style="703" customWidth="1"/>
    <col min="10244" max="10244" width="21" style="703" customWidth="1"/>
    <col min="10245" max="10245" width="13" style="703" customWidth="1"/>
    <col min="10246" max="10246" width="11.7109375" style="703" bestFit="1" customWidth="1"/>
    <col min="10247" max="10247" width="14" style="703" customWidth="1"/>
    <col min="10248" max="10248" width="12.7109375" style="703" customWidth="1"/>
    <col min="10249" max="10496" width="11.42578125" style="703"/>
    <col min="10497" max="10497" width="9.140625" style="703" customWidth="1"/>
    <col min="10498" max="10498" width="12.28515625" style="703" bestFit="1" customWidth="1"/>
    <col min="10499" max="10499" width="25.85546875" style="703" customWidth="1"/>
    <col min="10500" max="10500" width="21" style="703" customWidth="1"/>
    <col min="10501" max="10501" width="13" style="703" customWidth="1"/>
    <col min="10502" max="10502" width="11.7109375" style="703" bestFit="1" customWidth="1"/>
    <col min="10503" max="10503" width="14" style="703" customWidth="1"/>
    <col min="10504" max="10504" width="12.7109375" style="703" customWidth="1"/>
    <col min="10505" max="10752" width="11.42578125" style="703"/>
    <col min="10753" max="10753" width="9.140625" style="703" customWidth="1"/>
    <col min="10754" max="10754" width="12.28515625" style="703" bestFit="1" customWidth="1"/>
    <col min="10755" max="10755" width="25.85546875" style="703" customWidth="1"/>
    <col min="10756" max="10756" width="21" style="703" customWidth="1"/>
    <col min="10757" max="10757" width="13" style="703" customWidth="1"/>
    <col min="10758" max="10758" width="11.7109375" style="703" bestFit="1" customWidth="1"/>
    <col min="10759" max="10759" width="14" style="703" customWidth="1"/>
    <col min="10760" max="10760" width="12.7109375" style="703" customWidth="1"/>
    <col min="10761" max="11008" width="11.42578125" style="703"/>
    <col min="11009" max="11009" width="9.140625" style="703" customWidth="1"/>
    <col min="11010" max="11010" width="12.28515625" style="703" bestFit="1" customWidth="1"/>
    <col min="11011" max="11011" width="25.85546875" style="703" customWidth="1"/>
    <col min="11012" max="11012" width="21" style="703" customWidth="1"/>
    <col min="11013" max="11013" width="13" style="703" customWidth="1"/>
    <col min="11014" max="11014" width="11.7109375" style="703" bestFit="1" customWidth="1"/>
    <col min="11015" max="11015" width="14" style="703" customWidth="1"/>
    <col min="11016" max="11016" width="12.7109375" style="703" customWidth="1"/>
    <col min="11017" max="11264" width="11.42578125" style="703"/>
    <col min="11265" max="11265" width="9.140625" style="703" customWidth="1"/>
    <col min="11266" max="11266" width="12.28515625" style="703" bestFit="1" customWidth="1"/>
    <col min="11267" max="11267" width="25.85546875" style="703" customWidth="1"/>
    <col min="11268" max="11268" width="21" style="703" customWidth="1"/>
    <col min="11269" max="11269" width="13" style="703" customWidth="1"/>
    <col min="11270" max="11270" width="11.7109375" style="703" bestFit="1" customWidth="1"/>
    <col min="11271" max="11271" width="14" style="703" customWidth="1"/>
    <col min="11272" max="11272" width="12.7109375" style="703" customWidth="1"/>
    <col min="11273" max="11520" width="11.42578125" style="703"/>
    <col min="11521" max="11521" width="9.140625" style="703" customWidth="1"/>
    <col min="11522" max="11522" width="12.28515625" style="703" bestFit="1" customWidth="1"/>
    <col min="11523" max="11523" width="25.85546875" style="703" customWidth="1"/>
    <col min="11524" max="11524" width="21" style="703" customWidth="1"/>
    <col min="11525" max="11525" width="13" style="703" customWidth="1"/>
    <col min="11526" max="11526" width="11.7109375" style="703" bestFit="1" customWidth="1"/>
    <col min="11527" max="11527" width="14" style="703" customWidth="1"/>
    <col min="11528" max="11528" width="12.7109375" style="703" customWidth="1"/>
    <col min="11529" max="11776" width="11.42578125" style="703"/>
    <col min="11777" max="11777" width="9.140625" style="703" customWidth="1"/>
    <col min="11778" max="11778" width="12.28515625" style="703" bestFit="1" customWidth="1"/>
    <col min="11779" max="11779" width="25.85546875" style="703" customWidth="1"/>
    <col min="11780" max="11780" width="21" style="703" customWidth="1"/>
    <col min="11781" max="11781" width="13" style="703" customWidth="1"/>
    <col min="11782" max="11782" width="11.7109375" style="703" bestFit="1" customWidth="1"/>
    <col min="11783" max="11783" width="14" style="703" customWidth="1"/>
    <col min="11784" max="11784" width="12.7109375" style="703" customWidth="1"/>
    <col min="11785" max="12032" width="11.42578125" style="703"/>
    <col min="12033" max="12033" width="9.140625" style="703" customWidth="1"/>
    <col min="12034" max="12034" width="12.28515625" style="703" bestFit="1" customWidth="1"/>
    <col min="12035" max="12035" width="25.85546875" style="703" customWidth="1"/>
    <col min="12036" max="12036" width="21" style="703" customWidth="1"/>
    <col min="12037" max="12037" width="13" style="703" customWidth="1"/>
    <col min="12038" max="12038" width="11.7109375" style="703" bestFit="1" customWidth="1"/>
    <col min="12039" max="12039" width="14" style="703" customWidth="1"/>
    <col min="12040" max="12040" width="12.7109375" style="703" customWidth="1"/>
    <col min="12041" max="12288" width="11.42578125" style="703"/>
    <col min="12289" max="12289" width="9.140625" style="703" customWidth="1"/>
    <col min="12290" max="12290" width="12.28515625" style="703" bestFit="1" customWidth="1"/>
    <col min="12291" max="12291" width="25.85546875" style="703" customWidth="1"/>
    <col min="12292" max="12292" width="21" style="703" customWidth="1"/>
    <col min="12293" max="12293" width="13" style="703" customWidth="1"/>
    <col min="12294" max="12294" width="11.7109375" style="703" bestFit="1" customWidth="1"/>
    <col min="12295" max="12295" width="14" style="703" customWidth="1"/>
    <col min="12296" max="12296" width="12.7109375" style="703" customWidth="1"/>
    <col min="12297" max="12544" width="11.42578125" style="703"/>
    <col min="12545" max="12545" width="9.140625" style="703" customWidth="1"/>
    <col min="12546" max="12546" width="12.28515625" style="703" bestFit="1" customWidth="1"/>
    <col min="12547" max="12547" width="25.85546875" style="703" customWidth="1"/>
    <col min="12548" max="12548" width="21" style="703" customWidth="1"/>
    <col min="12549" max="12549" width="13" style="703" customWidth="1"/>
    <col min="12550" max="12550" width="11.7109375" style="703" bestFit="1" customWidth="1"/>
    <col min="12551" max="12551" width="14" style="703" customWidth="1"/>
    <col min="12552" max="12552" width="12.7109375" style="703" customWidth="1"/>
    <col min="12553" max="12800" width="11.42578125" style="703"/>
    <col min="12801" max="12801" width="9.140625" style="703" customWidth="1"/>
    <col min="12802" max="12802" width="12.28515625" style="703" bestFit="1" customWidth="1"/>
    <col min="12803" max="12803" width="25.85546875" style="703" customWidth="1"/>
    <col min="12804" max="12804" width="21" style="703" customWidth="1"/>
    <col min="12805" max="12805" width="13" style="703" customWidth="1"/>
    <col min="12806" max="12806" width="11.7109375" style="703" bestFit="1" customWidth="1"/>
    <col min="12807" max="12807" width="14" style="703" customWidth="1"/>
    <col min="12808" max="12808" width="12.7109375" style="703" customWidth="1"/>
    <col min="12809" max="13056" width="11.42578125" style="703"/>
    <col min="13057" max="13057" width="9.140625" style="703" customWidth="1"/>
    <col min="13058" max="13058" width="12.28515625" style="703" bestFit="1" customWidth="1"/>
    <col min="13059" max="13059" width="25.85546875" style="703" customWidth="1"/>
    <col min="13060" max="13060" width="21" style="703" customWidth="1"/>
    <col min="13061" max="13061" width="13" style="703" customWidth="1"/>
    <col min="13062" max="13062" width="11.7109375" style="703" bestFit="1" customWidth="1"/>
    <col min="13063" max="13063" width="14" style="703" customWidth="1"/>
    <col min="13064" max="13064" width="12.7109375" style="703" customWidth="1"/>
    <col min="13065" max="13312" width="11.42578125" style="703"/>
    <col min="13313" max="13313" width="9.140625" style="703" customWidth="1"/>
    <col min="13314" max="13314" width="12.28515625" style="703" bestFit="1" customWidth="1"/>
    <col min="13315" max="13315" width="25.85546875" style="703" customWidth="1"/>
    <col min="13316" max="13316" width="21" style="703" customWidth="1"/>
    <col min="13317" max="13317" width="13" style="703" customWidth="1"/>
    <col min="13318" max="13318" width="11.7109375" style="703" bestFit="1" customWidth="1"/>
    <col min="13319" max="13319" width="14" style="703" customWidth="1"/>
    <col min="13320" max="13320" width="12.7109375" style="703" customWidth="1"/>
    <col min="13321" max="13568" width="11.42578125" style="703"/>
    <col min="13569" max="13569" width="9.140625" style="703" customWidth="1"/>
    <col min="13570" max="13570" width="12.28515625" style="703" bestFit="1" customWidth="1"/>
    <col min="13571" max="13571" width="25.85546875" style="703" customWidth="1"/>
    <col min="13572" max="13572" width="21" style="703" customWidth="1"/>
    <col min="13573" max="13573" width="13" style="703" customWidth="1"/>
    <col min="13574" max="13574" width="11.7109375" style="703" bestFit="1" customWidth="1"/>
    <col min="13575" max="13575" width="14" style="703" customWidth="1"/>
    <col min="13576" max="13576" width="12.7109375" style="703" customWidth="1"/>
    <col min="13577" max="13824" width="11.42578125" style="703"/>
    <col min="13825" max="13825" width="9.140625" style="703" customWidth="1"/>
    <col min="13826" max="13826" width="12.28515625" style="703" bestFit="1" customWidth="1"/>
    <col min="13827" max="13827" width="25.85546875" style="703" customWidth="1"/>
    <col min="13828" max="13828" width="21" style="703" customWidth="1"/>
    <col min="13829" max="13829" width="13" style="703" customWidth="1"/>
    <col min="13830" max="13830" width="11.7109375" style="703" bestFit="1" customWidth="1"/>
    <col min="13831" max="13831" width="14" style="703" customWidth="1"/>
    <col min="13832" max="13832" width="12.7109375" style="703" customWidth="1"/>
    <col min="13833" max="14080" width="11.42578125" style="703"/>
    <col min="14081" max="14081" width="9.140625" style="703" customWidth="1"/>
    <col min="14082" max="14082" width="12.28515625" style="703" bestFit="1" customWidth="1"/>
    <col min="14083" max="14083" width="25.85546875" style="703" customWidth="1"/>
    <col min="14084" max="14084" width="21" style="703" customWidth="1"/>
    <col min="14085" max="14085" width="13" style="703" customWidth="1"/>
    <col min="14086" max="14086" width="11.7109375" style="703" bestFit="1" customWidth="1"/>
    <col min="14087" max="14087" width="14" style="703" customWidth="1"/>
    <col min="14088" max="14088" width="12.7109375" style="703" customWidth="1"/>
    <col min="14089" max="14336" width="11.42578125" style="703"/>
    <col min="14337" max="14337" width="9.140625" style="703" customWidth="1"/>
    <col min="14338" max="14338" width="12.28515625" style="703" bestFit="1" customWidth="1"/>
    <col min="14339" max="14339" width="25.85546875" style="703" customWidth="1"/>
    <col min="14340" max="14340" width="21" style="703" customWidth="1"/>
    <col min="14341" max="14341" width="13" style="703" customWidth="1"/>
    <col min="14342" max="14342" width="11.7109375" style="703" bestFit="1" customWidth="1"/>
    <col min="14343" max="14343" width="14" style="703" customWidth="1"/>
    <col min="14344" max="14344" width="12.7109375" style="703" customWidth="1"/>
    <col min="14345" max="14592" width="11.42578125" style="703"/>
    <col min="14593" max="14593" width="9.140625" style="703" customWidth="1"/>
    <col min="14594" max="14594" width="12.28515625" style="703" bestFit="1" customWidth="1"/>
    <col min="14595" max="14595" width="25.85546875" style="703" customWidth="1"/>
    <col min="14596" max="14596" width="21" style="703" customWidth="1"/>
    <col min="14597" max="14597" width="13" style="703" customWidth="1"/>
    <col min="14598" max="14598" width="11.7109375" style="703" bestFit="1" customWidth="1"/>
    <col min="14599" max="14599" width="14" style="703" customWidth="1"/>
    <col min="14600" max="14600" width="12.7109375" style="703" customWidth="1"/>
    <col min="14601" max="14848" width="11.42578125" style="703"/>
    <col min="14849" max="14849" width="9.140625" style="703" customWidth="1"/>
    <col min="14850" max="14850" width="12.28515625" style="703" bestFit="1" customWidth="1"/>
    <col min="14851" max="14851" width="25.85546875" style="703" customWidth="1"/>
    <col min="14852" max="14852" width="21" style="703" customWidth="1"/>
    <col min="14853" max="14853" width="13" style="703" customWidth="1"/>
    <col min="14854" max="14854" width="11.7109375" style="703" bestFit="1" customWidth="1"/>
    <col min="14855" max="14855" width="14" style="703" customWidth="1"/>
    <col min="14856" max="14856" width="12.7109375" style="703" customWidth="1"/>
    <col min="14857" max="15104" width="11.42578125" style="703"/>
    <col min="15105" max="15105" width="9.140625" style="703" customWidth="1"/>
    <col min="15106" max="15106" width="12.28515625" style="703" bestFit="1" customWidth="1"/>
    <col min="15107" max="15107" width="25.85546875" style="703" customWidth="1"/>
    <col min="15108" max="15108" width="21" style="703" customWidth="1"/>
    <col min="15109" max="15109" width="13" style="703" customWidth="1"/>
    <col min="15110" max="15110" width="11.7109375" style="703" bestFit="1" customWidth="1"/>
    <col min="15111" max="15111" width="14" style="703" customWidth="1"/>
    <col min="15112" max="15112" width="12.7109375" style="703" customWidth="1"/>
    <col min="15113" max="15360" width="11.42578125" style="703"/>
    <col min="15361" max="15361" width="9.140625" style="703" customWidth="1"/>
    <col min="15362" max="15362" width="12.28515625" style="703" bestFit="1" customWidth="1"/>
    <col min="15363" max="15363" width="25.85546875" style="703" customWidth="1"/>
    <col min="15364" max="15364" width="21" style="703" customWidth="1"/>
    <col min="15365" max="15365" width="13" style="703" customWidth="1"/>
    <col min="15366" max="15366" width="11.7109375" style="703" bestFit="1" customWidth="1"/>
    <col min="15367" max="15367" width="14" style="703" customWidth="1"/>
    <col min="15368" max="15368" width="12.7109375" style="703" customWidth="1"/>
    <col min="15369" max="15616" width="11.42578125" style="703"/>
    <col min="15617" max="15617" width="9.140625" style="703" customWidth="1"/>
    <col min="15618" max="15618" width="12.28515625" style="703" bestFit="1" customWidth="1"/>
    <col min="15619" max="15619" width="25.85546875" style="703" customWidth="1"/>
    <col min="15620" max="15620" width="21" style="703" customWidth="1"/>
    <col min="15621" max="15621" width="13" style="703" customWidth="1"/>
    <col min="15622" max="15622" width="11.7109375" style="703" bestFit="1" customWidth="1"/>
    <col min="15623" max="15623" width="14" style="703" customWidth="1"/>
    <col min="15624" max="15624" width="12.7109375" style="703" customWidth="1"/>
    <col min="15625" max="15872" width="11.42578125" style="703"/>
    <col min="15873" max="15873" width="9.140625" style="703" customWidth="1"/>
    <col min="15874" max="15874" width="12.28515625" style="703" bestFit="1" customWidth="1"/>
    <col min="15875" max="15875" width="25.85546875" style="703" customWidth="1"/>
    <col min="15876" max="15876" width="21" style="703" customWidth="1"/>
    <col min="15877" max="15877" width="13" style="703" customWidth="1"/>
    <col min="15878" max="15878" width="11.7109375" style="703" bestFit="1" customWidth="1"/>
    <col min="15879" max="15879" width="14" style="703" customWidth="1"/>
    <col min="15880" max="15880" width="12.7109375" style="703" customWidth="1"/>
    <col min="15881" max="16128" width="11.42578125" style="703"/>
    <col min="16129" max="16129" width="9.140625" style="703" customWidth="1"/>
    <col min="16130" max="16130" width="12.28515625" style="703" bestFit="1" customWidth="1"/>
    <col min="16131" max="16131" width="25.85546875" style="703" customWidth="1"/>
    <col min="16132" max="16132" width="21" style="703" customWidth="1"/>
    <col min="16133" max="16133" width="13" style="703" customWidth="1"/>
    <col min="16134" max="16134" width="11.7109375" style="703" bestFit="1" customWidth="1"/>
    <col min="16135" max="16135" width="14" style="703" customWidth="1"/>
    <col min="16136" max="16136" width="12.7109375" style="703" customWidth="1"/>
    <col min="16137" max="16384" width="11.42578125" style="703"/>
  </cols>
  <sheetData>
    <row r="1" spans="1:9" ht="48.75" customHeight="1" thickBot="1"/>
    <row r="2" spans="1:9" ht="33.75"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3.25" customHeight="1" thickBot="1">
      <c r="A3" s="281"/>
      <c r="B3" s="282"/>
      <c r="C3" s="282"/>
      <c r="D3" s="2213"/>
      <c r="E3" s="2214"/>
      <c r="F3" s="2202" t="e">
        <f>+PRESUPUESTO!#REF!</f>
        <v>#REF!</v>
      </c>
      <c r="G3" s="2203"/>
      <c r="H3" s="2204"/>
    </row>
    <row r="4" spans="1:9" ht="33" customHeight="1" thickBot="1">
      <c r="A4" s="98"/>
      <c r="B4" s="99"/>
      <c r="C4" s="283"/>
      <c r="D4" s="2215"/>
      <c r="E4" s="2216"/>
      <c r="F4" s="2202" t="s">
        <v>524</v>
      </c>
      <c r="G4" s="2203"/>
      <c r="H4" s="2204"/>
    </row>
    <row r="5" spans="1:9" ht="13.5" thickBot="1">
      <c r="A5" s="2218" t="s">
        <v>558</v>
      </c>
      <c r="B5" s="2219"/>
      <c r="C5" s="2219"/>
      <c r="D5" s="2219"/>
      <c r="E5" s="2220"/>
      <c r="F5" s="2208" t="e">
        <f>+PRESUPUESTO!#REF!</f>
        <v>#REF!</v>
      </c>
      <c r="G5" s="2209"/>
      <c r="H5" s="2210"/>
    </row>
    <row r="6" spans="1:9">
      <c r="A6" s="711"/>
      <c r="B6" s="2227"/>
      <c r="C6" s="2228"/>
      <c r="D6" s="2228"/>
      <c r="E6" s="711"/>
      <c r="F6" s="712"/>
      <c r="G6" s="713"/>
      <c r="H6" s="714"/>
      <c r="I6" s="288"/>
    </row>
    <row r="7" spans="1:9" ht="12.75" customHeight="1">
      <c r="A7" s="96">
        <f>+PRESUPUESTO!A13</f>
        <v>1</v>
      </c>
      <c r="B7" s="2185" t="str">
        <f>+PRESUPUESTO!B13</f>
        <v>REDES DE COLECTORES DE ALCANTARILLADO SANITARIO</v>
      </c>
      <c r="C7" s="2185"/>
      <c r="D7" s="2185"/>
      <c r="E7" s="2185"/>
      <c r="F7" s="289"/>
      <c r="G7" s="290" t="s">
        <v>525</v>
      </c>
      <c r="H7" s="97" t="str">
        <f>+PRESUPUESTO!C16</f>
        <v>m</v>
      </c>
    </row>
    <row r="8" spans="1:9">
      <c r="A8" s="97" t="str">
        <f>+PRESUPUESTO!A16</f>
        <v>1.1.1</v>
      </c>
      <c r="B8" s="2229" t="str">
        <f>+PRESUPUESTO!B16</f>
        <v>Localización, replanteo topográfico y control de niveles</v>
      </c>
      <c r="C8" s="2217"/>
      <c r="D8" s="2217"/>
      <c r="E8" s="2217"/>
      <c r="F8" s="291"/>
      <c r="G8" s="290"/>
      <c r="H8" s="97"/>
    </row>
    <row r="9" spans="1:9">
      <c r="A9" s="715"/>
      <c r="B9" s="720"/>
      <c r="C9" s="721"/>
      <c r="D9" s="722"/>
      <c r="E9" s="721"/>
      <c r="F9" s="723"/>
      <c r="G9" s="713"/>
      <c r="H9" s="714"/>
    </row>
    <row r="10" spans="1:9">
      <c r="A10" s="718"/>
      <c r="B10" s="724"/>
      <c r="C10" s="724"/>
      <c r="D10" s="724"/>
      <c r="E10" s="724"/>
      <c r="F10" s="724"/>
      <c r="G10" s="725"/>
      <c r="H10" s="725"/>
    </row>
    <row r="11" spans="1:9" ht="13.5" thickBot="1">
      <c r="A11" s="726" t="s">
        <v>526</v>
      </c>
      <c r="B11" s="726"/>
      <c r="C11" s="712"/>
      <c r="D11" s="727"/>
      <c r="E11" s="727"/>
      <c r="F11" s="727"/>
      <c r="G11" s="727"/>
      <c r="H11" s="727"/>
    </row>
    <row r="12" spans="1:9" ht="13.5" thickBot="1">
      <c r="A12" s="728" t="s">
        <v>527</v>
      </c>
      <c r="B12" s="729"/>
      <c r="C12" s="730" t="s">
        <v>521</v>
      </c>
      <c r="D12" s="731"/>
      <c r="E12" s="732" t="s">
        <v>515</v>
      </c>
      <c r="F12" s="733" t="s">
        <v>528</v>
      </c>
      <c r="G12" s="734" t="s">
        <v>832</v>
      </c>
      <c r="H12" s="735" t="s">
        <v>831</v>
      </c>
    </row>
    <row r="13" spans="1:9">
      <c r="A13" s="736" t="s">
        <v>966</v>
      </c>
      <c r="B13" s="737" t="str">
        <f t="shared" ref="B13:B18" si="0">IF(A13="","",VLOOKUP(A13,EQUI,2,FALSE))</f>
        <v>Herramienta Menor (5% de la mano de obra).</v>
      </c>
      <c r="C13" s="738"/>
      <c r="D13" s="738"/>
      <c r="E13" s="739" t="str">
        <f t="shared" ref="E13:E18" si="1">IF(A13="","",VLOOKUP(A13,EQUI,3,FALSE))</f>
        <v>%</v>
      </c>
      <c r="F13" s="740">
        <f>IF(A13="","",VLOOKUP(A13,EQUI,4,FALSE))</f>
        <v>0.05</v>
      </c>
      <c r="G13" s="741">
        <f>ROUND(F13*H50,0)</f>
        <v>41</v>
      </c>
      <c r="H13" s="742">
        <f>+G13</f>
        <v>41</v>
      </c>
      <c r="I13" s="743"/>
    </row>
    <row r="14" spans="1:9">
      <c r="A14" s="736" t="s">
        <v>1622</v>
      </c>
      <c r="B14" s="737" t="str">
        <f t="shared" si="0"/>
        <v>Equipo de topografía.</v>
      </c>
      <c r="C14" s="738"/>
      <c r="D14" s="738"/>
      <c r="E14" s="739" t="str">
        <f t="shared" si="1"/>
        <v>Día</v>
      </c>
      <c r="F14" s="744">
        <v>100</v>
      </c>
      <c r="G14" s="745">
        <f>IF(A14="","",VLOOKUP(A14,EQUI,4,FALSE))</f>
        <v>160000</v>
      </c>
      <c r="H14" s="746">
        <f>IF(A14="","",ROUND((G14/F14),0))</f>
        <v>1600</v>
      </c>
    </row>
    <row r="15" spans="1:9">
      <c r="A15" s="736"/>
      <c r="B15" s="737" t="str">
        <f t="shared" si="0"/>
        <v/>
      </c>
      <c r="C15" s="738"/>
      <c r="D15" s="738"/>
      <c r="E15" s="739" t="str">
        <f t="shared" si="1"/>
        <v/>
      </c>
      <c r="F15" s="744"/>
      <c r="G15" s="745" t="str">
        <f>IF(A15="","",VLOOKUP(A15,EQUI,4,FALSE))</f>
        <v/>
      </c>
      <c r="H15" s="746" t="str">
        <f>IF(A15="","",ROUND((G15/F15),0))</f>
        <v/>
      </c>
    </row>
    <row r="16" spans="1:9">
      <c r="A16" s="736"/>
      <c r="B16" s="737" t="str">
        <f t="shared" si="0"/>
        <v/>
      </c>
      <c r="C16" s="738"/>
      <c r="D16" s="738"/>
      <c r="E16" s="739" t="str">
        <f t="shared" si="1"/>
        <v/>
      </c>
      <c r="F16" s="744"/>
      <c r="G16" s="745" t="str">
        <f>IF(A16="","",VLOOKUP(A16,EQUI,4,FALSE))</f>
        <v/>
      </c>
      <c r="H16" s="746" t="str">
        <f>IF(A16="","",ROUND((G16/F16),0))</f>
        <v/>
      </c>
    </row>
    <row r="17" spans="1:8">
      <c r="A17" s="736"/>
      <c r="B17" s="737" t="str">
        <f t="shared" si="0"/>
        <v/>
      </c>
      <c r="C17" s="738"/>
      <c r="D17" s="738"/>
      <c r="E17" s="739" t="str">
        <f t="shared" si="1"/>
        <v/>
      </c>
      <c r="F17" s="744"/>
      <c r="G17" s="745" t="str">
        <f>IF(A17="","",VLOOKUP(A17,EQUI,4,FALSE))</f>
        <v/>
      </c>
      <c r="H17" s="746" t="str">
        <f>IF(A17="","",ROUND((G17/F17),0))</f>
        <v/>
      </c>
    </row>
    <row r="18" spans="1:8" ht="13.5" thickBot="1">
      <c r="A18" s="747"/>
      <c r="B18" s="748" t="str">
        <f t="shared" si="0"/>
        <v/>
      </c>
      <c r="C18" s="748"/>
      <c r="D18" s="749"/>
      <c r="E18" s="750" t="str">
        <f t="shared" si="1"/>
        <v/>
      </c>
      <c r="F18" s="751"/>
      <c r="G18" s="752" t="str">
        <f>IF(A18="","",VLOOKUP(A18,EQUI,4,FALSE))</f>
        <v/>
      </c>
      <c r="H18" s="746" t="str">
        <f>IF(A18="","",ROUND((G18/F18),0))</f>
        <v/>
      </c>
    </row>
    <row r="19" spans="1:8" ht="13.5" thickBot="1">
      <c r="A19" s="712"/>
      <c r="B19" s="712"/>
      <c r="C19" s="712"/>
      <c r="D19" s="712"/>
      <c r="E19" s="713"/>
      <c r="F19" s="712"/>
      <c r="G19" s="753" t="s">
        <v>529</v>
      </c>
      <c r="H19" s="754">
        <f>ROUND(SUM(H13:H18),0)</f>
        <v>1641</v>
      </c>
    </row>
    <row r="20" spans="1:8">
      <c r="A20" s="712"/>
      <c r="B20" s="712"/>
      <c r="C20" s="712"/>
      <c r="D20" s="712"/>
      <c r="E20" s="713"/>
      <c r="F20" s="712"/>
      <c r="G20" s="713"/>
      <c r="H20" s="755"/>
    </row>
    <row r="21" spans="1:8" ht="13.5" thickBot="1">
      <c r="A21" s="726" t="s">
        <v>530</v>
      </c>
      <c r="B21" s="726"/>
      <c r="C21" s="726"/>
      <c r="D21" s="726"/>
      <c r="E21" s="756"/>
      <c r="F21" s="749"/>
      <c r="G21" s="749"/>
      <c r="H21" s="749"/>
    </row>
    <row r="22" spans="1:8" ht="13.5" thickBot="1">
      <c r="A22" s="728" t="s">
        <v>527</v>
      </c>
      <c r="B22" s="729"/>
      <c r="C22" s="730" t="s">
        <v>521</v>
      </c>
      <c r="D22" s="730"/>
      <c r="E22" s="757" t="s">
        <v>515</v>
      </c>
      <c r="F22" s="758" t="s">
        <v>7</v>
      </c>
      <c r="G22" s="734" t="s">
        <v>832</v>
      </c>
      <c r="H22" s="735" t="s">
        <v>831</v>
      </c>
    </row>
    <row r="23" spans="1:8">
      <c r="A23" s="812" t="s">
        <v>2280</v>
      </c>
      <c r="B23" s="760" t="str">
        <f t="shared" ref="B23:B32" si="2">IF(A23="","",VLOOKUP(A23,MAT,2,FALSE))</f>
        <v>Puntilla variada</v>
      </c>
      <c r="C23" s="737"/>
      <c r="D23" s="738"/>
      <c r="E23" s="739" t="str">
        <f t="shared" ref="E23:E32" si="3">IF(A23="","",VLOOKUP(A23,MAT,3,FALSE))</f>
        <v>Lb</v>
      </c>
      <c r="F23" s="744">
        <v>0.08</v>
      </c>
      <c r="G23" s="745">
        <f t="shared" ref="G23:G32" si="4">IF(A23="","",VLOOKUP(A23,MAT,5,FALSE))</f>
        <v>2380</v>
      </c>
      <c r="H23" s="746">
        <f t="shared" ref="H23:H32" si="5">IF(A23="","",ROUND((G23*F23),0))</f>
        <v>190</v>
      </c>
    </row>
    <row r="24" spans="1:8">
      <c r="A24" s="759" t="s">
        <v>2281</v>
      </c>
      <c r="B24" s="760" t="str">
        <f>+INSUMOS!B108</f>
        <v>Madera medio cerco</v>
      </c>
      <c r="C24" s="737"/>
      <c r="D24" s="738"/>
      <c r="E24" s="739" t="str">
        <f>+INSUMOS!C108</f>
        <v>M</v>
      </c>
      <c r="F24" s="744">
        <v>0.2</v>
      </c>
      <c r="G24" s="745">
        <f>+INSUMOS!E108</f>
        <v>2776</v>
      </c>
      <c r="H24" s="746">
        <f>IF(A24="","",ROUND((G24*F24),0))</f>
        <v>555</v>
      </c>
    </row>
    <row r="25" spans="1:8">
      <c r="A25" s="759"/>
      <c r="B25" s="760" t="str">
        <f t="shared" si="2"/>
        <v/>
      </c>
      <c r="C25" s="737"/>
      <c r="D25" s="738"/>
      <c r="E25" s="739" t="str">
        <f t="shared" si="3"/>
        <v/>
      </c>
      <c r="F25" s="744"/>
      <c r="G25" s="745" t="str">
        <f t="shared" si="4"/>
        <v/>
      </c>
      <c r="H25" s="746" t="str">
        <f t="shared" si="5"/>
        <v/>
      </c>
    </row>
    <row r="26" spans="1:8">
      <c r="A26" s="759"/>
      <c r="B26" s="737" t="str">
        <f t="shared" si="2"/>
        <v/>
      </c>
      <c r="C26" s="737"/>
      <c r="D26" s="738"/>
      <c r="E26" s="739" t="str">
        <f t="shared" si="3"/>
        <v/>
      </c>
      <c r="F26" s="744"/>
      <c r="G26" s="745" t="str">
        <f t="shared" si="4"/>
        <v/>
      </c>
      <c r="H26" s="746" t="str">
        <f t="shared" si="5"/>
        <v/>
      </c>
    </row>
    <row r="27" spans="1:8">
      <c r="A27" s="759"/>
      <c r="B27" s="737" t="str">
        <f t="shared" si="2"/>
        <v/>
      </c>
      <c r="C27" s="737"/>
      <c r="D27" s="738"/>
      <c r="E27" s="739" t="str">
        <f t="shared" si="3"/>
        <v/>
      </c>
      <c r="F27" s="744"/>
      <c r="G27" s="745" t="str">
        <f t="shared" si="4"/>
        <v/>
      </c>
      <c r="H27" s="746" t="str">
        <f t="shared" si="5"/>
        <v/>
      </c>
    </row>
    <row r="28" spans="1:8">
      <c r="A28" s="759"/>
      <c r="B28" s="737" t="str">
        <f t="shared" si="2"/>
        <v/>
      </c>
      <c r="C28" s="737"/>
      <c r="D28" s="738"/>
      <c r="E28" s="739" t="str">
        <f t="shared" si="3"/>
        <v/>
      </c>
      <c r="F28" s="744"/>
      <c r="G28" s="745" t="str">
        <f t="shared" si="4"/>
        <v/>
      </c>
      <c r="H28" s="746" t="str">
        <f t="shared" si="5"/>
        <v/>
      </c>
    </row>
    <row r="29" spans="1:8">
      <c r="A29" s="759"/>
      <c r="B29" s="737" t="str">
        <f t="shared" si="2"/>
        <v/>
      </c>
      <c r="C29" s="737"/>
      <c r="D29" s="738"/>
      <c r="E29" s="739" t="str">
        <f t="shared" si="3"/>
        <v/>
      </c>
      <c r="F29" s="744"/>
      <c r="G29" s="745" t="str">
        <f t="shared" si="4"/>
        <v/>
      </c>
      <c r="H29" s="746" t="str">
        <f t="shared" si="5"/>
        <v/>
      </c>
    </row>
    <row r="30" spans="1:8">
      <c r="A30" s="759"/>
      <c r="B30" s="737" t="str">
        <f t="shared" si="2"/>
        <v/>
      </c>
      <c r="C30" s="737"/>
      <c r="D30" s="738"/>
      <c r="E30" s="739" t="str">
        <f t="shared" si="3"/>
        <v/>
      </c>
      <c r="F30" s="744"/>
      <c r="G30" s="745" t="str">
        <f t="shared" si="4"/>
        <v/>
      </c>
      <c r="H30" s="746" t="str">
        <f t="shared" si="5"/>
        <v/>
      </c>
    </row>
    <row r="31" spans="1:8">
      <c r="A31" s="759"/>
      <c r="B31" s="737" t="str">
        <f t="shared" si="2"/>
        <v/>
      </c>
      <c r="C31" s="737"/>
      <c r="D31" s="738"/>
      <c r="E31" s="739" t="str">
        <f t="shared" si="3"/>
        <v/>
      </c>
      <c r="F31" s="744"/>
      <c r="G31" s="745" t="str">
        <f t="shared" si="4"/>
        <v/>
      </c>
      <c r="H31" s="746" t="str">
        <f t="shared" si="5"/>
        <v/>
      </c>
    </row>
    <row r="32" spans="1:8" ht="13.5" thickBot="1">
      <c r="A32" s="761"/>
      <c r="B32" s="762" t="str">
        <f t="shared" si="2"/>
        <v/>
      </c>
      <c r="C32" s="749"/>
      <c r="D32" s="749"/>
      <c r="E32" s="750" t="str">
        <f t="shared" si="3"/>
        <v/>
      </c>
      <c r="F32" s="763"/>
      <c r="G32" s="764" t="str">
        <f t="shared" si="4"/>
        <v/>
      </c>
      <c r="H32" s="746" t="str">
        <f t="shared" si="5"/>
        <v/>
      </c>
    </row>
    <row r="33" spans="1:8" ht="13.5" thickBot="1">
      <c r="A33" s="712"/>
      <c r="B33" s="712"/>
      <c r="C33" s="712"/>
      <c r="D33" s="712"/>
      <c r="E33" s="713"/>
      <c r="F33" s="712"/>
      <c r="G33" s="765" t="s">
        <v>529</v>
      </c>
      <c r="H33" s="766">
        <f>ROUND(SUM(H23:H32),0)</f>
        <v>745</v>
      </c>
    </row>
    <row r="34" spans="1:8">
      <c r="A34" s="712"/>
      <c r="B34" s="712"/>
      <c r="C34" s="712"/>
      <c r="D34" s="712"/>
      <c r="E34" s="713"/>
      <c r="F34" s="712"/>
      <c r="G34" s="713"/>
      <c r="H34" s="767"/>
    </row>
    <row r="35" spans="1:8" ht="13.5" thickBot="1">
      <c r="A35" s="726" t="s">
        <v>531</v>
      </c>
      <c r="B35" s="712"/>
      <c r="C35" s="712"/>
      <c r="D35" s="712"/>
      <c r="E35" s="713"/>
      <c r="F35" s="712"/>
      <c r="G35" s="713"/>
      <c r="H35" s="768"/>
    </row>
    <row r="36" spans="1:8" ht="13.5" thickBot="1">
      <c r="A36" s="728" t="s">
        <v>527</v>
      </c>
      <c r="B36" s="2230" t="s">
        <v>532</v>
      </c>
      <c r="C36" s="2231"/>
      <c r="D36" s="769" t="s">
        <v>821</v>
      </c>
      <c r="E36" s="769" t="s">
        <v>820</v>
      </c>
      <c r="F36" s="769" t="s">
        <v>823</v>
      </c>
      <c r="G36" s="769" t="s">
        <v>822</v>
      </c>
      <c r="H36" s="770" t="s">
        <v>831</v>
      </c>
    </row>
    <row r="37" spans="1:8">
      <c r="A37" s="813"/>
      <c r="B37" s="737"/>
      <c r="C37" s="814"/>
      <c r="D37" s="773"/>
      <c r="E37" s="774"/>
      <c r="F37" s="777"/>
      <c r="G37" s="776"/>
      <c r="H37" s="746"/>
    </row>
    <row r="38" spans="1:8">
      <c r="A38" s="771"/>
      <c r="B38" s="737" t="str">
        <f>IF(A38="","",VLOOKUP(A38,MAT,2,FALSE))</f>
        <v/>
      </c>
      <c r="C38" s="772"/>
      <c r="D38" s="773" t="str">
        <f>IF(A38="","",VLOOKUP(A38,MAT,3,FALSE))</f>
        <v/>
      </c>
      <c r="E38" s="774" t="str">
        <f>IF(A38="","",VLOOKUP(A38,MAT,6,FALSE))</f>
        <v/>
      </c>
      <c r="F38" s="777" t="str">
        <f>IF(A38="","",VLOOKUP(A38,$A$23:$H$32,6,FALSE))</f>
        <v/>
      </c>
      <c r="G38" s="776" t="str">
        <f>IF(A38="","",VLOOKUP(A38,MAT,7,FALSE))</f>
        <v/>
      </c>
      <c r="H38" s="746" t="str">
        <f>IF(A38="","",ROUND((G38*F38*E38),0))</f>
        <v/>
      </c>
    </row>
    <row r="39" spans="1:8">
      <c r="A39" s="771"/>
      <c r="B39" s="737" t="str">
        <f>IF(A39="","",VLOOKUP(A39,MAT,2,FALSE))</f>
        <v/>
      </c>
      <c r="C39" s="772"/>
      <c r="D39" s="773" t="str">
        <f>IF(A39="","",VLOOKUP(A39,MAT,3,FALSE))</f>
        <v/>
      </c>
      <c r="E39" s="774" t="str">
        <f>IF(A39="","",VLOOKUP(A39,MAT,6,FALSE))</f>
        <v/>
      </c>
      <c r="F39" s="777" t="str">
        <f>IF(A39="","",VLOOKUP(A39,$A$23:$H$32,6,FALSE))</f>
        <v/>
      </c>
      <c r="G39" s="776" t="str">
        <f>IF(A39="","",VLOOKUP(A39,MAT,7,FALSE))</f>
        <v/>
      </c>
      <c r="H39" s="746" t="str">
        <f>IF(A39="","",ROUND((G39*F39*E39),0))</f>
        <v/>
      </c>
    </row>
    <row r="40" spans="1:8">
      <c r="A40" s="778"/>
      <c r="B40" s="737" t="str">
        <f>IF(A40="","",VLOOKUP(A40,MAT,2,FALSE))</f>
        <v/>
      </c>
      <c r="D40" s="779" t="str">
        <f>IF(A40="","",VLOOKUP(A40,MAT,3,FALSE))</f>
        <v/>
      </c>
      <c r="E40" s="774" t="str">
        <f>IF(A40="","",VLOOKUP(A40,MAT,6,FALSE))</f>
        <v/>
      </c>
      <c r="F40" s="777" t="str">
        <f>IF(A40="","",VLOOKUP(A40,$A$23:$H$32,6,FALSE))</f>
        <v/>
      </c>
      <c r="G40" s="780" t="str">
        <f>IF(A40="","",VLOOKUP(A40,MAT,7,FALSE))</f>
        <v/>
      </c>
      <c r="H40" s="746" t="str">
        <f>IF(A40="","",ROUND((G40*F40*E40),0))</f>
        <v/>
      </c>
    </row>
    <row r="41" spans="1:8" ht="13.5" thickBot="1">
      <c r="A41" s="781"/>
      <c r="B41" s="710" t="str">
        <f>IF(A41="","",VLOOKUP(A41,MAT,2,FALSE))</f>
        <v/>
      </c>
      <c r="C41" s="710"/>
      <c r="D41" s="782" t="str">
        <f>IF(A41="","",VLOOKUP(A41,MAT,3,FALSE))</f>
        <v/>
      </c>
      <c r="E41" s="783" t="str">
        <f>IF(A41="","",VLOOKUP(A41,MAT,6,FALSE))</f>
        <v/>
      </c>
      <c r="F41" s="784" t="str">
        <f>IF(A41="","",VLOOKUP(A41,$A$23:$H$32,6,FALSE))</f>
        <v/>
      </c>
      <c r="G41" s="785" t="str">
        <f>IF(A41="","",VLOOKUP(A41,MAT,7,FALSE))</f>
        <v/>
      </c>
      <c r="H41" s="786" t="str">
        <f>IF(A41="","",ROUND((G41*F41*E41),0))</f>
        <v/>
      </c>
    </row>
    <row r="42" spans="1:8" ht="13.5" thickBot="1">
      <c r="E42" s="787"/>
      <c r="F42" s="788"/>
      <c r="G42" s="789" t="s">
        <v>529</v>
      </c>
      <c r="H42" s="790">
        <f>ROUND(SUM(H37:H41),0)</f>
        <v>0</v>
      </c>
    </row>
    <row r="43" spans="1:8">
      <c r="E43" s="787"/>
      <c r="F43" s="788"/>
      <c r="G43" s="713"/>
      <c r="H43" s="791"/>
    </row>
    <row r="44" spans="1:8" ht="13.5" thickBot="1">
      <c r="A44" s="726" t="s">
        <v>534</v>
      </c>
      <c r="B44" s="726"/>
      <c r="C44" s="726"/>
      <c r="D44" s="712"/>
      <c r="E44" s="713"/>
      <c r="F44" s="712"/>
      <c r="G44" s="712"/>
      <c r="H44" s="749"/>
    </row>
    <row r="45" spans="1:8" ht="13.5" thickBot="1">
      <c r="A45" s="728" t="s">
        <v>527</v>
      </c>
      <c r="B45" s="2232" t="s">
        <v>514</v>
      </c>
      <c r="C45" s="2233"/>
      <c r="D45" s="2234"/>
      <c r="E45" s="792" t="s">
        <v>515</v>
      </c>
      <c r="F45" s="792" t="s">
        <v>535</v>
      </c>
      <c r="G45" s="793" t="s">
        <v>944</v>
      </c>
      <c r="H45" s="770" t="s">
        <v>831</v>
      </c>
    </row>
    <row r="46" spans="1:8">
      <c r="A46" s="794" t="s">
        <v>908</v>
      </c>
      <c r="B46" s="2235" t="str">
        <f>IF(A46="","",VLOOKUP(A46,MO,2,FALSE))</f>
        <v>Cuadrilla II: Topografía. (1 Top. + 1 Aux.Top.+ 1 Cade.).</v>
      </c>
      <c r="C46" s="2236"/>
      <c r="D46" s="2237"/>
      <c r="E46" s="795" t="str">
        <f>IF(A46="","",VLOOKUP(A46,MO,13,FALSE))</f>
        <v>HC</v>
      </c>
      <c r="F46" s="796">
        <v>80</v>
      </c>
      <c r="G46" s="797">
        <f>IF(A46="","",VLOOKUP(A46,MO,15,FALSE))</f>
        <v>65003</v>
      </c>
      <c r="H46" s="798">
        <f>IF(A46="","",ROUND((G46/F46),0))</f>
        <v>813</v>
      </c>
    </row>
    <row r="47" spans="1:8">
      <c r="A47" s="794"/>
      <c r="B47" s="2221" t="str">
        <f>IF(A47="","",VLOOKUP(A47,MO,2,FALSE))</f>
        <v/>
      </c>
      <c r="C47" s="2222"/>
      <c r="D47" s="2223"/>
      <c r="E47" s="795" t="str">
        <f>IF(A47="","",VLOOKUP(A47,MO,13,FALSE))</f>
        <v/>
      </c>
      <c r="F47" s="796"/>
      <c r="G47" s="797" t="str">
        <f>IF(A47="","",VLOOKUP(A47,MO,15,FALSE))</f>
        <v/>
      </c>
      <c r="H47" s="798" t="str">
        <f>IF(A47="","",ROUND((G47/F47),0))</f>
        <v/>
      </c>
    </row>
    <row r="48" spans="1:8">
      <c r="A48" s="794"/>
      <c r="B48" s="2221" t="str">
        <f>IF(A48="","",VLOOKUP(A48,MO,2,FALSE))</f>
        <v/>
      </c>
      <c r="C48" s="2222"/>
      <c r="D48" s="2223"/>
      <c r="E48" s="795" t="str">
        <f>IF(A48="","",VLOOKUP(A48,MO,13,FALSE))</f>
        <v/>
      </c>
      <c r="F48" s="796"/>
      <c r="G48" s="799" t="str">
        <f>IF(A48="","",VLOOKUP(A48,MO,15,FALSE))</f>
        <v/>
      </c>
      <c r="H48" s="798" t="str">
        <f>IF(A48="","",ROUND((G48/F48),0))</f>
        <v/>
      </c>
    </row>
    <row r="49" spans="1:8" ht="13.5" thickBot="1">
      <c r="A49" s="800"/>
      <c r="B49" s="2224" t="str">
        <f>IF(A49="","",VLOOKUP(A49,MO,2,FALSE))</f>
        <v/>
      </c>
      <c r="C49" s="2225"/>
      <c r="D49" s="2226"/>
      <c r="E49" s="801" t="str">
        <f>IF(A49="","",VLOOKUP(A49,MO,13,FALSE))</f>
        <v/>
      </c>
      <c r="F49" s="802"/>
      <c r="G49" s="803" t="str">
        <f>IF(A49="","",VLOOKUP(A49,MO,15,FALSE))</f>
        <v/>
      </c>
      <c r="H49" s="804" t="str">
        <f>IF(A49="","",ROUND((G49/F49),0))</f>
        <v/>
      </c>
    </row>
    <row r="50" spans="1:8" ht="13.5" thickBot="1">
      <c r="A50" s="712"/>
      <c r="B50" s="712"/>
      <c r="C50" s="712"/>
      <c r="D50" s="712"/>
      <c r="E50" s="713"/>
      <c r="F50" s="712"/>
      <c r="G50" s="753" t="s">
        <v>529</v>
      </c>
      <c r="H50" s="805">
        <f>ROUND(SUM(H46:H49),0)</f>
        <v>813</v>
      </c>
    </row>
    <row r="51" spans="1:8" ht="13.5" thickBot="1">
      <c r="A51" s="712"/>
      <c r="B51" s="712"/>
      <c r="C51" s="712"/>
      <c r="D51" s="712"/>
      <c r="E51" s="713"/>
      <c r="F51" s="712"/>
      <c r="G51" s="712"/>
      <c r="H51" s="712"/>
    </row>
    <row r="52" spans="1:8" ht="13.5" thickBot="1">
      <c r="A52" s="712"/>
      <c r="B52" s="712"/>
      <c r="C52" s="712"/>
      <c r="D52" s="712"/>
      <c r="E52" s="806" t="s">
        <v>536</v>
      </c>
      <c r="F52" s="807"/>
      <c r="G52" s="807"/>
      <c r="H52" s="808">
        <f>+ROUND(H19+H33+H42+H50,0)</f>
        <v>3199</v>
      </c>
    </row>
    <row r="53" spans="1:8">
      <c r="A53" s="712"/>
      <c r="B53" s="712"/>
      <c r="C53" s="712"/>
      <c r="D53" s="712"/>
      <c r="E53" s="806" t="s">
        <v>2696</v>
      </c>
      <c r="F53" s="807">
        <v>0.3</v>
      </c>
      <c r="G53" s="807">
        <v>0.3</v>
      </c>
      <c r="H53" s="809">
        <f>H52*G53</f>
        <v>959.69999999999993</v>
      </c>
    </row>
    <row r="54" spans="1:8">
      <c r="A54" s="712"/>
      <c r="B54" s="712"/>
      <c r="C54" s="712"/>
      <c r="D54" s="712"/>
      <c r="E54" s="806"/>
      <c r="F54" s="807"/>
      <c r="G54" s="807"/>
      <c r="H54" s="809">
        <f>SUM(H52:H53)</f>
        <v>4158.7</v>
      </c>
    </row>
    <row r="55" spans="1:8">
      <c r="A55" s="712"/>
      <c r="B55" s="712"/>
      <c r="C55" s="712"/>
      <c r="D55" s="712"/>
      <c r="E55" s="806"/>
      <c r="F55" s="807"/>
      <c r="G55" s="807"/>
      <c r="H55" s="809"/>
    </row>
    <row r="56" spans="1:8">
      <c r="A56" s="712"/>
      <c r="B56" s="712"/>
      <c r="C56" s="712"/>
      <c r="D56" s="712"/>
      <c r="E56" s="806"/>
      <c r="F56" s="807"/>
      <c r="G56" s="807"/>
      <c r="H56" s="809"/>
    </row>
    <row r="57" spans="1:8">
      <c r="A57" s="712"/>
      <c r="B57" s="712"/>
      <c r="C57" s="712"/>
      <c r="D57" s="712"/>
      <c r="E57" s="806"/>
      <c r="F57" s="807"/>
      <c r="G57" s="807"/>
      <c r="H57" s="809"/>
    </row>
    <row r="59" spans="1:8">
      <c r="A59" s="703" t="str">
        <f>+[14]PRESUPUESTO!$A$113</f>
        <v>__________________________________________</v>
      </c>
    </row>
    <row r="60" spans="1:8">
      <c r="A60" s="810" t="str">
        <f>+[14]PRESUPUESTO!$A$114</f>
        <v>Ing. JHON FREDY GARCIA MENDEZ</v>
      </c>
    </row>
    <row r="61" spans="1:8">
      <c r="A61" s="811" t="str">
        <f>+[14]PRESUPUESTO!$A$115</f>
        <v>M.P.  70268-326294 TLM.</v>
      </c>
    </row>
    <row r="62" spans="1:8">
      <c r="A62" s="811" t="str">
        <f>+[14]PRESUPUESTO!$A$116</f>
        <v>CONSULTOR</v>
      </c>
    </row>
  </sheetData>
  <mergeCells count="15">
    <mergeCell ref="B47:D47"/>
    <mergeCell ref="B48:D48"/>
    <mergeCell ref="B49:D49"/>
    <mergeCell ref="B6:D6"/>
    <mergeCell ref="B7:E7"/>
    <mergeCell ref="B8:E8"/>
    <mergeCell ref="B36:C36"/>
    <mergeCell ref="B45:D45"/>
    <mergeCell ref="B46:D46"/>
    <mergeCell ref="D2:E4"/>
    <mergeCell ref="F2:H2"/>
    <mergeCell ref="F3:H3"/>
    <mergeCell ref="F4:H4"/>
    <mergeCell ref="A5:E5"/>
    <mergeCell ref="F5:H5"/>
  </mergeCells>
  <pageMargins left="0.74803149606299213" right="0.74803149606299213" top="0.98425196850393704" bottom="0.98425196850393704" header="0" footer="0"/>
  <pageSetup paperSize="9" scale="70" orientation="portrait" r:id="rId1"/>
  <headerFooter alignWithMargins="0"/>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Hoja31">
    <tabColor theme="6" tint="0.79998168889431442"/>
  </sheetPr>
  <dimension ref="A1:I62"/>
  <sheetViews>
    <sheetView view="pageBreakPreview" topLeftCell="A27" zoomScaleNormal="100" zoomScaleSheetLayoutView="100" workbookViewId="0">
      <selection activeCell="F47" sqref="F47"/>
    </sheetView>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2.710937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f>+PRESUPUESTO!A13</f>
        <v>1</v>
      </c>
      <c r="B7" s="2185" t="str">
        <f>+PRESUPUESTO!B13</f>
        <v>REDES DE COLECTORES DE ALCANTARILLADO SANITARIO</v>
      </c>
      <c r="C7" s="2185"/>
      <c r="D7" s="2185"/>
      <c r="E7" s="2185"/>
      <c r="F7" s="289"/>
      <c r="G7" s="290" t="s">
        <v>525</v>
      </c>
      <c r="H7" s="97" t="str">
        <f>+PRESUPUESTO!C17</f>
        <v>m3</v>
      </c>
    </row>
    <row r="8" spans="1:9">
      <c r="A8" s="97" t="str">
        <f>+PRESUPUESTO!A17</f>
        <v>1.1.2</v>
      </c>
      <c r="B8" s="2229" t="str">
        <f>+PRESUPUESTO!B17</f>
        <v xml:space="preserve">Excavación manual en material común a todo factor. </v>
      </c>
      <c r="C8" s="2217"/>
      <c r="D8" s="2217"/>
      <c r="E8" s="221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966</v>
      </c>
      <c r="B13" s="305" t="str">
        <f t="shared" ref="B13:B18" si="0">IF(A13="","",VLOOKUP(A13,EQUI,2,FALSE))</f>
        <v>Herramienta Menor (5% de la mano de obra).</v>
      </c>
      <c r="C13" s="306"/>
      <c r="D13" s="306"/>
      <c r="E13" s="276" t="str">
        <f t="shared" ref="E13:E18" si="1">IF(A13="","",VLOOKUP(A13,EQUI,3,FALSE))</f>
        <v>%</v>
      </c>
      <c r="F13" s="433">
        <f>IF(A13="","",VLOOKUP(A13,EQUI,4,FALSE))</f>
        <v>0.05</v>
      </c>
      <c r="G13" s="307">
        <f>ROUND(F13*H50,0)</f>
        <v>1623</v>
      </c>
      <c r="H13" s="308">
        <f>+G13</f>
        <v>1623</v>
      </c>
      <c r="I13" s="309"/>
    </row>
    <row r="14" spans="1:9">
      <c r="A14" s="536"/>
      <c r="B14" s="305" t="str">
        <f t="shared" si="0"/>
        <v/>
      </c>
      <c r="C14" s="306"/>
      <c r="D14" s="306"/>
      <c r="E14" s="276" t="str">
        <f t="shared" si="1"/>
        <v/>
      </c>
      <c r="F14" s="405"/>
      <c r="G14" s="310" t="str">
        <f>IF(A14="","",VLOOKUP(A14,EQUI,4,FALSE))</f>
        <v/>
      </c>
      <c r="H14" s="311" t="str">
        <f>IF(A14="","",ROUND((G14/F14),0))</f>
        <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1623</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c r="B23" s="353" t="str">
        <f t="shared" ref="B23:B32" si="2">IF(A23="","",VLOOKUP(A23,MAT,2,FALSE))</f>
        <v/>
      </c>
      <c r="C23" s="305"/>
      <c r="D23" s="306"/>
      <c r="E23" s="276" t="str">
        <f t="shared" ref="E23:E32" si="3">IF(A23="","",VLOOKUP(A23,MAT,3,FALSE))</f>
        <v/>
      </c>
      <c r="F23" s="405"/>
      <c r="G23" s="310" t="str">
        <f t="shared" ref="G23:G32" si="4">IF(A23="","",VLOOKUP(A23,MAT,5,FALSE))</f>
        <v/>
      </c>
      <c r="H23" s="311" t="str">
        <f t="shared" ref="H23:H32" si="5">IF(A23="","",ROUND((G23*F23),0))</f>
        <v/>
      </c>
    </row>
    <row r="24" spans="1:8">
      <c r="A24" s="534"/>
      <c r="B24" s="353" t="str">
        <f t="shared" si="2"/>
        <v/>
      </c>
      <c r="C24" s="305"/>
      <c r="D24" s="306"/>
      <c r="E24" s="276" t="str">
        <f t="shared" si="3"/>
        <v/>
      </c>
      <c r="F24" s="405"/>
      <c r="G24" s="310" t="str">
        <f t="shared" si="4"/>
        <v/>
      </c>
      <c r="H24" s="311" t="str">
        <f t="shared" si="5"/>
        <v/>
      </c>
    </row>
    <row r="25" spans="1:8">
      <c r="A25" s="534"/>
      <c r="B25" s="353" t="str">
        <f t="shared" si="2"/>
        <v/>
      </c>
      <c r="C25" s="305"/>
      <c r="D25" s="306"/>
      <c r="E25" s="276" t="str">
        <f t="shared" si="3"/>
        <v/>
      </c>
      <c r="F25" s="405"/>
      <c r="G25" s="310" t="str">
        <f t="shared" si="4"/>
        <v/>
      </c>
      <c r="H25" s="311" t="str">
        <f t="shared" si="5"/>
        <v/>
      </c>
    </row>
    <row r="26" spans="1:8">
      <c r="A26" s="534"/>
      <c r="B26" s="305" t="str">
        <f t="shared" si="2"/>
        <v/>
      </c>
      <c r="C26" s="305"/>
      <c r="D26" s="306"/>
      <c r="E26" s="276" t="str">
        <f t="shared" si="3"/>
        <v/>
      </c>
      <c r="F26" s="405"/>
      <c r="G26" s="310" t="str">
        <f t="shared" si="4"/>
        <v/>
      </c>
      <c r="H26" s="311" t="str">
        <f t="shared" si="5"/>
        <v/>
      </c>
    </row>
    <row r="27" spans="1:8">
      <c r="A27" s="534"/>
      <c r="B27" s="305" t="str">
        <f t="shared" si="2"/>
        <v/>
      </c>
      <c r="C27" s="305"/>
      <c r="D27" s="306"/>
      <c r="E27" s="276" t="str">
        <f t="shared" si="3"/>
        <v/>
      </c>
      <c r="F27" s="405"/>
      <c r="G27" s="310" t="str">
        <f t="shared" si="4"/>
        <v/>
      </c>
      <c r="H27" s="311" t="str">
        <f t="shared" si="5"/>
        <v/>
      </c>
    </row>
    <row r="28" spans="1:8">
      <c r="A28" s="534"/>
      <c r="B28" s="305" t="str">
        <f t="shared" si="2"/>
        <v/>
      </c>
      <c r="C28" s="305"/>
      <c r="D28" s="306"/>
      <c r="E28" s="276" t="str">
        <f t="shared" si="3"/>
        <v/>
      </c>
      <c r="F28" s="405"/>
      <c r="G28" s="310" t="str">
        <f t="shared" si="4"/>
        <v/>
      </c>
      <c r="H28" s="311" t="str">
        <f t="shared" si="5"/>
        <v/>
      </c>
    </row>
    <row r="29" spans="1:8">
      <c r="A29" s="534"/>
      <c r="B29" s="305" t="str">
        <f t="shared" si="2"/>
        <v/>
      </c>
      <c r="C29" s="305"/>
      <c r="D29" s="306"/>
      <c r="E29" s="276" t="str">
        <f t="shared" si="3"/>
        <v/>
      </c>
      <c r="F29" s="405"/>
      <c r="G29" s="310" t="str">
        <f t="shared" si="4"/>
        <v/>
      </c>
      <c r="H29" s="311" t="str">
        <f t="shared" si="5"/>
        <v/>
      </c>
    </row>
    <row r="30" spans="1:8">
      <c r="A30" s="534"/>
      <c r="B30" s="305" t="str">
        <f t="shared" si="2"/>
        <v/>
      </c>
      <c r="C30" s="305"/>
      <c r="D30" s="306"/>
      <c r="E30" s="276" t="str">
        <f t="shared" si="3"/>
        <v/>
      </c>
      <c r="F30" s="405"/>
      <c r="G30" s="310" t="str">
        <f t="shared" si="4"/>
        <v/>
      </c>
      <c r="H30" s="311" t="str">
        <f t="shared" si="5"/>
        <v/>
      </c>
    </row>
    <row r="31" spans="1:8">
      <c r="A31" s="534"/>
      <c r="B31" s="305" t="str">
        <f t="shared" si="2"/>
        <v/>
      </c>
      <c r="C31" s="305"/>
      <c r="D31" s="306"/>
      <c r="E31" s="276" t="str">
        <f t="shared" si="3"/>
        <v/>
      </c>
      <c r="F31" s="405"/>
      <c r="G31" s="310" t="str">
        <f t="shared" si="4"/>
        <v/>
      </c>
      <c r="H31" s="311" t="str">
        <f t="shared" si="5"/>
        <v/>
      </c>
    </row>
    <row r="32" spans="1:8" ht="13.5" thickBot="1">
      <c r="A32" s="535"/>
      <c r="B32" s="326" t="str">
        <f t="shared" si="2"/>
        <v/>
      </c>
      <c r="C32" s="314"/>
      <c r="D32" s="314"/>
      <c r="E32" s="315" t="str">
        <f t="shared" si="3"/>
        <v/>
      </c>
      <c r="F32" s="406"/>
      <c r="G32" s="327" t="str">
        <f t="shared" si="4"/>
        <v/>
      </c>
      <c r="H32" s="311" t="str">
        <f t="shared" si="5"/>
        <v/>
      </c>
    </row>
    <row r="33" spans="1:8" ht="13.5" thickBot="1">
      <c r="A33" s="285"/>
      <c r="B33" s="285"/>
      <c r="C33" s="285"/>
      <c r="D33" s="285"/>
      <c r="E33" s="286"/>
      <c r="F33" s="285"/>
      <c r="G33" s="210" t="s">
        <v>529</v>
      </c>
      <c r="H33" s="328">
        <f>ROUND(SUM(H23:H32),0)</f>
        <v>0</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546"/>
      <c r="B37" s="305" t="str">
        <f>IF(A37="","",VLOOKUP(A37,MAT,2,FALSE))</f>
        <v/>
      </c>
      <c r="C37" s="333"/>
      <c r="D37" s="409" t="str">
        <f>IF(A37="","",VLOOKUP(A37,MAT,3,FALSE))</f>
        <v/>
      </c>
      <c r="E37" s="419" t="str">
        <f>IF(A37="","",VLOOKUP(A37,MAT,6,FALSE))</f>
        <v/>
      </c>
      <c r="F37" s="413"/>
      <c r="G37" s="334" t="str">
        <f>IF(A37="","",VLOOKUP(A37,MAT,7,FALSE))</f>
        <v/>
      </c>
      <c r="H37" s="311" t="str">
        <f>IF(A37="","",ROUND((G37*F37*E37),0))</f>
        <v/>
      </c>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t="str">
        <f>IF(A39="","",ROUND((G39*F39*E39),0))</f>
        <v/>
      </c>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0</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883</v>
      </c>
      <c r="B46" s="2192" t="str">
        <f>IF(A46="","",VLOOKUP(A46,MO,2,FALSE))</f>
        <v>Cuadrilla AA: Albañilería. (1 Of. + 1 Ayud.).</v>
      </c>
      <c r="C46" s="2193"/>
      <c r="D46" s="2194"/>
      <c r="E46" s="538" t="str">
        <f>IF(A46="","",VLOOKUP(A46,MO,13,FALSE))</f>
        <v>HC</v>
      </c>
      <c r="F46" s="544">
        <v>1.2</v>
      </c>
      <c r="G46" s="540">
        <f>IF(A46="","",VLOOKUP(A46,MO,15,FALSE))</f>
        <v>38949</v>
      </c>
      <c r="H46" s="542">
        <f>IF(A46="","",ROUND((G46/F46),0))</f>
        <v>32458</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32458</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34081</v>
      </c>
    </row>
    <row r="53" spans="1:8">
      <c r="A53" s="285"/>
      <c r="B53" s="285"/>
      <c r="C53" s="285"/>
      <c r="D53" s="285"/>
      <c r="E53" s="346" t="s">
        <v>2696</v>
      </c>
      <c r="F53" s="347"/>
      <c r="G53" s="347">
        <v>0.3</v>
      </c>
      <c r="H53" s="349">
        <f>H52*G53</f>
        <v>10224.299999999999</v>
      </c>
    </row>
    <row r="54" spans="1:8">
      <c r="A54" s="285"/>
      <c r="B54" s="285"/>
      <c r="C54" s="285"/>
      <c r="D54" s="285"/>
      <c r="E54" s="346"/>
      <c r="F54" s="347"/>
      <c r="G54" s="347"/>
      <c r="H54" s="349">
        <f>SUM(H52:H53)</f>
        <v>44305.3</v>
      </c>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c r="A59" s="703" t="str">
        <f>+[14]PRESUPUESTO!$A$113</f>
        <v>__________________________________________</v>
      </c>
      <c r="B59" s="703"/>
    </row>
    <row r="60" spans="1:8">
      <c r="A60" s="810" t="str">
        <f>+[14]PRESUPUESTO!$A$114</f>
        <v>Ing. JHON FREDY GARCIA MENDEZ</v>
      </c>
      <c r="B60" s="703"/>
    </row>
    <row r="61" spans="1:8">
      <c r="A61" s="811" t="str">
        <f>+[14]PRESUPUESTO!$A$115</f>
        <v>M.P.  70268-326294 TLM.</v>
      </c>
      <c r="B61" s="703"/>
    </row>
    <row r="62" spans="1:8">
      <c r="A62" s="811" t="str">
        <f>+[14]PRESUPUESTO!$A$116</f>
        <v>CONSULTOR</v>
      </c>
      <c r="B62" s="703"/>
    </row>
  </sheetData>
  <mergeCells count="15">
    <mergeCell ref="D2:E4"/>
    <mergeCell ref="F2:H2"/>
    <mergeCell ref="F3:H3"/>
    <mergeCell ref="F4:H4"/>
    <mergeCell ref="A5:E5"/>
    <mergeCell ref="F5:H5"/>
    <mergeCell ref="B47:D47"/>
    <mergeCell ref="B48:D48"/>
    <mergeCell ref="B49:D49"/>
    <mergeCell ref="B6:D6"/>
    <mergeCell ref="B7:E7"/>
    <mergeCell ref="B8:E8"/>
    <mergeCell ref="B36:C36"/>
    <mergeCell ref="B45:D45"/>
    <mergeCell ref="B46:D46"/>
  </mergeCells>
  <pageMargins left="0.75" right="0.75" top="1" bottom="1" header="0" footer="0"/>
  <pageSetup paperSize="9" scale="70" orientation="portrait" r:id="rId1"/>
  <headerFooter alignWithMargins="0"/>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theme="6" tint="0.79998168889431442"/>
  </sheetPr>
  <dimension ref="A1:I62"/>
  <sheetViews>
    <sheetView view="pageBreakPreview" topLeftCell="A30" zoomScaleNormal="100" zoomScaleSheetLayoutView="100" workbookViewId="0">
      <selection activeCell="F47" sqref="F47"/>
    </sheetView>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2.710937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f>+PRESUPUESTO!A13</f>
        <v>1</v>
      </c>
      <c r="B7" s="2185" t="str">
        <f>+PRESUPUESTO!B13</f>
        <v>REDES DE COLECTORES DE ALCANTARILLADO SANITARIO</v>
      </c>
      <c r="C7" s="2185"/>
      <c r="D7" s="2185"/>
      <c r="E7" s="2185"/>
      <c r="F7" s="289"/>
      <c r="G7" s="290" t="s">
        <v>525</v>
      </c>
      <c r="H7" s="97" t="str">
        <f>+PRESUPUESTO!C18</f>
        <v>m3</v>
      </c>
    </row>
    <row r="8" spans="1:9">
      <c r="A8" s="97" t="str">
        <f>+PRESUPUESTO!A18</f>
        <v>1.1.3</v>
      </c>
      <c r="B8" s="2229" t="str">
        <f>+PRESUPUESTO!B18</f>
        <v xml:space="preserve">Excavación manual en material conglomnerado a todo factor. </v>
      </c>
      <c r="C8" s="2217"/>
      <c r="D8" s="2217"/>
      <c r="E8" s="221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966</v>
      </c>
      <c r="B13" s="305" t="str">
        <f t="shared" ref="B13:B18" si="0">IF(A13="","",VLOOKUP(A13,EQUI,2,FALSE))</f>
        <v>Herramienta Menor (5% de la mano de obra).</v>
      </c>
      <c r="C13" s="306"/>
      <c r="D13" s="306"/>
      <c r="E13" s="276" t="str">
        <f t="shared" ref="E13:E18" si="1">IF(A13="","",VLOOKUP(A13,EQUI,3,FALSE))</f>
        <v>%</v>
      </c>
      <c r="F13" s="433">
        <f>IF(A13="","",VLOOKUP(A13,EQUI,4,FALSE))</f>
        <v>0.05</v>
      </c>
      <c r="G13" s="307">
        <f>ROUND(F13*H50,0)</f>
        <v>2164</v>
      </c>
      <c r="H13" s="308">
        <f>+G13</f>
        <v>2164</v>
      </c>
      <c r="I13" s="309"/>
    </row>
    <row r="14" spans="1:9">
      <c r="A14" s="536"/>
      <c r="B14" s="305" t="str">
        <f t="shared" si="0"/>
        <v/>
      </c>
      <c r="C14" s="306"/>
      <c r="D14" s="306"/>
      <c r="E14" s="276" t="str">
        <f t="shared" si="1"/>
        <v/>
      </c>
      <c r="F14" s="405"/>
      <c r="G14" s="310" t="str">
        <f>IF(A14="","",VLOOKUP(A14,EQUI,4,FALSE))</f>
        <v/>
      </c>
      <c r="H14" s="311" t="str">
        <f>IF(A14="","",ROUND((G14/F14),0))</f>
        <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2164</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c r="B23" s="353" t="str">
        <f t="shared" ref="B23:B32" si="2">IF(A23="","",VLOOKUP(A23,MAT,2,FALSE))</f>
        <v/>
      </c>
      <c r="C23" s="305"/>
      <c r="D23" s="306"/>
      <c r="E23" s="276" t="str">
        <f t="shared" ref="E23:E32" si="3">IF(A23="","",VLOOKUP(A23,MAT,3,FALSE))</f>
        <v/>
      </c>
      <c r="F23" s="405"/>
      <c r="G23" s="310" t="str">
        <f t="shared" ref="G23:G32" si="4">IF(A23="","",VLOOKUP(A23,MAT,5,FALSE))</f>
        <v/>
      </c>
      <c r="H23" s="311" t="str">
        <f t="shared" ref="H23:H32" si="5">IF(A23="","",ROUND((G23*F23),0))</f>
        <v/>
      </c>
    </row>
    <row r="24" spans="1:8">
      <c r="A24" s="534"/>
      <c r="B24" s="353" t="str">
        <f t="shared" si="2"/>
        <v/>
      </c>
      <c r="C24" s="305"/>
      <c r="D24" s="306"/>
      <c r="E24" s="276" t="str">
        <f t="shared" si="3"/>
        <v/>
      </c>
      <c r="F24" s="405"/>
      <c r="G24" s="310" t="str">
        <f t="shared" si="4"/>
        <v/>
      </c>
      <c r="H24" s="311" t="str">
        <f t="shared" si="5"/>
        <v/>
      </c>
    </row>
    <row r="25" spans="1:8">
      <c r="A25" s="534"/>
      <c r="B25" s="353" t="str">
        <f t="shared" si="2"/>
        <v/>
      </c>
      <c r="C25" s="305"/>
      <c r="D25" s="306"/>
      <c r="E25" s="276" t="str">
        <f t="shared" si="3"/>
        <v/>
      </c>
      <c r="F25" s="405"/>
      <c r="G25" s="310" t="str">
        <f t="shared" si="4"/>
        <v/>
      </c>
      <c r="H25" s="311" t="str">
        <f t="shared" si="5"/>
        <v/>
      </c>
    </row>
    <row r="26" spans="1:8">
      <c r="A26" s="534"/>
      <c r="B26" s="305" t="str">
        <f t="shared" si="2"/>
        <v/>
      </c>
      <c r="C26" s="305"/>
      <c r="D26" s="306"/>
      <c r="E26" s="276" t="str">
        <f t="shared" si="3"/>
        <v/>
      </c>
      <c r="F26" s="405"/>
      <c r="G26" s="310" t="str">
        <f t="shared" si="4"/>
        <v/>
      </c>
      <c r="H26" s="311" t="str">
        <f t="shared" si="5"/>
        <v/>
      </c>
    </row>
    <row r="27" spans="1:8">
      <c r="A27" s="534"/>
      <c r="B27" s="305" t="str">
        <f t="shared" si="2"/>
        <v/>
      </c>
      <c r="C27" s="305"/>
      <c r="D27" s="306"/>
      <c r="E27" s="276" t="str">
        <f t="shared" si="3"/>
        <v/>
      </c>
      <c r="F27" s="405"/>
      <c r="G27" s="310" t="str">
        <f t="shared" si="4"/>
        <v/>
      </c>
      <c r="H27" s="311" t="str">
        <f t="shared" si="5"/>
        <v/>
      </c>
    </row>
    <row r="28" spans="1:8">
      <c r="A28" s="534"/>
      <c r="B28" s="305" t="str">
        <f t="shared" si="2"/>
        <v/>
      </c>
      <c r="C28" s="305"/>
      <c r="D28" s="306"/>
      <c r="E28" s="276" t="str">
        <f t="shared" si="3"/>
        <v/>
      </c>
      <c r="F28" s="405"/>
      <c r="G28" s="310" t="str">
        <f t="shared" si="4"/>
        <v/>
      </c>
      <c r="H28" s="311" t="str">
        <f t="shared" si="5"/>
        <v/>
      </c>
    </row>
    <row r="29" spans="1:8">
      <c r="A29" s="534"/>
      <c r="B29" s="305" t="str">
        <f t="shared" si="2"/>
        <v/>
      </c>
      <c r="C29" s="305"/>
      <c r="D29" s="306"/>
      <c r="E29" s="276" t="str">
        <f t="shared" si="3"/>
        <v/>
      </c>
      <c r="F29" s="405"/>
      <c r="G29" s="310" t="str">
        <f t="shared" si="4"/>
        <v/>
      </c>
      <c r="H29" s="311" t="str">
        <f t="shared" si="5"/>
        <v/>
      </c>
    </row>
    <row r="30" spans="1:8">
      <c r="A30" s="534"/>
      <c r="B30" s="305" t="str">
        <f t="shared" si="2"/>
        <v/>
      </c>
      <c r="C30" s="305"/>
      <c r="D30" s="306"/>
      <c r="E30" s="276" t="str">
        <f t="shared" si="3"/>
        <v/>
      </c>
      <c r="F30" s="405"/>
      <c r="G30" s="310" t="str">
        <f t="shared" si="4"/>
        <v/>
      </c>
      <c r="H30" s="311" t="str">
        <f t="shared" si="5"/>
        <v/>
      </c>
    </row>
    <row r="31" spans="1:8">
      <c r="A31" s="534"/>
      <c r="B31" s="305" t="str">
        <f t="shared" si="2"/>
        <v/>
      </c>
      <c r="C31" s="305"/>
      <c r="D31" s="306"/>
      <c r="E31" s="276" t="str">
        <f t="shared" si="3"/>
        <v/>
      </c>
      <c r="F31" s="405"/>
      <c r="G31" s="310" t="str">
        <f t="shared" si="4"/>
        <v/>
      </c>
      <c r="H31" s="311" t="str">
        <f t="shared" si="5"/>
        <v/>
      </c>
    </row>
    <row r="32" spans="1:8" ht="13.5" thickBot="1">
      <c r="A32" s="535"/>
      <c r="B32" s="326" t="str">
        <f t="shared" si="2"/>
        <v/>
      </c>
      <c r="C32" s="314"/>
      <c r="D32" s="314"/>
      <c r="E32" s="315" t="str">
        <f t="shared" si="3"/>
        <v/>
      </c>
      <c r="F32" s="406"/>
      <c r="G32" s="327" t="str">
        <f t="shared" si="4"/>
        <v/>
      </c>
      <c r="H32" s="311" t="str">
        <f t="shared" si="5"/>
        <v/>
      </c>
    </row>
    <row r="33" spans="1:8" ht="13.5" thickBot="1">
      <c r="A33" s="285"/>
      <c r="B33" s="285"/>
      <c r="C33" s="285"/>
      <c r="D33" s="285"/>
      <c r="E33" s="286"/>
      <c r="F33" s="285"/>
      <c r="G33" s="210" t="s">
        <v>529</v>
      </c>
      <c r="H33" s="328">
        <f>ROUND(SUM(H23:H32),0)</f>
        <v>0</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546"/>
      <c r="B37" s="305" t="str">
        <f>IF(A37="","",VLOOKUP(A37,MAT,2,FALSE))</f>
        <v/>
      </c>
      <c r="C37" s="333"/>
      <c r="D37" s="409" t="str">
        <f>IF(A37="","",VLOOKUP(A37,MAT,3,FALSE))</f>
        <v/>
      </c>
      <c r="E37" s="419" t="str">
        <f>IF(A37="","",VLOOKUP(A37,MAT,6,FALSE))</f>
        <v/>
      </c>
      <c r="F37" s="413"/>
      <c r="G37" s="334" t="str">
        <f>IF(A37="","",VLOOKUP(A37,MAT,7,FALSE))</f>
        <v/>
      </c>
      <c r="H37" s="311" t="str">
        <f>IF(A37="","",ROUND((G37*F37*E37),0))</f>
        <v/>
      </c>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t="str">
        <f>IF(A39="","",ROUND((G39*F39*E39),0))</f>
        <v/>
      </c>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0</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883</v>
      </c>
      <c r="B46" s="2192" t="str">
        <f>IF(A46="","",VLOOKUP(A46,MO,2,FALSE))</f>
        <v>Cuadrilla AA: Albañilería. (1 Of. + 1 Ayud.).</v>
      </c>
      <c r="C46" s="2193"/>
      <c r="D46" s="2194"/>
      <c r="E46" s="538" t="str">
        <f>IF(A46="","",VLOOKUP(A46,MO,13,FALSE))</f>
        <v>HC</v>
      </c>
      <c r="F46" s="544">
        <v>0.9</v>
      </c>
      <c r="G46" s="540">
        <f>IF(A46="","",VLOOKUP(A46,MO,15,FALSE))</f>
        <v>38949</v>
      </c>
      <c r="H46" s="542">
        <f>IF(A46="","",ROUND((G46/F46),0))</f>
        <v>43277</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43277</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45441</v>
      </c>
    </row>
    <row r="53" spans="1:8">
      <c r="A53" s="285"/>
      <c r="B53" s="285"/>
      <c r="C53" s="285"/>
      <c r="D53" s="285"/>
      <c r="E53" s="346" t="s">
        <v>2697</v>
      </c>
      <c r="F53" s="347"/>
      <c r="G53" s="347">
        <v>0.3</v>
      </c>
      <c r="H53" s="349">
        <f>H52*G53</f>
        <v>13632.3</v>
      </c>
    </row>
    <row r="54" spans="1:8">
      <c r="A54" s="285"/>
      <c r="B54" s="285"/>
      <c r="C54" s="285"/>
      <c r="D54" s="285"/>
      <c r="E54" s="346"/>
      <c r="F54" s="347"/>
      <c r="G54" s="347"/>
      <c r="H54" s="349">
        <f>SUM(H52:H53)</f>
        <v>59073.3</v>
      </c>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c r="A59" s="703" t="str">
        <f>+[14]PRESUPUESTO!$A$113</f>
        <v>__________________________________________</v>
      </c>
      <c r="B59" s="703"/>
    </row>
    <row r="60" spans="1:8">
      <c r="A60" s="810" t="str">
        <f>+[14]PRESUPUESTO!$A$114</f>
        <v>Ing. JHON FREDY GARCIA MENDEZ</v>
      </c>
      <c r="B60" s="703"/>
    </row>
    <row r="61" spans="1:8">
      <c r="A61" s="811" t="str">
        <f>+[14]PRESUPUESTO!$A$115</f>
        <v>M.P.  70268-326294 TLM.</v>
      </c>
      <c r="B61" s="703"/>
    </row>
    <row r="62" spans="1:8">
      <c r="A62" s="811" t="str">
        <f>+[14]PRESUPUESTO!$A$116</f>
        <v>CONSULTOR</v>
      </c>
      <c r="B62" s="703"/>
    </row>
  </sheetData>
  <mergeCells count="15">
    <mergeCell ref="D2:E4"/>
    <mergeCell ref="F2:H2"/>
    <mergeCell ref="F3:H3"/>
    <mergeCell ref="F4:H4"/>
    <mergeCell ref="A5:E5"/>
    <mergeCell ref="F5:H5"/>
    <mergeCell ref="B47:D47"/>
    <mergeCell ref="B48:D48"/>
    <mergeCell ref="B49:D49"/>
    <mergeCell ref="B6:D6"/>
    <mergeCell ref="B7:E7"/>
    <mergeCell ref="B8:E8"/>
    <mergeCell ref="B36:C36"/>
    <mergeCell ref="B45:D45"/>
    <mergeCell ref="B46:D46"/>
  </mergeCells>
  <pageMargins left="0.75" right="0.75" top="1" bottom="1" header="0" footer="0"/>
  <pageSetup paperSize="9" scale="70" orientation="portrait" r:id="rId1"/>
  <headerFooter alignWithMargins="0"/>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Hoja12">
    <tabColor theme="8" tint="0.79998168889431442"/>
  </sheetPr>
  <dimension ref="A1:I62"/>
  <sheetViews>
    <sheetView view="pageBreakPreview" topLeftCell="A34" zoomScaleNormal="100" zoomScaleSheetLayoutView="100" workbookViewId="0">
      <selection activeCell="F15" sqref="F15"/>
    </sheetView>
  </sheetViews>
  <sheetFormatPr baseColWidth="10" defaultColWidth="11.42578125" defaultRowHeight="12.75"/>
  <cols>
    <col min="1" max="1" width="9.140625" style="703" customWidth="1"/>
    <col min="2" max="2" width="12.28515625" style="703" bestFit="1" customWidth="1"/>
    <col min="3" max="3" width="25.85546875" style="703" customWidth="1"/>
    <col min="4" max="4" width="21" style="703" customWidth="1"/>
    <col min="5" max="5" width="13" style="703" customWidth="1"/>
    <col min="6" max="6" width="11.7109375" style="703" bestFit="1" customWidth="1"/>
    <col min="7" max="7" width="14" style="703" customWidth="1"/>
    <col min="8" max="8" width="13.85546875" style="703" customWidth="1"/>
    <col min="9" max="256" width="11.42578125" style="703"/>
    <col min="257" max="257" width="9.140625" style="703" customWidth="1"/>
    <col min="258" max="258" width="12.28515625" style="703" bestFit="1" customWidth="1"/>
    <col min="259" max="259" width="25.85546875" style="703" customWidth="1"/>
    <col min="260" max="260" width="21" style="703" customWidth="1"/>
    <col min="261" max="261" width="13" style="703" customWidth="1"/>
    <col min="262" max="262" width="11.7109375" style="703" bestFit="1" customWidth="1"/>
    <col min="263" max="263" width="14" style="703" customWidth="1"/>
    <col min="264" max="264" width="13.85546875" style="703" customWidth="1"/>
    <col min="265" max="512" width="11.42578125" style="703"/>
    <col min="513" max="513" width="9.140625" style="703" customWidth="1"/>
    <col min="514" max="514" width="12.28515625" style="703" bestFit="1" customWidth="1"/>
    <col min="515" max="515" width="25.85546875" style="703" customWidth="1"/>
    <col min="516" max="516" width="21" style="703" customWidth="1"/>
    <col min="517" max="517" width="13" style="703" customWidth="1"/>
    <col min="518" max="518" width="11.7109375" style="703" bestFit="1" customWidth="1"/>
    <col min="519" max="519" width="14" style="703" customWidth="1"/>
    <col min="520" max="520" width="13.85546875" style="703" customWidth="1"/>
    <col min="521" max="768" width="11.42578125" style="703"/>
    <col min="769" max="769" width="9.140625" style="703" customWidth="1"/>
    <col min="770" max="770" width="12.28515625" style="703" bestFit="1" customWidth="1"/>
    <col min="771" max="771" width="25.85546875" style="703" customWidth="1"/>
    <col min="772" max="772" width="21" style="703" customWidth="1"/>
    <col min="773" max="773" width="13" style="703" customWidth="1"/>
    <col min="774" max="774" width="11.7109375" style="703" bestFit="1" customWidth="1"/>
    <col min="775" max="775" width="14" style="703" customWidth="1"/>
    <col min="776" max="776" width="13.85546875" style="703" customWidth="1"/>
    <col min="777" max="1024" width="11.42578125" style="703"/>
    <col min="1025" max="1025" width="9.140625" style="703" customWidth="1"/>
    <col min="1026" max="1026" width="12.28515625" style="703" bestFit="1" customWidth="1"/>
    <col min="1027" max="1027" width="25.85546875" style="703" customWidth="1"/>
    <col min="1028" max="1028" width="21" style="703" customWidth="1"/>
    <col min="1029" max="1029" width="13" style="703" customWidth="1"/>
    <col min="1030" max="1030" width="11.7109375" style="703" bestFit="1" customWidth="1"/>
    <col min="1031" max="1031" width="14" style="703" customWidth="1"/>
    <col min="1032" max="1032" width="13.85546875" style="703" customWidth="1"/>
    <col min="1033" max="1280" width="11.42578125" style="703"/>
    <col min="1281" max="1281" width="9.140625" style="703" customWidth="1"/>
    <col min="1282" max="1282" width="12.28515625" style="703" bestFit="1" customWidth="1"/>
    <col min="1283" max="1283" width="25.85546875" style="703" customWidth="1"/>
    <col min="1284" max="1284" width="21" style="703" customWidth="1"/>
    <col min="1285" max="1285" width="13" style="703" customWidth="1"/>
    <col min="1286" max="1286" width="11.7109375" style="703" bestFit="1" customWidth="1"/>
    <col min="1287" max="1287" width="14" style="703" customWidth="1"/>
    <col min="1288" max="1288" width="13.85546875" style="703" customWidth="1"/>
    <col min="1289" max="1536" width="11.42578125" style="703"/>
    <col min="1537" max="1537" width="9.140625" style="703" customWidth="1"/>
    <col min="1538" max="1538" width="12.28515625" style="703" bestFit="1" customWidth="1"/>
    <col min="1539" max="1539" width="25.85546875" style="703" customWidth="1"/>
    <col min="1540" max="1540" width="21" style="703" customWidth="1"/>
    <col min="1541" max="1541" width="13" style="703" customWidth="1"/>
    <col min="1542" max="1542" width="11.7109375" style="703" bestFit="1" customWidth="1"/>
    <col min="1543" max="1543" width="14" style="703" customWidth="1"/>
    <col min="1544" max="1544" width="13.85546875" style="703" customWidth="1"/>
    <col min="1545" max="1792" width="11.42578125" style="703"/>
    <col min="1793" max="1793" width="9.140625" style="703" customWidth="1"/>
    <col min="1794" max="1794" width="12.28515625" style="703" bestFit="1" customWidth="1"/>
    <col min="1795" max="1795" width="25.85546875" style="703" customWidth="1"/>
    <col min="1796" max="1796" width="21" style="703" customWidth="1"/>
    <col min="1797" max="1797" width="13" style="703" customWidth="1"/>
    <col min="1798" max="1798" width="11.7109375" style="703" bestFit="1" customWidth="1"/>
    <col min="1799" max="1799" width="14" style="703" customWidth="1"/>
    <col min="1800" max="1800" width="13.85546875" style="703" customWidth="1"/>
    <col min="1801" max="2048" width="11.42578125" style="703"/>
    <col min="2049" max="2049" width="9.140625" style="703" customWidth="1"/>
    <col min="2050" max="2050" width="12.28515625" style="703" bestFit="1" customWidth="1"/>
    <col min="2051" max="2051" width="25.85546875" style="703" customWidth="1"/>
    <col min="2052" max="2052" width="21" style="703" customWidth="1"/>
    <col min="2053" max="2053" width="13" style="703" customWidth="1"/>
    <col min="2054" max="2054" width="11.7109375" style="703" bestFit="1" customWidth="1"/>
    <col min="2055" max="2055" width="14" style="703" customWidth="1"/>
    <col min="2056" max="2056" width="13.85546875" style="703" customWidth="1"/>
    <col min="2057" max="2304" width="11.42578125" style="703"/>
    <col min="2305" max="2305" width="9.140625" style="703" customWidth="1"/>
    <col min="2306" max="2306" width="12.28515625" style="703" bestFit="1" customWidth="1"/>
    <col min="2307" max="2307" width="25.85546875" style="703" customWidth="1"/>
    <col min="2308" max="2308" width="21" style="703" customWidth="1"/>
    <col min="2309" max="2309" width="13" style="703" customWidth="1"/>
    <col min="2310" max="2310" width="11.7109375" style="703" bestFit="1" customWidth="1"/>
    <col min="2311" max="2311" width="14" style="703" customWidth="1"/>
    <col min="2312" max="2312" width="13.85546875" style="703" customWidth="1"/>
    <col min="2313" max="2560" width="11.42578125" style="703"/>
    <col min="2561" max="2561" width="9.140625" style="703" customWidth="1"/>
    <col min="2562" max="2562" width="12.28515625" style="703" bestFit="1" customWidth="1"/>
    <col min="2563" max="2563" width="25.85546875" style="703" customWidth="1"/>
    <col min="2564" max="2564" width="21" style="703" customWidth="1"/>
    <col min="2565" max="2565" width="13" style="703" customWidth="1"/>
    <col min="2566" max="2566" width="11.7109375" style="703" bestFit="1" customWidth="1"/>
    <col min="2567" max="2567" width="14" style="703" customWidth="1"/>
    <col min="2568" max="2568" width="13.85546875" style="703" customWidth="1"/>
    <col min="2569" max="2816" width="11.42578125" style="703"/>
    <col min="2817" max="2817" width="9.140625" style="703" customWidth="1"/>
    <col min="2818" max="2818" width="12.28515625" style="703" bestFit="1" customWidth="1"/>
    <col min="2819" max="2819" width="25.85546875" style="703" customWidth="1"/>
    <col min="2820" max="2820" width="21" style="703" customWidth="1"/>
    <col min="2821" max="2821" width="13" style="703" customWidth="1"/>
    <col min="2822" max="2822" width="11.7109375" style="703" bestFit="1" customWidth="1"/>
    <col min="2823" max="2823" width="14" style="703" customWidth="1"/>
    <col min="2824" max="2824" width="13.85546875" style="703" customWidth="1"/>
    <col min="2825" max="3072" width="11.42578125" style="703"/>
    <col min="3073" max="3073" width="9.140625" style="703" customWidth="1"/>
    <col min="3074" max="3074" width="12.28515625" style="703" bestFit="1" customWidth="1"/>
    <col min="3075" max="3075" width="25.85546875" style="703" customWidth="1"/>
    <col min="3076" max="3076" width="21" style="703" customWidth="1"/>
    <col min="3077" max="3077" width="13" style="703" customWidth="1"/>
    <col min="3078" max="3078" width="11.7109375" style="703" bestFit="1" customWidth="1"/>
    <col min="3079" max="3079" width="14" style="703" customWidth="1"/>
    <col min="3080" max="3080" width="13.85546875" style="703" customWidth="1"/>
    <col min="3081" max="3328" width="11.42578125" style="703"/>
    <col min="3329" max="3329" width="9.140625" style="703" customWidth="1"/>
    <col min="3330" max="3330" width="12.28515625" style="703" bestFit="1" customWidth="1"/>
    <col min="3331" max="3331" width="25.85546875" style="703" customWidth="1"/>
    <col min="3332" max="3332" width="21" style="703" customWidth="1"/>
    <col min="3333" max="3333" width="13" style="703" customWidth="1"/>
    <col min="3334" max="3334" width="11.7109375" style="703" bestFit="1" customWidth="1"/>
    <col min="3335" max="3335" width="14" style="703" customWidth="1"/>
    <col min="3336" max="3336" width="13.85546875" style="703" customWidth="1"/>
    <col min="3337" max="3584" width="11.42578125" style="703"/>
    <col min="3585" max="3585" width="9.140625" style="703" customWidth="1"/>
    <col min="3586" max="3586" width="12.28515625" style="703" bestFit="1" customWidth="1"/>
    <col min="3587" max="3587" width="25.85546875" style="703" customWidth="1"/>
    <col min="3588" max="3588" width="21" style="703" customWidth="1"/>
    <col min="3589" max="3589" width="13" style="703" customWidth="1"/>
    <col min="3590" max="3590" width="11.7109375" style="703" bestFit="1" customWidth="1"/>
    <col min="3591" max="3591" width="14" style="703" customWidth="1"/>
    <col min="3592" max="3592" width="13.85546875" style="703" customWidth="1"/>
    <col min="3593" max="3840" width="11.42578125" style="703"/>
    <col min="3841" max="3841" width="9.140625" style="703" customWidth="1"/>
    <col min="3842" max="3842" width="12.28515625" style="703" bestFit="1" customWidth="1"/>
    <col min="3843" max="3843" width="25.85546875" style="703" customWidth="1"/>
    <col min="3844" max="3844" width="21" style="703" customWidth="1"/>
    <col min="3845" max="3845" width="13" style="703" customWidth="1"/>
    <col min="3846" max="3846" width="11.7109375" style="703" bestFit="1" customWidth="1"/>
    <col min="3847" max="3847" width="14" style="703" customWidth="1"/>
    <col min="3848" max="3848" width="13.85546875" style="703" customWidth="1"/>
    <col min="3849" max="4096" width="11.42578125" style="703"/>
    <col min="4097" max="4097" width="9.140625" style="703" customWidth="1"/>
    <col min="4098" max="4098" width="12.28515625" style="703" bestFit="1" customWidth="1"/>
    <col min="4099" max="4099" width="25.85546875" style="703" customWidth="1"/>
    <col min="4100" max="4100" width="21" style="703" customWidth="1"/>
    <col min="4101" max="4101" width="13" style="703" customWidth="1"/>
    <col min="4102" max="4102" width="11.7109375" style="703" bestFit="1" customWidth="1"/>
    <col min="4103" max="4103" width="14" style="703" customWidth="1"/>
    <col min="4104" max="4104" width="13.85546875" style="703" customWidth="1"/>
    <col min="4105" max="4352" width="11.42578125" style="703"/>
    <col min="4353" max="4353" width="9.140625" style="703" customWidth="1"/>
    <col min="4354" max="4354" width="12.28515625" style="703" bestFit="1" customWidth="1"/>
    <col min="4355" max="4355" width="25.85546875" style="703" customWidth="1"/>
    <col min="4356" max="4356" width="21" style="703" customWidth="1"/>
    <col min="4357" max="4357" width="13" style="703" customWidth="1"/>
    <col min="4358" max="4358" width="11.7109375" style="703" bestFit="1" customWidth="1"/>
    <col min="4359" max="4359" width="14" style="703" customWidth="1"/>
    <col min="4360" max="4360" width="13.85546875" style="703" customWidth="1"/>
    <col min="4361" max="4608" width="11.42578125" style="703"/>
    <col min="4609" max="4609" width="9.140625" style="703" customWidth="1"/>
    <col min="4610" max="4610" width="12.28515625" style="703" bestFit="1" customWidth="1"/>
    <col min="4611" max="4611" width="25.85546875" style="703" customWidth="1"/>
    <col min="4612" max="4612" width="21" style="703" customWidth="1"/>
    <col min="4613" max="4613" width="13" style="703" customWidth="1"/>
    <col min="4614" max="4614" width="11.7109375" style="703" bestFit="1" customWidth="1"/>
    <col min="4615" max="4615" width="14" style="703" customWidth="1"/>
    <col min="4616" max="4616" width="13.85546875" style="703" customWidth="1"/>
    <col min="4617" max="4864" width="11.42578125" style="703"/>
    <col min="4865" max="4865" width="9.140625" style="703" customWidth="1"/>
    <col min="4866" max="4866" width="12.28515625" style="703" bestFit="1" customWidth="1"/>
    <col min="4867" max="4867" width="25.85546875" style="703" customWidth="1"/>
    <col min="4868" max="4868" width="21" style="703" customWidth="1"/>
    <col min="4869" max="4869" width="13" style="703" customWidth="1"/>
    <col min="4870" max="4870" width="11.7109375" style="703" bestFit="1" customWidth="1"/>
    <col min="4871" max="4871" width="14" style="703" customWidth="1"/>
    <col min="4872" max="4872" width="13.85546875" style="703" customWidth="1"/>
    <col min="4873" max="5120" width="11.42578125" style="703"/>
    <col min="5121" max="5121" width="9.140625" style="703" customWidth="1"/>
    <col min="5122" max="5122" width="12.28515625" style="703" bestFit="1" customWidth="1"/>
    <col min="5123" max="5123" width="25.85546875" style="703" customWidth="1"/>
    <col min="5124" max="5124" width="21" style="703" customWidth="1"/>
    <col min="5125" max="5125" width="13" style="703" customWidth="1"/>
    <col min="5126" max="5126" width="11.7109375" style="703" bestFit="1" customWidth="1"/>
    <col min="5127" max="5127" width="14" style="703" customWidth="1"/>
    <col min="5128" max="5128" width="13.85546875" style="703" customWidth="1"/>
    <col min="5129" max="5376" width="11.42578125" style="703"/>
    <col min="5377" max="5377" width="9.140625" style="703" customWidth="1"/>
    <col min="5378" max="5378" width="12.28515625" style="703" bestFit="1" customWidth="1"/>
    <col min="5379" max="5379" width="25.85546875" style="703" customWidth="1"/>
    <col min="5380" max="5380" width="21" style="703" customWidth="1"/>
    <col min="5381" max="5381" width="13" style="703" customWidth="1"/>
    <col min="5382" max="5382" width="11.7109375" style="703" bestFit="1" customWidth="1"/>
    <col min="5383" max="5383" width="14" style="703" customWidth="1"/>
    <col min="5384" max="5384" width="13.85546875" style="703" customWidth="1"/>
    <col min="5385" max="5632" width="11.42578125" style="703"/>
    <col min="5633" max="5633" width="9.140625" style="703" customWidth="1"/>
    <col min="5634" max="5634" width="12.28515625" style="703" bestFit="1" customWidth="1"/>
    <col min="5635" max="5635" width="25.85546875" style="703" customWidth="1"/>
    <col min="5636" max="5636" width="21" style="703" customWidth="1"/>
    <col min="5637" max="5637" width="13" style="703" customWidth="1"/>
    <col min="5638" max="5638" width="11.7109375" style="703" bestFit="1" customWidth="1"/>
    <col min="5639" max="5639" width="14" style="703" customWidth="1"/>
    <col min="5640" max="5640" width="13.85546875" style="703" customWidth="1"/>
    <col min="5641" max="5888" width="11.42578125" style="703"/>
    <col min="5889" max="5889" width="9.140625" style="703" customWidth="1"/>
    <col min="5890" max="5890" width="12.28515625" style="703" bestFit="1" customWidth="1"/>
    <col min="5891" max="5891" width="25.85546875" style="703" customWidth="1"/>
    <col min="5892" max="5892" width="21" style="703" customWidth="1"/>
    <col min="5893" max="5893" width="13" style="703" customWidth="1"/>
    <col min="5894" max="5894" width="11.7109375" style="703" bestFit="1" customWidth="1"/>
    <col min="5895" max="5895" width="14" style="703" customWidth="1"/>
    <col min="5896" max="5896" width="13.85546875" style="703" customWidth="1"/>
    <col min="5897" max="6144" width="11.42578125" style="703"/>
    <col min="6145" max="6145" width="9.140625" style="703" customWidth="1"/>
    <col min="6146" max="6146" width="12.28515625" style="703" bestFit="1" customWidth="1"/>
    <col min="6147" max="6147" width="25.85546875" style="703" customWidth="1"/>
    <col min="6148" max="6148" width="21" style="703" customWidth="1"/>
    <col min="6149" max="6149" width="13" style="703" customWidth="1"/>
    <col min="6150" max="6150" width="11.7109375" style="703" bestFit="1" customWidth="1"/>
    <col min="6151" max="6151" width="14" style="703" customWidth="1"/>
    <col min="6152" max="6152" width="13.85546875" style="703" customWidth="1"/>
    <col min="6153" max="6400" width="11.42578125" style="703"/>
    <col min="6401" max="6401" width="9.140625" style="703" customWidth="1"/>
    <col min="6402" max="6402" width="12.28515625" style="703" bestFit="1" customWidth="1"/>
    <col min="6403" max="6403" width="25.85546875" style="703" customWidth="1"/>
    <col min="6404" max="6404" width="21" style="703" customWidth="1"/>
    <col min="6405" max="6405" width="13" style="703" customWidth="1"/>
    <col min="6406" max="6406" width="11.7109375" style="703" bestFit="1" customWidth="1"/>
    <col min="6407" max="6407" width="14" style="703" customWidth="1"/>
    <col min="6408" max="6408" width="13.85546875" style="703" customWidth="1"/>
    <col min="6409" max="6656" width="11.42578125" style="703"/>
    <col min="6657" max="6657" width="9.140625" style="703" customWidth="1"/>
    <col min="6658" max="6658" width="12.28515625" style="703" bestFit="1" customWidth="1"/>
    <col min="6659" max="6659" width="25.85546875" style="703" customWidth="1"/>
    <col min="6660" max="6660" width="21" style="703" customWidth="1"/>
    <col min="6661" max="6661" width="13" style="703" customWidth="1"/>
    <col min="6662" max="6662" width="11.7109375" style="703" bestFit="1" customWidth="1"/>
    <col min="6663" max="6663" width="14" style="703" customWidth="1"/>
    <col min="6664" max="6664" width="13.85546875" style="703" customWidth="1"/>
    <col min="6665" max="6912" width="11.42578125" style="703"/>
    <col min="6913" max="6913" width="9.140625" style="703" customWidth="1"/>
    <col min="6914" max="6914" width="12.28515625" style="703" bestFit="1" customWidth="1"/>
    <col min="6915" max="6915" width="25.85546875" style="703" customWidth="1"/>
    <col min="6916" max="6916" width="21" style="703" customWidth="1"/>
    <col min="6917" max="6917" width="13" style="703" customWidth="1"/>
    <col min="6918" max="6918" width="11.7109375" style="703" bestFit="1" customWidth="1"/>
    <col min="6919" max="6919" width="14" style="703" customWidth="1"/>
    <col min="6920" max="6920" width="13.85546875" style="703" customWidth="1"/>
    <col min="6921" max="7168" width="11.42578125" style="703"/>
    <col min="7169" max="7169" width="9.140625" style="703" customWidth="1"/>
    <col min="7170" max="7170" width="12.28515625" style="703" bestFit="1" customWidth="1"/>
    <col min="7171" max="7171" width="25.85546875" style="703" customWidth="1"/>
    <col min="7172" max="7172" width="21" style="703" customWidth="1"/>
    <col min="7173" max="7173" width="13" style="703" customWidth="1"/>
    <col min="7174" max="7174" width="11.7109375" style="703" bestFit="1" customWidth="1"/>
    <col min="7175" max="7175" width="14" style="703" customWidth="1"/>
    <col min="7176" max="7176" width="13.85546875" style="703" customWidth="1"/>
    <col min="7177" max="7424" width="11.42578125" style="703"/>
    <col min="7425" max="7425" width="9.140625" style="703" customWidth="1"/>
    <col min="7426" max="7426" width="12.28515625" style="703" bestFit="1" customWidth="1"/>
    <col min="7427" max="7427" width="25.85546875" style="703" customWidth="1"/>
    <col min="7428" max="7428" width="21" style="703" customWidth="1"/>
    <col min="7429" max="7429" width="13" style="703" customWidth="1"/>
    <col min="7430" max="7430" width="11.7109375" style="703" bestFit="1" customWidth="1"/>
    <col min="7431" max="7431" width="14" style="703" customWidth="1"/>
    <col min="7432" max="7432" width="13.85546875" style="703" customWidth="1"/>
    <col min="7433" max="7680" width="11.42578125" style="703"/>
    <col min="7681" max="7681" width="9.140625" style="703" customWidth="1"/>
    <col min="7682" max="7682" width="12.28515625" style="703" bestFit="1" customWidth="1"/>
    <col min="7683" max="7683" width="25.85546875" style="703" customWidth="1"/>
    <col min="7684" max="7684" width="21" style="703" customWidth="1"/>
    <col min="7685" max="7685" width="13" style="703" customWidth="1"/>
    <col min="7686" max="7686" width="11.7109375" style="703" bestFit="1" customWidth="1"/>
    <col min="7687" max="7687" width="14" style="703" customWidth="1"/>
    <col min="7688" max="7688" width="13.85546875" style="703" customWidth="1"/>
    <col min="7689" max="7936" width="11.42578125" style="703"/>
    <col min="7937" max="7937" width="9.140625" style="703" customWidth="1"/>
    <col min="7938" max="7938" width="12.28515625" style="703" bestFit="1" customWidth="1"/>
    <col min="7939" max="7939" width="25.85546875" style="703" customWidth="1"/>
    <col min="7940" max="7940" width="21" style="703" customWidth="1"/>
    <col min="7941" max="7941" width="13" style="703" customWidth="1"/>
    <col min="7942" max="7942" width="11.7109375" style="703" bestFit="1" customWidth="1"/>
    <col min="7943" max="7943" width="14" style="703" customWidth="1"/>
    <col min="7944" max="7944" width="13.85546875" style="703" customWidth="1"/>
    <col min="7945" max="8192" width="11.42578125" style="703"/>
    <col min="8193" max="8193" width="9.140625" style="703" customWidth="1"/>
    <col min="8194" max="8194" width="12.28515625" style="703" bestFit="1" customWidth="1"/>
    <col min="8195" max="8195" width="25.85546875" style="703" customWidth="1"/>
    <col min="8196" max="8196" width="21" style="703" customWidth="1"/>
    <col min="8197" max="8197" width="13" style="703" customWidth="1"/>
    <col min="8198" max="8198" width="11.7109375" style="703" bestFit="1" customWidth="1"/>
    <col min="8199" max="8199" width="14" style="703" customWidth="1"/>
    <col min="8200" max="8200" width="13.85546875" style="703" customWidth="1"/>
    <col min="8201" max="8448" width="11.42578125" style="703"/>
    <col min="8449" max="8449" width="9.140625" style="703" customWidth="1"/>
    <col min="8450" max="8450" width="12.28515625" style="703" bestFit="1" customWidth="1"/>
    <col min="8451" max="8451" width="25.85546875" style="703" customWidth="1"/>
    <col min="8452" max="8452" width="21" style="703" customWidth="1"/>
    <col min="8453" max="8453" width="13" style="703" customWidth="1"/>
    <col min="8454" max="8454" width="11.7109375" style="703" bestFit="1" customWidth="1"/>
    <col min="8455" max="8455" width="14" style="703" customWidth="1"/>
    <col min="8456" max="8456" width="13.85546875" style="703" customWidth="1"/>
    <col min="8457" max="8704" width="11.42578125" style="703"/>
    <col min="8705" max="8705" width="9.140625" style="703" customWidth="1"/>
    <col min="8706" max="8706" width="12.28515625" style="703" bestFit="1" customWidth="1"/>
    <col min="8707" max="8707" width="25.85546875" style="703" customWidth="1"/>
    <col min="8708" max="8708" width="21" style="703" customWidth="1"/>
    <col min="8709" max="8709" width="13" style="703" customWidth="1"/>
    <col min="8710" max="8710" width="11.7109375" style="703" bestFit="1" customWidth="1"/>
    <col min="8711" max="8711" width="14" style="703" customWidth="1"/>
    <col min="8712" max="8712" width="13.85546875" style="703" customWidth="1"/>
    <col min="8713" max="8960" width="11.42578125" style="703"/>
    <col min="8961" max="8961" width="9.140625" style="703" customWidth="1"/>
    <col min="8962" max="8962" width="12.28515625" style="703" bestFit="1" customWidth="1"/>
    <col min="8963" max="8963" width="25.85546875" style="703" customWidth="1"/>
    <col min="8964" max="8964" width="21" style="703" customWidth="1"/>
    <col min="8965" max="8965" width="13" style="703" customWidth="1"/>
    <col min="8966" max="8966" width="11.7109375" style="703" bestFit="1" customWidth="1"/>
    <col min="8967" max="8967" width="14" style="703" customWidth="1"/>
    <col min="8968" max="8968" width="13.85546875" style="703" customWidth="1"/>
    <col min="8969" max="9216" width="11.42578125" style="703"/>
    <col min="9217" max="9217" width="9.140625" style="703" customWidth="1"/>
    <col min="9218" max="9218" width="12.28515625" style="703" bestFit="1" customWidth="1"/>
    <col min="9219" max="9219" width="25.85546875" style="703" customWidth="1"/>
    <col min="9220" max="9220" width="21" style="703" customWidth="1"/>
    <col min="9221" max="9221" width="13" style="703" customWidth="1"/>
    <col min="9222" max="9222" width="11.7109375" style="703" bestFit="1" customWidth="1"/>
    <col min="9223" max="9223" width="14" style="703" customWidth="1"/>
    <col min="9224" max="9224" width="13.85546875" style="703" customWidth="1"/>
    <col min="9225" max="9472" width="11.42578125" style="703"/>
    <col min="9473" max="9473" width="9.140625" style="703" customWidth="1"/>
    <col min="9474" max="9474" width="12.28515625" style="703" bestFit="1" customWidth="1"/>
    <col min="9475" max="9475" width="25.85546875" style="703" customWidth="1"/>
    <col min="9476" max="9476" width="21" style="703" customWidth="1"/>
    <col min="9477" max="9477" width="13" style="703" customWidth="1"/>
    <col min="9478" max="9478" width="11.7109375" style="703" bestFit="1" customWidth="1"/>
    <col min="9479" max="9479" width="14" style="703" customWidth="1"/>
    <col min="9480" max="9480" width="13.85546875" style="703" customWidth="1"/>
    <col min="9481" max="9728" width="11.42578125" style="703"/>
    <col min="9729" max="9729" width="9.140625" style="703" customWidth="1"/>
    <col min="9730" max="9730" width="12.28515625" style="703" bestFit="1" customWidth="1"/>
    <col min="9731" max="9731" width="25.85546875" style="703" customWidth="1"/>
    <col min="9732" max="9732" width="21" style="703" customWidth="1"/>
    <col min="9733" max="9733" width="13" style="703" customWidth="1"/>
    <col min="9734" max="9734" width="11.7109375" style="703" bestFit="1" customWidth="1"/>
    <col min="9735" max="9735" width="14" style="703" customWidth="1"/>
    <col min="9736" max="9736" width="13.85546875" style="703" customWidth="1"/>
    <col min="9737" max="9984" width="11.42578125" style="703"/>
    <col min="9985" max="9985" width="9.140625" style="703" customWidth="1"/>
    <col min="9986" max="9986" width="12.28515625" style="703" bestFit="1" customWidth="1"/>
    <col min="9987" max="9987" width="25.85546875" style="703" customWidth="1"/>
    <col min="9988" max="9988" width="21" style="703" customWidth="1"/>
    <col min="9989" max="9989" width="13" style="703" customWidth="1"/>
    <col min="9990" max="9990" width="11.7109375" style="703" bestFit="1" customWidth="1"/>
    <col min="9991" max="9991" width="14" style="703" customWidth="1"/>
    <col min="9992" max="9992" width="13.85546875" style="703" customWidth="1"/>
    <col min="9993" max="10240" width="11.42578125" style="703"/>
    <col min="10241" max="10241" width="9.140625" style="703" customWidth="1"/>
    <col min="10242" max="10242" width="12.28515625" style="703" bestFit="1" customWidth="1"/>
    <col min="10243" max="10243" width="25.85546875" style="703" customWidth="1"/>
    <col min="10244" max="10244" width="21" style="703" customWidth="1"/>
    <col min="10245" max="10245" width="13" style="703" customWidth="1"/>
    <col min="10246" max="10246" width="11.7109375" style="703" bestFit="1" customWidth="1"/>
    <col min="10247" max="10247" width="14" style="703" customWidth="1"/>
    <col min="10248" max="10248" width="13.85546875" style="703" customWidth="1"/>
    <col min="10249" max="10496" width="11.42578125" style="703"/>
    <col min="10497" max="10497" width="9.140625" style="703" customWidth="1"/>
    <col min="10498" max="10498" width="12.28515625" style="703" bestFit="1" customWidth="1"/>
    <col min="10499" max="10499" width="25.85546875" style="703" customWidth="1"/>
    <col min="10500" max="10500" width="21" style="703" customWidth="1"/>
    <col min="10501" max="10501" width="13" style="703" customWidth="1"/>
    <col min="10502" max="10502" width="11.7109375" style="703" bestFit="1" customWidth="1"/>
    <col min="10503" max="10503" width="14" style="703" customWidth="1"/>
    <col min="10504" max="10504" width="13.85546875" style="703" customWidth="1"/>
    <col min="10505" max="10752" width="11.42578125" style="703"/>
    <col min="10753" max="10753" width="9.140625" style="703" customWidth="1"/>
    <col min="10754" max="10754" width="12.28515625" style="703" bestFit="1" customWidth="1"/>
    <col min="10755" max="10755" width="25.85546875" style="703" customWidth="1"/>
    <col min="10756" max="10756" width="21" style="703" customWidth="1"/>
    <col min="10757" max="10757" width="13" style="703" customWidth="1"/>
    <col min="10758" max="10758" width="11.7109375" style="703" bestFit="1" customWidth="1"/>
    <col min="10759" max="10759" width="14" style="703" customWidth="1"/>
    <col min="10760" max="10760" width="13.85546875" style="703" customWidth="1"/>
    <col min="10761" max="11008" width="11.42578125" style="703"/>
    <col min="11009" max="11009" width="9.140625" style="703" customWidth="1"/>
    <col min="11010" max="11010" width="12.28515625" style="703" bestFit="1" customWidth="1"/>
    <col min="11011" max="11011" width="25.85546875" style="703" customWidth="1"/>
    <col min="11012" max="11012" width="21" style="703" customWidth="1"/>
    <col min="11013" max="11013" width="13" style="703" customWidth="1"/>
    <col min="11014" max="11014" width="11.7109375" style="703" bestFit="1" customWidth="1"/>
    <col min="11015" max="11015" width="14" style="703" customWidth="1"/>
    <col min="11016" max="11016" width="13.85546875" style="703" customWidth="1"/>
    <col min="11017" max="11264" width="11.42578125" style="703"/>
    <col min="11265" max="11265" width="9.140625" style="703" customWidth="1"/>
    <col min="11266" max="11266" width="12.28515625" style="703" bestFit="1" customWidth="1"/>
    <col min="11267" max="11267" width="25.85546875" style="703" customWidth="1"/>
    <col min="11268" max="11268" width="21" style="703" customWidth="1"/>
    <col min="11269" max="11269" width="13" style="703" customWidth="1"/>
    <col min="11270" max="11270" width="11.7109375" style="703" bestFit="1" customWidth="1"/>
    <col min="11271" max="11271" width="14" style="703" customWidth="1"/>
    <col min="11272" max="11272" width="13.85546875" style="703" customWidth="1"/>
    <col min="11273" max="11520" width="11.42578125" style="703"/>
    <col min="11521" max="11521" width="9.140625" style="703" customWidth="1"/>
    <col min="11522" max="11522" width="12.28515625" style="703" bestFit="1" customWidth="1"/>
    <col min="11523" max="11523" width="25.85546875" style="703" customWidth="1"/>
    <col min="11524" max="11524" width="21" style="703" customWidth="1"/>
    <col min="11525" max="11525" width="13" style="703" customWidth="1"/>
    <col min="11526" max="11526" width="11.7109375" style="703" bestFit="1" customWidth="1"/>
    <col min="11527" max="11527" width="14" style="703" customWidth="1"/>
    <col min="11528" max="11528" width="13.85546875" style="703" customWidth="1"/>
    <col min="11529" max="11776" width="11.42578125" style="703"/>
    <col min="11777" max="11777" width="9.140625" style="703" customWidth="1"/>
    <col min="11778" max="11778" width="12.28515625" style="703" bestFit="1" customWidth="1"/>
    <col min="11779" max="11779" width="25.85546875" style="703" customWidth="1"/>
    <col min="11780" max="11780" width="21" style="703" customWidth="1"/>
    <col min="11781" max="11781" width="13" style="703" customWidth="1"/>
    <col min="11782" max="11782" width="11.7109375" style="703" bestFit="1" customWidth="1"/>
    <col min="11783" max="11783" width="14" style="703" customWidth="1"/>
    <col min="11784" max="11784" width="13.85546875" style="703" customWidth="1"/>
    <col min="11785" max="12032" width="11.42578125" style="703"/>
    <col min="12033" max="12033" width="9.140625" style="703" customWidth="1"/>
    <col min="12034" max="12034" width="12.28515625" style="703" bestFit="1" customWidth="1"/>
    <col min="12035" max="12035" width="25.85546875" style="703" customWidth="1"/>
    <col min="12036" max="12036" width="21" style="703" customWidth="1"/>
    <col min="12037" max="12037" width="13" style="703" customWidth="1"/>
    <col min="12038" max="12038" width="11.7109375" style="703" bestFit="1" customWidth="1"/>
    <col min="12039" max="12039" width="14" style="703" customWidth="1"/>
    <col min="12040" max="12040" width="13.85546875" style="703" customWidth="1"/>
    <col min="12041" max="12288" width="11.42578125" style="703"/>
    <col min="12289" max="12289" width="9.140625" style="703" customWidth="1"/>
    <col min="12290" max="12290" width="12.28515625" style="703" bestFit="1" customWidth="1"/>
    <col min="12291" max="12291" width="25.85546875" style="703" customWidth="1"/>
    <col min="12292" max="12292" width="21" style="703" customWidth="1"/>
    <col min="12293" max="12293" width="13" style="703" customWidth="1"/>
    <col min="12294" max="12294" width="11.7109375" style="703" bestFit="1" customWidth="1"/>
    <col min="12295" max="12295" width="14" style="703" customWidth="1"/>
    <col min="12296" max="12296" width="13.85546875" style="703" customWidth="1"/>
    <col min="12297" max="12544" width="11.42578125" style="703"/>
    <col min="12545" max="12545" width="9.140625" style="703" customWidth="1"/>
    <col min="12546" max="12546" width="12.28515625" style="703" bestFit="1" customWidth="1"/>
    <col min="12547" max="12547" width="25.85546875" style="703" customWidth="1"/>
    <col min="12548" max="12548" width="21" style="703" customWidth="1"/>
    <col min="12549" max="12549" width="13" style="703" customWidth="1"/>
    <col min="12550" max="12550" width="11.7109375" style="703" bestFit="1" customWidth="1"/>
    <col min="12551" max="12551" width="14" style="703" customWidth="1"/>
    <col min="12552" max="12552" width="13.85546875" style="703" customWidth="1"/>
    <col min="12553" max="12800" width="11.42578125" style="703"/>
    <col min="12801" max="12801" width="9.140625" style="703" customWidth="1"/>
    <col min="12802" max="12802" width="12.28515625" style="703" bestFit="1" customWidth="1"/>
    <col min="12803" max="12803" width="25.85546875" style="703" customWidth="1"/>
    <col min="12804" max="12804" width="21" style="703" customWidth="1"/>
    <col min="12805" max="12805" width="13" style="703" customWidth="1"/>
    <col min="12806" max="12806" width="11.7109375" style="703" bestFit="1" customWidth="1"/>
    <col min="12807" max="12807" width="14" style="703" customWidth="1"/>
    <col min="12808" max="12808" width="13.85546875" style="703" customWidth="1"/>
    <col min="12809" max="13056" width="11.42578125" style="703"/>
    <col min="13057" max="13057" width="9.140625" style="703" customWidth="1"/>
    <col min="13058" max="13058" width="12.28515625" style="703" bestFit="1" customWidth="1"/>
    <col min="13059" max="13059" width="25.85546875" style="703" customWidth="1"/>
    <col min="13060" max="13060" width="21" style="703" customWidth="1"/>
    <col min="13061" max="13061" width="13" style="703" customWidth="1"/>
    <col min="13062" max="13062" width="11.7109375" style="703" bestFit="1" customWidth="1"/>
    <col min="13063" max="13063" width="14" style="703" customWidth="1"/>
    <col min="13064" max="13064" width="13.85546875" style="703" customWidth="1"/>
    <col min="13065" max="13312" width="11.42578125" style="703"/>
    <col min="13313" max="13313" width="9.140625" style="703" customWidth="1"/>
    <col min="13314" max="13314" width="12.28515625" style="703" bestFit="1" customWidth="1"/>
    <col min="13315" max="13315" width="25.85546875" style="703" customWidth="1"/>
    <col min="13316" max="13316" width="21" style="703" customWidth="1"/>
    <col min="13317" max="13317" width="13" style="703" customWidth="1"/>
    <col min="13318" max="13318" width="11.7109375" style="703" bestFit="1" customWidth="1"/>
    <col min="13319" max="13319" width="14" style="703" customWidth="1"/>
    <col min="13320" max="13320" width="13.85546875" style="703" customWidth="1"/>
    <col min="13321" max="13568" width="11.42578125" style="703"/>
    <col min="13569" max="13569" width="9.140625" style="703" customWidth="1"/>
    <col min="13570" max="13570" width="12.28515625" style="703" bestFit="1" customWidth="1"/>
    <col min="13571" max="13571" width="25.85546875" style="703" customWidth="1"/>
    <col min="13572" max="13572" width="21" style="703" customWidth="1"/>
    <col min="13573" max="13573" width="13" style="703" customWidth="1"/>
    <col min="13574" max="13574" width="11.7109375" style="703" bestFit="1" customWidth="1"/>
    <col min="13575" max="13575" width="14" style="703" customWidth="1"/>
    <col min="13576" max="13576" width="13.85546875" style="703" customWidth="1"/>
    <col min="13577" max="13824" width="11.42578125" style="703"/>
    <col min="13825" max="13825" width="9.140625" style="703" customWidth="1"/>
    <col min="13826" max="13826" width="12.28515625" style="703" bestFit="1" customWidth="1"/>
    <col min="13827" max="13827" width="25.85546875" style="703" customWidth="1"/>
    <col min="13828" max="13828" width="21" style="703" customWidth="1"/>
    <col min="13829" max="13829" width="13" style="703" customWidth="1"/>
    <col min="13830" max="13830" width="11.7109375" style="703" bestFit="1" customWidth="1"/>
    <col min="13831" max="13831" width="14" style="703" customWidth="1"/>
    <col min="13832" max="13832" width="13.85546875" style="703" customWidth="1"/>
    <col min="13833" max="14080" width="11.42578125" style="703"/>
    <col min="14081" max="14081" width="9.140625" style="703" customWidth="1"/>
    <col min="14082" max="14082" width="12.28515625" style="703" bestFit="1" customWidth="1"/>
    <col min="14083" max="14083" width="25.85546875" style="703" customWidth="1"/>
    <col min="14084" max="14084" width="21" style="703" customWidth="1"/>
    <col min="14085" max="14085" width="13" style="703" customWidth="1"/>
    <col min="14086" max="14086" width="11.7109375" style="703" bestFit="1" customWidth="1"/>
    <col min="14087" max="14087" width="14" style="703" customWidth="1"/>
    <col min="14088" max="14088" width="13.85546875" style="703" customWidth="1"/>
    <col min="14089" max="14336" width="11.42578125" style="703"/>
    <col min="14337" max="14337" width="9.140625" style="703" customWidth="1"/>
    <col min="14338" max="14338" width="12.28515625" style="703" bestFit="1" customWidth="1"/>
    <col min="14339" max="14339" width="25.85546875" style="703" customWidth="1"/>
    <col min="14340" max="14340" width="21" style="703" customWidth="1"/>
    <col min="14341" max="14341" width="13" style="703" customWidth="1"/>
    <col min="14342" max="14342" width="11.7109375" style="703" bestFit="1" customWidth="1"/>
    <col min="14343" max="14343" width="14" style="703" customWidth="1"/>
    <col min="14344" max="14344" width="13.85546875" style="703" customWidth="1"/>
    <col min="14345" max="14592" width="11.42578125" style="703"/>
    <col min="14593" max="14593" width="9.140625" style="703" customWidth="1"/>
    <col min="14594" max="14594" width="12.28515625" style="703" bestFit="1" customWidth="1"/>
    <col min="14595" max="14595" width="25.85546875" style="703" customWidth="1"/>
    <col min="14596" max="14596" width="21" style="703" customWidth="1"/>
    <col min="14597" max="14597" width="13" style="703" customWidth="1"/>
    <col min="14598" max="14598" width="11.7109375" style="703" bestFit="1" customWidth="1"/>
    <col min="14599" max="14599" width="14" style="703" customWidth="1"/>
    <col min="14600" max="14600" width="13.85546875" style="703" customWidth="1"/>
    <col min="14601" max="14848" width="11.42578125" style="703"/>
    <col min="14849" max="14849" width="9.140625" style="703" customWidth="1"/>
    <col min="14850" max="14850" width="12.28515625" style="703" bestFit="1" customWidth="1"/>
    <col min="14851" max="14851" width="25.85546875" style="703" customWidth="1"/>
    <col min="14852" max="14852" width="21" style="703" customWidth="1"/>
    <col min="14853" max="14853" width="13" style="703" customWidth="1"/>
    <col min="14854" max="14854" width="11.7109375" style="703" bestFit="1" customWidth="1"/>
    <col min="14855" max="14855" width="14" style="703" customWidth="1"/>
    <col min="14856" max="14856" width="13.85546875" style="703" customWidth="1"/>
    <col min="14857" max="15104" width="11.42578125" style="703"/>
    <col min="15105" max="15105" width="9.140625" style="703" customWidth="1"/>
    <col min="15106" max="15106" width="12.28515625" style="703" bestFit="1" customWidth="1"/>
    <col min="15107" max="15107" width="25.85546875" style="703" customWidth="1"/>
    <col min="15108" max="15108" width="21" style="703" customWidth="1"/>
    <col min="15109" max="15109" width="13" style="703" customWidth="1"/>
    <col min="15110" max="15110" width="11.7109375" style="703" bestFit="1" customWidth="1"/>
    <col min="15111" max="15111" width="14" style="703" customWidth="1"/>
    <col min="15112" max="15112" width="13.85546875" style="703" customWidth="1"/>
    <col min="15113" max="15360" width="11.42578125" style="703"/>
    <col min="15361" max="15361" width="9.140625" style="703" customWidth="1"/>
    <col min="15362" max="15362" width="12.28515625" style="703" bestFit="1" customWidth="1"/>
    <col min="15363" max="15363" width="25.85546875" style="703" customWidth="1"/>
    <col min="15364" max="15364" width="21" style="703" customWidth="1"/>
    <col min="15365" max="15365" width="13" style="703" customWidth="1"/>
    <col min="15366" max="15366" width="11.7109375" style="703" bestFit="1" customWidth="1"/>
    <col min="15367" max="15367" width="14" style="703" customWidth="1"/>
    <col min="15368" max="15368" width="13.85546875" style="703" customWidth="1"/>
    <col min="15369" max="15616" width="11.42578125" style="703"/>
    <col min="15617" max="15617" width="9.140625" style="703" customWidth="1"/>
    <col min="15618" max="15618" width="12.28515625" style="703" bestFit="1" customWidth="1"/>
    <col min="15619" max="15619" width="25.85546875" style="703" customWidth="1"/>
    <col min="15620" max="15620" width="21" style="703" customWidth="1"/>
    <col min="15621" max="15621" width="13" style="703" customWidth="1"/>
    <col min="15622" max="15622" width="11.7109375" style="703" bestFit="1" customWidth="1"/>
    <col min="15623" max="15623" width="14" style="703" customWidth="1"/>
    <col min="15624" max="15624" width="13.85546875" style="703" customWidth="1"/>
    <col min="15625" max="15872" width="11.42578125" style="703"/>
    <col min="15873" max="15873" width="9.140625" style="703" customWidth="1"/>
    <col min="15874" max="15874" width="12.28515625" style="703" bestFit="1" customWidth="1"/>
    <col min="15875" max="15875" width="25.85546875" style="703" customWidth="1"/>
    <col min="15876" max="15876" width="21" style="703" customWidth="1"/>
    <col min="15877" max="15877" width="13" style="703" customWidth="1"/>
    <col min="15878" max="15878" width="11.7109375" style="703" bestFit="1" customWidth="1"/>
    <col min="15879" max="15879" width="14" style="703" customWidth="1"/>
    <col min="15880" max="15880" width="13.85546875" style="703" customWidth="1"/>
    <col min="15881" max="16128" width="11.42578125" style="703"/>
    <col min="16129" max="16129" width="9.140625" style="703" customWidth="1"/>
    <col min="16130" max="16130" width="12.28515625" style="703" bestFit="1" customWidth="1"/>
    <col min="16131" max="16131" width="25.85546875" style="703" customWidth="1"/>
    <col min="16132" max="16132" width="21" style="703" customWidth="1"/>
    <col min="16133" max="16133" width="13" style="703" customWidth="1"/>
    <col min="16134" max="16134" width="11.7109375" style="703" bestFit="1" customWidth="1"/>
    <col min="16135" max="16135" width="14" style="703" customWidth="1"/>
    <col min="16136" max="16136" width="13.85546875" style="703" customWidth="1"/>
    <col min="16137" max="16384" width="11.42578125" style="703"/>
  </cols>
  <sheetData>
    <row r="1" spans="1:9" ht="60.95" customHeight="1" thickBot="1"/>
    <row r="2" spans="1:9" ht="42.2" customHeight="1" thickBot="1">
      <c r="A2" s="279"/>
      <c r="B2" s="280"/>
      <c r="C2" s="280"/>
      <c r="D2" s="2241" t="str">
        <f>+[14]PRESUPUESTO!A5</f>
        <v>"REHABILITACIÓN DE VÍAS URBANAS, INCLUYE REPOSICIÓN TRAMOS DE ALCANTARILLADO SANITARIO EN EL MUNICIPIO DE YAGUARÁ, HUILA"</v>
      </c>
      <c r="E2" s="2242"/>
      <c r="F2" s="2247" t="e">
        <f>+PRESUPUESTO!#REF!</f>
        <v>#REF!</v>
      </c>
      <c r="G2" s="2248"/>
      <c r="H2" s="2249"/>
    </row>
    <row r="3" spans="1:9" ht="29.1" customHeight="1" thickBot="1">
      <c r="A3" s="281"/>
      <c r="B3" s="282"/>
      <c r="C3" s="282"/>
      <c r="D3" s="2243"/>
      <c r="E3" s="2244"/>
      <c r="F3" s="2250" t="e">
        <f>+PRESUPUESTO!#REF!</f>
        <v>#REF!</v>
      </c>
      <c r="G3" s="2251"/>
      <c r="H3" s="2252"/>
    </row>
    <row r="4" spans="1:9" ht="30.95" customHeight="1" thickBot="1">
      <c r="A4" s="98"/>
      <c r="B4" s="99"/>
      <c r="C4" s="283"/>
      <c r="D4" s="2245"/>
      <c r="E4" s="2246"/>
      <c r="F4" s="2250" t="s">
        <v>524</v>
      </c>
      <c r="G4" s="2251"/>
      <c r="H4" s="2252"/>
    </row>
    <row r="5" spans="1:9" ht="13.5" thickBot="1">
      <c r="A5" s="2218" t="s">
        <v>558</v>
      </c>
      <c r="B5" s="2219"/>
      <c r="C5" s="2219"/>
      <c r="D5" s="2219"/>
      <c r="E5" s="2220"/>
      <c r="F5" s="2253" t="e">
        <f>+PRESUPUESTO!#REF!</f>
        <v>#REF!</v>
      </c>
      <c r="G5" s="2254"/>
      <c r="H5" s="2255"/>
    </row>
    <row r="6" spans="1:9">
      <c r="A6" s="711"/>
      <c r="B6" s="2227"/>
      <c r="C6" s="2228"/>
      <c r="D6" s="2228"/>
      <c r="E6" s="711"/>
      <c r="F6" s="712"/>
      <c r="G6" s="713"/>
      <c r="H6" s="714"/>
      <c r="I6" s="288"/>
    </row>
    <row r="7" spans="1:9" ht="15.95" customHeight="1">
      <c r="A7" s="715">
        <f>+PRESUPUESTO!A15</f>
        <v>1.1000000000000001</v>
      </c>
      <c r="B7" s="2238" t="str">
        <f>+PRESUPUESTO!B15</f>
        <v>PRELIMINARES Y MOVIMIENTO DE TIERRAS</v>
      </c>
      <c r="C7" s="2238"/>
      <c r="D7" s="2238"/>
      <c r="E7" s="2238"/>
      <c r="F7" s="716"/>
      <c r="G7" s="717" t="s">
        <v>525</v>
      </c>
      <c r="H7" s="718" t="str">
        <f>+PRESUPUESTO!C19</f>
        <v>m3</v>
      </c>
    </row>
    <row r="8" spans="1:9">
      <c r="A8" s="718" t="str">
        <f>+PRESUPUESTO!A19</f>
        <v>1.1.4</v>
      </c>
      <c r="B8" s="2239" t="str">
        <f>+PRESUPUESTO!B19</f>
        <v>Excavación mecánica   de 2,0 a 4,0 m de profundidad.</v>
      </c>
      <c r="C8" s="2240"/>
      <c r="D8" s="2240"/>
      <c r="E8" s="2240"/>
      <c r="F8" s="719"/>
      <c r="G8" s="717"/>
      <c r="H8" s="718"/>
    </row>
    <row r="9" spans="1:9">
      <c r="A9" s="715"/>
      <c r="B9" s="720"/>
      <c r="C9" s="721"/>
      <c r="D9" s="722"/>
      <c r="E9" s="721"/>
      <c r="F9" s="723"/>
      <c r="G9" s="713"/>
      <c r="H9" s="714"/>
    </row>
    <row r="10" spans="1:9">
      <c r="A10" s="718"/>
      <c r="B10" s="724"/>
      <c r="C10" s="724"/>
      <c r="D10" s="724"/>
      <c r="E10" s="724"/>
      <c r="F10" s="724"/>
      <c r="G10" s="725"/>
      <c r="H10" s="725"/>
    </row>
    <row r="11" spans="1:9" ht="13.5" thickBot="1">
      <c r="A11" s="726" t="s">
        <v>526</v>
      </c>
      <c r="B11" s="726"/>
      <c r="C11" s="712"/>
      <c r="D11" s="727"/>
      <c r="E11" s="727"/>
      <c r="F11" s="727"/>
      <c r="G11" s="727"/>
      <c r="H11" s="727"/>
    </row>
    <row r="12" spans="1:9" ht="13.5" thickBot="1">
      <c r="A12" s="728" t="s">
        <v>527</v>
      </c>
      <c r="B12" s="729"/>
      <c r="C12" s="730" t="s">
        <v>521</v>
      </c>
      <c r="D12" s="731"/>
      <c r="E12" s="732" t="s">
        <v>515</v>
      </c>
      <c r="F12" s="733" t="s">
        <v>528</v>
      </c>
      <c r="G12" s="734" t="s">
        <v>832</v>
      </c>
      <c r="H12" s="735" t="s">
        <v>831</v>
      </c>
    </row>
    <row r="13" spans="1:9">
      <c r="A13" s="736"/>
      <c r="B13" s="737"/>
      <c r="C13" s="738"/>
      <c r="D13" s="738"/>
      <c r="E13" s="739"/>
      <c r="F13" s="740"/>
      <c r="G13" s="741"/>
      <c r="H13" s="742"/>
      <c r="I13" s="743"/>
    </row>
    <row r="14" spans="1:9">
      <c r="A14" s="736" t="s">
        <v>1625</v>
      </c>
      <c r="B14" s="737" t="str">
        <f>IF(A14="","",VLOOKUP(A14,EQUI,2,FALSE))</f>
        <v>Retroexcavadora de oruga</v>
      </c>
      <c r="C14" s="738"/>
      <c r="D14" s="738"/>
      <c r="E14" s="739" t="str">
        <f>IF(A14="","",VLOOKUP(A14,EQUI,3,FALSE))</f>
        <v>Hora</v>
      </c>
      <c r="F14" s="744">
        <v>10</v>
      </c>
      <c r="G14" s="745">
        <f>IF(A14="","",VLOOKUP(A14,EQUI,4,FALSE))</f>
        <v>180000</v>
      </c>
      <c r="H14" s="746">
        <f>IF(A14="","",ROUND((G14/F14),0))</f>
        <v>18000</v>
      </c>
    </row>
    <row r="15" spans="1:9">
      <c r="A15" s="736"/>
      <c r="B15" s="737" t="str">
        <f>IF(A15="","",VLOOKUP(A15,EQUI,2,FALSE))</f>
        <v/>
      </c>
      <c r="C15" s="738"/>
      <c r="D15" s="738"/>
      <c r="E15" s="739" t="str">
        <f>IF(A15="","",VLOOKUP(A15,EQUI,3,FALSE))</f>
        <v/>
      </c>
      <c r="F15" s="744"/>
      <c r="G15" s="745" t="str">
        <f>IF(A15="","",VLOOKUP(A15,EQUI,4,FALSE))</f>
        <v/>
      </c>
      <c r="H15" s="746" t="str">
        <f>IF(A15="","",ROUND((G15/F15),0))</f>
        <v/>
      </c>
    </row>
    <row r="16" spans="1:9">
      <c r="A16" s="736"/>
      <c r="B16" s="737" t="str">
        <f>IF(A16="","",VLOOKUP(A16,EQUI,2,FALSE))</f>
        <v/>
      </c>
      <c r="C16" s="738"/>
      <c r="D16" s="738"/>
      <c r="E16" s="739" t="str">
        <f>IF(A16="","",VLOOKUP(A16,EQUI,3,FALSE))</f>
        <v/>
      </c>
      <c r="F16" s="744"/>
      <c r="G16" s="745" t="str">
        <f>IF(A16="","",VLOOKUP(A16,EQUI,4,FALSE))</f>
        <v/>
      </c>
      <c r="H16" s="746" t="str">
        <f>IF(A16="","",ROUND((G16/F16),0))</f>
        <v/>
      </c>
    </row>
    <row r="17" spans="1:8">
      <c r="A17" s="736"/>
      <c r="B17" s="737" t="str">
        <f>IF(A17="","",VLOOKUP(A17,EQUI,2,FALSE))</f>
        <v/>
      </c>
      <c r="C17" s="738"/>
      <c r="D17" s="738"/>
      <c r="E17" s="739" t="str">
        <f>IF(A17="","",VLOOKUP(A17,EQUI,3,FALSE))</f>
        <v/>
      </c>
      <c r="F17" s="744"/>
      <c r="G17" s="745" t="str">
        <f>IF(A17="","",VLOOKUP(A17,EQUI,4,FALSE))</f>
        <v/>
      </c>
      <c r="H17" s="746" t="str">
        <f>IF(A17="","",ROUND((G17/F17),0))</f>
        <v/>
      </c>
    </row>
    <row r="18" spans="1:8" ht="13.5" thickBot="1">
      <c r="A18" s="747"/>
      <c r="B18" s="748" t="str">
        <f>IF(A18="","",VLOOKUP(A18,EQUI,2,FALSE))</f>
        <v/>
      </c>
      <c r="C18" s="748"/>
      <c r="D18" s="749"/>
      <c r="E18" s="750" t="str">
        <f>IF(A18="","",VLOOKUP(A18,EQUI,3,FALSE))</f>
        <v/>
      </c>
      <c r="F18" s="751"/>
      <c r="G18" s="752" t="str">
        <f>IF(A18="","",VLOOKUP(A18,EQUI,4,FALSE))</f>
        <v/>
      </c>
      <c r="H18" s="746" t="str">
        <f>IF(A18="","",ROUND((G18/F18),0))</f>
        <v/>
      </c>
    </row>
    <row r="19" spans="1:8" ht="13.5" thickBot="1">
      <c r="A19" s="712"/>
      <c r="B19" s="712"/>
      <c r="C19" s="712"/>
      <c r="D19" s="712"/>
      <c r="E19" s="713"/>
      <c r="F19" s="712"/>
      <c r="G19" s="753" t="s">
        <v>529</v>
      </c>
      <c r="H19" s="754">
        <f>ROUND(SUM(H13:H18),0)</f>
        <v>18000</v>
      </c>
    </row>
    <row r="20" spans="1:8">
      <c r="A20" s="712"/>
      <c r="B20" s="712"/>
      <c r="C20" s="712"/>
      <c r="D20" s="712"/>
      <c r="E20" s="713"/>
      <c r="F20" s="712"/>
      <c r="G20" s="713"/>
      <c r="H20" s="755"/>
    </row>
    <row r="21" spans="1:8" ht="13.5" thickBot="1">
      <c r="A21" s="726" t="s">
        <v>530</v>
      </c>
      <c r="B21" s="726"/>
      <c r="C21" s="726"/>
      <c r="D21" s="726"/>
      <c r="E21" s="756"/>
      <c r="F21" s="749"/>
      <c r="G21" s="749"/>
      <c r="H21" s="749"/>
    </row>
    <row r="22" spans="1:8" ht="13.5" thickBot="1">
      <c r="A22" s="728" t="s">
        <v>527</v>
      </c>
      <c r="B22" s="729"/>
      <c r="C22" s="730" t="s">
        <v>521</v>
      </c>
      <c r="D22" s="730"/>
      <c r="E22" s="757" t="s">
        <v>515</v>
      </c>
      <c r="F22" s="758" t="s">
        <v>7</v>
      </c>
      <c r="G22" s="734" t="s">
        <v>832</v>
      </c>
      <c r="H22" s="735" t="s">
        <v>831</v>
      </c>
    </row>
    <row r="23" spans="1:8">
      <c r="A23" s="812"/>
      <c r="B23" s="760" t="str">
        <f t="shared" ref="B23:B32" si="0">IF(A23="","",VLOOKUP(A23,MAT,2,FALSE))</f>
        <v/>
      </c>
      <c r="C23" s="737"/>
      <c r="D23" s="738"/>
      <c r="E23" s="739" t="str">
        <f t="shared" ref="E23:E32" si="1">IF(A23="","",VLOOKUP(A23,MAT,3,FALSE))</f>
        <v/>
      </c>
      <c r="F23" s="744"/>
      <c r="G23" s="745" t="str">
        <f t="shared" ref="G23:G32" si="2">IF(A23="","",VLOOKUP(A23,MAT,5,FALSE))</f>
        <v/>
      </c>
      <c r="H23" s="746" t="str">
        <f t="shared" ref="H23:H32" si="3">IF(A23="","",ROUND((G23*F23),0))</f>
        <v/>
      </c>
    </row>
    <row r="24" spans="1:8">
      <c r="A24" s="759"/>
      <c r="B24" s="760" t="str">
        <f t="shared" si="0"/>
        <v/>
      </c>
      <c r="C24" s="737"/>
      <c r="D24" s="738"/>
      <c r="E24" s="739" t="str">
        <f t="shared" si="1"/>
        <v/>
      </c>
      <c r="F24" s="744"/>
      <c r="G24" s="745" t="str">
        <f t="shared" si="2"/>
        <v/>
      </c>
      <c r="H24" s="746" t="str">
        <f t="shared" si="3"/>
        <v/>
      </c>
    </row>
    <row r="25" spans="1:8">
      <c r="A25" s="759"/>
      <c r="B25" s="760" t="str">
        <f t="shared" si="0"/>
        <v/>
      </c>
      <c r="C25" s="737"/>
      <c r="D25" s="738"/>
      <c r="E25" s="739" t="str">
        <f t="shared" si="1"/>
        <v/>
      </c>
      <c r="F25" s="744"/>
      <c r="G25" s="745" t="str">
        <f t="shared" si="2"/>
        <v/>
      </c>
      <c r="H25" s="746" t="str">
        <f t="shared" si="3"/>
        <v/>
      </c>
    </row>
    <row r="26" spans="1:8">
      <c r="A26" s="759"/>
      <c r="B26" s="737" t="str">
        <f t="shared" si="0"/>
        <v/>
      </c>
      <c r="C26" s="737"/>
      <c r="D26" s="738"/>
      <c r="E26" s="739" t="str">
        <f t="shared" si="1"/>
        <v/>
      </c>
      <c r="F26" s="744"/>
      <c r="G26" s="745" t="str">
        <f t="shared" si="2"/>
        <v/>
      </c>
      <c r="H26" s="746" t="str">
        <f t="shared" si="3"/>
        <v/>
      </c>
    </row>
    <row r="27" spans="1:8">
      <c r="A27" s="759"/>
      <c r="B27" s="737" t="str">
        <f t="shared" si="0"/>
        <v/>
      </c>
      <c r="C27" s="737"/>
      <c r="D27" s="738"/>
      <c r="E27" s="739" t="str">
        <f t="shared" si="1"/>
        <v/>
      </c>
      <c r="F27" s="744"/>
      <c r="G27" s="745" t="str">
        <f t="shared" si="2"/>
        <v/>
      </c>
      <c r="H27" s="746" t="str">
        <f t="shared" si="3"/>
        <v/>
      </c>
    </row>
    <row r="28" spans="1:8">
      <c r="A28" s="759"/>
      <c r="B28" s="737" t="str">
        <f t="shared" si="0"/>
        <v/>
      </c>
      <c r="C28" s="737"/>
      <c r="D28" s="738"/>
      <c r="E28" s="739" t="str">
        <f t="shared" si="1"/>
        <v/>
      </c>
      <c r="F28" s="744"/>
      <c r="G28" s="745" t="str">
        <f t="shared" si="2"/>
        <v/>
      </c>
      <c r="H28" s="746" t="str">
        <f t="shared" si="3"/>
        <v/>
      </c>
    </row>
    <row r="29" spans="1:8">
      <c r="A29" s="759"/>
      <c r="B29" s="737" t="str">
        <f t="shared" si="0"/>
        <v/>
      </c>
      <c r="C29" s="737"/>
      <c r="D29" s="738"/>
      <c r="E29" s="739" t="str">
        <f t="shared" si="1"/>
        <v/>
      </c>
      <c r="F29" s="744"/>
      <c r="G29" s="745" t="str">
        <f t="shared" si="2"/>
        <v/>
      </c>
      <c r="H29" s="746" t="str">
        <f t="shared" si="3"/>
        <v/>
      </c>
    </row>
    <row r="30" spans="1:8">
      <c r="A30" s="759"/>
      <c r="B30" s="737" t="str">
        <f t="shared" si="0"/>
        <v/>
      </c>
      <c r="C30" s="737"/>
      <c r="D30" s="738"/>
      <c r="E30" s="739" t="str">
        <f t="shared" si="1"/>
        <v/>
      </c>
      <c r="F30" s="744"/>
      <c r="G30" s="745" t="str">
        <f t="shared" si="2"/>
        <v/>
      </c>
      <c r="H30" s="746" t="str">
        <f t="shared" si="3"/>
        <v/>
      </c>
    </row>
    <row r="31" spans="1:8">
      <c r="A31" s="759"/>
      <c r="B31" s="737" t="str">
        <f t="shared" si="0"/>
        <v/>
      </c>
      <c r="C31" s="737"/>
      <c r="D31" s="738"/>
      <c r="E31" s="739" t="str">
        <f t="shared" si="1"/>
        <v/>
      </c>
      <c r="F31" s="744"/>
      <c r="G31" s="745" t="str">
        <f t="shared" si="2"/>
        <v/>
      </c>
      <c r="H31" s="746" t="str">
        <f t="shared" si="3"/>
        <v/>
      </c>
    </row>
    <row r="32" spans="1:8" ht="13.5" thickBot="1">
      <c r="A32" s="761"/>
      <c r="B32" s="762" t="str">
        <f t="shared" si="0"/>
        <v/>
      </c>
      <c r="C32" s="749"/>
      <c r="D32" s="749"/>
      <c r="E32" s="750" t="str">
        <f t="shared" si="1"/>
        <v/>
      </c>
      <c r="F32" s="763"/>
      <c r="G32" s="764" t="str">
        <f t="shared" si="2"/>
        <v/>
      </c>
      <c r="H32" s="746" t="str">
        <f t="shared" si="3"/>
        <v/>
      </c>
    </row>
    <row r="33" spans="1:8" ht="13.5" thickBot="1">
      <c r="A33" s="712"/>
      <c r="B33" s="712"/>
      <c r="C33" s="712"/>
      <c r="D33" s="712"/>
      <c r="E33" s="713"/>
      <c r="F33" s="712"/>
      <c r="G33" s="765" t="s">
        <v>529</v>
      </c>
      <c r="H33" s="766">
        <f>ROUND(SUM(H23:H32),0)</f>
        <v>0</v>
      </c>
    </row>
    <row r="34" spans="1:8">
      <c r="A34" s="712"/>
      <c r="B34" s="712"/>
      <c r="C34" s="712"/>
      <c r="D34" s="712"/>
      <c r="E34" s="713"/>
      <c r="F34" s="712"/>
      <c r="G34" s="713"/>
      <c r="H34" s="767"/>
    </row>
    <row r="35" spans="1:8" ht="13.5" thickBot="1">
      <c r="A35" s="726" t="s">
        <v>531</v>
      </c>
      <c r="B35" s="712"/>
      <c r="C35" s="712"/>
      <c r="D35" s="712"/>
      <c r="E35" s="713"/>
      <c r="F35" s="712"/>
      <c r="G35" s="713"/>
      <c r="H35" s="768"/>
    </row>
    <row r="36" spans="1:8" ht="13.5" thickBot="1">
      <c r="A36" s="728" t="s">
        <v>527</v>
      </c>
      <c r="B36" s="2230" t="s">
        <v>532</v>
      </c>
      <c r="C36" s="2231"/>
      <c r="D36" s="769" t="s">
        <v>821</v>
      </c>
      <c r="E36" s="769" t="s">
        <v>820</v>
      </c>
      <c r="F36" s="769" t="s">
        <v>823</v>
      </c>
      <c r="G36" s="769" t="s">
        <v>822</v>
      </c>
      <c r="H36" s="770" t="s">
        <v>831</v>
      </c>
    </row>
    <row r="37" spans="1:8">
      <c r="A37" s="813"/>
      <c r="B37" s="737" t="str">
        <f>IF(A37="","",VLOOKUP(A37,MAT,2,FALSE))</f>
        <v/>
      </c>
      <c r="C37" s="814"/>
      <c r="D37" s="773" t="str">
        <f>IF(A37="","",VLOOKUP(A37,MAT,3,FALSE))</f>
        <v/>
      </c>
      <c r="E37" s="774" t="str">
        <f>IF(A37="","",VLOOKUP(A37,MAT,6,FALSE))</f>
        <v/>
      </c>
      <c r="F37" s="777"/>
      <c r="G37" s="776" t="str">
        <f>IF(A37="","",VLOOKUP(A37,MAT,7,FALSE))</f>
        <v/>
      </c>
      <c r="H37" s="746" t="str">
        <f>IF(A37="","",ROUND((G37*F37*E37),0))</f>
        <v/>
      </c>
    </row>
    <row r="38" spans="1:8">
      <c r="A38" s="771"/>
      <c r="B38" s="737" t="str">
        <f>IF(A38="","",VLOOKUP(A38,MAT,2,FALSE))</f>
        <v/>
      </c>
      <c r="C38" s="772"/>
      <c r="D38" s="773" t="str">
        <f>IF(A38="","",VLOOKUP(A38,MAT,3,FALSE))</f>
        <v/>
      </c>
      <c r="E38" s="774" t="str">
        <f>IF(A38="","",VLOOKUP(A38,MAT,6,FALSE))</f>
        <v/>
      </c>
      <c r="F38" s="777" t="str">
        <f>IF(A38="","",VLOOKUP(A38,$A$23:$H$32,6,FALSE))</f>
        <v/>
      </c>
      <c r="G38" s="776" t="str">
        <f>IF(A38="","",VLOOKUP(A38,MAT,7,FALSE))</f>
        <v/>
      </c>
      <c r="H38" s="746" t="str">
        <f>IF(A38="","",ROUND((G38*F38*E38),0))</f>
        <v/>
      </c>
    </row>
    <row r="39" spans="1:8">
      <c r="A39" s="771"/>
      <c r="B39" s="737" t="str">
        <f>IF(A39="","",VLOOKUP(A39,MAT,2,FALSE))</f>
        <v/>
      </c>
      <c r="C39" s="772"/>
      <c r="D39" s="773" t="str">
        <f>IF(A39="","",VLOOKUP(A39,MAT,3,FALSE))</f>
        <v/>
      </c>
      <c r="E39" s="774" t="str">
        <f>IF(A39="","",VLOOKUP(A39,MAT,6,FALSE))</f>
        <v/>
      </c>
      <c r="F39" s="777" t="str">
        <f>IF(A39="","",VLOOKUP(A39,$A$23:$H$32,6,FALSE))</f>
        <v/>
      </c>
      <c r="G39" s="776" t="str">
        <f>IF(A39="","",VLOOKUP(A39,MAT,7,FALSE))</f>
        <v/>
      </c>
      <c r="H39" s="746" t="str">
        <f>IF(A39="","",ROUND((G39*F39*E39),0))</f>
        <v/>
      </c>
    </row>
    <row r="40" spans="1:8">
      <c r="A40" s="778"/>
      <c r="B40" s="737" t="str">
        <f>IF(A40="","",VLOOKUP(A40,MAT,2,FALSE))</f>
        <v/>
      </c>
      <c r="D40" s="779" t="str">
        <f>IF(A40="","",VLOOKUP(A40,MAT,3,FALSE))</f>
        <v/>
      </c>
      <c r="E40" s="774" t="str">
        <f>IF(A40="","",VLOOKUP(A40,MAT,6,FALSE))</f>
        <v/>
      </c>
      <c r="F40" s="777" t="str">
        <f>IF(A40="","",VLOOKUP(A40,$A$23:$H$32,6,FALSE))</f>
        <v/>
      </c>
      <c r="G40" s="780" t="str">
        <f>IF(A40="","",VLOOKUP(A40,MAT,7,FALSE))</f>
        <v/>
      </c>
      <c r="H40" s="746" t="str">
        <f>IF(A40="","",ROUND((G40*F40*E40),0))</f>
        <v/>
      </c>
    </row>
    <row r="41" spans="1:8" ht="13.5" thickBot="1">
      <c r="A41" s="781"/>
      <c r="B41" s="710" t="str">
        <f>IF(A41="","",VLOOKUP(A41,MAT,2,FALSE))</f>
        <v/>
      </c>
      <c r="C41" s="710"/>
      <c r="D41" s="782" t="str">
        <f>IF(A41="","",VLOOKUP(A41,MAT,3,FALSE))</f>
        <v/>
      </c>
      <c r="E41" s="783" t="str">
        <f>IF(A41="","",VLOOKUP(A41,MAT,6,FALSE))</f>
        <v/>
      </c>
      <c r="F41" s="784" t="str">
        <f>IF(A41="","",VLOOKUP(A41,$A$23:$H$32,6,FALSE))</f>
        <v/>
      </c>
      <c r="G41" s="785" t="str">
        <f>IF(A41="","",VLOOKUP(A41,MAT,7,FALSE))</f>
        <v/>
      </c>
      <c r="H41" s="786" t="str">
        <f>IF(A41="","",ROUND((G41*F41*E41),0))</f>
        <v/>
      </c>
    </row>
    <row r="42" spans="1:8" ht="13.5" thickBot="1">
      <c r="E42" s="787"/>
      <c r="F42" s="788"/>
      <c r="G42" s="789" t="s">
        <v>529</v>
      </c>
      <c r="H42" s="790">
        <f>ROUND(SUM(H37:H41),0)</f>
        <v>0</v>
      </c>
    </row>
    <row r="43" spans="1:8">
      <c r="E43" s="787"/>
      <c r="F43" s="788"/>
      <c r="G43" s="713"/>
      <c r="H43" s="791"/>
    </row>
    <row r="44" spans="1:8" ht="13.5" thickBot="1">
      <c r="A44" s="726" t="s">
        <v>534</v>
      </c>
      <c r="B44" s="726"/>
      <c r="C44" s="726"/>
      <c r="D44" s="712"/>
      <c r="E44" s="713"/>
      <c r="F44" s="712"/>
      <c r="G44" s="712"/>
      <c r="H44" s="749"/>
    </row>
    <row r="45" spans="1:8" ht="13.5" thickBot="1">
      <c r="A45" s="728" t="s">
        <v>527</v>
      </c>
      <c r="B45" s="2232" t="s">
        <v>514</v>
      </c>
      <c r="C45" s="2233"/>
      <c r="D45" s="2234"/>
      <c r="E45" s="792" t="s">
        <v>515</v>
      </c>
      <c r="F45" s="792" t="s">
        <v>535</v>
      </c>
      <c r="G45" s="793" t="s">
        <v>944</v>
      </c>
      <c r="H45" s="770" t="s">
        <v>831</v>
      </c>
    </row>
    <row r="46" spans="1:8">
      <c r="A46" s="794"/>
      <c r="B46" s="2235"/>
      <c r="C46" s="2236"/>
      <c r="D46" s="2237"/>
      <c r="E46" s="795"/>
      <c r="F46" s="796"/>
      <c r="G46" s="797"/>
      <c r="H46" s="798"/>
    </row>
    <row r="47" spans="1:8">
      <c r="A47" s="794"/>
      <c r="B47" s="2221" t="str">
        <f>IF(A47="","",VLOOKUP(A47,MO,2,FALSE))</f>
        <v/>
      </c>
      <c r="C47" s="2222"/>
      <c r="D47" s="2223"/>
      <c r="E47" s="795" t="str">
        <f>IF(A47="","",VLOOKUP(A47,MO,13,FALSE))</f>
        <v/>
      </c>
      <c r="F47" s="796"/>
      <c r="G47" s="797" t="str">
        <f>IF(A47="","",VLOOKUP(A47,MO,15,FALSE))</f>
        <v/>
      </c>
      <c r="H47" s="798" t="str">
        <f>IF(A47="","",ROUND((G47/F47),0))</f>
        <v/>
      </c>
    </row>
    <row r="48" spans="1:8">
      <c r="A48" s="794"/>
      <c r="B48" s="2221" t="str">
        <f>IF(A48="","",VLOOKUP(A48,MO,2,FALSE))</f>
        <v/>
      </c>
      <c r="C48" s="2222"/>
      <c r="D48" s="2223"/>
      <c r="E48" s="795" t="str">
        <f>IF(A48="","",VLOOKUP(A48,MO,13,FALSE))</f>
        <v/>
      </c>
      <c r="F48" s="796"/>
      <c r="G48" s="799" t="str">
        <f>IF(A48="","",VLOOKUP(A48,MO,15,FALSE))</f>
        <v/>
      </c>
      <c r="H48" s="798" t="str">
        <f>IF(A48="","",ROUND((G48/F48),0))</f>
        <v/>
      </c>
    </row>
    <row r="49" spans="1:8" ht="13.5" thickBot="1">
      <c r="A49" s="800"/>
      <c r="B49" s="2224" t="str">
        <f>IF(A49="","",VLOOKUP(A49,MO,2,FALSE))</f>
        <v/>
      </c>
      <c r="C49" s="2225"/>
      <c r="D49" s="2226"/>
      <c r="E49" s="801" t="str">
        <f>IF(A49="","",VLOOKUP(A49,MO,13,FALSE))</f>
        <v/>
      </c>
      <c r="F49" s="802"/>
      <c r="G49" s="803" t="str">
        <f>IF(A49="","",VLOOKUP(A49,MO,15,FALSE))</f>
        <v/>
      </c>
      <c r="H49" s="804" t="str">
        <f>IF(A49="","",ROUND((G49/F49),0))</f>
        <v/>
      </c>
    </row>
    <row r="50" spans="1:8" ht="13.5" thickBot="1">
      <c r="A50" s="712"/>
      <c r="B50" s="712"/>
      <c r="C50" s="712"/>
      <c r="D50" s="712"/>
      <c r="E50" s="713"/>
      <c r="F50" s="712"/>
      <c r="G50" s="753" t="s">
        <v>529</v>
      </c>
      <c r="H50" s="805">
        <f>ROUND(SUM(H46:H49),0)</f>
        <v>0</v>
      </c>
    </row>
    <row r="51" spans="1:8" ht="13.5" thickBot="1">
      <c r="A51" s="712"/>
      <c r="B51" s="712"/>
      <c r="C51" s="712"/>
      <c r="D51" s="712"/>
      <c r="E51" s="713"/>
      <c r="F51" s="712"/>
      <c r="G51" s="712"/>
      <c r="H51" s="712"/>
    </row>
    <row r="52" spans="1:8" ht="13.5" thickBot="1">
      <c r="A52" s="712"/>
      <c r="B52" s="712"/>
      <c r="C52" s="712"/>
      <c r="D52" s="712"/>
      <c r="E52" s="806" t="s">
        <v>536</v>
      </c>
      <c r="F52" s="807"/>
      <c r="G52" s="807"/>
      <c r="H52" s="808">
        <f>+ROUND(H19+H33+H42+H50,0)</f>
        <v>18000</v>
      </c>
    </row>
    <row r="53" spans="1:8">
      <c r="A53" s="712"/>
      <c r="B53" s="712"/>
      <c r="C53" s="712"/>
      <c r="D53" s="712"/>
      <c r="E53" s="346" t="s">
        <v>2697</v>
      </c>
      <c r="F53" s="347"/>
      <c r="G53" s="347">
        <v>0.3</v>
      </c>
      <c r="H53" s="349">
        <f>H52*G53</f>
        <v>5400</v>
      </c>
    </row>
    <row r="54" spans="1:8">
      <c r="A54" s="712"/>
      <c r="B54" s="712"/>
      <c r="C54" s="712"/>
      <c r="D54" s="712"/>
      <c r="E54" s="346"/>
      <c r="F54" s="347"/>
      <c r="G54" s="347"/>
      <c r="H54" s="349">
        <f>SUM(H52:H53)</f>
        <v>23400</v>
      </c>
    </row>
    <row r="55" spans="1:8">
      <c r="A55" s="712"/>
      <c r="B55" s="712"/>
      <c r="C55" s="712"/>
      <c r="D55" s="712"/>
      <c r="E55" s="806"/>
      <c r="F55" s="807"/>
      <c r="G55" s="807"/>
      <c r="H55" s="809"/>
    </row>
    <row r="56" spans="1:8">
      <c r="A56" s="712"/>
      <c r="B56" s="712"/>
      <c r="C56" s="712"/>
      <c r="D56" s="712"/>
      <c r="E56" s="806"/>
      <c r="F56" s="807"/>
      <c r="G56" s="807"/>
      <c r="H56" s="809"/>
    </row>
    <row r="57" spans="1:8">
      <c r="A57" s="712"/>
      <c r="B57" s="712"/>
      <c r="C57" s="712"/>
      <c r="D57" s="712"/>
      <c r="E57" s="806"/>
      <c r="F57" s="807"/>
      <c r="G57" s="807"/>
      <c r="H57" s="809"/>
    </row>
    <row r="59" spans="1:8">
      <c r="A59" s="703" t="str">
        <f>+[14]PRESUPUESTO!$A$113</f>
        <v>__________________________________________</v>
      </c>
    </row>
    <row r="60" spans="1:8">
      <c r="A60" s="810" t="str">
        <f>+[14]PRESUPUESTO!$A$114</f>
        <v>Ing. JHON FREDY GARCIA MENDEZ</v>
      </c>
    </row>
    <row r="61" spans="1:8">
      <c r="A61" s="811" t="str">
        <f>+[14]PRESUPUESTO!$A$115</f>
        <v>M.P.  70268-326294 TLM.</v>
      </c>
    </row>
    <row r="62" spans="1:8">
      <c r="A62" s="811" t="str">
        <f>+[14]PRESUPUESTO!$A$116</f>
        <v>CONSULTOR</v>
      </c>
    </row>
  </sheetData>
  <mergeCells count="15">
    <mergeCell ref="D2:E4"/>
    <mergeCell ref="F2:H2"/>
    <mergeCell ref="F3:H3"/>
    <mergeCell ref="F4:H4"/>
    <mergeCell ref="A5:E5"/>
    <mergeCell ref="F5:H5"/>
    <mergeCell ref="B47:D47"/>
    <mergeCell ref="B48:D48"/>
    <mergeCell ref="B49:D49"/>
    <mergeCell ref="B6:D6"/>
    <mergeCell ref="B7:E7"/>
    <mergeCell ref="B8:E8"/>
    <mergeCell ref="B36:C36"/>
    <mergeCell ref="B45:D45"/>
    <mergeCell ref="B46:D46"/>
  </mergeCells>
  <pageMargins left="0.75" right="0.75" top="1" bottom="1" header="0" footer="0"/>
  <pageSetup paperSize="9" scale="70" orientation="portrait" r:id="rId1"/>
  <headerFooter alignWithMargins="0"/>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theme="8" tint="0.79998168889431442"/>
  </sheetPr>
  <dimension ref="A1:I62"/>
  <sheetViews>
    <sheetView view="pageBreakPreview" topLeftCell="A23" zoomScale="90" zoomScaleNormal="100" zoomScaleSheetLayoutView="90" workbookViewId="0">
      <selection activeCell="F47" sqref="F47"/>
    </sheetView>
  </sheetViews>
  <sheetFormatPr baseColWidth="10" defaultColWidth="11.42578125" defaultRowHeight="12.75"/>
  <cols>
    <col min="1" max="1" width="9.140625" style="703" customWidth="1"/>
    <col min="2" max="2" width="12.28515625" style="703" bestFit="1" customWidth="1"/>
    <col min="3" max="3" width="25.85546875" style="703" customWidth="1"/>
    <col min="4" max="4" width="21" style="703" customWidth="1"/>
    <col min="5" max="5" width="13" style="703" customWidth="1"/>
    <col min="6" max="6" width="11.7109375" style="703" bestFit="1" customWidth="1"/>
    <col min="7" max="7" width="14" style="703" customWidth="1"/>
    <col min="8" max="8" width="13.85546875" style="703" customWidth="1"/>
    <col min="9" max="256" width="11.42578125" style="703"/>
    <col min="257" max="257" width="9.140625" style="703" customWidth="1"/>
    <col min="258" max="258" width="12.28515625" style="703" bestFit="1" customWidth="1"/>
    <col min="259" max="259" width="25.85546875" style="703" customWidth="1"/>
    <col min="260" max="260" width="21" style="703" customWidth="1"/>
    <col min="261" max="261" width="13" style="703" customWidth="1"/>
    <col min="262" max="262" width="11.7109375" style="703" bestFit="1" customWidth="1"/>
    <col min="263" max="263" width="14" style="703" customWidth="1"/>
    <col min="264" max="264" width="13.85546875" style="703" customWidth="1"/>
    <col min="265" max="512" width="11.42578125" style="703"/>
    <col min="513" max="513" width="9.140625" style="703" customWidth="1"/>
    <col min="514" max="514" width="12.28515625" style="703" bestFit="1" customWidth="1"/>
    <col min="515" max="515" width="25.85546875" style="703" customWidth="1"/>
    <col min="516" max="516" width="21" style="703" customWidth="1"/>
    <col min="517" max="517" width="13" style="703" customWidth="1"/>
    <col min="518" max="518" width="11.7109375" style="703" bestFit="1" customWidth="1"/>
    <col min="519" max="519" width="14" style="703" customWidth="1"/>
    <col min="520" max="520" width="13.85546875" style="703" customWidth="1"/>
    <col min="521" max="768" width="11.42578125" style="703"/>
    <col min="769" max="769" width="9.140625" style="703" customWidth="1"/>
    <col min="770" max="770" width="12.28515625" style="703" bestFit="1" customWidth="1"/>
    <col min="771" max="771" width="25.85546875" style="703" customWidth="1"/>
    <col min="772" max="772" width="21" style="703" customWidth="1"/>
    <col min="773" max="773" width="13" style="703" customWidth="1"/>
    <col min="774" max="774" width="11.7109375" style="703" bestFit="1" customWidth="1"/>
    <col min="775" max="775" width="14" style="703" customWidth="1"/>
    <col min="776" max="776" width="13.85546875" style="703" customWidth="1"/>
    <col min="777" max="1024" width="11.42578125" style="703"/>
    <col min="1025" max="1025" width="9.140625" style="703" customWidth="1"/>
    <col min="1026" max="1026" width="12.28515625" style="703" bestFit="1" customWidth="1"/>
    <col min="1027" max="1027" width="25.85546875" style="703" customWidth="1"/>
    <col min="1028" max="1028" width="21" style="703" customWidth="1"/>
    <col min="1029" max="1029" width="13" style="703" customWidth="1"/>
    <col min="1030" max="1030" width="11.7109375" style="703" bestFit="1" customWidth="1"/>
    <col min="1031" max="1031" width="14" style="703" customWidth="1"/>
    <col min="1032" max="1032" width="13.85546875" style="703" customWidth="1"/>
    <col min="1033" max="1280" width="11.42578125" style="703"/>
    <col min="1281" max="1281" width="9.140625" style="703" customWidth="1"/>
    <col min="1282" max="1282" width="12.28515625" style="703" bestFit="1" customWidth="1"/>
    <col min="1283" max="1283" width="25.85546875" style="703" customWidth="1"/>
    <col min="1284" max="1284" width="21" style="703" customWidth="1"/>
    <col min="1285" max="1285" width="13" style="703" customWidth="1"/>
    <col min="1286" max="1286" width="11.7109375" style="703" bestFit="1" customWidth="1"/>
    <col min="1287" max="1287" width="14" style="703" customWidth="1"/>
    <col min="1288" max="1288" width="13.85546875" style="703" customWidth="1"/>
    <col min="1289" max="1536" width="11.42578125" style="703"/>
    <col min="1537" max="1537" width="9.140625" style="703" customWidth="1"/>
    <col min="1538" max="1538" width="12.28515625" style="703" bestFit="1" customWidth="1"/>
    <col min="1539" max="1539" width="25.85546875" style="703" customWidth="1"/>
    <col min="1540" max="1540" width="21" style="703" customWidth="1"/>
    <col min="1541" max="1541" width="13" style="703" customWidth="1"/>
    <col min="1542" max="1542" width="11.7109375" style="703" bestFit="1" customWidth="1"/>
    <col min="1543" max="1543" width="14" style="703" customWidth="1"/>
    <col min="1544" max="1544" width="13.85546875" style="703" customWidth="1"/>
    <col min="1545" max="1792" width="11.42578125" style="703"/>
    <col min="1793" max="1793" width="9.140625" style="703" customWidth="1"/>
    <col min="1794" max="1794" width="12.28515625" style="703" bestFit="1" customWidth="1"/>
    <col min="1795" max="1795" width="25.85546875" style="703" customWidth="1"/>
    <col min="1796" max="1796" width="21" style="703" customWidth="1"/>
    <col min="1797" max="1797" width="13" style="703" customWidth="1"/>
    <col min="1798" max="1798" width="11.7109375" style="703" bestFit="1" customWidth="1"/>
    <col min="1799" max="1799" width="14" style="703" customWidth="1"/>
    <col min="1800" max="1800" width="13.85546875" style="703" customWidth="1"/>
    <col min="1801" max="2048" width="11.42578125" style="703"/>
    <col min="2049" max="2049" width="9.140625" style="703" customWidth="1"/>
    <col min="2050" max="2050" width="12.28515625" style="703" bestFit="1" customWidth="1"/>
    <col min="2051" max="2051" width="25.85546875" style="703" customWidth="1"/>
    <col min="2052" max="2052" width="21" style="703" customWidth="1"/>
    <col min="2053" max="2053" width="13" style="703" customWidth="1"/>
    <col min="2054" max="2054" width="11.7109375" style="703" bestFit="1" customWidth="1"/>
    <col min="2055" max="2055" width="14" style="703" customWidth="1"/>
    <col min="2056" max="2056" width="13.85546875" style="703" customWidth="1"/>
    <col min="2057" max="2304" width="11.42578125" style="703"/>
    <col min="2305" max="2305" width="9.140625" style="703" customWidth="1"/>
    <col min="2306" max="2306" width="12.28515625" style="703" bestFit="1" customWidth="1"/>
    <col min="2307" max="2307" width="25.85546875" style="703" customWidth="1"/>
    <col min="2308" max="2308" width="21" style="703" customWidth="1"/>
    <col min="2309" max="2309" width="13" style="703" customWidth="1"/>
    <col min="2310" max="2310" width="11.7109375" style="703" bestFit="1" customWidth="1"/>
    <col min="2311" max="2311" width="14" style="703" customWidth="1"/>
    <col min="2312" max="2312" width="13.85546875" style="703" customWidth="1"/>
    <col min="2313" max="2560" width="11.42578125" style="703"/>
    <col min="2561" max="2561" width="9.140625" style="703" customWidth="1"/>
    <col min="2562" max="2562" width="12.28515625" style="703" bestFit="1" customWidth="1"/>
    <col min="2563" max="2563" width="25.85546875" style="703" customWidth="1"/>
    <col min="2564" max="2564" width="21" style="703" customWidth="1"/>
    <col min="2565" max="2565" width="13" style="703" customWidth="1"/>
    <col min="2566" max="2566" width="11.7109375" style="703" bestFit="1" customWidth="1"/>
    <col min="2567" max="2567" width="14" style="703" customWidth="1"/>
    <col min="2568" max="2568" width="13.85546875" style="703" customWidth="1"/>
    <col min="2569" max="2816" width="11.42578125" style="703"/>
    <col min="2817" max="2817" width="9.140625" style="703" customWidth="1"/>
    <col min="2818" max="2818" width="12.28515625" style="703" bestFit="1" customWidth="1"/>
    <col min="2819" max="2819" width="25.85546875" style="703" customWidth="1"/>
    <col min="2820" max="2820" width="21" style="703" customWidth="1"/>
    <col min="2821" max="2821" width="13" style="703" customWidth="1"/>
    <col min="2822" max="2822" width="11.7109375" style="703" bestFit="1" customWidth="1"/>
    <col min="2823" max="2823" width="14" style="703" customWidth="1"/>
    <col min="2824" max="2824" width="13.85546875" style="703" customWidth="1"/>
    <col min="2825" max="3072" width="11.42578125" style="703"/>
    <col min="3073" max="3073" width="9.140625" style="703" customWidth="1"/>
    <col min="3074" max="3074" width="12.28515625" style="703" bestFit="1" customWidth="1"/>
    <col min="3075" max="3075" width="25.85546875" style="703" customWidth="1"/>
    <col min="3076" max="3076" width="21" style="703" customWidth="1"/>
    <col min="3077" max="3077" width="13" style="703" customWidth="1"/>
    <col min="3078" max="3078" width="11.7109375" style="703" bestFit="1" customWidth="1"/>
    <col min="3079" max="3079" width="14" style="703" customWidth="1"/>
    <col min="3080" max="3080" width="13.85546875" style="703" customWidth="1"/>
    <col min="3081" max="3328" width="11.42578125" style="703"/>
    <col min="3329" max="3329" width="9.140625" style="703" customWidth="1"/>
    <col min="3330" max="3330" width="12.28515625" style="703" bestFit="1" customWidth="1"/>
    <col min="3331" max="3331" width="25.85546875" style="703" customWidth="1"/>
    <col min="3332" max="3332" width="21" style="703" customWidth="1"/>
    <col min="3333" max="3333" width="13" style="703" customWidth="1"/>
    <col min="3334" max="3334" width="11.7109375" style="703" bestFit="1" customWidth="1"/>
    <col min="3335" max="3335" width="14" style="703" customWidth="1"/>
    <col min="3336" max="3336" width="13.85546875" style="703" customWidth="1"/>
    <col min="3337" max="3584" width="11.42578125" style="703"/>
    <col min="3585" max="3585" width="9.140625" style="703" customWidth="1"/>
    <col min="3586" max="3586" width="12.28515625" style="703" bestFit="1" customWidth="1"/>
    <col min="3587" max="3587" width="25.85546875" style="703" customWidth="1"/>
    <col min="3588" max="3588" width="21" style="703" customWidth="1"/>
    <col min="3589" max="3589" width="13" style="703" customWidth="1"/>
    <col min="3590" max="3590" width="11.7109375" style="703" bestFit="1" customWidth="1"/>
    <col min="3591" max="3591" width="14" style="703" customWidth="1"/>
    <col min="3592" max="3592" width="13.85546875" style="703" customWidth="1"/>
    <col min="3593" max="3840" width="11.42578125" style="703"/>
    <col min="3841" max="3841" width="9.140625" style="703" customWidth="1"/>
    <col min="3842" max="3842" width="12.28515625" style="703" bestFit="1" customWidth="1"/>
    <col min="3843" max="3843" width="25.85546875" style="703" customWidth="1"/>
    <col min="3844" max="3844" width="21" style="703" customWidth="1"/>
    <col min="3845" max="3845" width="13" style="703" customWidth="1"/>
    <col min="3846" max="3846" width="11.7109375" style="703" bestFit="1" customWidth="1"/>
    <col min="3847" max="3847" width="14" style="703" customWidth="1"/>
    <col min="3848" max="3848" width="13.85546875" style="703" customWidth="1"/>
    <col min="3849" max="4096" width="11.42578125" style="703"/>
    <col min="4097" max="4097" width="9.140625" style="703" customWidth="1"/>
    <col min="4098" max="4098" width="12.28515625" style="703" bestFit="1" customWidth="1"/>
    <col min="4099" max="4099" width="25.85546875" style="703" customWidth="1"/>
    <col min="4100" max="4100" width="21" style="703" customWidth="1"/>
    <col min="4101" max="4101" width="13" style="703" customWidth="1"/>
    <col min="4102" max="4102" width="11.7109375" style="703" bestFit="1" customWidth="1"/>
    <col min="4103" max="4103" width="14" style="703" customWidth="1"/>
    <col min="4104" max="4104" width="13.85546875" style="703" customWidth="1"/>
    <col min="4105" max="4352" width="11.42578125" style="703"/>
    <col min="4353" max="4353" width="9.140625" style="703" customWidth="1"/>
    <col min="4354" max="4354" width="12.28515625" style="703" bestFit="1" customWidth="1"/>
    <col min="4355" max="4355" width="25.85546875" style="703" customWidth="1"/>
    <col min="4356" max="4356" width="21" style="703" customWidth="1"/>
    <col min="4357" max="4357" width="13" style="703" customWidth="1"/>
    <col min="4358" max="4358" width="11.7109375" style="703" bestFit="1" customWidth="1"/>
    <col min="4359" max="4359" width="14" style="703" customWidth="1"/>
    <col min="4360" max="4360" width="13.85546875" style="703" customWidth="1"/>
    <col min="4361" max="4608" width="11.42578125" style="703"/>
    <col min="4609" max="4609" width="9.140625" style="703" customWidth="1"/>
    <col min="4610" max="4610" width="12.28515625" style="703" bestFit="1" customWidth="1"/>
    <col min="4611" max="4611" width="25.85546875" style="703" customWidth="1"/>
    <col min="4612" max="4612" width="21" style="703" customWidth="1"/>
    <col min="4613" max="4613" width="13" style="703" customWidth="1"/>
    <col min="4614" max="4614" width="11.7109375" style="703" bestFit="1" customWidth="1"/>
    <col min="4615" max="4615" width="14" style="703" customWidth="1"/>
    <col min="4616" max="4616" width="13.85546875" style="703" customWidth="1"/>
    <col min="4617" max="4864" width="11.42578125" style="703"/>
    <col min="4865" max="4865" width="9.140625" style="703" customWidth="1"/>
    <col min="4866" max="4866" width="12.28515625" style="703" bestFit="1" customWidth="1"/>
    <col min="4867" max="4867" width="25.85546875" style="703" customWidth="1"/>
    <col min="4868" max="4868" width="21" style="703" customWidth="1"/>
    <col min="4869" max="4869" width="13" style="703" customWidth="1"/>
    <col min="4870" max="4870" width="11.7109375" style="703" bestFit="1" customWidth="1"/>
    <col min="4871" max="4871" width="14" style="703" customWidth="1"/>
    <col min="4872" max="4872" width="13.85546875" style="703" customWidth="1"/>
    <col min="4873" max="5120" width="11.42578125" style="703"/>
    <col min="5121" max="5121" width="9.140625" style="703" customWidth="1"/>
    <col min="5122" max="5122" width="12.28515625" style="703" bestFit="1" customWidth="1"/>
    <col min="5123" max="5123" width="25.85546875" style="703" customWidth="1"/>
    <col min="5124" max="5124" width="21" style="703" customWidth="1"/>
    <col min="5125" max="5125" width="13" style="703" customWidth="1"/>
    <col min="5126" max="5126" width="11.7109375" style="703" bestFit="1" customWidth="1"/>
    <col min="5127" max="5127" width="14" style="703" customWidth="1"/>
    <col min="5128" max="5128" width="13.85546875" style="703" customWidth="1"/>
    <col min="5129" max="5376" width="11.42578125" style="703"/>
    <col min="5377" max="5377" width="9.140625" style="703" customWidth="1"/>
    <col min="5378" max="5378" width="12.28515625" style="703" bestFit="1" customWidth="1"/>
    <col min="5379" max="5379" width="25.85546875" style="703" customWidth="1"/>
    <col min="5380" max="5380" width="21" style="703" customWidth="1"/>
    <col min="5381" max="5381" width="13" style="703" customWidth="1"/>
    <col min="5382" max="5382" width="11.7109375" style="703" bestFit="1" customWidth="1"/>
    <col min="5383" max="5383" width="14" style="703" customWidth="1"/>
    <col min="5384" max="5384" width="13.85546875" style="703" customWidth="1"/>
    <col min="5385" max="5632" width="11.42578125" style="703"/>
    <col min="5633" max="5633" width="9.140625" style="703" customWidth="1"/>
    <col min="5634" max="5634" width="12.28515625" style="703" bestFit="1" customWidth="1"/>
    <col min="5635" max="5635" width="25.85546875" style="703" customWidth="1"/>
    <col min="5636" max="5636" width="21" style="703" customWidth="1"/>
    <col min="5637" max="5637" width="13" style="703" customWidth="1"/>
    <col min="5638" max="5638" width="11.7109375" style="703" bestFit="1" customWidth="1"/>
    <col min="5639" max="5639" width="14" style="703" customWidth="1"/>
    <col min="5640" max="5640" width="13.85546875" style="703" customWidth="1"/>
    <col min="5641" max="5888" width="11.42578125" style="703"/>
    <col min="5889" max="5889" width="9.140625" style="703" customWidth="1"/>
    <col min="5890" max="5890" width="12.28515625" style="703" bestFit="1" customWidth="1"/>
    <col min="5891" max="5891" width="25.85546875" style="703" customWidth="1"/>
    <col min="5892" max="5892" width="21" style="703" customWidth="1"/>
    <col min="5893" max="5893" width="13" style="703" customWidth="1"/>
    <col min="5894" max="5894" width="11.7109375" style="703" bestFit="1" customWidth="1"/>
    <col min="5895" max="5895" width="14" style="703" customWidth="1"/>
    <col min="5896" max="5896" width="13.85546875" style="703" customWidth="1"/>
    <col min="5897" max="6144" width="11.42578125" style="703"/>
    <col min="6145" max="6145" width="9.140625" style="703" customWidth="1"/>
    <col min="6146" max="6146" width="12.28515625" style="703" bestFit="1" customWidth="1"/>
    <col min="6147" max="6147" width="25.85546875" style="703" customWidth="1"/>
    <col min="6148" max="6148" width="21" style="703" customWidth="1"/>
    <col min="6149" max="6149" width="13" style="703" customWidth="1"/>
    <col min="6150" max="6150" width="11.7109375" style="703" bestFit="1" customWidth="1"/>
    <col min="6151" max="6151" width="14" style="703" customWidth="1"/>
    <col min="6152" max="6152" width="13.85546875" style="703" customWidth="1"/>
    <col min="6153" max="6400" width="11.42578125" style="703"/>
    <col min="6401" max="6401" width="9.140625" style="703" customWidth="1"/>
    <col min="6402" max="6402" width="12.28515625" style="703" bestFit="1" customWidth="1"/>
    <col min="6403" max="6403" width="25.85546875" style="703" customWidth="1"/>
    <col min="6404" max="6404" width="21" style="703" customWidth="1"/>
    <col min="6405" max="6405" width="13" style="703" customWidth="1"/>
    <col min="6406" max="6406" width="11.7109375" style="703" bestFit="1" customWidth="1"/>
    <col min="6407" max="6407" width="14" style="703" customWidth="1"/>
    <col min="6408" max="6408" width="13.85546875" style="703" customWidth="1"/>
    <col min="6409" max="6656" width="11.42578125" style="703"/>
    <col min="6657" max="6657" width="9.140625" style="703" customWidth="1"/>
    <col min="6658" max="6658" width="12.28515625" style="703" bestFit="1" customWidth="1"/>
    <col min="6659" max="6659" width="25.85546875" style="703" customWidth="1"/>
    <col min="6660" max="6660" width="21" style="703" customWidth="1"/>
    <col min="6661" max="6661" width="13" style="703" customWidth="1"/>
    <col min="6662" max="6662" width="11.7109375" style="703" bestFit="1" customWidth="1"/>
    <col min="6663" max="6663" width="14" style="703" customWidth="1"/>
    <col min="6664" max="6664" width="13.85546875" style="703" customWidth="1"/>
    <col min="6665" max="6912" width="11.42578125" style="703"/>
    <col min="6913" max="6913" width="9.140625" style="703" customWidth="1"/>
    <col min="6914" max="6914" width="12.28515625" style="703" bestFit="1" customWidth="1"/>
    <col min="6915" max="6915" width="25.85546875" style="703" customWidth="1"/>
    <col min="6916" max="6916" width="21" style="703" customWidth="1"/>
    <col min="6917" max="6917" width="13" style="703" customWidth="1"/>
    <col min="6918" max="6918" width="11.7109375" style="703" bestFit="1" customWidth="1"/>
    <col min="6919" max="6919" width="14" style="703" customWidth="1"/>
    <col min="6920" max="6920" width="13.85546875" style="703" customWidth="1"/>
    <col min="6921" max="7168" width="11.42578125" style="703"/>
    <col min="7169" max="7169" width="9.140625" style="703" customWidth="1"/>
    <col min="7170" max="7170" width="12.28515625" style="703" bestFit="1" customWidth="1"/>
    <col min="7171" max="7171" width="25.85546875" style="703" customWidth="1"/>
    <col min="7172" max="7172" width="21" style="703" customWidth="1"/>
    <col min="7173" max="7173" width="13" style="703" customWidth="1"/>
    <col min="7174" max="7174" width="11.7109375" style="703" bestFit="1" customWidth="1"/>
    <col min="7175" max="7175" width="14" style="703" customWidth="1"/>
    <col min="7176" max="7176" width="13.85546875" style="703" customWidth="1"/>
    <col min="7177" max="7424" width="11.42578125" style="703"/>
    <col min="7425" max="7425" width="9.140625" style="703" customWidth="1"/>
    <col min="7426" max="7426" width="12.28515625" style="703" bestFit="1" customWidth="1"/>
    <col min="7427" max="7427" width="25.85546875" style="703" customWidth="1"/>
    <col min="7428" max="7428" width="21" style="703" customWidth="1"/>
    <col min="7429" max="7429" width="13" style="703" customWidth="1"/>
    <col min="7430" max="7430" width="11.7109375" style="703" bestFit="1" customWidth="1"/>
    <col min="7431" max="7431" width="14" style="703" customWidth="1"/>
    <col min="7432" max="7432" width="13.85546875" style="703" customWidth="1"/>
    <col min="7433" max="7680" width="11.42578125" style="703"/>
    <col min="7681" max="7681" width="9.140625" style="703" customWidth="1"/>
    <col min="7682" max="7682" width="12.28515625" style="703" bestFit="1" customWidth="1"/>
    <col min="7683" max="7683" width="25.85546875" style="703" customWidth="1"/>
    <col min="7684" max="7684" width="21" style="703" customWidth="1"/>
    <col min="7685" max="7685" width="13" style="703" customWidth="1"/>
    <col min="7686" max="7686" width="11.7109375" style="703" bestFit="1" customWidth="1"/>
    <col min="7687" max="7687" width="14" style="703" customWidth="1"/>
    <col min="7688" max="7688" width="13.85546875" style="703" customWidth="1"/>
    <col min="7689" max="7936" width="11.42578125" style="703"/>
    <col min="7937" max="7937" width="9.140625" style="703" customWidth="1"/>
    <col min="7938" max="7938" width="12.28515625" style="703" bestFit="1" customWidth="1"/>
    <col min="7939" max="7939" width="25.85546875" style="703" customWidth="1"/>
    <col min="7940" max="7940" width="21" style="703" customWidth="1"/>
    <col min="7941" max="7941" width="13" style="703" customWidth="1"/>
    <col min="7942" max="7942" width="11.7109375" style="703" bestFit="1" customWidth="1"/>
    <col min="7943" max="7943" width="14" style="703" customWidth="1"/>
    <col min="7944" max="7944" width="13.85546875" style="703" customWidth="1"/>
    <col min="7945" max="8192" width="11.42578125" style="703"/>
    <col min="8193" max="8193" width="9.140625" style="703" customWidth="1"/>
    <col min="8194" max="8194" width="12.28515625" style="703" bestFit="1" customWidth="1"/>
    <col min="8195" max="8195" width="25.85546875" style="703" customWidth="1"/>
    <col min="8196" max="8196" width="21" style="703" customWidth="1"/>
    <col min="8197" max="8197" width="13" style="703" customWidth="1"/>
    <col min="8198" max="8198" width="11.7109375" style="703" bestFit="1" customWidth="1"/>
    <col min="8199" max="8199" width="14" style="703" customWidth="1"/>
    <col min="8200" max="8200" width="13.85546875" style="703" customWidth="1"/>
    <col min="8201" max="8448" width="11.42578125" style="703"/>
    <col min="8449" max="8449" width="9.140625" style="703" customWidth="1"/>
    <col min="8450" max="8450" width="12.28515625" style="703" bestFit="1" customWidth="1"/>
    <col min="8451" max="8451" width="25.85546875" style="703" customWidth="1"/>
    <col min="8452" max="8452" width="21" style="703" customWidth="1"/>
    <col min="8453" max="8453" width="13" style="703" customWidth="1"/>
    <col min="8454" max="8454" width="11.7109375" style="703" bestFit="1" customWidth="1"/>
    <col min="8455" max="8455" width="14" style="703" customWidth="1"/>
    <col min="8456" max="8456" width="13.85546875" style="703" customWidth="1"/>
    <col min="8457" max="8704" width="11.42578125" style="703"/>
    <col min="8705" max="8705" width="9.140625" style="703" customWidth="1"/>
    <col min="8706" max="8706" width="12.28515625" style="703" bestFit="1" customWidth="1"/>
    <col min="8707" max="8707" width="25.85546875" style="703" customWidth="1"/>
    <col min="8708" max="8708" width="21" style="703" customWidth="1"/>
    <col min="8709" max="8709" width="13" style="703" customWidth="1"/>
    <col min="8710" max="8710" width="11.7109375" style="703" bestFit="1" customWidth="1"/>
    <col min="8711" max="8711" width="14" style="703" customWidth="1"/>
    <col min="8712" max="8712" width="13.85546875" style="703" customWidth="1"/>
    <col min="8713" max="8960" width="11.42578125" style="703"/>
    <col min="8961" max="8961" width="9.140625" style="703" customWidth="1"/>
    <col min="8962" max="8962" width="12.28515625" style="703" bestFit="1" customWidth="1"/>
    <col min="8963" max="8963" width="25.85546875" style="703" customWidth="1"/>
    <col min="8964" max="8964" width="21" style="703" customWidth="1"/>
    <col min="8965" max="8965" width="13" style="703" customWidth="1"/>
    <col min="8966" max="8966" width="11.7109375" style="703" bestFit="1" customWidth="1"/>
    <col min="8967" max="8967" width="14" style="703" customWidth="1"/>
    <col min="8968" max="8968" width="13.85546875" style="703" customWidth="1"/>
    <col min="8969" max="9216" width="11.42578125" style="703"/>
    <col min="9217" max="9217" width="9.140625" style="703" customWidth="1"/>
    <col min="9218" max="9218" width="12.28515625" style="703" bestFit="1" customWidth="1"/>
    <col min="9219" max="9219" width="25.85546875" style="703" customWidth="1"/>
    <col min="9220" max="9220" width="21" style="703" customWidth="1"/>
    <col min="9221" max="9221" width="13" style="703" customWidth="1"/>
    <col min="9222" max="9222" width="11.7109375" style="703" bestFit="1" customWidth="1"/>
    <col min="9223" max="9223" width="14" style="703" customWidth="1"/>
    <col min="9224" max="9224" width="13.85546875" style="703" customWidth="1"/>
    <col min="9225" max="9472" width="11.42578125" style="703"/>
    <col min="9473" max="9473" width="9.140625" style="703" customWidth="1"/>
    <col min="9474" max="9474" width="12.28515625" style="703" bestFit="1" customWidth="1"/>
    <col min="9475" max="9475" width="25.85546875" style="703" customWidth="1"/>
    <col min="9476" max="9476" width="21" style="703" customWidth="1"/>
    <col min="9477" max="9477" width="13" style="703" customWidth="1"/>
    <col min="9478" max="9478" width="11.7109375" style="703" bestFit="1" customWidth="1"/>
    <col min="9479" max="9479" width="14" style="703" customWidth="1"/>
    <col min="9480" max="9480" width="13.85546875" style="703" customWidth="1"/>
    <col min="9481" max="9728" width="11.42578125" style="703"/>
    <col min="9729" max="9729" width="9.140625" style="703" customWidth="1"/>
    <col min="9730" max="9730" width="12.28515625" style="703" bestFit="1" customWidth="1"/>
    <col min="9731" max="9731" width="25.85546875" style="703" customWidth="1"/>
    <col min="9732" max="9732" width="21" style="703" customWidth="1"/>
    <col min="9733" max="9733" width="13" style="703" customWidth="1"/>
    <col min="9734" max="9734" width="11.7109375" style="703" bestFit="1" customWidth="1"/>
    <col min="9735" max="9735" width="14" style="703" customWidth="1"/>
    <col min="9736" max="9736" width="13.85546875" style="703" customWidth="1"/>
    <col min="9737" max="9984" width="11.42578125" style="703"/>
    <col min="9985" max="9985" width="9.140625" style="703" customWidth="1"/>
    <col min="9986" max="9986" width="12.28515625" style="703" bestFit="1" customWidth="1"/>
    <col min="9987" max="9987" width="25.85546875" style="703" customWidth="1"/>
    <col min="9988" max="9988" width="21" style="703" customWidth="1"/>
    <col min="9989" max="9989" width="13" style="703" customWidth="1"/>
    <col min="9990" max="9990" width="11.7109375" style="703" bestFit="1" customWidth="1"/>
    <col min="9991" max="9991" width="14" style="703" customWidth="1"/>
    <col min="9992" max="9992" width="13.85546875" style="703" customWidth="1"/>
    <col min="9993" max="10240" width="11.42578125" style="703"/>
    <col min="10241" max="10241" width="9.140625" style="703" customWidth="1"/>
    <col min="10242" max="10242" width="12.28515625" style="703" bestFit="1" customWidth="1"/>
    <col min="10243" max="10243" width="25.85546875" style="703" customWidth="1"/>
    <col min="10244" max="10244" width="21" style="703" customWidth="1"/>
    <col min="10245" max="10245" width="13" style="703" customWidth="1"/>
    <col min="10246" max="10246" width="11.7109375" style="703" bestFit="1" customWidth="1"/>
    <col min="10247" max="10247" width="14" style="703" customWidth="1"/>
    <col min="10248" max="10248" width="13.85546875" style="703" customWidth="1"/>
    <col min="10249" max="10496" width="11.42578125" style="703"/>
    <col min="10497" max="10497" width="9.140625" style="703" customWidth="1"/>
    <col min="10498" max="10498" width="12.28515625" style="703" bestFit="1" customWidth="1"/>
    <col min="10499" max="10499" width="25.85546875" style="703" customWidth="1"/>
    <col min="10500" max="10500" width="21" style="703" customWidth="1"/>
    <col min="10501" max="10501" width="13" style="703" customWidth="1"/>
    <col min="10502" max="10502" width="11.7109375" style="703" bestFit="1" customWidth="1"/>
    <col min="10503" max="10503" width="14" style="703" customWidth="1"/>
    <col min="10504" max="10504" width="13.85546875" style="703" customWidth="1"/>
    <col min="10505" max="10752" width="11.42578125" style="703"/>
    <col min="10753" max="10753" width="9.140625" style="703" customWidth="1"/>
    <col min="10754" max="10754" width="12.28515625" style="703" bestFit="1" customWidth="1"/>
    <col min="10755" max="10755" width="25.85546875" style="703" customWidth="1"/>
    <col min="10756" max="10756" width="21" style="703" customWidth="1"/>
    <col min="10757" max="10757" width="13" style="703" customWidth="1"/>
    <col min="10758" max="10758" width="11.7109375" style="703" bestFit="1" customWidth="1"/>
    <col min="10759" max="10759" width="14" style="703" customWidth="1"/>
    <col min="10760" max="10760" width="13.85546875" style="703" customWidth="1"/>
    <col min="10761" max="11008" width="11.42578125" style="703"/>
    <col min="11009" max="11009" width="9.140625" style="703" customWidth="1"/>
    <col min="11010" max="11010" width="12.28515625" style="703" bestFit="1" customWidth="1"/>
    <col min="11011" max="11011" width="25.85546875" style="703" customWidth="1"/>
    <col min="11012" max="11012" width="21" style="703" customWidth="1"/>
    <col min="11013" max="11013" width="13" style="703" customWidth="1"/>
    <col min="11014" max="11014" width="11.7109375" style="703" bestFit="1" customWidth="1"/>
    <col min="11015" max="11015" width="14" style="703" customWidth="1"/>
    <col min="11016" max="11016" width="13.85546875" style="703" customWidth="1"/>
    <col min="11017" max="11264" width="11.42578125" style="703"/>
    <col min="11265" max="11265" width="9.140625" style="703" customWidth="1"/>
    <col min="11266" max="11266" width="12.28515625" style="703" bestFit="1" customWidth="1"/>
    <col min="11267" max="11267" width="25.85546875" style="703" customWidth="1"/>
    <col min="11268" max="11268" width="21" style="703" customWidth="1"/>
    <col min="11269" max="11269" width="13" style="703" customWidth="1"/>
    <col min="11270" max="11270" width="11.7109375" style="703" bestFit="1" customWidth="1"/>
    <col min="11271" max="11271" width="14" style="703" customWidth="1"/>
    <col min="11272" max="11272" width="13.85546875" style="703" customWidth="1"/>
    <col min="11273" max="11520" width="11.42578125" style="703"/>
    <col min="11521" max="11521" width="9.140625" style="703" customWidth="1"/>
    <col min="11522" max="11522" width="12.28515625" style="703" bestFit="1" customWidth="1"/>
    <col min="11523" max="11523" width="25.85546875" style="703" customWidth="1"/>
    <col min="11524" max="11524" width="21" style="703" customWidth="1"/>
    <col min="11525" max="11525" width="13" style="703" customWidth="1"/>
    <col min="11526" max="11526" width="11.7109375" style="703" bestFit="1" customWidth="1"/>
    <col min="11527" max="11527" width="14" style="703" customWidth="1"/>
    <col min="11528" max="11528" width="13.85546875" style="703" customWidth="1"/>
    <col min="11529" max="11776" width="11.42578125" style="703"/>
    <col min="11777" max="11777" width="9.140625" style="703" customWidth="1"/>
    <col min="11778" max="11778" width="12.28515625" style="703" bestFit="1" customWidth="1"/>
    <col min="11779" max="11779" width="25.85546875" style="703" customWidth="1"/>
    <col min="11780" max="11780" width="21" style="703" customWidth="1"/>
    <col min="11781" max="11781" width="13" style="703" customWidth="1"/>
    <col min="11782" max="11782" width="11.7109375" style="703" bestFit="1" customWidth="1"/>
    <col min="11783" max="11783" width="14" style="703" customWidth="1"/>
    <col min="11784" max="11784" width="13.85546875" style="703" customWidth="1"/>
    <col min="11785" max="12032" width="11.42578125" style="703"/>
    <col min="12033" max="12033" width="9.140625" style="703" customWidth="1"/>
    <col min="12034" max="12034" width="12.28515625" style="703" bestFit="1" customWidth="1"/>
    <col min="12035" max="12035" width="25.85546875" style="703" customWidth="1"/>
    <col min="12036" max="12036" width="21" style="703" customWidth="1"/>
    <col min="12037" max="12037" width="13" style="703" customWidth="1"/>
    <col min="12038" max="12038" width="11.7109375" style="703" bestFit="1" customWidth="1"/>
    <col min="12039" max="12039" width="14" style="703" customWidth="1"/>
    <col min="12040" max="12040" width="13.85546875" style="703" customWidth="1"/>
    <col min="12041" max="12288" width="11.42578125" style="703"/>
    <col min="12289" max="12289" width="9.140625" style="703" customWidth="1"/>
    <col min="12290" max="12290" width="12.28515625" style="703" bestFit="1" customWidth="1"/>
    <col min="12291" max="12291" width="25.85546875" style="703" customWidth="1"/>
    <col min="12292" max="12292" width="21" style="703" customWidth="1"/>
    <col min="12293" max="12293" width="13" style="703" customWidth="1"/>
    <col min="12294" max="12294" width="11.7109375" style="703" bestFit="1" customWidth="1"/>
    <col min="12295" max="12295" width="14" style="703" customWidth="1"/>
    <col min="12296" max="12296" width="13.85546875" style="703" customWidth="1"/>
    <col min="12297" max="12544" width="11.42578125" style="703"/>
    <col min="12545" max="12545" width="9.140625" style="703" customWidth="1"/>
    <col min="12546" max="12546" width="12.28515625" style="703" bestFit="1" customWidth="1"/>
    <col min="12547" max="12547" width="25.85546875" style="703" customWidth="1"/>
    <col min="12548" max="12548" width="21" style="703" customWidth="1"/>
    <col min="12549" max="12549" width="13" style="703" customWidth="1"/>
    <col min="12550" max="12550" width="11.7109375" style="703" bestFit="1" customWidth="1"/>
    <col min="12551" max="12551" width="14" style="703" customWidth="1"/>
    <col min="12552" max="12552" width="13.85546875" style="703" customWidth="1"/>
    <col min="12553" max="12800" width="11.42578125" style="703"/>
    <col min="12801" max="12801" width="9.140625" style="703" customWidth="1"/>
    <col min="12802" max="12802" width="12.28515625" style="703" bestFit="1" customWidth="1"/>
    <col min="12803" max="12803" width="25.85546875" style="703" customWidth="1"/>
    <col min="12804" max="12804" width="21" style="703" customWidth="1"/>
    <col min="12805" max="12805" width="13" style="703" customWidth="1"/>
    <col min="12806" max="12806" width="11.7109375" style="703" bestFit="1" customWidth="1"/>
    <col min="12807" max="12807" width="14" style="703" customWidth="1"/>
    <col min="12808" max="12808" width="13.85546875" style="703" customWidth="1"/>
    <col min="12809" max="13056" width="11.42578125" style="703"/>
    <col min="13057" max="13057" width="9.140625" style="703" customWidth="1"/>
    <col min="13058" max="13058" width="12.28515625" style="703" bestFit="1" customWidth="1"/>
    <col min="13059" max="13059" width="25.85546875" style="703" customWidth="1"/>
    <col min="13060" max="13060" width="21" style="703" customWidth="1"/>
    <col min="13061" max="13061" width="13" style="703" customWidth="1"/>
    <col min="13062" max="13062" width="11.7109375" style="703" bestFit="1" customWidth="1"/>
    <col min="13063" max="13063" width="14" style="703" customWidth="1"/>
    <col min="13064" max="13064" width="13.85546875" style="703" customWidth="1"/>
    <col min="13065" max="13312" width="11.42578125" style="703"/>
    <col min="13313" max="13313" width="9.140625" style="703" customWidth="1"/>
    <col min="13314" max="13314" width="12.28515625" style="703" bestFit="1" customWidth="1"/>
    <col min="13315" max="13315" width="25.85546875" style="703" customWidth="1"/>
    <col min="13316" max="13316" width="21" style="703" customWidth="1"/>
    <col min="13317" max="13317" width="13" style="703" customWidth="1"/>
    <col min="13318" max="13318" width="11.7109375" style="703" bestFit="1" customWidth="1"/>
    <col min="13319" max="13319" width="14" style="703" customWidth="1"/>
    <col min="13320" max="13320" width="13.85546875" style="703" customWidth="1"/>
    <col min="13321" max="13568" width="11.42578125" style="703"/>
    <col min="13569" max="13569" width="9.140625" style="703" customWidth="1"/>
    <col min="13570" max="13570" width="12.28515625" style="703" bestFit="1" customWidth="1"/>
    <col min="13571" max="13571" width="25.85546875" style="703" customWidth="1"/>
    <col min="13572" max="13572" width="21" style="703" customWidth="1"/>
    <col min="13573" max="13573" width="13" style="703" customWidth="1"/>
    <col min="13574" max="13574" width="11.7109375" style="703" bestFit="1" customWidth="1"/>
    <col min="13575" max="13575" width="14" style="703" customWidth="1"/>
    <col min="13576" max="13576" width="13.85546875" style="703" customWidth="1"/>
    <col min="13577" max="13824" width="11.42578125" style="703"/>
    <col min="13825" max="13825" width="9.140625" style="703" customWidth="1"/>
    <col min="13826" max="13826" width="12.28515625" style="703" bestFit="1" customWidth="1"/>
    <col min="13827" max="13827" width="25.85546875" style="703" customWidth="1"/>
    <col min="13828" max="13828" width="21" style="703" customWidth="1"/>
    <col min="13829" max="13829" width="13" style="703" customWidth="1"/>
    <col min="13830" max="13830" width="11.7109375" style="703" bestFit="1" customWidth="1"/>
    <col min="13831" max="13831" width="14" style="703" customWidth="1"/>
    <col min="13832" max="13832" width="13.85546875" style="703" customWidth="1"/>
    <col min="13833" max="14080" width="11.42578125" style="703"/>
    <col min="14081" max="14081" width="9.140625" style="703" customWidth="1"/>
    <col min="14082" max="14082" width="12.28515625" style="703" bestFit="1" customWidth="1"/>
    <col min="14083" max="14083" width="25.85546875" style="703" customWidth="1"/>
    <col min="14084" max="14084" width="21" style="703" customWidth="1"/>
    <col min="14085" max="14085" width="13" style="703" customWidth="1"/>
    <col min="14086" max="14086" width="11.7109375" style="703" bestFit="1" customWidth="1"/>
    <col min="14087" max="14087" width="14" style="703" customWidth="1"/>
    <col min="14088" max="14088" width="13.85546875" style="703" customWidth="1"/>
    <col min="14089" max="14336" width="11.42578125" style="703"/>
    <col min="14337" max="14337" width="9.140625" style="703" customWidth="1"/>
    <col min="14338" max="14338" width="12.28515625" style="703" bestFit="1" customWidth="1"/>
    <col min="14339" max="14339" width="25.85546875" style="703" customWidth="1"/>
    <col min="14340" max="14340" width="21" style="703" customWidth="1"/>
    <col min="14341" max="14341" width="13" style="703" customWidth="1"/>
    <col min="14342" max="14342" width="11.7109375" style="703" bestFit="1" customWidth="1"/>
    <col min="14343" max="14343" width="14" style="703" customWidth="1"/>
    <col min="14344" max="14344" width="13.85546875" style="703" customWidth="1"/>
    <col min="14345" max="14592" width="11.42578125" style="703"/>
    <col min="14593" max="14593" width="9.140625" style="703" customWidth="1"/>
    <col min="14594" max="14594" width="12.28515625" style="703" bestFit="1" customWidth="1"/>
    <col min="14595" max="14595" width="25.85546875" style="703" customWidth="1"/>
    <col min="14596" max="14596" width="21" style="703" customWidth="1"/>
    <col min="14597" max="14597" width="13" style="703" customWidth="1"/>
    <col min="14598" max="14598" width="11.7109375" style="703" bestFit="1" customWidth="1"/>
    <col min="14599" max="14599" width="14" style="703" customWidth="1"/>
    <col min="14600" max="14600" width="13.85546875" style="703" customWidth="1"/>
    <col min="14601" max="14848" width="11.42578125" style="703"/>
    <col min="14849" max="14849" width="9.140625" style="703" customWidth="1"/>
    <col min="14850" max="14850" width="12.28515625" style="703" bestFit="1" customWidth="1"/>
    <col min="14851" max="14851" width="25.85546875" style="703" customWidth="1"/>
    <col min="14852" max="14852" width="21" style="703" customWidth="1"/>
    <col min="14853" max="14853" width="13" style="703" customWidth="1"/>
    <col min="14854" max="14854" width="11.7109375" style="703" bestFit="1" customWidth="1"/>
    <col min="14855" max="14855" width="14" style="703" customWidth="1"/>
    <col min="14856" max="14856" width="13.85546875" style="703" customWidth="1"/>
    <col min="14857" max="15104" width="11.42578125" style="703"/>
    <col min="15105" max="15105" width="9.140625" style="703" customWidth="1"/>
    <col min="15106" max="15106" width="12.28515625" style="703" bestFit="1" customWidth="1"/>
    <col min="15107" max="15107" width="25.85546875" style="703" customWidth="1"/>
    <col min="15108" max="15108" width="21" style="703" customWidth="1"/>
    <col min="15109" max="15109" width="13" style="703" customWidth="1"/>
    <col min="15110" max="15110" width="11.7109375" style="703" bestFit="1" customWidth="1"/>
    <col min="15111" max="15111" width="14" style="703" customWidth="1"/>
    <col min="15112" max="15112" width="13.85546875" style="703" customWidth="1"/>
    <col min="15113" max="15360" width="11.42578125" style="703"/>
    <col min="15361" max="15361" width="9.140625" style="703" customWidth="1"/>
    <col min="15362" max="15362" width="12.28515625" style="703" bestFit="1" customWidth="1"/>
    <col min="15363" max="15363" width="25.85546875" style="703" customWidth="1"/>
    <col min="15364" max="15364" width="21" style="703" customWidth="1"/>
    <col min="15365" max="15365" width="13" style="703" customWidth="1"/>
    <col min="15366" max="15366" width="11.7109375" style="703" bestFit="1" customWidth="1"/>
    <col min="15367" max="15367" width="14" style="703" customWidth="1"/>
    <col min="15368" max="15368" width="13.85546875" style="703" customWidth="1"/>
    <col min="15369" max="15616" width="11.42578125" style="703"/>
    <col min="15617" max="15617" width="9.140625" style="703" customWidth="1"/>
    <col min="15618" max="15618" width="12.28515625" style="703" bestFit="1" customWidth="1"/>
    <col min="15619" max="15619" width="25.85546875" style="703" customWidth="1"/>
    <col min="15620" max="15620" width="21" style="703" customWidth="1"/>
    <col min="15621" max="15621" width="13" style="703" customWidth="1"/>
    <col min="15622" max="15622" width="11.7109375" style="703" bestFit="1" customWidth="1"/>
    <col min="15623" max="15623" width="14" style="703" customWidth="1"/>
    <col min="15624" max="15624" width="13.85546875" style="703" customWidth="1"/>
    <col min="15625" max="15872" width="11.42578125" style="703"/>
    <col min="15873" max="15873" width="9.140625" style="703" customWidth="1"/>
    <col min="15874" max="15874" width="12.28515625" style="703" bestFit="1" customWidth="1"/>
    <col min="15875" max="15875" width="25.85546875" style="703" customWidth="1"/>
    <col min="15876" max="15876" width="21" style="703" customWidth="1"/>
    <col min="15877" max="15877" width="13" style="703" customWidth="1"/>
    <col min="15878" max="15878" width="11.7109375" style="703" bestFit="1" customWidth="1"/>
    <col min="15879" max="15879" width="14" style="703" customWidth="1"/>
    <col min="15880" max="15880" width="13.85546875" style="703" customWidth="1"/>
    <col min="15881" max="16128" width="11.42578125" style="703"/>
    <col min="16129" max="16129" width="9.140625" style="703" customWidth="1"/>
    <col min="16130" max="16130" width="12.28515625" style="703" bestFit="1" customWidth="1"/>
    <col min="16131" max="16131" width="25.85546875" style="703" customWidth="1"/>
    <col min="16132" max="16132" width="21" style="703" customWidth="1"/>
    <col min="16133" max="16133" width="13" style="703" customWidth="1"/>
    <col min="16134" max="16134" width="11.7109375" style="703" bestFit="1" customWidth="1"/>
    <col min="16135" max="16135" width="14" style="703" customWidth="1"/>
    <col min="16136" max="16136" width="13.85546875" style="703" customWidth="1"/>
    <col min="16137" max="16384" width="11.42578125" style="703"/>
  </cols>
  <sheetData>
    <row r="1" spans="1:9" ht="60.95" customHeight="1" thickBot="1"/>
    <row r="2" spans="1:9" ht="42.2" customHeight="1" thickBot="1">
      <c r="A2" s="279"/>
      <c r="B2" s="280"/>
      <c r="C2" s="280"/>
      <c r="D2" s="2241" t="str">
        <f>+PRESUPUESTO!A9</f>
        <v>“CONSTRUCCIÓN DE LA PRIMERA FASE DEL ALCANTARILLADO SANITARIO PARA LA RECOLECCIÓN DE LAS AGUAS RESIDUALES DEL CENTRO POBLADO CACHIMBAL DEL MUNICIPIO DE GUADALUPE, DEPARTAMENTO DEL HUILA”</v>
      </c>
      <c r="E2" s="2242"/>
      <c r="F2" s="2247" t="str">
        <f>+[14]PRESUPUESTO!B2</f>
        <v>DEPARTAMENTO DEL HUILA</v>
      </c>
      <c r="G2" s="2248"/>
      <c r="H2" s="2249"/>
    </row>
    <row r="3" spans="1:9" ht="29.1" customHeight="1" thickBot="1">
      <c r="A3" s="281"/>
      <c r="B3" s="282"/>
      <c r="C3" s="282"/>
      <c r="D3" s="2243"/>
      <c r="E3" s="2244"/>
      <c r="F3" s="2250" t="e">
        <f>+PRESUPUESTO!#REF!</f>
        <v>#REF!</v>
      </c>
      <c r="G3" s="2251"/>
      <c r="H3" s="2252"/>
    </row>
    <row r="4" spans="1:9" ht="30.95" customHeight="1" thickBot="1">
      <c r="A4" s="98"/>
      <c r="B4" s="99"/>
      <c r="C4" s="283"/>
      <c r="D4" s="2245"/>
      <c r="E4" s="2246"/>
      <c r="F4" s="2250" t="s">
        <v>524</v>
      </c>
      <c r="G4" s="2251"/>
      <c r="H4" s="2252"/>
    </row>
    <row r="5" spans="1:9" ht="13.5" thickBot="1">
      <c r="A5" s="2218" t="s">
        <v>558</v>
      </c>
      <c r="B5" s="2219"/>
      <c r="C5" s="2219"/>
      <c r="D5" s="2219"/>
      <c r="E5" s="2220"/>
      <c r="F5" s="2253" t="e">
        <f>+PRESUPUESTO!#REF!</f>
        <v>#REF!</v>
      </c>
      <c r="G5" s="2254"/>
      <c r="H5" s="2255"/>
    </row>
    <row r="6" spans="1:9">
      <c r="A6" s="711"/>
      <c r="B6" s="2227"/>
      <c r="C6" s="2228"/>
      <c r="D6" s="2228"/>
      <c r="E6" s="711"/>
      <c r="F6" s="712"/>
      <c r="G6" s="713"/>
      <c r="H6" s="714"/>
      <c r="I6" s="288"/>
    </row>
    <row r="7" spans="1:9" ht="15.95" customHeight="1">
      <c r="A7" s="715">
        <f>+PRESUPUESTO!A15</f>
        <v>1.1000000000000001</v>
      </c>
      <c r="B7" s="2238" t="str">
        <f>+PRESUPUESTO!B15</f>
        <v>PRELIMINARES Y MOVIMIENTO DE TIERRAS</v>
      </c>
      <c r="C7" s="2238"/>
      <c r="D7" s="2238"/>
      <c r="E7" s="2238"/>
      <c r="F7" s="716"/>
      <c r="G7" s="717" t="s">
        <v>525</v>
      </c>
      <c r="H7" s="718" t="str">
        <f>+PRESUPUESTO!C20</f>
        <v>m3</v>
      </c>
    </row>
    <row r="8" spans="1:9">
      <c r="A8" s="718" t="str">
        <f>+PRESUPUESTO!A20</f>
        <v>1.1.5</v>
      </c>
      <c r="B8" s="2239" t="str">
        <f>+PRESUPUESTO!B20</f>
        <v>Excavación a todo costo en roca (compresor/polvora).  Incluye: mano de obra, materiales y equipo.</v>
      </c>
      <c r="C8" s="2240"/>
      <c r="D8" s="2240"/>
      <c r="E8" s="2240"/>
      <c r="F8" s="719"/>
      <c r="G8" s="717"/>
      <c r="H8" s="718"/>
    </row>
    <row r="9" spans="1:9">
      <c r="A9" s="715"/>
      <c r="B9" s="720"/>
      <c r="C9" s="721"/>
      <c r="D9" s="722"/>
      <c r="E9" s="721"/>
      <c r="F9" s="723"/>
      <c r="G9" s="713"/>
      <c r="H9" s="714"/>
    </row>
    <row r="10" spans="1:9">
      <c r="A10" s="718"/>
      <c r="B10" s="724"/>
      <c r="C10" s="724"/>
      <c r="D10" s="724"/>
      <c r="E10" s="724"/>
      <c r="F10" s="724"/>
      <c r="G10" s="725"/>
      <c r="H10" s="725"/>
    </row>
    <row r="11" spans="1:9" ht="13.5" thickBot="1">
      <c r="A11" s="726" t="s">
        <v>526</v>
      </c>
      <c r="B11" s="726"/>
      <c r="C11" s="712"/>
      <c r="D11" s="727"/>
      <c r="E11" s="727"/>
      <c r="F11" s="727"/>
      <c r="G11" s="727"/>
      <c r="H11" s="727"/>
    </row>
    <row r="12" spans="1:9" ht="13.5" thickBot="1">
      <c r="A12" s="728" t="s">
        <v>527</v>
      </c>
      <c r="B12" s="729"/>
      <c r="C12" s="730" t="s">
        <v>521</v>
      </c>
      <c r="D12" s="731"/>
      <c r="E12" s="732" t="s">
        <v>515</v>
      </c>
      <c r="F12" s="733" t="s">
        <v>528</v>
      </c>
      <c r="G12" s="734" t="s">
        <v>832</v>
      </c>
      <c r="H12" s="735" t="s">
        <v>831</v>
      </c>
    </row>
    <row r="13" spans="1:9">
      <c r="A13" s="536" t="s">
        <v>967</v>
      </c>
      <c r="B13" s="305" t="str">
        <f t="shared" ref="B13" si="0">IF(A13="","",VLOOKUP(A13,EQUI,2,FALSE))</f>
        <v>Herramienta Menor (10% de la mano de obra).</v>
      </c>
      <c r="C13" s="306"/>
      <c r="D13" s="306"/>
      <c r="E13" s="276" t="str">
        <f t="shared" ref="E13" si="1">IF(A13="","",VLOOKUP(A13,EQUI,3,FALSE))</f>
        <v>%</v>
      </c>
      <c r="F13" s="433">
        <f>IF(A13="","",VLOOKUP(A13,EQUI,4,FALSE))</f>
        <v>0.1</v>
      </c>
      <c r="G13" s="307">
        <f>ROUND(F13*H50,0)</f>
        <v>3513</v>
      </c>
      <c r="H13" s="308">
        <f>+G13</f>
        <v>3513</v>
      </c>
      <c r="I13" s="743"/>
    </row>
    <row r="14" spans="1:9">
      <c r="A14" s="736" t="s">
        <v>1621</v>
      </c>
      <c r="B14" s="737" t="str">
        <f>IF(A14="","",VLOOKUP(A14,EQUI,2,FALSE))</f>
        <v>Equipo compresor 120 HP y martillo neumático</v>
      </c>
      <c r="C14" s="738"/>
      <c r="D14" s="738"/>
      <c r="E14" s="739" t="str">
        <f>IF(A14="","",VLOOKUP(A14,EQUI,3,FALSE))</f>
        <v>Hora</v>
      </c>
      <c r="F14" s="744">
        <v>3.7</v>
      </c>
      <c r="G14" s="745">
        <f>IF(A14="","",VLOOKUP(A14,EQUI,4,FALSE))</f>
        <v>95000</v>
      </c>
      <c r="H14" s="746">
        <f>IF(A14="","",ROUND((G14/F14),0))</f>
        <v>25676</v>
      </c>
    </row>
    <row r="15" spans="1:9">
      <c r="A15" s="736"/>
      <c r="B15" s="737" t="s">
        <v>2572</v>
      </c>
      <c r="C15" s="738"/>
      <c r="D15" s="738"/>
      <c r="E15" s="739" t="s">
        <v>2573</v>
      </c>
      <c r="F15" s="744">
        <v>1.7</v>
      </c>
      <c r="G15" s="745">
        <v>90000</v>
      </c>
      <c r="H15" s="746">
        <f>ROUND((G15/F15),0)</f>
        <v>52941</v>
      </c>
    </row>
    <row r="16" spans="1:9">
      <c r="A16" s="736"/>
      <c r="B16" s="737" t="str">
        <f>IF(A16="","",VLOOKUP(A16,EQUI,2,FALSE))</f>
        <v/>
      </c>
      <c r="C16" s="738"/>
      <c r="D16" s="738"/>
      <c r="E16" s="739" t="str">
        <f>IF(A16="","",VLOOKUP(A16,EQUI,3,FALSE))</f>
        <v/>
      </c>
      <c r="F16" s="744"/>
      <c r="G16" s="745" t="str">
        <f>IF(A16="","",VLOOKUP(A16,EQUI,4,FALSE))</f>
        <v/>
      </c>
      <c r="H16" s="746" t="str">
        <f>IF(A16="","",ROUND((G16/F16),0))</f>
        <v/>
      </c>
    </row>
    <row r="17" spans="1:8">
      <c r="A17" s="736"/>
      <c r="B17" s="737" t="str">
        <f>IF(A17="","",VLOOKUP(A17,EQUI,2,FALSE))</f>
        <v/>
      </c>
      <c r="C17" s="738"/>
      <c r="D17" s="738"/>
      <c r="E17" s="739" t="str">
        <f>IF(A17="","",VLOOKUP(A17,EQUI,3,FALSE))</f>
        <v/>
      </c>
      <c r="F17" s="744"/>
      <c r="G17" s="745" t="str">
        <f>IF(A17="","",VLOOKUP(A17,EQUI,4,FALSE))</f>
        <v/>
      </c>
      <c r="H17" s="746" t="str">
        <f>IF(A17="","",ROUND((G17/F17),0))</f>
        <v/>
      </c>
    </row>
    <row r="18" spans="1:8" ht="13.5" thickBot="1">
      <c r="A18" s="747"/>
      <c r="B18" s="748" t="str">
        <f>IF(A18="","",VLOOKUP(A18,EQUI,2,FALSE))</f>
        <v/>
      </c>
      <c r="C18" s="748"/>
      <c r="D18" s="749"/>
      <c r="E18" s="750" t="str">
        <f>IF(A18="","",VLOOKUP(A18,EQUI,3,FALSE))</f>
        <v/>
      </c>
      <c r="F18" s="751"/>
      <c r="G18" s="752" t="str">
        <f>IF(A18="","",VLOOKUP(A18,EQUI,4,FALSE))</f>
        <v/>
      </c>
      <c r="H18" s="746" t="str">
        <f>IF(A18="","",ROUND((G18/F18),0))</f>
        <v/>
      </c>
    </row>
    <row r="19" spans="1:8" ht="13.5" thickBot="1">
      <c r="A19" s="712"/>
      <c r="B19" s="712"/>
      <c r="C19" s="712"/>
      <c r="D19" s="712"/>
      <c r="E19" s="713"/>
      <c r="F19" s="712"/>
      <c r="G19" s="753" t="s">
        <v>529</v>
      </c>
      <c r="H19" s="754">
        <f>ROUND(SUM(H13:H18),0)</f>
        <v>82130</v>
      </c>
    </row>
    <row r="20" spans="1:8">
      <c r="A20" s="712"/>
      <c r="B20" s="712"/>
      <c r="C20" s="712"/>
      <c r="D20" s="712"/>
      <c r="E20" s="713"/>
      <c r="F20" s="712"/>
      <c r="G20" s="713"/>
      <c r="H20" s="755"/>
    </row>
    <row r="21" spans="1:8" ht="13.5" thickBot="1">
      <c r="A21" s="726" t="s">
        <v>530</v>
      </c>
      <c r="B21" s="726"/>
      <c r="C21" s="726"/>
      <c r="D21" s="726"/>
      <c r="E21" s="756"/>
      <c r="F21" s="749"/>
      <c r="G21" s="749"/>
      <c r="H21" s="749"/>
    </row>
    <row r="22" spans="1:8" ht="13.5" thickBot="1">
      <c r="A22" s="728" t="s">
        <v>527</v>
      </c>
      <c r="B22" s="729"/>
      <c r="C22" s="730" t="s">
        <v>521</v>
      </c>
      <c r="D22" s="730"/>
      <c r="E22" s="757" t="s">
        <v>515</v>
      </c>
      <c r="F22" s="758" t="s">
        <v>7</v>
      </c>
      <c r="G22" s="734" t="s">
        <v>832</v>
      </c>
      <c r="H22" s="735" t="s">
        <v>831</v>
      </c>
    </row>
    <row r="23" spans="1:8">
      <c r="A23" s="812"/>
      <c r="B23" s="760" t="str">
        <f t="shared" ref="B23:B32" si="2">IF(A23="","",VLOOKUP(A23,MAT,2,FALSE))</f>
        <v/>
      </c>
      <c r="C23" s="737"/>
      <c r="D23" s="738"/>
      <c r="E23" s="739" t="str">
        <f t="shared" ref="E23:E32" si="3">IF(A23="","",VLOOKUP(A23,MAT,3,FALSE))</f>
        <v/>
      </c>
      <c r="F23" s="744"/>
      <c r="G23" s="745" t="str">
        <f t="shared" ref="G23:G32" si="4">IF(A23="","",VLOOKUP(A23,MAT,5,FALSE))</f>
        <v/>
      </c>
      <c r="H23" s="746" t="str">
        <f t="shared" ref="H23:H32" si="5">IF(A23="","",ROUND((G23*F23),0))</f>
        <v/>
      </c>
    </row>
    <row r="24" spans="1:8">
      <c r="A24" s="759"/>
      <c r="B24" s="760" t="str">
        <f t="shared" si="2"/>
        <v/>
      </c>
      <c r="C24" s="737"/>
      <c r="D24" s="738"/>
      <c r="E24" s="739" t="str">
        <f t="shared" si="3"/>
        <v/>
      </c>
      <c r="F24" s="744"/>
      <c r="G24" s="745" t="str">
        <f t="shared" si="4"/>
        <v/>
      </c>
      <c r="H24" s="746" t="str">
        <f t="shared" si="5"/>
        <v/>
      </c>
    </row>
    <row r="25" spans="1:8">
      <c r="A25" s="759"/>
      <c r="B25" s="760" t="str">
        <f t="shared" si="2"/>
        <v/>
      </c>
      <c r="C25" s="737"/>
      <c r="D25" s="738"/>
      <c r="E25" s="739" t="str">
        <f t="shared" si="3"/>
        <v/>
      </c>
      <c r="F25" s="744"/>
      <c r="G25" s="745" t="str">
        <f t="shared" si="4"/>
        <v/>
      </c>
      <c r="H25" s="746" t="str">
        <f t="shared" si="5"/>
        <v/>
      </c>
    </row>
    <row r="26" spans="1:8">
      <c r="A26" s="759"/>
      <c r="B26" s="737" t="str">
        <f t="shared" si="2"/>
        <v/>
      </c>
      <c r="C26" s="737"/>
      <c r="D26" s="738"/>
      <c r="E26" s="739" t="str">
        <f t="shared" si="3"/>
        <v/>
      </c>
      <c r="F26" s="744"/>
      <c r="G26" s="745" t="str">
        <f t="shared" si="4"/>
        <v/>
      </c>
      <c r="H26" s="746" t="str">
        <f t="shared" si="5"/>
        <v/>
      </c>
    </row>
    <row r="27" spans="1:8">
      <c r="A27" s="759"/>
      <c r="B27" s="737" t="str">
        <f t="shared" si="2"/>
        <v/>
      </c>
      <c r="C27" s="737"/>
      <c r="D27" s="738"/>
      <c r="E27" s="739" t="str">
        <f t="shared" si="3"/>
        <v/>
      </c>
      <c r="F27" s="744"/>
      <c r="G27" s="745" t="str">
        <f t="shared" si="4"/>
        <v/>
      </c>
      <c r="H27" s="746" t="str">
        <f t="shared" si="5"/>
        <v/>
      </c>
    </row>
    <row r="28" spans="1:8">
      <c r="A28" s="759"/>
      <c r="B28" s="737" t="str">
        <f t="shared" si="2"/>
        <v/>
      </c>
      <c r="C28" s="737"/>
      <c r="D28" s="738"/>
      <c r="E28" s="739" t="str">
        <f t="shared" si="3"/>
        <v/>
      </c>
      <c r="F28" s="744"/>
      <c r="G28" s="745" t="str">
        <f t="shared" si="4"/>
        <v/>
      </c>
      <c r="H28" s="746" t="str">
        <f t="shared" si="5"/>
        <v/>
      </c>
    </row>
    <row r="29" spans="1:8">
      <c r="A29" s="759"/>
      <c r="B29" s="737" t="str">
        <f t="shared" si="2"/>
        <v/>
      </c>
      <c r="C29" s="737"/>
      <c r="D29" s="738"/>
      <c r="E29" s="739" t="str">
        <f t="shared" si="3"/>
        <v/>
      </c>
      <c r="F29" s="744"/>
      <c r="G29" s="745" t="str">
        <f t="shared" si="4"/>
        <v/>
      </c>
      <c r="H29" s="746" t="str">
        <f t="shared" si="5"/>
        <v/>
      </c>
    </row>
    <row r="30" spans="1:8">
      <c r="A30" s="759"/>
      <c r="B30" s="737" t="str">
        <f t="shared" si="2"/>
        <v/>
      </c>
      <c r="C30" s="737"/>
      <c r="D30" s="738"/>
      <c r="E30" s="739" t="str">
        <f t="shared" si="3"/>
        <v/>
      </c>
      <c r="F30" s="744"/>
      <c r="G30" s="745" t="str">
        <f t="shared" si="4"/>
        <v/>
      </c>
      <c r="H30" s="746" t="str">
        <f t="shared" si="5"/>
        <v/>
      </c>
    </row>
    <row r="31" spans="1:8">
      <c r="A31" s="759"/>
      <c r="B31" s="737" t="str">
        <f t="shared" si="2"/>
        <v/>
      </c>
      <c r="C31" s="737"/>
      <c r="D31" s="738"/>
      <c r="E31" s="739" t="str">
        <f t="shared" si="3"/>
        <v/>
      </c>
      <c r="F31" s="744"/>
      <c r="G31" s="745" t="str">
        <f t="shared" si="4"/>
        <v/>
      </c>
      <c r="H31" s="746" t="str">
        <f t="shared" si="5"/>
        <v/>
      </c>
    </row>
    <row r="32" spans="1:8" ht="13.5" thickBot="1">
      <c r="A32" s="761"/>
      <c r="B32" s="762" t="str">
        <f t="shared" si="2"/>
        <v/>
      </c>
      <c r="C32" s="749"/>
      <c r="D32" s="749"/>
      <c r="E32" s="750" t="str">
        <f t="shared" si="3"/>
        <v/>
      </c>
      <c r="F32" s="763"/>
      <c r="G32" s="764" t="str">
        <f t="shared" si="4"/>
        <v/>
      </c>
      <c r="H32" s="746" t="str">
        <f t="shared" si="5"/>
        <v/>
      </c>
    </row>
    <row r="33" spans="1:8" ht="13.5" thickBot="1">
      <c r="A33" s="712"/>
      <c r="B33" s="712"/>
      <c r="C33" s="712"/>
      <c r="D33" s="712"/>
      <c r="E33" s="713"/>
      <c r="F33" s="712"/>
      <c r="G33" s="765" t="s">
        <v>529</v>
      </c>
      <c r="H33" s="766">
        <f>ROUND(SUM(H23:H32),0)</f>
        <v>0</v>
      </c>
    </row>
    <row r="34" spans="1:8">
      <c r="A34" s="712"/>
      <c r="B34" s="712"/>
      <c r="C34" s="712"/>
      <c r="D34" s="712"/>
      <c r="E34" s="713"/>
      <c r="F34" s="712"/>
      <c r="G34" s="713"/>
      <c r="H34" s="767"/>
    </row>
    <row r="35" spans="1:8" ht="13.5" thickBot="1">
      <c r="A35" s="726" t="s">
        <v>531</v>
      </c>
      <c r="B35" s="712"/>
      <c r="C35" s="712"/>
      <c r="D35" s="712"/>
      <c r="E35" s="713"/>
      <c r="F35" s="712"/>
      <c r="G35" s="713"/>
      <c r="H35" s="768"/>
    </row>
    <row r="36" spans="1:8" ht="13.5" thickBot="1">
      <c r="A36" s="728" t="s">
        <v>527</v>
      </c>
      <c r="B36" s="2230" t="s">
        <v>532</v>
      </c>
      <c r="C36" s="2231"/>
      <c r="D36" s="769" t="s">
        <v>821</v>
      </c>
      <c r="E36" s="769" t="s">
        <v>820</v>
      </c>
      <c r="F36" s="769" t="s">
        <v>823</v>
      </c>
      <c r="G36" s="769" t="s">
        <v>822</v>
      </c>
      <c r="H36" s="770" t="s">
        <v>831</v>
      </c>
    </row>
    <row r="37" spans="1:8">
      <c r="A37" s="813"/>
      <c r="B37" s="737" t="str">
        <f>IF(A37="","",VLOOKUP(A37,MAT,2,FALSE))</f>
        <v/>
      </c>
      <c r="C37" s="814"/>
      <c r="D37" s="773" t="str">
        <f>IF(A37="","",VLOOKUP(A37,MAT,3,FALSE))</f>
        <v/>
      </c>
      <c r="E37" s="774" t="str">
        <f>IF(A37="","",VLOOKUP(A37,MAT,6,FALSE))</f>
        <v/>
      </c>
      <c r="F37" s="777"/>
      <c r="G37" s="776" t="str">
        <f>IF(A37="","",VLOOKUP(A37,MAT,7,FALSE))</f>
        <v/>
      </c>
      <c r="H37" s="746" t="str">
        <f>IF(A37="","",ROUND((G37*F37*E37),0))</f>
        <v/>
      </c>
    </row>
    <row r="38" spans="1:8">
      <c r="A38" s="771"/>
      <c r="B38" s="737" t="str">
        <f>IF(A38="","",VLOOKUP(A38,MAT,2,FALSE))</f>
        <v/>
      </c>
      <c r="C38" s="772"/>
      <c r="D38" s="773" t="str">
        <f>IF(A38="","",VLOOKUP(A38,MAT,3,FALSE))</f>
        <v/>
      </c>
      <c r="E38" s="774" t="str">
        <f>IF(A38="","",VLOOKUP(A38,MAT,6,FALSE))</f>
        <v/>
      </c>
      <c r="F38" s="777" t="str">
        <f>IF(A38="","",VLOOKUP(A38,$A$23:$H$32,6,FALSE))</f>
        <v/>
      </c>
      <c r="G38" s="776" t="str">
        <f>IF(A38="","",VLOOKUP(A38,MAT,7,FALSE))</f>
        <v/>
      </c>
      <c r="H38" s="746" t="str">
        <f>IF(A38="","",ROUND((G38*F38*E38),0))</f>
        <v/>
      </c>
    </row>
    <row r="39" spans="1:8">
      <c r="A39" s="771"/>
      <c r="B39" s="737" t="str">
        <f>IF(A39="","",VLOOKUP(A39,MAT,2,FALSE))</f>
        <v/>
      </c>
      <c r="C39" s="772"/>
      <c r="D39" s="773" t="str">
        <f>IF(A39="","",VLOOKUP(A39,MAT,3,FALSE))</f>
        <v/>
      </c>
      <c r="E39" s="774" t="str">
        <f>IF(A39="","",VLOOKUP(A39,MAT,6,FALSE))</f>
        <v/>
      </c>
      <c r="F39" s="777" t="str">
        <f>IF(A39="","",VLOOKUP(A39,$A$23:$H$32,6,FALSE))</f>
        <v/>
      </c>
      <c r="G39" s="776" t="str">
        <f>IF(A39="","",VLOOKUP(A39,MAT,7,FALSE))</f>
        <v/>
      </c>
      <c r="H39" s="746" t="str">
        <f>IF(A39="","",ROUND((G39*F39*E39),0))</f>
        <v/>
      </c>
    </row>
    <row r="40" spans="1:8">
      <c r="A40" s="778"/>
      <c r="B40" s="737" t="str">
        <f>IF(A40="","",VLOOKUP(A40,MAT,2,FALSE))</f>
        <v/>
      </c>
      <c r="D40" s="779" t="str">
        <f>IF(A40="","",VLOOKUP(A40,MAT,3,FALSE))</f>
        <v/>
      </c>
      <c r="E40" s="774" t="str">
        <f>IF(A40="","",VLOOKUP(A40,MAT,6,FALSE))</f>
        <v/>
      </c>
      <c r="F40" s="777" t="str">
        <f>IF(A40="","",VLOOKUP(A40,$A$23:$H$32,6,FALSE))</f>
        <v/>
      </c>
      <c r="G40" s="780" t="str">
        <f>IF(A40="","",VLOOKUP(A40,MAT,7,FALSE))</f>
        <v/>
      </c>
      <c r="H40" s="746" t="str">
        <f>IF(A40="","",ROUND((G40*F40*E40),0))</f>
        <v/>
      </c>
    </row>
    <row r="41" spans="1:8" ht="13.5" thickBot="1">
      <c r="A41" s="781"/>
      <c r="B41" s="710" t="str">
        <f>IF(A41="","",VLOOKUP(A41,MAT,2,FALSE))</f>
        <v/>
      </c>
      <c r="C41" s="710"/>
      <c r="D41" s="782" t="str">
        <f>IF(A41="","",VLOOKUP(A41,MAT,3,FALSE))</f>
        <v/>
      </c>
      <c r="E41" s="783" t="str">
        <f>IF(A41="","",VLOOKUP(A41,MAT,6,FALSE))</f>
        <v/>
      </c>
      <c r="F41" s="784" t="str">
        <f>IF(A41="","",VLOOKUP(A41,$A$23:$H$32,6,FALSE))</f>
        <v/>
      </c>
      <c r="G41" s="785" t="str">
        <f>IF(A41="","",VLOOKUP(A41,MAT,7,FALSE))</f>
        <v/>
      </c>
      <c r="H41" s="786" t="str">
        <f>IF(A41="","",ROUND((G41*F41*E41),0))</f>
        <v/>
      </c>
    </row>
    <row r="42" spans="1:8" ht="13.5" thickBot="1">
      <c r="E42" s="787"/>
      <c r="F42" s="788"/>
      <c r="G42" s="789" t="s">
        <v>529</v>
      </c>
      <c r="H42" s="790">
        <f>ROUND(SUM(H37:H41),0)</f>
        <v>0</v>
      </c>
    </row>
    <row r="43" spans="1:8">
      <c r="E43" s="787"/>
      <c r="F43" s="788"/>
      <c r="G43" s="713"/>
      <c r="H43" s="791"/>
    </row>
    <row r="44" spans="1:8" ht="13.5" thickBot="1">
      <c r="A44" s="726" t="s">
        <v>534</v>
      </c>
      <c r="B44" s="726"/>
      <c r="C44" s="726"/>
      <c r="D44" s="712"/>
      <c r="E44" s="713"/>
      <c r="F44" s="712"/>
      <c r="G44" s="712"/>
      <c r="H44" s="749"/>
    </row>
    <row r="45" spans="1:8" ht="13.5" thickBot="1">
      <c r="A45" s="728" t="s">
        <v>527</v>
      </c>
      <c r="B45" s="2232" t="s">
        <v>514</v>
      </c>
      <c r="C45" s="2233"/>
      <c r="D45" s="2234"/>
      <c r="E45" s="792" t="s">
        <v>515</v>
      </c>
      <c r="F45" s="792" t="s">
        <v>535</v>
      </c>
      <c r="G45" s="793" t="s">
        <v>944</v>
      </c>
      <c r="H45" s="770" t="s">
        <v>831</v>
      </c>
    </row>
    <row r="46" spans="1:8">
      <c r="A46" s="794" t="s">
        <v>883</v>
      </c>
      <c r="B46" s="2221" t="str">
        <f>IF(A46="","",VLOOKUP(A46,MO,2,FALSE))</f>
        <v>Cuadrilla AA: Albañilería. (1 Of. + 1 Ayud.).</v>
      </c>
      <c r="C46" s="2222"/>
      <c r="D46" s="2223"/>
      <c r="E46" s="795" t="str">
        <f>IF(A46="","",VLOOKUP(A46,MO,13,FALSE))</f>
        <v>HC</v>
      </c>
      <c r="F46" s="796">
        <v>0.5</v>
      </c>
      <c r="G46" s="797">
        <f>IF(A46="","",VLOOKUP(A46,MO,15,FALSE))</f>
        <v>17563</v>
      </c>
      <c r="H46" s="798">
        <f>IF(A46="","",ROUND((G46/F46),0))</f>
        <v>35126</v>
      </c>
    </row>
    <row r="47" spans="1:8">
      <c r="A47" s="794"/>
      <c r="B47" s="2221" t="str">
        <f>IF(A47="","",VLOOKUP(A47,MO,2,FALSE))</f>
        <v/>
      </c>
      <c r="C47" s="2222"/>
      <c r="D47" s="2223"/>
      <c r="E47" s="795" t="str">
        <f>IF(A47="","",VLOOKUP(A47,MO,13,FALSE))</f>
        <v/>
      </c>
      <c r="F47" s="796"/>
      <c r="G47" s="797" t="str">
        <f>IF(A47="","",VLOOKUP(A47,MO,15,FALSE))</f>
        <v/>
      </c>
      <c r="H47" s="798" t="str">
        <f>IF(A47="","",ROUND((G47/F47),0))</f>
        <v/>
      </c>
    </row>
    <row r="48" spans="1:8">
      <c r="A48" s="794"/>
      <c r="B48" s="2221" t="str">
        <f>IF(A48="","",VLOOKUP(A48,MO,2,FALSE))</f>
        <v/>
      </c>
      <c r="C48" s="2222"/>
      <c r="D48" s="2223"/>
      <c r="E48" s="795" t="str">
        <f>IF(A48="","",VLOOKUP(A48,MO,13,FALSE))</f>
        <v/>
      </c>
      <c r="F48" s="796"/>
      <c r="G48" s="799" t="str">
        <f>IF(A48="","",VLOOKUP(A48,MO,15,FALSE))</f>
        <v/>
      </c>
      <c r="H48" s="798" t="str">
        <f>IF(A48="","",ROUND((G48/F48),0))</f>
        <v/>
      </c>
    </row>
    <row r="49" spans="1:8" ht="13.5" thickBot="1">
      <c r="A49" s="800"/>
      <c r="B49" s="2224" t="str">
        <f>IF(A49="","",VLOOKUP(A49,MO,2,FALSE))</f>
        <v/>
      </c>
      <c r="C49" s="2225"/>
      <c r="D49" s="2226"/>
      <c r="E49" s="801" t="str">
        <f>IF(A49="","",VLOOKUP(A49,MO,13,FALSE))</f>
        <v/>
      </c>
      <c r="F49" s="802"/>
      <c r="G49" s="803" t="str">
        <f>IF(A49="","",VLOOKUP(A49,MO,15,FALSE))</f>
        <v/>
      </c>
      <c r="H49" s="804" t="str">
        <f>IF(A49="","",ROUND((G49/F49),0))</f>
        <v/>
      </c>
    </row>
    <row r="50" spans="1:8" ht="13.5" thickBot="1">
      <c r="A50" s="712"/>
      <c r="B50" s="712"/>
      <c r="C50" s="712"/>
      <c r="D50" s="712"/>
      <c r="E50" s="713"/>
      <c r="F50" s="712"/>
      <c r="G50" s="753" t="s">
        <v>529</v>
      </c>
      <c r="H50" s="805">
        <f>ROUND(SUM(H46:H49),0)</f>
        <v>35126</v>
      </c>
    </row>
    <row r="51" spans="1:8" ht="13.5" thickBot="1">
      <c r="A51" s="712"/>
      <c r="B51" s="712"/>
      <c r="C51" s="712"/>
      <c r="D51" s="712"/>
      <c r="E51" s="713"/>
      <c r="F51" s="712"/>
      <c r="G51" s="712"/>
      <c r="H51" s="712"/>
    </row>
    <row r="52" spans="1:8" ht="13.5" thickBot="1">
      <c r="A52" s="712"/>
      <c r="B52" s="712"/>
      <c r="C52" s="712"/>
      <c r="D52" s="712"/>
      <c r="E52" s="806" t="s">
        <v>536</v>
      </c>
      <c r="F52" s="807"/>
      <c r="G52" s="807"/>
      <c r="H52" s="808">
        <f>+ROUND(H19+H33+H42+H50,0)</f>
        <v>117256</v>
      </c>
    </row>
    <row r="53" spans="1:8">
      <c r="A53" s="712"/>
      <c r="B53" s="712"/>
      <c r="C53" s="712"/>
      <c r="D53" s="712"/>
      <c r="E53" s="346" t="s">
        <v>2697</v>
      </c>
      <c r="F53" s="347"/>
      <c r="G53" s="347">
        <v>0.3</v>
      </c>
      <c r="H53" s="349">
        <f>H52*G53</f>
        <v>35176.799999999996</v>
      </c>
    </row>
    <row r="54" spans="1:8">
      <c r="A54" s="712"/>
      <c r="B54" s="712"/>
      <c r="C54" s="712"/>
      <c r="D54" s="712"/>
      <c r="E54" s="346"/>
      <c r="F54" s="347"/>
      <c r="G54" s="347"/>
      <c r="H54" s="349">
        <f>SUM(H52:H53)</f>
        <v>152432.79999999999</v>
      </c>
    </row>
    <row r="55" spans="1:8">
      <c r="A55" s="712"/>
      <c r="B55" s="712"/>
      <c r="C55" s="712"/>
      <c r="D55" s="712"/>
      <c r="E55" s="806"/>
      <c r="F55" s="807"/>
      <c r="G55" s="807"/>
      <c r="H55" s="809"/>
    </row>
    <row r="56" spans="1:8">
      <c r="A56" s="712"/>
      <c r="B56" s="712"/>
      <c r="C56" s="712"/>
      <c r="D56" s="712"/>
      <c r="E56" s="806"/>
      <c r="F56" s="807"/>
      <c r="G56" s="807"/>
      <c r="H56" s="809"/>
    </row>
    <row r="57" spans="1:8">
      <c r="A57" s="712"/>
      <c r="B57" s="712"/>
      <c r="C57" s="712"/>
      <c r="D57" s="712"/>
      <c r="E57" s="806"/>
      <c r="F57" s="807"/>
      <c r="G57" s="807"/>
      <c r="H57" s="809"/>
    </row>
    <row r="59" spans="1:8">
      <c r="A59" s="703" t="str">
        <f>+[14]PRESUPUESTO!$A$113</f>
        <v>__________________________________________</v>
      </c>
    </row>
    <row r="60" spans="1:8">
      <c r="A60" s="810" t="str">
        <f>+[14]PRESUPUESTO!$A$114</f>
        <v>Ing. JHON FREDY GARCIA MENDEZ</v>
      </c>
    </row>
    <row r="61" spans="1:8">
      <c r="A61" s="811" t="str">
        <f>+[14]PRESUPUESTO!$A$115</f>
        <v>M.P.  70268-326294 TLM.</v>
      </c>
    </row>
    <row r="62" spans="1:8">
      <c r="A62" s="811" t="str">
        <f>+[14]PRESUPUESTO!$A$116</f>
        <v>CONSULTOR</v>
      </c>
    </row>
  </sheetData>
  <mergeCells count="15">
    <mergeCell ref="B47:D47"/>
    <mergeCell ref="B48:D48"/>
    <mergeCell ref="B49:D49"/>
    <mergeCell ref="B6:D6"/>
    <mergeCell ref="B7:E7"/>
    <mergeCell ref="B8:E8"/>
    <mergeCell ref="B36:C36"/>
    <mergeCell ref="B45:D45"/>
    <mergeCell ref="B46:D46"/>
    <mergeCell ref="D2:E4"/>
    <mergeCell ref="F2:H2"/>
    <mergeCell ref="F3:H3"/>
    <mergeCell ref="F4:H4"/>
    <mergeCell ref="A5:E5"/>
    <mergeCell ref="F5:H5"/>
  </mergeCells>
  <pageMargins left="0.75" right="0.75" top="1" bottom="1" header="0" footer="0"/>
  <pageSetup paperSize="9" scale="70" orientation="portrait" r:id="rId1"/>
  <headerFooter alignWithMargins="0"/>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Hoja18">
    <tabColor theme="6" tint="0.79998168889431442"/>
  </sheetPr>
  <dimension ref="A1:K62"/>
  <sheetViews>
    <sheetView view="pageBreakPreview" topLeftCell="A9" zoomScaleNormal="100" zoomScaleSheetLayoutView="100" workbookViewId="0">
      <selection activeCell="F47" sqref="F47"/>
    </sheetView>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3.85546875" style="247" customWidth="1"/>
    <col min="9" max="16384" width="11.42578125" style="247"/>
  </cols>
  <sheetData>
    <row r="1" spans="1:11" ht="60.95" customHeight="1" thickBot="1"/>
    <row r="2" spans="1:11"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11" ht="29.1" customHeight="1" thickBot="1">
      <c r="A3" s="281"/>
      <c r="B3" s="282"/>
      <c r="C3" s="282"/>
      <c r="D3" s="2213"/>
      <c r="E3" s="2214"/>
      <c r="F3" s="2202" t="e">
        <f>+PRESUPUESTO!#REF!</f>
        <v>#REF!</v>
      </c>
      <c r="G3" s="2203"/>
      <c r="H3" s="2204"/>
    </row>
    <row r="4" spans="1:11" ht="30.95" customHeight="1" thickBot="1">
      <c r="A4" s="98"/>
      <c r="B4" s="99"/>
      <c r="C4" s="283"/>
      <c r="D4" s="2215"/>
      <c r="E4" s="2216"/>
      <c r="F4" s="2202" t="s">
        <v>524</v>
      </c>
      <c r="G4" s="2203"/>
      <c r="H4" s="2204"/>
    </row>
    <row r="5" spans="1:11" ht="13.5" thickBot="1">
      <c r="A5" s="2205" t="s">
        <v>558</v>
      </c>
      <c r="B5" s="2206"/>
      <c r="C5" s="2206"/>
      <c r="D5" s="2206"/>
      <c r="E5" s="2207"/>
      <c r="F5" s="2208" t="e">
        <f>+PRESUPUESTO!#REF!</f>
        <v>#REF!</v>
      </c>
      <c r="G5" s="2209"/>
      <c r="H5" s="2210"/>
    </row>
    <row r="6" spans="1:11">
      <c r="A6" s="284"/>
      <c r="B6" s="2195"/>
      <c r="C6" s="2196"/>
      <c r="D6" s="2196"/>
      <c r="E6" s="284"/>
      <c r="F6" s="285"/>
      <c r="G6" s="286"/>
      <c r="H6" s="287"/>
      <c r="I6" s="288"/>
    </row>
    <row r="7" spans="1:11" ht="15.95" customHeight="1">
      <c r="A7" s="96">
        <f>+PRESUPUESTO!A13</f>
        <v>1</v>
      </c>
      <c r="B7" s="2185" t="str">
        <f>+PRESUPUESTO!B13</f>
        <v>REDES DE COLECTORES DE ALCANTARILLADO SANITARIO</v>
      </c>
      <c r="C7" s="2185"/>
      <c r="D7" s="2185"/>
      <c r="E7" s="2185"/>
      <c r="F7" s="289"/>
      <c r="G7" s="290" t="s">
        <v>525</v>
      </c>
      <c r="H7" s="97" t="str">
        <f>+PRESUPUESTO!C21</f>
        <v>m3</v>
      </c>
    </row>
    <row r="8" spans="1:11">
      <c r="A8" s="97" t="str">
        <f>+PRESUPUESTO!A21</f>
        <v>1.1.6</v>
      </c>
      <c r="B8" s="2229" t="str">
        <f>+PRESUPUESTO!B21</f>
        <v xml:space="preserve">Cargue y retiro de material sobrante proveniente de la excavación y demolición hasta una distancia 5.0 Km del sitio de la obra. </v>
      </c>
      <c r="C8" s="2217"/>
      <c r="D8" s="2217"/>
      <c r="E8" s="2217"/>
      <c r="F8" s="291"/>
      <c r="G8" s="290"/>
      <c r="H8" s="97"/>
    </row>
    <row r="9" spans="1:11">
      <c r="A9" s="96"/>
      <c r="B9" s="420"/>
      <c r="C9" s="421"/>
      <c r="D9"/>
      <c r="E9" s="421"/>
      <c r="F9" s="292"/>
      <c r="G9" s="286"/>
      <c r="H9" s="287"/>
    </row>
    <row r="10" spans="1:11">
      <c r="A10" s="97"/>
      <c r="B10" s="293"/>
      <c r="C10" s="293"/>
      <c r="D10" s="293"/>
      <c r="E10" s="293"/>
      <c r="F10" s="293"/>
      <c r="G10" s="294"/>
      <c r="H10" s="294"/>
    </row>
    <row r="11" spans="1:11" ht="13.5" thickBot="1">
      <c r="A11" s="295" t="s">
        <v>526</v>
      </c>
      <c r="B11" s="295"/>
      <c r="C11" s="285"/>
      <c r="D11" s="296"/>
      <c r="E11" s="296"/>
      <c r="F11" s="296"/>
      <c r="G11" s="296"/>
      <c r="H11" s="296"/>
    </row>
    <row r="12" spans="1:11" ht="13.5" thickBot="1">
      <c r="A12" s="297" t="s">
        <v>527</v>
      </c>
      <c r="B12" s="298"/>
      <c r="C12" s="299" t="s">
        <v>521</v>
      </c>
      <c r="D12" s="300"/>
      <c r="E12" s="301" t="s">
        <v>515</v>
      </c>
      <c r="F12" s="302" t="s">
        <v>528</v>
      </c>
      <c r="G12" s="303" t="s">
        <v>832</v>
      </c>
      <c r="H12" s="278" t="s">
        <v>831</v>
      </c>
    </row>
    <row r="13" spans="1:11">
      <c r="A13" s="536" t="s">
        <v>966</v>
      </c>
      <c r="B13" s="305" t="str">
        <f t="shared" ref="B13:B18" si="0">IF(A13="","",VLOOKUP(A13,EQUI,2,FALSE))</f>
        <v>Herramienta Menor (5% de la mano de obra).</v>
      </c>
      <c r="C13" s="306"/>
      <c r="D13" s="306"/>
      <c r="E13" s="276" t="str">
        <f t="shared" ref="E13:E18" si="1">IF(A13="","",VLOOKUP(A13,EQUI,3,FALSE))</f>
        <v>%</v>
      </c>
      <c r="F13" s="433">
        <f>IF(A13="","",VLOOKUP(A13,EQUI,4,FALSE))</f>
        <v>0.05</v>
      </c>
      <c r="G13" s="307">
        <f>ROUND(F13*H50,0)</f>
        <v>159</v>
      </c>
      <c r="H13" s="308">
        <f>+G13</f>
        <v>159</v>
      </c>
      <c r="I13" s="309"/>
    </row>
    <row r="14" spans="1:11">
      <c r="A14" s="536" t="s">
        <v>1625</v>
      </c>
      <c r="B14" s="305" t="str">
        <f t="shared" si="0"/>
        <v>Retroexcavadora de oruga</v>
      </c>
      <c r="C14" s="306"/>
      <c r="D14" s="306"/>
      <c r="E14" s="276" t="str">
        <f t="shared" si="1"/>
        <v>Hora</v>
      </c>
      <c r="F14" s="405">
        <v>24</v>
      </c>
      <c r="G14" s="310">
        <f>IF(A14="","",VLOOKUP(A14,EQUI,4,FALSE))</f>
        <v>180000</v>
      </c>
      <c r="H14" s="311">
        <f>IF(A14="","",ROUND((G14/F14),0))</f>
        <v>7500</v>
      </c>
    </row>
    <row r="15" spans="1:11">
      <c r="A15" s="536"/>
      <c r="B15" s="305" t="str">
        <f t="shared" si="0"/>
        <v/>
      </c>
      <c r="C15" s="306"/>
      <c r="D15" s="306"/>
      <c r="E15" s="276" t="str">
        <f t="shared" si="1"/>
        <v/>
      </c>
      <c r="F15" s="405"/>
      <c r="G15" s="310" t="str">
        <f>IF(A15="","",VLOOKUP(A15,EQUI,4,FALSE))</f>
        <v/>
      </c>
      <c r="H15" s="311" t="str">
        <f>IF(A15="","",ROUND((G15/F15),0))</f>
        <v/>
      </c>
      <c r="K15" s="847" t="s">
        <v>2301</v>
      </c>
    </row>
    <row r="16" spans="1:11">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7659</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ht="13.5" thickBot="1">
      <c r="A23" s="533"/>
      <c r="B23" s="1033" t="s">
        <v>2694</v>
      </c>
      <c r="C23" s="305"/>
      <c r="D23" s="306"/>
      <c r="E23" s="815" t="s">
        <v>72</v>
      </c>
      <c r="F23" s="405">
        <v>1.3</v>
      </c>
      <c r="G23" s="310">
        <v>4567.5</v>
      </c>
      <c r="H23" s="342">
        <f>+G23*F23</f>
        <v>5937.75</v>
      </c>
    </row>
    <row r="24" spans="1:8">
      <c r="A24" s="534"/>
      <c r="B24" s="353"/>
      <c r="C24" s="305"/>
      <c r="D24" s="306"/>
      <c r="E24" s="276" t="str">
        <f t="shared" ref="E24:E32" si="2">IF(A24="","",VLOOKUP(A24,MAT,3,FALSE))</f>
        <v/>
      </c>
      <c r="F24" s="405"/>
      <c r="G24" s="310" t="str">
        <f t="shared" ref="G24:G32" si="3">IF(A24="","",VLOOKUP(A24,MAT,5,FALSE))</f>
        <v/>
      </c>
      <c r="H24" s="311" t="str">
        <f t="shared" ref="H24:H32" si="4">IF(A24="","",ROUND((G24*F24),0))</f>
        <v/>
      </c>
    </row>
    <row r="25" spans="1:8">
      <c r="A25" s="534"/>
      <c r="B25" s="353" t="str">
        <f t="shared" ref="B25:B32" si="5">IF(A25="","",VLOOKUP(A25,MAT,2,FALSE))</f>
        <v/>
      </c>
      <c r="C25" s="305"/>
      <c r="D25" s="306"/>
      <c r="E25" s="276" t="str">
        <f t="shared" si="2"/>
        <v/>
      </c>
      <c r="F25" s="405"/>
      <c r="G25" s="310" t="str">
        <f t="shared" si="3"/>
        <v/>
      </c>
      <c r="H25" s="311" t="str">
        <f t="shared" si="4"/>
        <v/>
      </c>
    </row>
    <row r="26" spans="1:8">
      <c r="A26" s="534"/>
      <c r="B26" s="305" t="str">
        <f t="shared" si="5"/>
        <v/>
      </c>
      <c r="C26" s="305"/>
      <c r="D26" s="306"/>
      <c r="E26" s="276" t="str">
        <f t="shared" si="2"/>
        <v/>
      </c>
      <c r="F26" s="405"/>
      <c r="G26" s="310" t="str">
        <f t="shared" si="3"/>
        <v/>
      </c>
      <c r="H26" s="311" t="str">
        <f t="shared" si="4"/>
        <v/>
      </c>
    </row>
    <row r="27" spans="1:8">
      <c r="A27" s="534"/>
      <c r="B27" s="305" t="str">
        <f t="shared" si="5"/>
        <v/>
      </c>
      <c r="C27" s="305"/>
      <c r="D27" s="306"/>
      <c r="E27" s="276" t="str">
        <f t="shared" si="2"/>
        <v/>
      </c>
      <c r="F27" s="405"/>
      <c r="G27" s="310" t="str">
        <f t="shared" si="3"/>
        <v/>
      </c>
      <c r="H27" s="311" t="str">
        <f t="shared" si="4"/>
        <v/>
      </c>
    </row>
    <row r="28" spans="1:8">
      <c r="A28" s="534"/>
      <c r="B28" s="305" t="str">
        <f t="shared" si="5"/>
        <v/>
      </c>
      <c r="C28" s="305"/>
      <c r="D28" s="306"/>
      <c r="E28" s="276" t="str">
        <f t="shared" si="2"/>
        <v/>
      </c>
      <c r="F28" s="405"/>
      <c r="G28" s="310" t="str">
        <f t="shared" si="3"/>
        <v/>
      </c>
      <c r="H28" s="311" t="str">
        <f t="shared" si="4"/>
        <v/>
      </c>
    </row>
    <row r="29" spans="1:8">
      <c r="A29" s="534"/>
      <c r="B29" s="305" t="str">
        <f t="shared" si="5"/>
        <v/>
      </c>
      <c r="C29" s="305"/>
      <c r="D29" s="306"/>
      <c r="E29" s="276" t="str">
        <f t="shared" si="2"/>
        <v/>
      </c>
      <c r="F29" s="405"/>
      <c r="G29" s="310" t="str">
        <f t="shared" si="3"/>
        <v/>
      </c>
      <c r="H29" s="311" t="str">
        <f t="shared" si="4"/>
        <v/>
      </c>
    </row>
    <row r="30" spans="1:8">
      <c r="A30" s="534"/>
      <c r="B30" s="305" t="str">
        <f t="shared" si="5"/>
        <v/>
      </c>
      <c r="C30" s="305"/>
      <c r="D30" s="306"/>
      <c r="E30" s="276" t="str">
        <f t="shared" si="2"/>
        <v/>
      </c>
      <c r="F30" s="405"/>
      <c r="G30" s="310" t="str">
        <f t="shared" si="3"/>
        <v/>
      </c>
      <c r="H30" s="311" t="str">
        <f t="shared" si="4"/>
        <v/>
      </c>
    </row>
    <row r="31" spans="1:8">
      <c r="A31" s="534"/>
      <c r="B31" s="305" t="str">
        <f t="shared" si="5"/>
        <v/>
      </c>
      <c r="C31" s="305"/>
      <c r="D31" s="306"/>
      <c r="E31" s="276" t="str">
        <f t="shared" si="2"/>
        <v/>
      </c>
      <c r="F31" s="405"/>
      <c r="G31" s="310" t="str">
        <f t="shared" si="3"/>
        <v/>
      </c>
      <c r="H31" s="311" t="str">
        <f t="shared" si="4"/>
        <v/>
      </c>
    </row>
    <row r="32" spans="1:8" ht="13.5" thickBot="1">
      <c r="A32" s="535"/>
      <c r="B32" s="326" t="str">
        <f t="shared" si="5"/>
        <v/>
      </c>
      <c r="C32" s="314"/>
      <c r="D32" s="314"/>
      <c r="E32" s="315" t="str">
        <f t="shared" si="2"/>
        <v/>
      </c>
      <c r="F32" s="406"/>
      <c r="G32" s="327" t="str">
        <f t="shared" si="3"/>
        <v/>
      </c>
      <c r="H32" s="311" t="str">
        <f t="shared" si="4"/>
        <v/>
      </c>
    </row>
    <row r="33" spans="1:8" ht="13.5" thickBot="1">
      <c r="A33" s="285"/>
      <c r="B33" s="285"/>
      <c r="C33" s="285"/>
      <c r="D33" s="285"/>
      <c r="E33" s="286"/>
      <c r="F33" s="285"/>
      <c r="G33" s="210" t="s">
        <v>529</v>
      </c>
      <c r="H33" s="328">
        <f>ROUND(SUM(H23:H32),0)</f>
        <v>5938</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546"/>
      <c r="B37" s="305" t="s">
        <v>1700</v>
      </c>
      <c r="C37" s="333"/>
      <c r="D37" s="409" t="s">
        <v>352</v>
      </c>
      <c r="E37" s="419">
        <v>5</v>
      </c>
      <c r="F37" s="413">
        <v>1.3</v>
      </c>
      <c r="G37" s="334">
        <f>INSUMOS!G42</f>
        <v>1500</v>
      </c>
      <c r="H37" s="311">
        <f>E37*F37*G37</f>
        <v>9750</v>
      </c>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t="str">
        <f>IF(A39="","",ROUND((G39*F39*E39),0))</f>
        <v/>
      </c>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9750</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1695</v>
      </c>
      <c r="B46" s="2192" t="str">
        <f>IF(A46="","",VLOOKUP(A46,MO,2,FALSE))</f>
        <v>2 Ayudantes</v>
      </c>
      <c r="C46" s="2193"/>
      <c r="D46" s="2194"/>
      <c r="E46" s="538" t="str">
        <f>IF(A46="","",VLOOKUP(A46,MO,13,FALSE))</f>
        <v>HC</v>
      </c>
      <c r="F46" s="544">
        <v>11</v>
      </c>
      <c r="G46" s="540">
        <f>IF(A46="","",VLOOKUP(A46,MO,15,FALSE))</f>
        <v>35019</v>
      </c>
      <c r="H46" s="542">
        <f>IF(A46="","",ROUND((G46/F46),0))</f>
        <v>3184</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3184</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26531</v>
      </c>
    </row>
    <row r="53" spans="1:8">
      <c r="A53" s="285"/>
      <c r="B53" s="285"/>
      <c r="C53" s="285"/>
      <c r="D53" s="285"/>
      <c r="E53" s="346" t="s">
        <v>2697</v>
      </c>
      <c r="F53" s="347"/>
      <c r="G53" s="347">
        <v>0.3</v>
      </c>
      <c r="H53" s="349">
        <f>H52*G53</f>
        <v>7959.2999999999993</v>
      </c>
    </row>
    <row r="54" spans="1:8">
      <c r="A54" s="285"/>
      <c r="B54" s="285"/>
      <c r="C54" s="285"/>
      <c r="D54" s="285"/>
      <c r="E54" s="346"/>
      <c r="F54" s="347"/>
      <c r="G54" s="347"/>
      <c r="H54" s="349">
        <f>SUM(H52:H53)</f>
        <v>34490.300000000003</v>
      </c>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c r="A59" s="703" t="str">
        <f>+[14]PRESUPUESTO!$A$113</f>
        <v>__________________________________________</v>
      </c>
      <c r="B59" s="703"/>
    </row>
    <row r="60" spans="1:8">
      <c r="A60" s="810" t="str">
        <f>+[14]PRESUPUESTO!$A$114</f>
        <v>Ing. JHON FREDY GARCIA MENDEZ</v>
      </c>
      <c r="B60" s="703"/>
    </row>
    <row r="61" spans="1:8">
      <c r="A61" s="811" t="str">
        <f>+[14]PRESUPUESTO!$A$115</f>
        <v>M.P.  70268-326294 TLM.</v>
      </c>
      <c r="B61" s="703"/>
    </row>
    <row r="62" spans="1:8">
      <c r="A62" s="811" t="str">
        <f>+[14]PRESUPUESTO!$A$116</f>
        <v>CONSULTOR</v>
      </c>
      <c r="B62" s="703"/>
    </row>
  </sheetData>
  <mergeCells count="15">
    <mergeCell ref="B47:D47"/>
    <mergeCell ref="B48:D48"/>
    <mergeCell ref="B49:D49"/>
    <mergeCell ref="B6:D6"/>
    <mergeCell ref="B7:E7"/>
    <mergeCell ref="B8:E8"/>
    <mergeCell ref="B36:C36"/>
    <mergeCell ref="B45:D45"/>
    <mergeCell ref="B46:D46"/>
    <mergeCell ref="D2:E4"/>
    <mergeCell ref="F2:H2"/>
    <mergeCell ref="F3:H3"/>
    <mergeCell ref="F4:H4"/>
    <mergeCell ref="A5:E5"/>
    <mergeCell ref="F5:H5"/>
  </mergeCells>
  <pageMargins left="0.75" right="0.75" top="1" bottom="1" header="0" footer="0"/>
  <pageSetup paperSize="9" scale="70" orientation="portrait" r:id="rId1"/>
  <headerFooter alignWithMargins="0"/>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theme="6" tint="0.79998168889431442"/>
  </sheetPr>
  <dimension ref="A1:I62"/>
  <sheetViews>
    <sheetView view="pageBreakPreview" topLeftCell="A24" zoomScale="90" zoomScaleNormal="100" zoomScaleSheetLayoutView="90" workbookViewId="0">
      <selection activeCell="E53" sqref="E53:H54"/>
    </sheetView>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4.570312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f>+PRESUPUESTO!A24</f>
        <v>1.2</v>
      </c>
      <c r="B7" s="2185" t="str">
        <f>+PRESUPUESTO!B24</f>
        <v>SUMINISTRO DE TUBERÍAS DE PVC</v>
      </c>
      <c r="C7" s="2185"/>
      <c r="D7" s="2185"/>
      <c r="E7" s="2185"/>
      <c r="F7" s="289"/>
      <c r="G7" s="290" t="s">
        <v>525</v>
      </c>
      <c r="H7" s="97" t="str">
        <f>+PRESUPUESTO!C25</f>
        <v>m</v>
      </c>
    </row>
    <row r="8" spans="1:9">
      <c r="A8" s="97" t="str">
        <f>+PRESUPUESTO!A25</f>
        <v>1.2.1</v>
      </c>
      <c r="B8" s="2256" t="str">
        <f>+PRESUPUESTO!B25</f>
        <v>Suministro tubería de alcantarillado PVC ø 200 mm (8")</v>
      </c>
      <c r="C8" s="2257"/>
      <c r="D8" s="2257"/>
      <c r="E8" s="225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966</v>
      </c>
      <c r="B13" s="305" t="str">
        <f t="shared" ref="B13:B18" si="0">IF(A13="","",VLOOKUP(A13,EQUI,2,FALSE))</f>
        <v>Herramienta Menor (5% de la mano de obra).</v>
      </c>
      <c r="C13" s="306"/>
      <c r="D13" s="306"/>
      <c r="E13" s="276" t="str">
        <f t="shared" ref="E13:E18" si="1">IF(A13="","",VLOOKUP(A13,EQUI,3,FALSE))</f>
        <v>%</v>
      </c>
      <c r="F13" s="433">
        <f>IF(A13="","",VLOOKUP(A13,EQUI,4,FALSE))</f>
        <v>0.05</v>
      </c>
      <c r="G13" s="307">
        <f>ROUND(F13*H50,0)</f>
        <v>0</v>
      </c>
      <c r="H13" s="308">
        <f>+G13</f>
        <v>0</v>
      </c>
      <c r="I13" s="309"/>
    </row>
    <row r="14" spans="1:9">
      <c r="A14" s="536"/>
      <c r="B14" s="305" t="str">
        <f t="shared" si="0"/>
        <v/>
      </c>
      <c r="C14" s="306"/>
      <c r="D14" s="306"/>
      <c r="E14" s="276" t="str">
        <f t="shared" si="1"/>
        <v/>
      </c>
      <c r="F14" s="405"/>
      <c r="G14" s="310" t="str">
        <f>IF(A14="","",VLOOKUP(A14,EQUI,4,FALSE))</f>
        <v/>
      </c>
      <c r="H14" s="311" t="str">
        <f>IF(A14="","",ROUND((G14/F14),0))</f>
        <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0</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t="s">
        <v>1733</v>
      </c>
      <c r="B23" s="353" t="str">
        <f>IF(A23="","",VLOOKUP(A23,MAT,2,FALSE))</f>
        <v xml:space="preserve">Tubería Corrugada Alcantarillado RS8 de 200 mm </v>
      </c>
      <c r="C23" s="305"/>
      <c r="D23" s="306"/>
      <c r="E23" s="276" t="str">
        <f>IF(A23="","",VLOOKUP(A23,MAT,3,FALSE))</f>
        <v>m.</v>
      </c>
      <c r="F23" s="405">
        <v>1.03</v>
      </c>
      <c r="G23" s="310">
        <f>IF(A23="","",VLOOKUP(A23,MAT,5,FALSE))</f>
        <v>75144.5</v>
      </c>
      <c r="H23" s="311">
        <f>IF(A23="","",ROUND((G23*F23),0))</f>
        <v>77399</v>
      </c>
    </row>
    <row r="24" spans="1:8">
      <c r="A24" s="534"/>
      <c r="B24" s="353" t="str">
        <f>IF(A24="","",VLOOKUP(A24,MAT,2,FALSE))</f>
        <v/>
      </c>
      <c r="C24" s="305"/>
      <c r="D24" s="306"/>
      <c r="E24" s="276" t="str">
        <f>IF(A24="","",VLOOKUP(A24,MAT,3,FALSE))</f>
        <v/>
      </c>
      <c r="F24" s="405"/>
      <c r="G24" s="310" t="str">
        <f>IF(A24="","",VLOOKUP(A24,MAT,5,FALSE))</f>
        <v/>
      </c>
      <c r="H24" s="311" t="str">
        <f>IF(A24="","",ROUND((G24*F24),0))</f>
        <v/>
      </c>
    </row>
    <row r="25" spans="1:8">
      <c r="A25" s="534"/>
      <c r="B25" s="353" t="str">
        <f>IF(A25="","",VLOOKUP(A25,MAT,2,FALSE))</f>
        <v/>
      </c>
      <c r="C25" s="305"/>
      <c r="D25" s="306"/>
      <c r="E25" s="276" t="str">
        <f>IF(A25="","",VLOOKUP(A25,MAT,3,FALSE))</f>
        <v/>
      </c>
      <c r="F25" s="405"/>
      <c r="G25" s="310" t="str">
        <f>IF(A25="","",VLOOKUP(A25,MAT,5,FALSE))</f>
        <v/>
      </c>
      <c r="H25" s="311" t="str">
        <f>IF(A25="","",ROUND((G25*F25),0))</f>
        <v/>
      </c>
    </row>
    <row r="26" spans="1:8">
      <c r="A26" s="534"/>
      <c r="B26" s="305" t="str">
        <f t="shared" ref="B26:B32" si="2">IF(A26="","",VLOOKUP(A26,MAT,2,FALSE))</f>
        <v/>
      </c>
      <c r="C26" s="305"/>
      <c r="D26" s="306"/>
      <c r="E26" s="276" t="str">
        <f t="shared" ref="E26:E32" si="3">IF(A26="","",VLOOKUP(A26,MAT,3,FALSE))</f>
        <v/>
      </c>
      <c r="F26" s="405"/>
      <c r="G26" s="310" t="str">
        <f t="shared" ref="G26:G32" si="4">IF(A26="","",VLOOKUP(A26,MAT,5,FALSE))</f>
        <v/>
      </c>
      <c r="H26" s="311" t="str">
        <f t="shared" ref="H26:H32" si="5">IF(A26="","",ROUND((G26*F26),0))</f>
        <v/>
      </c>
    </row>
    <row r="27" spans="1:8">
      <c r="A27" s="534"/>
      <c r="B27" s="305" t="str">
        <f t="shared" si="2"/>
        <v/>
      </c>
      <c r="C27" s="305"/>
      <c r="D27" s="306"/>
      <c r="E27" s="276" t="str">
        <f t="shared" si="3"/>
        <v/>
      </c>
      <c r="F27" s="405"/>
      <c r="G27" s="310" t="str">
        <f t="shared" si="4"/>
        <v/>
      </c>
      <c r="H27" s="311" t="str">
        <f t="shared" si="5"/>
        <v/>
      </c>
    </row>
    <row r="28" spans="1:8">
      <c r="A28" s="534"/>
      <c r="B28" s="305" t="str">
        <f t="shared" si="2"/>
        <v/>
      </c>
      <c r="C28" s="305"/>
      <c r="D28" s="306"/>
      <c r="E28" s="276" t="str">
        <f t="shared" si="3"/>
        <v/>
      </c>
      <c r="F28" s="405"/>
      <c r="G28" s="310" t="str">
        <f t="shared" si="4"/>
        <v/>
      </c>
      <c r="H28" s="311" t="str">
        <f t="shared" si="5"/>
        <v/>
      </c>
    </row>
    <row r="29" spans="1:8">
      <c r="A29" s="534"/>
      <c r="B29" s="305" t="str">
        <f t="shared" si="2"/>
        <v/>
      </c>
      <c r="C29" s="305"/>
      <c r="D29" s="306"/>
      <c r="E29" s="276" t="str">
        <f t="shared" si="3"/>
        <v/>
      </c>
      <c r="F29" s="405"/>
      <c r="G29" s="310" t="str">
        <f t="shared" si="4"/>
        <v/>
      </c>
      <c r="H29" s="311" t="str">
        <f t="shared" si="5"/>
        <v/>
      </c>
    </row>
    <row r="30" spans="1:8">
      <c r="A30" s="534"/>
      <c r="B30" s="305" t="str">
        <f t="shared" si="2"/>
        <v/>
      </c>
      <c r="C30" s="305"/>
      <c r="D30" s="306"/>
      <c r="E30" s="276" t="str">
        <f t="shared" si="3"/>
        <v/>
      </c>
      <c r="F30" s="405"/>
      <c r="G30" s="310" t="str">
        <f t="shared" si="4"/>
        <v/>
      </c>
      <c r="H30" s="311" t="str">
        <f t="shared" si="5"/>
        <v/>
      </c>
    </row>
    <row r="31" spans="1:8">
      <c r="A31" s="534"/>
      <c r="B31" s="305" t="str">
        <f t="shared" si="2"/>
        <v/>
      </c>
      <c r="C31" s="305"/>
      <c r="D31" s="306"/>
      <c r="E31" s="276" t="str">
        <f t="shared" si="3"/>
        <v/>
      </c>
      <c r="F31" s="405"/>
      <c r="G31" s="310" t="str">
        <f t="shared" si="4"/>
        <v/>
      </c>
      <c r="H31" s="311" t="str">
        <f t="shared" si="5"/>
        <v/>
      </c>
    </row>
    <row r="32" spans="1:8" ht="13.5" thickBot="1">
      <c r="A32" s="535"/>
      <c r="B32" s="326" t="str">
        <f t="shared" si="2"/>
        <v/>
      </c>
      <c r="C32" s="314"/>
      <c r="D32" s="314"/>
      <c r="E32" s="315" t="str">
        <f t="shared" si="3"/>
        <v/>
      </c>
      <c r="F32" s="406"/>
      <c r="G32" s="327" t="str">
        <f t="shared" si="4"/>
        <v/>
      </c>
      <c r="H32" s="311" t="str">
        <f t="shared" si="5"/>
        <v/>
      </c>
    </row>
    <row r="33" spans="1:8" ht="13.5" thickBot="1">
      <c r="A33" s="285"/>
      <c r="B33" s="285"/>
      <c r="C33" s="285"/>
      <c r="D33" s="285"/>
      <c r="E33" s="286"/>
      <c r="F33" s="285"/>
      <c r="G33" s="210" t="s">
        <v>529</v>
      </c>
      <c r="H33" s="328">
        <f>ROUND(SUM(H23:H32),0)</f>
        <v>77399</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546" t="str">
        <f>A23</f>
        <v>TA8</v>
      </c>
      <c r="B37" s="305" t="str">
        <f>IF(A37="","",VLOOKUP(A37,MAT,2,FALSE))</f>
        <v xml:space="preserve">Tubería Corrugada Alcantarillado RS8 de 200 mm </v>
      </c>
      <c r="C37" s="333"/>
      <c r="D37" s="409" t="str">
        <f>IF(A37="","",VLOOKUP(A37,MAT,3,FALSE))</f>
        <v>m.</v>
      </c>
      <c r="E37" s="419">
        <v>160</v>
      </c>
      <c r="F37" s="413">
        <f>IF(A37="","",VLOOKUP(A37,$A$23:$H$32,6,FALSE))</f>
        <v>1.03</v>
      </c>
      <c r="G37" s="334">
        <f>IF(A37="","",VLOOKUP(A37,MAT,7,FALSE))</f>
        <v>15</v>
      </c>
      <c r="H37" s="311">
        <f>(ROUND((G37*F37*E37),0))</f>
        <v>2472</v>
      </c>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t="str">
        <f>IF(A39="","",ROUND((G39*F39*E39),0))</f>
        <v/>
      </c>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2472</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c r="B46" s="2192" t="str">
        <f>IF(A46="","",VLOOKUP(A46,MO,2,FALSE))</f>
        <v/>
      </c>
      <c r="C46" s="2193"/>
      <c r="D46" s="2194"/>
      <c r="E46" s="538" t="str">
        <f>IF(A46="","",VLOOKUP(A46,MO,13,FALSE))</f>
        <v/>
      </c>
      <c r="F46" s="544"/>
      <c r="G46" s="540" t="str">
        <f>IF(A46="","",VLOOKUP(A46,MO,15,FALSE))</f>
        <v/>
      </c>
      <c r="H46" s="542" t="str">
        <f>IF(A46="","",ROUND((G46/F46),0))</f>
        <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0</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79871</v>
      </c>
    </row>
    <row r="53" spans="1:8">
      <c r="A53" s="285"/>
      <c r="B53" s="285"/>
      <c r="C53" s="285"/>
      <c r="D53" s="285"/>
      <c r="E53" s="346"/>
      <c r="F53" s="347"/>
      <c r="G53" s="347"/>
      <c r="H53" s="349"/>
    </row>
    <row r="54" spans="1:8">
      <c r="A54" s="285"/>
      <c r="B54" s="285"/>
      <c r="C54" s="285"/>
      <c r="D54" s="285"/>
      <c r="E54" s="346"/>
      <c r="F54" s="347"/>
      <c r="G54" s="347"/>
      <c r="H54" s="349"/>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ht="15">
      <c r="A59" s="1243" t="str">
        <f>+[14]PRESUPUESTO!$A$113</f>
        <v>__________________________________________</v>
      </c>
      <c r="B59" s="1243"/>
      <c r="C59" s="1244"/>
    </row>
    <row r="60" spans="1:8" ht="15.75">
      <c r="A60" s="1245" t="str">
        <f>+[14]PRESUPUESTO!$A$114</f>
        <v>Ing. JHON FREDY GARCIA MENDEZ</v>
      </c>
      <c r="B60" s="1243"/>
      <c r="C60" s="1244"/>
    </row>
    <row r="61" spans="1:8" ht="15.75">
      <c r="A61" s="1246" t="str">
        <f>+[14]PRESUPUESTO!$A$115</f>
        <v>M.P.  70268-326294 TLM.</v>
      </c>
      <c r="B61" s="1243"/>
      <c r="C61" s="1244"/>
    </row>
    <row r="62" spans="1:8" ht="15.75">
      <c r="A62" s="1246" t="str">
        <f>+[14]PRESUPUESTO!$A$116</f>
        <v>CONSULTOR</v>
      </c>
      <c r="B62" s="1243"/>
      <c r="C62" s="1244"/>
    </row>
  </sheetData>
  <mergeCells count="15">
    <mergeCell ref="B47:D47"/>
    <mergeCell ref="B48:D48"/>
    <mergeCell ref="B49:D49"/>
    <mergeCell ref="B6:D6"/>
    <mergeCell ref="B7:E7"/>
    <mergeCell ref="B8:E8"/>
    <mergeCell ref="B36:C36"/>
    <mergeCell ref="B45:D45"/>
    <mergeCell ref="B46:D46"/>
    <mergeCell ref="D2:E4"/>
    <mergeCell ref="F2:H2"/>
    <mergeCell ref="F3:H3"/>
    <mergeCell ref="F4:H4"/>
    <mergeCell ref="A5:E5"/>
    <mergeCell ref="F5:H5"/>
  </mergeCells>
  <pageMargins left="0.75" right="0.75" top="1" bottom="1" header="0" footer="0"/>
  <pageSetup scale="70" orientation="portrait" r:id="rId1"/>
  <headerFooter alignWithMargins="0"/>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theme="6" tint="0.79998168889431442"/>
  </sheetPr>
  <dimension ref="A1:I62"/>
  <sheetViews>
    <sheetView view="pageBreakPreview" topLeftCell="A25" zoomScale="90" zoomScaleNormal="100" zoomScaleSheetLayoutView="90" workbookViewId="0">
      <selection activeCell="E53" sqref="E53:H54"/>
    </sheetView>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4.570312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f>+PRESUPUESTO!A24</f>
        <v>1.2</v>
      </c>
      <c r="B7" s="2185" t="str">
        <f>+PRESUPUESTO!B24</f>
        <v>SUMINISTRO DE TUBERÍAS DE PVC</v>
      </c>
      <c r="C7" s="2185"/>
      <c r="D7" s="2185"/>
      <c r="E7" s="2185"/>
      <c r="F7" s="289"/>
      <c r="G7" s="290" t="s">
        <v>525</v>
      </c>
      <c r="H7" s="97" t="str">
        <f>+PRESUPUESTO!C26</f>
        <v>m</v>
      </c>
    </row>
    <row r="8" spans="1:9">
      <c r="A8" s="97" t="str">
        <f>+PRESUPUESTO!A26</f>
        <v>1.2.2</v>
      </c>
      <c r="B8" s="2256" t="str">
        <f>+PRESUPUESTO!B26</f>
        <v>Suministro tubería de alcantarillado PVC ø 250 mm (10")</v>
      </c>
      <c r="C8" s="2257"/>
      <c r="D8" s="2257"/>
      <c r="E8" s="225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966</v>
      </c>
      <c r="B13" s="305" t="str">
        <f t="shared" ref="B13:B18" si="0">IF(A13="","",VLOOKUP(A13,EQUI,2,FALSE))</f>
        <v>Herramienta Menor (5% de la mano de obra).</v>
      </c>
      <c r="C13" s="306"/>
      <c r="D13" s="306"/>
      <c r="E13" s="276" t="str">
        <f t="shared" ref="E13:E18" si="1">IF(A13="","",VLOOKUP(A13,EQUI,3,FALSE))</f>
        <v>%</v>
      </c>
      <c r="F13" s="433">
        <f>IF(A13="","",VLOOKUP(A13,EQUI,4,FALSE))</f>
        <v>0.05</v>
      </c>
      <c r="G13" s="307">
        <f>ROUND(F13*H50,0)</f>
        <v>0</v>
      </c>
      <c r="H13" s="308">
        <f>+G13</f>
        <v>0</v>
      </c>
      <c r="I13" s="309"/>
    </row>
    <row r="14" spans="1:9">
      <c r="A14" s="536"/>
      <c r="B14" s="305" t="str">
        <f t="shared" si="0"/>
        <v/>
      </c>
      <c r="C14" s="306"/>
      <c r="D14" s="306"/>
      <c r="E14" s="276" t="str">
        <f t="shared" si="1"/>
        <v/>
      </c>
      <c r="F14" s="405"/>
      <c r="G14" s="310" t="str">
        <f>IF(A14="","",VLOOKUP(A14,EQUI,4,FALSE))</f>
        <v/>
      </c>
      <c r="H14" s="311" t="str">
        <f>IF(A14="","",ROUND((G14/F14),0))</f>
        <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0</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t="s">
        <v>1734</v>
      </c>
      <c r="B23" s="353" t="str">
        <f>IF(A23="","",VLOOKUP(A23,MAT,2,FALSE))</f>
        <v xml:space="preserve">Tubería Corrugada Alcantarillado RS8 de 250 mm </v>
      </c>
      <c r="C23" s="305"/>
      <c r="D23" s="306"/>
      <c r="E23" s="276" t="str">
        <f>IF(A23="","",VLOOKUP(A23,MAT,3,FALSE))</f>
        <v>m.</v>
      </c>
      <c r="F23" s="405">
        <v>1.03</v>
      </c>
      <c r="G23" s="310">
        <f>IF(A23="","",VLOOKUP(A23,MAT,5,FALSE))</f>
        <v>109752</v>
      </c>
      <c r="H23" s="311">
        <f>IF(A23="","",ROUND((G23*F23),0))</f>
        <v>113045</v>
      </c>
    </row>
    <row r="24" spans="1:8">
      <c r="A24" s="534"/>
      <c r="B24" s="353" t="str">
        <f>IF(A24="","",VLOOKUP(A24,MAT,2,FALSE))</f>
        <v/>
      </c>
      <c r="C24" s="305"/>
      <c r="D24" s="306"/>
      <c r="E24" s="276" t="str">
        <f>IF(A24="","",VLOOKUP(A24,MAT,3,FALSE))</f>
        <v/>
      </c>
      <c r="F24" s="405"/>
      <c r="G24" s="310" t="str">
        <f>IF(A24="","",VLOOKUP(A24,MAT,5,FALSE))</f>
        <v/>
      </c>
      <c r="H24" s="311" t="str">
        <f>IF(A24="","",ROUND((G24*F24),0))</f>
        <v/>
      </c>
    </row>
    <row r="25" spans="1:8">
      <c r="A25" s="534"/>
      <c r="B25" s="353" t="str">
        <f>IF(A25="","",VLOOKUP(A25,MAT,2,FALSE))</f>
        <v/>
      </c>
      <c r="C25" s="305"/>
      <c r="D25" s="306"/>
      <c r="E25" s="276" t="str">
        <f>IF(A25="","",VLOOKUP(A25,MAT,3,FALSE))</f>
        <v/>
      </c>
      <c r="F25" s="405"/>
      <c r="G25" s="310" t="str">
        <f>IF(A25="","",VLOOKUP(A25,MAT,5,FALSE))</f>
        <v/>
      </c>
      <c r="H25" s="311" t="str">
        <f>IF(A25="","",ROUND((G25*F25),0))</f>
        <v/>
      </c>
    </row>
    <row r="26" spans="1:8">
      <c r="A26" s="534"/>
      <c r="B26" s="305" t="str">
        <f t="shared" ref="B26:B32" si="2">IF(A26="","",VLOOKUP(A26,MAT,2,FALSE))</f>
        <v/>
      </c>
      <c r="C26" s="305"/>
      <c r="D26" s="306"/>
      <c r="E26" s="276" t="str">
        <f t="shared" ref="E26:E32" si="3">IF(A26="","",VLOOKUP(A26,MAT,3,FALSE))</f>
        <v/>
      </c>
      <c r="F26" s="405"/>
      <c r="G26" s="310" t="str">
        <f t="shared" ref="G26:G32" si="4">IF(A26="","",VLOOKUP(A26,MAT,5,FALSE))</f>
        <v/>
      </c>
      <c r="H26" s="311" t="str">
        <f t="shared" ref="H26:H32" si="5">IF(A26="","",ROUND((G26*F26),0))</f>
        <v/>
      </c>
    </row>
    <row r="27" spans="1:8">
      <c r="A27" s="534"/>
      <c r="B27" s="305" t="str">
        <f t="shared" si="2"/>
        <v/>
      </c>
      <c r="C27" s="305"/>
      <c r="D27" s="306"/>
      <c r="E27" s="276" t="str">
        <f t="shared" si="3"/>
        <v/>
      </c>
      <c r="F27" s="405"/>
      <c r="G27" s="310" t="str">
        <f t="shared" si="4"/>
        <v/>
      </c>
      <c r="H27" s="311" t="str">
        <f t="shared" si="5"/>
        <v/>
      </c>
    </row>
    <row r="28" spans="1:8">
      <c r="A28" s="534"/>
      <c r="B28" s="305" t="str">
        <f t="shared" si="2"/>
        <v/>
      </c>
      <c r="C28" s="305"/>
      <c r="D28" s="306"/>
      <c r="E28" s="276" t="str">
        <f t="shared" si="3"/>
        <v/>
      </c>
      <c r="F28" s="405"/>
      <c r="G28" s="310" t="str">
        <f t="shared" si="4"/>
        <v/>
      </c>
      <c r="H28" s="311" t="str">
        <f t="shared" si="5"/>
        <v/>
      </c>
    </row>
    <row r="29" spans="1:8">
      <c r="A29" s="534"/>
      <c r="B29" s="305" t="str">
        <f t="shared" si="2"/>
        <v/>
      </c>
      <c r="C29" s="305"/>
      <c r="D29" s="306"/>
      <c r="E29" s="276" t="str">
        <f t="shared" si="3"/>
        <v/>
      </c>
      <c r="F29" s="405"/>
      <c r="G29" s="310" t="str">
        <f t="shared" si="4"/>
        <v/>
      </c>
      <c r="H29" s="311" t="str">
        <f t="shared" si="5"/>
        <v/>
      </c>
    </row>
    <row r="30" spans="1:8">
      <c r="A30" s="534"/>
      <c r="B30" s="305" t="str">
        <f t="shared" si="2"/>
        <v/>
      </c>
      <c r="C30" s="305"/>
      <c r="D30" s="306"/>
      <c r="E30" s="276" t="str">
        <f t="shared" si="3"/>
        <v/>
      </c>
      <c r="F30" s="405"/>
      <c r="G30" s="310" t="str">
        <f t="shared" si="4"/>
        <v/>
      </c>
      <c r="H30" s="311" t="str">
        <f t="shared" si="5"/>
        <v/>
      </c>
    </row>
    <row r="31" spans="1:8">
      <c r="A31" s="534"/>
      <c r="B31" s="305" t="str">
        <f t="shared" si="2"/>
        <v/>
      </c>
      <c r="C31" s="305"/>
      <c r="D31" s="306"/>
      <c r="E31" s="276" t="str">
        <f t="shared" si="3"/>
        <v/>
      </c>
      <c r="F31" s="405"/>
      <c r="G31" s="310" t="str">
        <f t="shared" si="4"/>
        <v/>
      </c>
      <c r="H31" s="311" t="str">
        <f t="shared" si="5"/>
        <v/>
      </c>
    </row>
    <row r="32" spans="1:8" ht="13.5" thickBot="1">
      <c r="A32" s="535"/>
      <c r="B32" s="326" t="str">
        <f t="shared" si="2"/>
        <v/>
      </c>
      <c r="C32" s="314"/>
      <c r="D32" s="314"/>
      <c r="E32" s="315" t="str">
        <f t="shared" si="3"/>
        <v/>
      </c>
      <c r="F32" s="406"/>
      <c r="G32" s="327" t="str">
        <f t="shared" si="4"/>
        <v/>
      </c>
      <c r="H32" s="311" t="str">
        <f t="shared" si="5"/>
        <v/>
      </c>
    </row>
    <row r="33" spans="1:8" ht="13.5" thickBot="1">
      <c r="A33" s="285"/>
      <c r="B33" s="285"/>
      <c r="C33" s="285"/>
      <c r="D33" s="285"/>
      <c r="E33" s="286"/>
      <c r="F33" s="285"/>
      <c r="G33" s="210" t="s">
        <v>529</v>
      </c>
      <c r="H33" s="328">
        <f>ROUND(SUM(H23:H32),0)</f>
        <v>113045</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546" t="str">
        <f>A23</f>
        <v>TA10</v>
      </c>
      <c r="B37" s="305" t="str">
        <f>IF(A37="","",VLOOKUP(A37,MAT,2,FALSE))</f>
        <v xml:space="preserve">Tubería Corrugada Alcantarillado RS8 de 250 mm </v>
      </c>
      <c r="C37" s="333"/>
      <c r="D37" s="409" t="str">
        <f>IF(A37="","",VLOOKUP(A37,MAT,3,FALSE))</f>
        <v>m.</v>
      </c>
      <c r="E37" s="419">
        <v>160</v>
      </c>
      <c r="F37" s="413">
        <f>IF(A37="","",VLOOKUP(A37,$A$23:$H$32,6,FALSE))</f>
        <v>1.03</v>
      </c>
      <c r="G37" s="334">
        <f>IF(A37="","",VLOOKUP(A37,MAT,7,FALSE))</f>
        <v>15</v>
      </c>
      <c r="H37" s="311">
        <f>(ROUND((G37*F37*E37),0))</f>
        <v>2472</v>
      </c>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t="str">
        <f>IF(A39="","",ROUND((G39*F39*E39),0))</f>
        <v/>
      </c>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2472</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c r="B46" s="2192" t="str">
        <f>IF(A46="","",VLOOKUP(A46,MO,2,FALSE))</f>
        <v/>
      </c>
      <c r="C46" s="2193"/>
      <c r="D46" s="2194"/>
      <c r="E46" s="538" t="str">
        <f>IF(A46="","",VLOOKUP(A46,MO,13,FALSE))</f>
        <v/>
      </c>
      <c r="F46" s="544"/>
      <c r="G46" s="540" t="str">
        <f>IF(A46="","",VLOOKUP(A46,MO,15,FALSE))</f>
        <v/>
      </c>
      <c r="H46" s="542" t="str">
        <f>IF(A46="","",ROUND((G46/F46),0))</f>
        <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0</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115517</v>
      </c>
    </row>
    <row r="53" spans="1:8">
      <c r="A53" s="285"/>
      <c r="B53" s="285"/>
      <c r="C53" s="285"/>
      <c r="D53" s="285"/>
      <c r="E53" s="346"/>
      <c r="F53" s="347"/>
      <c r="G53" s="347"/>
      <c r="H53" s="349"/>
    </row>
    <row r="54" spans="1:8">
      <c r="A54" s="285"/>
      <c r="B54" s="285"/>
      <c r="C54" s="285"/>
      <c r="D54" s="285"/>
      <c r="E54" s="346"/>
      <c r="F54" s="347"/>
      <c r="G54" s="347"/>
      <c r="H54" s="349"/>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ht="15">
      <c r="A59" s="1243" t="str">
        <f>+[14]PRESUPUESTO!$A$113</f>
        <v>__________________________________________</v>
      </c>
      <c r="B59" s="1243"/>
      <c r="C59" s="1244"/>
    </row>
    <row r="60" spans="1:8" ht="15.75">
      <c r="A60" s="1245" t="str">
        <f>+[14]PRESUPUESTO!$A$114</f>
        <v>Ing. JHON FREDY GARCIA MENDEZ</v>
      </c>
      <c r="B60" s="1243"/>
      <c r="C60" s="1244"/>
    </row>
    <row r="61" spans="1:8" ht="15.75">
      <c r="A61" s="1246" t="str">
        <f>+[14]PRESUPUESTO!$A$115</f>
        <v>M.P.  70268-326294 TLM.</v>
      </c>
      <c r="B61" s="1243"/>
      <c r="C61" s="1244"/>
    </row>
    <row r="62" spans="1:8" ht="15.75">
      <c r="A62" s="1246" t="str">
        <f>+[14]PRESUPUESTO!$A$116</f>
        <v>CONSULTOR</v>
      </c>
      <c r="B62" s="1243"/>
      <c r="C62" s="1244"/>
    </row>
  </sheetData>
  <mergeCells count="15">
    <mergeCell ref="B47:D47"/>
    <mergeCell ref="B48:D48"/>
    <mergeCell ref="B49:D49"/>
    <mergeCell ref="B6:D6"/>
    <mergeCell ref="B7:E7"/>
    <mergeCell ref="B8:E8"/>
    <mergeCell ref="B36:C36"/>
    <mergeCell ref="B45:D45"/>
    <mergeCell ref="B46:D46"/>
    <mergeCell ref="D2:E4"/>
    <mergeCell ref="F2:H2"/>
    <mergeCell ref="F3:H3"/>
    <mergeCell ref="F4:H4"/>
    <mergeCell ref="A5:E5"/>
    <mergeCell ref="F5:H5"/>
  </mergeCells>
  <pageMargins left="0.75" right="0.75" top="1" bottom="1" header="0" footer="0"/>
  <pageSetup scale="70" orientation="portrait" r:id="rId1"/>
  <headerFooter alignWithMargins="0"/>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theme="6" tint="0.79998168889431442"/>
  </sheetPr>
  <dimension ref="A1:I62"/>
  <sheetViews>
    <sheetView view="pageBreakPreview" topLeftCell="A37" zoomScaleNormal="100" zoomScaleSheetLayoutView="100" workbookViewId="0">
      <selection activeCell="E53" sqref="E53:H54"/>
    </sheetView>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4.570312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f>+PRESUPUESTO!A24</f>
        <v>1.2</v>
      </c>
      <c r="B7" s="2185" t="str">
        <f>+PRESUPUESTO!B24</f>
        <v>SUMINISTRO DE TUBERÍAS DE PVC</v>
      </c>
      <c r="C7" s="2185"/>
      <c r="D7" s="2185"/>
      <c r="E7" s="2185"/>
      <c r="F7" s="289"/>
      <c r="G7" s="290" t="s">
        <v>525</v>
      </c>
      <c r="H7" s="97" t="str">
        <f>+PRESUPUESTO!C27</f>
        <v>m</v>
      </c>
    </row>
    <row r="8" spans="1:9">
      <c r="A8" s="97" t="str">
        <f>+PRESUPUESTO!A27</f>
        <v>1.2.3</v>
      </c>
      <c r="B8" s="2256" t="str">
        <f>+PRESUPUESTO!B27</f>
        <v>Suministro tubería de alcantarillado PVC ø 315 mm (12")</v>
      </c>
      <c r="C8" s="2257"/>
      <c r="D8" s="2257"/>
      <c r="E8" s="225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966</v>
      </c>
      <c r="B13" s="305" t="str">
        <f t="shared" ref="B13:B18" si="0">IF(A13="","",VLOOKUP(A13,EQUI,2,FALSE))</f>
        <v>Herramienta Menor (5% de la mano de obra).</v>
      </c>
      <c r="C13" s="306"/>
      <c r="D13" s="306"/>
      <c r="E13" s="276" t="str">
        <f t="shared" ref="E13:E18" si="1">IF(A13="","",VLOOKUP(A13,EQUI,3,FALSE))</f>
        <v>%</v>
      </c>
      <c r="F13" s="433">
        <f>IF(A13="","",VLOOKUP(A13,EQUI,4,FALSE))</f>
        <v>0.05</v>
      </c>
      <c r="G13" s="307">
        <f>ROUND(F13*H50,0)</f>
        <v>0</v>
      </c>
      <c r="H13" s="308">
        <f>+G13</f>
        <v>0</v>
      </c>
      <c r="I13" s="309"/>
    </row>
    <row r="14" spans="1:9">
      <c r="A14" s="536"/>
      <c r="B14" s="305" t="str">
        <f t="shared" si="0"/>
        <v/>
      </c>
      <c r="C14" s="306"/>
      <c r="D14" s="306"/>
      <c r="E14" s="276" t="str">
        <f t="shared" si="1"/>
        <v/>
      </c>
      <c r="F14" s="405"/>
      <c r="G14" s="310" t="str">
        <f>IF(A14="","",VLOOKUP(A14,EQUI,4,FALSE))</f>
        <v/>
      </c>
      <c r="H14" s="311" t="str">
        <f>IF(A14="","",ROUND((G14/F14),0))</f>
        <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0</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t="s">
        <v>1735</v>
      </c>
      <c r="B23" s="353" t="str">
        <f>IF(A23="","",VLOOKUP(A23,MAT,2,FALSE))</f>
        <v xml:space="preserve">Tubería Corrugada Alcantarillado RS8 de 315 mm </v>
      </c>
      <c r="C23" s="305"/>
      <c r="D23" s="306"/>
      <c r="E23" s="276" t="str">
        <f>IF(A23="","",VLOOKUP(A23,MAT,3,FALSE))</f>
        <v>m.</v>
      </c>
      <c r="F23" s="405">
        <v>1.03</v>
      </c>
      <c r="G23" s="310">
        <f>IF(A23="","",VLOOKUP(A23,MAT,5,FALSE))</f>
        <v>157926.33333333334</v>
      </c>
      <c r="H23" s="311">
        <f>IF(A23="","",ROUND((G23*F23),0))</f>
        <v>162664</v>
      </c>
    </row>
    <row r="24" spans="1:8">
      <c r="A24" s="534"/>
      <c r="B24" s="353" t="str">
        <f>IF(A24="","",VLOOKUP(A24,MAT,2,FALSE))</f>
        <v/>
      </c>
      <c r="C24" s="305"/>
      <c r="D24" s="306"/>
      <c r="E24" s="276" t="str">
        <f>IF(A24="","",VLOOKUP(A24,MAT,3,FALSE))</f>
        <v/>
      </c>
      <c r="F24" s="405">
        <v>7.0000000000000007E-2</v>
      </c>
      <c r="G24" s="310" t="str">
        <f>IF(A24="","",VLOOKUP(A24,MAT,5,FALSE))</f>
        <v/>
      </c>
      <c r="H24" s="311" t="str">
        <f>IF(A24="","",ROUND((G24*F24),0))</f>
        <v/>
      </c>
    </row>
    <row r="25" spans="1:8">
      <c r="A25" s="534"/>
      <c r="B25" s="353" t="str">
        <f>IF(A25="","",VLOOKUP(A25,MAT,2,FALSE))</f>
        <v/>
      </c>
      <c r="C25" s="305"/>
      <c r="D25" s="306"/>
      <c r="E25" s="276" t="str">
        <f>IF(A25="","",VLOOKUP(A25,MAT,3,FALSE))</f>
        <v/>
      </c>
      <c r="F25" s="405">
        <v>2.8000000000000001E-2</v>
      </c>
      <c r="G25" s="310" t="str">
        <f>IF(A25="","",VLOOKUP(A25,MAT,5,FALSE))</f>
        <v/>
      </c>
      <c r="H25" s="311" t="str">
        <f>IF(A25="","",ROUND((G25*F25),0))</f>
        <v/>
      </c>
    </row>
    <row r="26" spans="1:8">
      <c r="A26" s="534"/>
      <c r="B26" s="305" t="str">
        <f t="shared" ref="B26:B32" si="2">IF(A26="","",VLOOKUP(A26,MAT,2,FALSE))</f>
        <v/>
      </c>
      <c r="C26" s="305"/>
      <c r="D26" s="306"/>
      <c r="E26" s="276" t="str">
        <f t="shared" ref="E26:E32" si="3">IF(A26="","",VLOOKUP(A26,MAT,3,FALSE))</f>
        <v/>
      </c>
      <c r="F26" s="405"/>
      <c r="G26" s="310" t="str">
        <f t="shared" ref="G26:G32" si="4">IF(A26="","",VLOOKUP(A26,MAT,5,FALSE))</f>
        <v/>
      </c>
      <c r="H26" s="311" t="str">
        <f t="shared" ref="H26:H32" si="5">IF(A26="","",ROUND((G26*F26),0))</f>
        <v/>
      </c>
    </row>
    <row r="27" spans="1:8">
      <c r="A27" s="534"/>
      <c r="B27" s="305" t="str">
        <f t="shared" si="2"/>
        <v/>
      </c>
      <c r="C27" s="305"/>
      <c r="D27" s="306"/>
      <c r="E27" s="276" t="str">
        <f t="shared" si="3"/>
        <v/>
      </c>
      <c r="F27" s="405"/>
      <c r="G27" s="310" t="str">
        <f t="shared" si="4"/>
        <v/>
      </c>
      <c r="H27" s="311" t="str">
        <f t="shared" si="5"/>
        <v/>
      </c>
    </row>
    <row r="28" spans="1:8">
      <c r="A28" s="534"/>
      <c r="B28" s="305" t="str">
        <f t="shared" si="2"/>
        <v/>
      </c>
      <c r="C28" s="305"/>
      <c r="D28" s="306"/>
      <c r="E28" s="276" t="str">
        <f t="shared" si="3"/>
        <v/>
      </c>
      <c r="F28" s="405"/>
      <c r="G28" s="310" t="str">
        <f t="shared" si="4"/>
        <v/>
      </c>
      <c r="H28" s="311" t="str">
        <f t="shared" si="5"/>
        <v/>
      </c>
    </row>
    <row r="29" spans="1:8">
      <c r="A29" s="534"/>
      <c r="B29" s="305" t="str">
        <f t="shared" si="2"/>
        <v/>
      </c>
      <c r="C29" s="305"/>
      <c r="D29" s="306"/>
      <c r="E29" s="276" t="str">
        <f t="shared" si="3"/>
        <v/>
      </c>
      <c r="F29" s="405"/>
      <c r="G29" s="310" t="str">
        <f t="shared" si="4"/>
        <v/>
      </c>
      <c r="H29" s="311" t="str">
        <f t="shared" si="5"/>
        <v/>
      </c>
    </row>
    <row r="30" spans="1:8">
      <c r="A30" s="534"/>
      <c r="B30" s="305" t="str">
        <f t="shared" si="2"/>
        <v/>
      </c>
      <c r="C30" s="305"/>
      <c r="D30" s="306"/>
      <c r="E30" s="276" t="str">
        <f t="shared" si="3"/>
        <v/>
      </c>
      <c r="F30" s="405"/>
      <c r="G30" s="310" t="str">
        <f t="shared" si="4"/>
        <v/>
      </c>
      <c r="H30" s="311" t="str">
        <f t="shared" si="5"/>
        <v/>
      </c>
    </row>
    <row r="31" spans="1:8">
      <c r="A31" s="534"/>
      <c r="B31" s="305" t="str">
        <f t="shared" si="2"/>
        <v/>
      </c>
      <c r="C31" s="305"/>
      <c r="D31" s="306"/>
      <c r="E31" s="276" t="str">
        <f t="shared" si="3"/>
        <v/>
      </c>
      <c r="F31" s="405"/>
      <c r="G31" s="310" t="str">
        <f t="shared" si="4"/>
        <v/>
      </c>
      <c r="H31" s="311" t="str">
        <f t="shared" si="5"/>
        <v/>
      </c>
    </row>
    <row r="32" spans="1:8" ht="13.5" thickBot="1">
      <c r="A32" s="535"/>
      <c r="B32" s="326" t="str">
        <f t="shared" si="2"/>
        <v/>
      </c>
      <c r="C32" s="314"/>
      <c r="D32" s="314"/>
      <c r="E32" s="315" t="str">
        <f t="shared" si="3"/>
        <v/>
      </c>
      <c r="F32" s="406"/>
      <c r="G32" s="327" t="str">
        <f t="shared" si="4"/>
        <v/>
      </c>
      <c r="H32" s="311" t="str">
        <f t="shared" si="5"/>
        <v/>
      </c>
    </row>
    <row r="33" spans="1:8" ht="13.5" thickBot="1">
      <c r="A33" s="285"/>
      <c r="B33" s="285"/>
      <c r="C33" s="285"/>
      <c r="D33" s="285"/>
      <c r="E33" s="286"/>
      <c r="F33" s="285"/>
      <c r="G33" s="210" t="s">
        <v>529</v>
      </c>
      <c r="H33" s="328">
        <f>ROUND(SUM(H23:H32),0)</f>
        <v>162664</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546" t="str">
        <f>A23</f>
        <v>TA12</v>
      </c>
      <c r="B37" s="305" t="str">
        <f>IF(A37="","",VLOOKUP(A37,MAT,2,FALSE))</f>
        <v xml:space="preserve">Tubería Corrugada Alcantarillado RS8 de 315 mm </v>
      </c>
      <c r="C37" s="333"/>
      <c r="D37" s="409" t="str">
        <f>IF(A37="","",VLOOKUP(A37,MAT,3,FALSE))</f>
        <v>m.</v>
      </c>
      <c r="E37" s="419">
        <v>160</v>
      </c>
      <c r="F37" s="413">
        <f>IF(A37="","",VLOOKUP(A37,$A$23:$H$32,6,FALSE))</f>
        <v>1.03</v>
      </c>
      <c r="G37" s="334">
        <f>IF(A37="","",VLOOKUP(A37,MAT,7,FALSE))</f>
        <v>15</v>
      </c>
      <c r="H37" s="311">
        <f>(ROUND((G37*F37*E37),0))</f>
        <v>2472</v>
      </c>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t="str">
        <f>IF(A39="","",ROUND((G39*F39*E39),0))</f>
        <v/>
      </c>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2472</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c r="B46" s="2192" t="str">
        <f>IF(A46="","",VLOOKUP(A46,MO,2,FALSE))</f>
        <v/>
      </c>
      <c r="C46" s="2193"/>
      <c r="D46" s="2194"/>
      <c r="E46" s="538" t="str">
        <f>IF(A46="","",VLOOKUP(A46,MO,13,FALSE))</f>
        <v/>
      </c>
      <c r="F46" s="544">
        <v>1.9</v>
      </c>
      <c r="G46" s="540" t="str">
        <f>IF(A46="","",VLOOKUP(A46,MO,15,FALSE))</f>
        <v/>
      </c>
      <c r="H46" s="542" t="str">
        <f>IF(A46="","",ROUND((G46/F46),0))</f>
        <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0</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165136</v>
      </c>
    </row>
    <row r="53" spans="1:8">
      <c r="A53" s="285"/>
      <c r="B53" s="285"/>
      <c r="C53" s="285"/>
      <c r="D53" s="285"/>
      <c r="E53" s="346"/>
      <c r="F53" s="347"/>
      <c r="G53" s="347"/>
      <c r="H53" s="349"/>
    </row>
    <row r="54" spans="1:8">
      <c r="A54" s="285"/>
      <c r="B54" s="285"/>
      <c r="C54" s="285"/>
      <c r="D54" s="285"/>
      <c r="E54" s="346"/>
      <c r="F54" s="347"/>
      <c r="G54" s="347"/>
      <c r="H54" s="349"/>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ht="15">
      <c r="A59" s="1243" t="str">
        <f>+[14]PRESUPUESTO!$A$113</f>
        <v>__________________________________________</v>
      </c>
      <c r="B59" s="1243"/>
      <c r="C59" s="1244"/>
    </row>
    <row r="60" spans="1:8" ht="15.75">
      <c r="A60" s="1245" t="str">
        <f>+[14]PRESUPUESTO!$A$114</f>
        <v>Ing. JHON FREDY GARCIA MENDEZ</v>
      </c>
      <c r="B60" s="1243"/>
      <c r="C60" s="1244"/>
    </row>
    <row r="61" spans="1:8" ht="15.75">
      <c r="A61" s="1246" t="str">
        <f>+[14]PRESUPUESTO!$A$115</f>
        <v>M.P.  70268-326294 TLM.</v>
      </c>
      <c r="B61" s="1243"/>
      <c r="C61" s="1244"/>
    </row>
    <row r="62" spans="1:8" ht="15.75">
      <c r="A62" s="1246" t="str">
        <f>+[14]PRESUPUESTO!$A$116</f>
        <v>CONSULTOR</v>
      </c>
      <c r="B62" s="1243"/>
      <c r="C62" s="1244"/>
    </row>
  </sheetData>
  <mergeCells count="15">
    <mergeCell ref="B47:D47"/>
    <mergeCell ref="B48:D48"/>
    <mergeCell ref="B49:D49"/>
    <mergeCell ref="B6:D6"/>
    <mergeCell ref="B7:E7"/>
    <mergeCell ref="B8:E8"/>
    <mergeCell ref="B36:C36"/>
    <mergeCell ref="B45:D45"/>
    <mergeCell ref="B46:D46"/>
    <mergeCell ref="D2:E4"/>
    <mergeCell ref="F2:H2"/>
    <mergeCell ref="F3:H3"/>
    <mergeCell ref="F4:H4"/>
    <mergeCell ref="A5:E5"/>
    <mergeCell ref="F5:H5"/>
  </mergeCells>
  <pageMargins left="0.75" right="0.75" top="1" bottom="1" header="0" footer="0"/>
  <pageSetup scale="70" orientation="portrait" r:id="rId1"/>
  <headerFooter alignWithMargins="0"/>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tabColor theme="6" tint="0.79998168889431442"/>
  </sheetPr>
  <dimension ref="A1:I62"/>
  <sheetViews>
    <sheetView view="pageBreakPreview" topLeftCell="A28" zoomScale="90" zoomScaleNormal="100" zoomScaleSheetLayoutView="90" workbookViewId="0">
      <selection activeCell="E53" sqref="E53:H54"/>
    </sheetView>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4.570312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f>+PRESUPUESTO!A24</f>
        <v>1.2</v>
      </c>
      <c r="B7" s="2185" t="str">
        <f>+PRESUPUESTO!B24</f>
        <v>SUMINISTRO DE TUBERÍAS DE PVC</v>
      </c>
      <c r="C7" s="2185"/>
      <c r="D7" s="2185"/>
      <c r="E7" s="2185"/>
      <c r="F7" s="289"/>
      <c r="G7" s="290" t="s">
        <v>525</v>
      </c>
      <c r="H7" s="97" t="str">
        <f>+PRESUPUESTO!C28</f>
        <v>m</v>
      </c>
    </row>
    <row r="8" spans="1:9">
      <c r="A8" s="97" t="str">
        <f>+PRESUPUESTO!A28</f>
        <v>1.2.4</v>
      </c>
      <c r="B8" s="2258" t="str">
        <f>+PRESUPUESTO!B28</f>
        <v>Suministro tubería de alcantarillado PVC ø 355 mm (14")</v>
      </c>
      <c r="C8" s="2257"/>
      <c r="D8" s="2257"/>
      <c r="E8" s="225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966</v>
      </c>
      <c r="B13" s="305" t="str">
        <f t="shared" ref="B13:B18" si="0">IF(A13="","",VLOOKUP(A13,EQUI,2,FALSE))</f>
        <v>Herramienta Menor (5% de la mano de obra).</v>
      </c>
      <c r="C13" s="306"/>
      <c r="D13" s="306"/>
      <c r="E13" s="276" t="str">
        <f t="shared" ref="E13:E18" si="1">IF(A13="","",VLOOKUP(A13,EQUI,3,FALSE))</f>
        <v>%</v>
      </c>
      <c r="F13" s="433">
        <f>IF(A13="","",VLOOKUP(A13,EQUI,4,FALSE))</f>
        <v>0.05</v>
      </c>
      <c r="G13" s="307">
        <f>ROUND(F13*H50,0)</f>
        <v>0</v>
      </c>
      <c r="H13" s="308">
        <f>+G13</f>
        <v>0</v>
      </c>
      <c r="I13" s="309"/>
    </row>
    <row r="14" spans="1:9">
      <c r="A14" s="536"/>
      <c r="B14" s="305" t="str">
        <f t="shared" si="0"/>
        <v/>
      </c>
      <c r="C14" s="306"/>
      <c r="D14" s="306"/>
      <c r="E14" s="276" t="str">
        <f t="shared" si="1"/>
        <v/>
      </c>
      <c r="F14" s="405"/>
      <c r="G14" s="310" t="str">
        <f>IF(A14="","",VLOOKUP(A14,EQUI,4,FALSE))</f>
        <v/>
      </c>
      <c r="H14" s="311" t="str">
        <f>IF(A14="","",ROUND((G14/F14),0))</f>
        <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0</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t="s">
        <v>1736</v>
      </c>
      <c r="B23" s="353" t="str">
        <f>IF(A23="","",VLOOKUP(A23,MAT,2,FALSE))</f>
        <v xml:space="preserve">Tubería Corrugada Alcantarillado RS8 de 355 mm </v>
      </c>
      <c r="C23" s="305"/>
      <c r="D23" s="306"/>
      <c r="E23" s="276" t="str">
        <f>IF(A23="","",VLOOKUP(A23,MAT,3,FALSE))</f>
        <v>m.</v>
      </c>
      <c r="F23" s="405">
        <v>1.03</v>
      </c>
      <c r="G23" s="310">
        <f>IF(A23="","",VLOOKUP(A23,MAT,5,FALSE))</f>
        <v>236673.66666666666</v>
      </c>
      <c r="H23" s="311">
        <f>IF(A23="","",ROUND((G23*F23),0))</f>
        <v>243774</v>
      </c>
    </row>
    <row r="24" spans="1:8">
      <c r="A24" s="534"/>
      <c r="B24" s="353" t="str">
        <f>IF(A24="","",VLOOKUP(A24,MAT,2,FALSE))</f>
        <v/>
      </c>
      <c r="C24" s="305"/>
      <c r="D24" s="306"/>
      <c r="E24" s="276" t="str">
        <f>IF(A24="","",VLOOKUP(A24,MAT,3,FALSE))</f>
        <v/>
      </c>
      <c r="F24" s="405"/>
      <c r="G24" s="310" t="str">
        <f>IF(A24="","",VLOOKUP(A24,MAT,5,FALSE))</f>
        <v/>
      </c>
      <c r="H24" s="311" t="str">
        <f>IF(A24="","",ROUND((G24*F24),0))</f>
        <v/>
      </c>
    </row>
    <row r="25" spans="1:8">
      <c r="A25" s="534"/>
      <c r="B25" s="353" t="str">
        <f>IF(A25="","",VLOOKUP(A25,MAT,2,FALSE))</f>
        <v/>
      </c>
      <c r="C25" s="305"/>
      <c r="D25" s="306"/>
      <c r="E25" s="276" t="str">
        <f>IF(A25="","",VLOOKUP(A25,MAT,3,FALSE))</f>
        <v/>
      </c>
      <c r="F25" s="405"/>
      <c r="G25" s="310" t="str">
        <f>IF(A25="","",VLOOKUP(A25,MAT,5,FALSE))</f>
        <v/>
      </c>
      <c r="H25" s="311" t="str">
        <f>IF(A25="","",ROUND((G25*F25),0))</f>
        <v/>
      </c>
    </row>
    <row r="26" spans="1:8">
      <c r="A26" s="534"/>
      <c r="B26" s="305" t="str">
        <f t="shared" ref="B26:B32" si="2">IF(A26="","",VLOOKUP(A26,MAT,2,FALSE))</f>
        <v/>
      </c>
      <c r="C26" s="305"/>
      <c r="D26" s="306"/>
      <c r="E26" s="276" t="str">
        <f t="shared" ref="E26:E32" si="3">IF(A26="","",VLOOKUP(A26,MAT,3,FALSE))</f>
        <v/>
      </c>
      <c r="F26" s="405"/>
      <c r="G26" s="310" t="str">
        <f t="shared" ref="G26:G32" si="4">IF(A26="","",VLOOKUP(A26,MAT,5,FALSE))</f>
        <v/>
      </c>
      <c r="H26" s="311" t="str">
        <f t="shared" ref="H26:H32" si="5">IF(A26="","",ROUND((G26*F26),0))</f>
        <v/>
      </c>
    </row>
    <row r="27" spans="1:8">
      <c r="A27" s="534"/>
      <c r="B27" s="305" t="str">
        <f t="shared" si="2"/>
        <v/>
      </c>
      <c r="C27" s="305"/>
      <c r="D27" s="306"/>
      <c r="E27" s="276" t="str">
        <f t="shared" si="3"/>
        <v/>
      </c>
      <c r="F27" s="405"/>
      <c r="G27" s="310" t="str">
        <f t="shared" si="4"/>
        <v/>
      </c>
      <c r="H27" s="311" t="str">
        <f t="shared" si="5"/>
        <v/>
      </c>
    </row>
    <row r="28" spans="1:8">
      <c r="A28" s="534"/>
      <c r="B28" s="305" t="str">
        <f t="shared" si="2"/>
        <v/>
      </c>
      <c r="C28" s="305"/>
      <c r="D28" s="306"/>
      <c r="E28" s="276" t="str">
        <f t="shared" si="3"/>
        <v/>
      </c>
      <c r="F28" s="405"/>
      <c r="G28" s="310" t="str">
        <f t="shared" si="4"/>
        <v/>
      </c>
      <c r="H28" s="311" t="str">
        <f t="shared" si="5"/>
        <v/>
      </c>
    </row>
    <row r="29" spans="1:8">
      <c r="A29" s="534"/>
      <c r="B29" s="305" t="str">
        <f t="shared" si="2"/>
        <v/>
      </c>
      <c r="C29" s="305"/>
      <c r="D29" s="306"/>
      <c r="E29" s="276" t="str">
        <f t="shared" si="3"/>
        <v/>
      </c>
      <c r="F29" s="405"/>
      <c r="G29" s="310" t="str">
        <f t="shared" si="4"/>
        <v/>
      </c>
      <c r="H29" s="311" t="str">
        <f t="shared" si="5"/>
        <v/>
      </c>
    </row>
    <row r="30" spans="1:8">
      <c r="A30" s="534"/>
      <c r="B30" s="305" t="str">
        <f t="shared" si="2"/>
        <v/>
      </c>
      <c r="C30" s="305"/>
      <c r="D30" s="306"/>
      <c r="E30" s="276" t="str">
        <f t="shared" si="3"/>
        <v/>
      </c>
      <c r="F30" s="405"/>
      <c r="G30" s="310" t="str">
        <f t="shared" si="4"/>
        <v/>
      </c>
      <c r="H30" s="311" t="str">
        <f t="shared" si="5"/>
        <v/>
      </c>
    </row>
    <row r="31" spans="1:8">
      <c r="A31" s="534"/>
      <c r="B31" s="305" t="str">
        <f t="shared" si="2"/>
        <v/>
      </c>
      <c r="C31" s="305"/>
      <c r="D31" s="306"/>
      <c r="E31" s="276" t="str">
        <f t="shared" si="3"/>
        <v/>
      </c>
      <c r="F31" s="405"/>
      <c r="G31" s="310" t="str">
        <f t="shared" si="4"/>
        <v/>
      </c>
      <c r="H31" s="311" t="str">
        <f t="shared" si="5"/>
        <v/>
      </c>
    </row>
    <row r="32" spans="1:8" ht="13.5" thickBot="1">
      <c r="A32" s="535"/>
      <c r="B32" s="326" t="str">
        <f t="shared" si="2"/>
        <v/>
      </c>
      <c r="C32" s="314"/>
      <c r="D32" s="314"/>
      <c r="E32" s="315" t="str">
        <f t="shared" si="3"/>
        <v/>
      </c>
      <c r="F32" s="406"/>
      <c r="G32" s="327" t="str">
        <f t="shared" si="4"/>
        <v/>
      </c>
      <c r="H32" s="311" t="str">
        <f t="shared" si="5"/>
        <v/>
      </c>
    </row>
    <row r="33" spans="1:8" ht="13.5" thickBot="1">
      <c r="A33" s="285"/>
      <c r="B33" s="285"/>
      <c r="C33" s="285"/>
      <c r="D33" s="285"/>
      <c r="E33" s="286"/>
      <c r="F33" s="285"/>
      <c r="G33" s="210" t="s">
        <v>529</v>
      </c>
      <c r="H33" s="328">
        <f>ROUND(SUM(H23:H32),0)</f>
        <v>243774</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546" t="str">
        <f>A23</f>
        <v>TA14</v>
      </c>
      <c r="B37" s="305" t="str">
        <f>IF(A37="","",VLOOKUP(A37,MAT,2,FALSE))</f>
        <v xml:space="preserve">Tubería Corrugada Alcantarillado RS8 de 355 mm </v>
      </c>
      <c r="C37" s="333"/>
      <c r="D37" s="409" t="str">
        <f>IF(A37="","",VLOOKUP(A37,MAT,3,FALSE))</f>
        <v>m.</v>
      </c>
      <c r="E37" s="419">
        <v>160</v>
      </c>
      <c r="F37" s="413">
        <f>IF(A37="","",VLOOKUP(A37,$A$23:$H$32,6,FALSE))</f>
        <v>1.03</v>
      </c>
      <c r="G37" s="334">
        <f>IF(A37="","",VLOOKUP(A37,MAT,7,FALSE))</f>
        <v>15</v>
      </c>
      <c r="H37" s="311">
        <f>(ROUND((G37*F37*E37),0))</f>
        <v>2472</v>
      </c>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t="str">
        <f>IF(A39="","",ROUND((G39*F39*E39),0))</f>
        <v/>
      </c>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2472</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c r="B46" s="2192" t="str">
        <f>IF(A46="","",VLOOKUP(A46,MO,2,FALSE))</f>
        <v/>
      </c>
      <c r="C46" s="2193"/>
      <c r="D46" s="2194"/>
      <c r="E46" s="538" t="str">
        <f>IF(A46="","",VLOOKUP(A46,MO,13,FALSE))</f>
        <v/>
      </c>
      <c r="F46" s="544"/>
      <c r="G46" s="540" t="str">
        <f>IF(A46="","",VLOOKUP(A46,MO,15,FALSE))</f>
        <v/>
      </c>
      <c r="H46" s="542" t="str">
        <f>IF(A46="","",ROUND((G46/F46),0))</f>
        <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0</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246246</v>
      </c>
    </row>
    <row r="53" spans="1:8">
      <c r="A53" s="285"/>
      <c r="B53" s="285"/>
      <c r="C53" s="285"/>
      <c r="D53" s="285"/>
      <c r="E53" s="346"/>
      <c r="F53" s="347"/>
      <c r="G53" s="347"/>
      <c r="H53" s="349"/>
    </row>
    <row r="54" spans="1:8">
      <c r="A54" s="285"/>
      <c r="B54" s="285"/>
      <c r="C54" s="285"/>
      <c r="D54" s="285"/>
      <c r="E54" s="346"/>
      <c r="F54" s="347"/>
      <c r="G54" s="347"/>
      <c r="H54" s="349"/>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ht="15">
      <c r="A59" s="1243" t="str">
        <f>+[14]PRESUPUESTO!$A$113</f>
        <v>__________________________________________</v>
      </c>
      <c r="B59" s="1243"/>
      <c r="C59" s="1244"/>
    </row>
    <row r="60" spans="1:8" ht="15.75">
      <c r="A60" s="1245" t="str">
        <f>+[14]PRESUPUESTO!$A$114</f>
        <v>Ing. JHON FREDY GARCIA MENDEZ</v>
      </c>
      <c r="B60" s="1243"/>
      <c r="C60" s="1244"/>
    </row>
    <row r="61" spans="1:8" ht="15.75">
      <c r="A61" s="1246" t="str">
        <f>+[14]PRESUPUESTO!$A$115</f>
        <v>M.P.  70268-326294 TLM.</v>
      </c>
      <c r="B61" s="1243"/>
      <c r="C61" s="1244"/>
    </row>
    <row r="62" spans="1:8" ht="15.75">
      <c r="A62" s="1246" t="str">
        <f>+[14]PRESUPUESTO!$A$116</f>
        <v>CONSULTOR</v>
      </c>
      <c r="B62" s="1243"/>
      <c r="C62" s="1244"/>
    </row>
  </sheetData>
  <mergeCells count="15">
    <mergeCell ref="B47:D47"/>
    <mergeCell ref="B48:D48"/>
    <mergeCell ref="B49:D49"/>
    <mergeCell ref="B6:D6"/>
    <mergeCell ref="B7:E7"/>
    <mergeCell ref="B8:E8"/>
    <mergeCell ref="B36:C36"/>
    <mergeCell ref="B45:D45"/>
    <mergeCell ref="B46:D46"/>
    <mergeCell ref="D2:E4"/>
    <mergeCell ref="F2:H2"/>
    <mergeCell ref="F3:H3"/>
    <mergeCell ref="F4:H4"/>
    <mergeCell ref="A5:E5"/>
    <mergeCell ref="F5:H5"/>
  </mergeCells>
  <pageMargins left="0.75" right="0.75" top="1" bottom="1" header="0" footer="0"/>
  <pageSetup scale="70" orientation="portrait" r:id="rId1"/>
  <headerFooter alignWithMargins="0"/>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Hoja29">
    <tabColor theme="6" tint="0.79998168889431442"/>
  </sheetPr>
  <dimension ref="A1:I62"/>
  <sheetViews>
    <sheetView view="pageBreakPreview" topLeftCell="A33" zoomScale="90" zoomScaleNormal="100" zoomScaleSheetLayoutView="90" workbookViewId="0">
      <selection activeCell="H63" sqref="H63"/>
    </sheetView>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4.570312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f>PRESUPUESTO!A31</f>
        <v>1.3</v>
      </c>
      <c r="B7" s="2185" t="str">
        <f>PRESUPUESTO!B31</f>
        <v>INSTALACIÓN DE TUBERÍA DE ALCANTARILLADO</v>
      </c>
      <c r="C7" s="2185"/>
      <c r="D7" s="2185"/>
      <c r="E7" s="2185"/>
      <c r="F7" s="289"/>
      <c r="G7" s="290" t="s">
        <v>525</v>
      </c>
      <c r="H7" s="97" t="str">
        <f>+PRESUPUESTO!C32</f>
        <v>m</v>
      </c>
    </row>
    <row r="8" spans="1:9" ht="63.75" customHeight="1">
      <c r="A8" s="97" t="str">
        <f>+PRESUPUESTO!A32</f>
        <v>1.3.1</v>
      </c>
      <c r="B8" s="2256" t="str">
        <f>+PRESUPUESTO!B32</f>
        <v>Instalación de tubería de alcantarillado PVC ø 200 mm (8") y accesorios. Incluye: Nivelación, arreglo del fondo de la zanja, bajada y empalme del tubo, uso de herramienta y mano de obra, lubricante, y todo lo necesario para la correcta ejecución de la obra.</v>
      </c>
      <c r="C8" s="2257"/>
      <c r="D8" s="2257"/>
      <c r="E8" s="225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967</v>
      </c>
      <c r="B13" s="305" t="str">
        <f t="shared" ref="B13:B18" si="0">IF(A13="","",VLOOKUP(A13,EQUI,2,FALSE))</f>
        <v>Herramienta Menor (10% de la mano de obra).</v>
      </c>
      <c r="C13" s="306"/>
      <c r="D13" s="306"/>
      <c r="E13" s="276" t="str">
        <f t="shared" ref="E13:E18" si="1">IF(A13="","",VLOOKUP(A13,EQUI,3,FALSE))</f>
        <v>%</v>
      </c>
      <c r="F13" s="433">
        <f>IF(A13="","",VLOOKUP(A13,EQUI,4,FALSE))</f>
        <v>0.1</v>
      </c>
      <c r="G13" s="307">
        <f>ROUND(F13*H50,0)</f>
        <v>2163</v>
      </c>
      <c r="H13" s="308">
        <f>+G13</f>
        <v>2163</v>
      </c>
      <c r="I13" s="309"/>
    </row>
    <row r="14" spans="1:9">
      <c r="A14" s="536"/>
      <c r="B14" s="305" t="str">
        <f t="shared" si="0"/>
        <v/>
      </c>
      <c r="C14" s="306"/>
      <c r="D14" s="306"/>
      <c r="E14" s="276" t="str">
        <f t="shared" si="1"/>
        <v/>
      </c>
      <c r="F14" s="405"/>
      <c r="G14" s="310" t="str">
        <f>IF(A14="","",VLOOKUP(A14,EQUI,4,FALSE))</f>
        <v/>
      </c>
      <c r="H14" s="311" t="str">
        <f>IF(A14="","",ROUND((G14/F14),0))</f>
        <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2163</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c r="B23" s="353"/>
      <c r="C23" s="305"/>
      <c r="D23" s="306"/>
      <c r="E23" s="276"/>
      <c r="F23" s="405"/>
      <c r="G23" s="310"/>
      <c r="H23" s="311"/>
    </row>
    <row r="24" spans="1:8">
      <c r="A24" s="534" t="s">
        <v>1387</v>
      </c>
      <c r="B24" s="353" t="str">
        <f>IF(A24="","",VLOOKUP(A24,MAT,2,FALSE))</f>
        <v>Lubricante PVC x 500 gr.</v>
      </c>
      <c r="C24" s="305"/>
      <c r="D24" s="306"/>
      <c r="E24" s="276" t="str">
        <f>IF(A24="","",VLOOKUP(A24,MAT,3,FALSE))</f>
        <v>Lb.</v>
      </c>
      <c r="F24" s="585">
        <v>2.5000000000000001E-2</v>
      </c>
      <c r="G24" s="310">
        <f>IF(A24="","",VLOOKUP(A24,MAT,5,FALSE))</f>
        <v>34081</v>
      </c>
      <c r="H24" s="311">
        <f>IF(A24="","",ROUND((G24*F24),0))</f>
        <v>852</v>
      </c>
    </row>
    <row r="25" spans="1:8">
      <c r="A25" s="534" t="s">
        <v>1388</v>
      </c>
      <c r="B25" s="353" t="str">
        <f>IF(A25="","",VLOOKUP(A25,MAT,2,FALSE))</f>
        <v>Limpiador PVC x 1/4.</v>
      </c>
      <c r="C25" s="305"/>
      <c r="D25" s="306"/>
      <c r="E25" s="276" t="str">
        <f>IF(A25="","",VLOOKUP(A25,MAT,3,FALSE))</f>
        <v>1/4 Gal</v>
      </c>
      <c r="F25" s="585">
        <v>2.5000000000000001E-2</v>
      </c>
      <c r="G25" s="310">
        <f>IF(A25="","",VLOOKUP(A25,MAT,5,FALSE))</f>
        <v>72505</v>
      </c>
      <c r="H25" s="311">
        <f>IF(A25="","",ROUND((G25*F25),0))</f>
        <v>1813</v>
      </c>
    </row>
    <row r="26" spans="1:8">
      <c r="A26" s="534"/>
      <c r="B26" s="305" t="str">
        <f t="shared" ref="B26:B32" si="2">IF(A26="","",VLOOKUP(A26,MAT,2,FALSE))</f>
        <v/>
      </c>
      <c r="C26" s="305"/>
      <c r="D26" s="306"/>
      <c r="E26" s="276" t="str">
        <f t="shared" ref="E26:E32" si="3">IF(A26="","",VLOOKUP(A26,MAT,3,FALSE))</f>
        <v/>
      </c>
      <c r="F26" s="405"/>
      <c r="G26" s="310" t="str">
        <f t="shared" ref="G26:G32" si="4">IF(A26="","",VLOOKUP(A26,MAT,5,FALSE))</f>
        <v/>
      </c>
      <c r="H26" s="311" t="str">
        <f t="shared" ref="H26:H32" si="5">IF(A26="","",ROUND((G26*F26),0))</f>
        <v/>
      </c>
    </row>
    <row r="27" spans="1:8">
      <c r="A27" s="534"/>
      <c r="B27" s="305" t="str">
        <f t="shared" si="2"/>
        <v/>
      </c>
      <c r="C27" s="305"/>
      <c r="D27" s="306"/>
      <c r="E27" s="276" t="str">
        <f t="shared" si="3"/>
        <v/>
      </c>
      <c r="F27" s="405"/>
      <c r="G27" s="310" t="str">
        <f t="shared" si="4"/>
        <v/>
      </c>
      <c r="H27" s="311" t="str">
        <f t="shared" si="5"/>
        <v/>
      </c>
    </row>
    <row r="28" spans="1:8">
      <c r="A28" s="534"/>
      <c r="B28" s="305" t="str">
        <f t="shared" si="2"/>
        <v/>
      </c>
      <c r="C28" s="305"/>
      <c r="D28" s="306"/>
      <c r="E28" s="276" t="str">
        <f t="shared" si="3"/>
        <v/>
      </c>
      <c r="F28" s="405"/>
      <c r="G28" s="310" t="str">
        <f t="shared" si="4"/>
        <v/>
      </c>
      <c r="H28" s="311" t="str">
        <f t="shared" si="5"/>
        <v/>
      </c>
    </row>
    <row r="29" spans="1:8">
      <c r="A29" s="534"/>
      <c r="B29" s="305" t="str">
        <f t="shared" si="2"/>
        <v/>
      </c>
      <c r="C29" s="305"/>
      <c r="D29" s="306"/>
      <c r="E29" s="276" t="str">
        <f t="shared" si="3"/>
        <v/>
      </c>
      <c r="F29" s="405"/>
      <c r="G29" s="310" t="str">
        <f t="shared" si="4"/>
        <v/>
      </c>
      <c r="H29" s="311" t="str">
        <f t="shared" si="5"/>
        <v/>
      </c>
    </row>
    <row r="30" spans="1:8">
      <c r="A30" s="534"/>
      <c r="B30" s="305" t="str">
        <f t="shared" si="2"/>
        <v/>
      </c>
      <c r="C30" s="305"/>
      <c r="D30" s="306"/>
      <c r="E30" s="276" t="str">
        <f t="shared" si="3"/>
        <v/>
      </c>
      <c r="F30" s="405"/>
      <c r="G30" s="310" t="str">
        <f t="shared" si="4"/>
        <v/>
      </c>
      <c r="H30" s="311" t="str">
        <f t="shared" si="5"/>
        <v/>
      </c>
    </row>
    <row r="31" spans="1:8">
      <c r="A31" s="534"/>
      <c r="B31" s="305" t="str">
        <f t="shared" si="2"/>
        <v/>
      </c>
      <c r="C31" s="305"/>
      <c r="D31" s="306"/>
      <c r="E31" s="276" t="str">
        <f t="shared" si="3"/>
        <v/>
      </c>
      <c r="F31" s="405"/>
      <c r="G31" s="310" t="str">
        <f t="shared" si="4"/>
        <v/>
      </c>
      <c r="H31" s="311" t="str">
        <f t="shared" si="5"/>
        <v/>
      </c>
    </row>
    <row r="32" spans="1:8" ht="13.5" thickBot="1">
      <c r="A32" s="535"/>
      <c r="B32" s="326" t="str">
        <f t="shared" si="2"/>
        <v/>
      </c>
      <c r="C32" s="314"/>
      <c r="D32" s="314"/>
      <c r="E32" s="315" t="str">
        <f t="shared" si="3"/>
        <v/>
      </c>
      <c r="F32" s="406"/>
      <c r="G32" s="327" t="str">
        <f t="shared" si="4"/>
        <v/>
      </c>
      <c r="H32" s="311" t="str">
        <f t="shared" si="5"/>
        <v/>
      </c>
    </row>
    <row r="33" spans="1:8" ht="13.5" thickBot="1">
      <c r="A33" s="285"/>
      <c r="B33" s="285"/>
      <c r="C33" s="285"/>
      <c r="D33" s="285"/>
      <c r="E33" s="286"/>
      <c r="F33" s="285"/>
      <c r="G33" s="210" t="s">
        <v>529</v>
      </c>
      <c r="H33" s="328">
        <f>ROUND(SUM(H23:H32),0)</f>
        <v>2665</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546"/>
      <c r="B37" s="305"/>
      <c r="C37" s="333"/>
      <c r="D37" s="409"/>
      <c r="E37" s="419"/>
      <c r="F37" s="413"/>
      <c r="G37" s="334"/>
      <c r="H37" s="311"/>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t="str">
        <f>IF(A39="","",ROUND((G39*F39*E39),0))</f>
        <v/>
      </c>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0</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940</v>
      </c>
      <c r="B46" s="2192" t="str">
        <f>IF(A46="","",VLOOKUP(A46,MO,2,FALSE))</f>
        <v>Cuadrilla NN: Instalaciones hidrosanitarias. (1 Of.Insta.+ 2 Ayud.).</v>
      </c>
      <c r="C46" s="2193"/>
      <c r="D46" s="2194"/>
      <c r="E46" s="538" t="str">
        <f>IF(A46="","",VLOOKUP(A46,MO,13,FALSE))</f>
        <v>HC</v>
      </c>
      <c r="F46" s="544">
        <v>4.5</v>
      </c>
      <c r="G46" s="540">
        <f>IF(A46="","",VLOOKUP(A46,MO,15,FALSE))</f>
        <v>97342</v>
      </c>
      <c r="H46" s="542">
        <f>IF(A46="","",ROUND((G46/F46),0))</f>
        <v>21632</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21632</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26460</v>
      </c>
    </row>
    <row r="53" spans="1:8">
      <c r="A53" s="285"/>
      <c r="B53" s="285"/>
      <c r="C53" s="285"/>
      <c r="D53" s="285"/>
      <c r="E53" s="346" t="s">
        <v>2697</v>
      </c>
      <c r="F53" s="347"/>
      <c r="G53" s="347">
        <v>0.3</v>
      </c>
      <c r="H53" s="349">
        <f>H52*G53</f>
        <v>7938</v>
      </c>
    </row>
    <row r="54" spans="1:8">
      <c r="A54" s="285"/>
      <c r="B54" s="285"/>
      <c r="C54" s="285"/>
      <c r="D54" s="285"/>
      <c r="E54" s="346"/>
      <c r="F54" s="347"/>
      <c r="G54" s="347"/>
      <c r="H54" s="349">
        <f>SUM(H52:H53)</f>
        <v>34398</v>
      </c>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ht="15">
      <c r="A59" s="1243" t="str">
        <f>+[14]PRESUPUESTO!$A$113</f>
        <v>__________________________________________</v>
      </c>
      <c r="B59" s="1243"/>
      <c r="C59" s="1244"/>
    </row>
    <row r="60" spans="1:8" ht="15.75">
      <c r="A60" s="1245" t="str">
        <f>+[14]PRESUPUESTO!$A$114</f>
        <v>Ing. JHON FREDY GARCIA MENDEZ</v>
      </c>
      <c r="B60" s="1243"/>
      <c r="C60" s="1244"/>
    </row>
    <row r="61" spans="1:8" ht="15.75">
      <c r="A61" s="1246" t="str">
        <f>+[14]PRESUPUESTO!$A$115</f>
        <v>M.P.  70268-326294 TLM.</v>
      </c>
      <c r="B61" s="1243"/>
      <c r="C61" s="1244"/>
    </row>
    <row r="62" spans="1:8" ht="15.75">
      <c r="A62" s="1246" t="str">
        <f>+[14]PRESUPUESTO!$A$116</f>
        <v>CONSULTOR</v>
      </c>
      <c r="B62" s="1243"/>
      <c r="C62" s="1244"/>
    </row>
  </sheetData>
  <mergeCells count="15">
    <mergeCell ref="D2:E4"/>
    <mergeCell ref="F2:H2"/>
    <mergeCell ref="F3:H3"/>
    <mergeCell ref="F4:H4"/>
    <mergeCell ref="A5:E5"/>
    <mergeCell ref="F5:H5"/>
    <mergeCell ref="B47:D47"/>
    <mergeCell ref="B48:D48"/>
    <mergeCell ref="B49:D49"/>
    <mergeCell ref="B6:D6"/>
    <mergeCell ref="B7:E7"/>
    <mergeCell ref="B8:E8"/>
    <mergeCell ref="B36:C36"/>
    <mergeCell ref="B45:D45"/>
    <mergeCell ref="B46:D46"/>
  </mergeCells>
  <pageMargins left="0.75" right="0.75" top="1" bottom="1" header="0" footer="0"/>
  <pageSetup scale="70" orientation="portrait" r:id="rId1"/>
  <headerFooter alignWithMargins="0"/>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Hoja91">
    <tabColor theme="6" tint="0.79998168889431442"/>
  </sheetPr>
  <dimension ref="A1:I62"/>
  <sheetViews>
    <sheetView view="pageBreakPreview" topLeftCell="A37" zoomScaleNormal="100" zoomScaleSheetLayoutView="100" workbookViewId="0">
      <selection activeCell="E53" sqref="E53:H54"/>
    </sheetView>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4.570312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f>PRESUPUESTO!A31</f>
        <v>1.3</v>
      </c>
      <c r="B7" s="2185" t="str">
        <f>PRESUPUESTO!B31</f>
        <v>INSTALACIÓN DE TUBERÍA DE ALCANTARILLADO</v>
      </c>
      <c r="C7" s="2185"/>
      <c r="D7" s="2185"/>
      <c r="E7" s="2185"/>
      <c r="F7" s="289"/>
      <c r="G7" s="290" t="s">
        <v>525</v>
      </c>
      <c r="H7" s="97" t="str">
        <f>+PRESUPUESTO!C33</f>
        <v>m</v>
      </c>
    </row>
    <row r="8" spans="1:9" ht="66.75" customHeight="1">
      <c r="A8" s="97" t="str">
        <f>+PRESUPUESTO!A33</f>
        <v>1.3.2</v>
      </c>
      <c r="B8" s="2256" t="str">
        <f>+PRESUPUESTO!B33</f>
        <v>Instalación de tubería de alcantarillado PVC ø 250 mm (10") y accesorios. Incluye: Nivelación, arreglo del fondo de la zanja, bajada y empalme del tubo, uso de herramienta y mano de obra, lubricante,  y todo lo necesario para la correcta ejecución de la obra.</v>
      </c>
      <c r="C8" s="2257"/>
      <c r="D8" s="2257"/>
      <c r="E8" s="225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967</v>
      </c>
      <c r="B13" s="305" t="str">
        <f t="shared" ref="B13:B18" si="0">IF(A13="","",VLOOKUP(A13,EQUI,2,FALSE))</f>
        <v>Herramienta Menor (10% de la mano de obra).</v>
      </c>
      <c r="C13" s="306"/>
      <c r="D13" s="306"/>
      <c r="E13" s="276" t="str">
        <f t="shared" ref="E13:E18" si="1">IF(A13="","",VLOOKUP(A13,EQUI,3,FALSE))</f>
        <v>%</v>
      </c>
      <c r="F13" s="433">
        <f>IF(A13="","",VLOOKUP(A13,EQUI,4,FALSE))</f>
        <v>0.1</v>
      </c>
      <c r="G13" s="307">
        <f>ROUND(F13*H50,0)</f>
        <v>2562</v>
      </c>
      <c r="H13" s="308">
        <f>+G13</f>
        <v>2562</v>
      </c>
      <c r="I13" s="309"/>
    </row>
    <row r="14" spans="1:9">
      <c r="A14" s="536"/>
      <c r="B14" s="305" t="str">
        <f t="shared" si="0"/>
        <v/>
      </c>
      <c r="C14" s="306"/>
      <c r="D14" s="306"/>
      <c r="E14" s="276" t="str">
        <f t="shared" si="1"/>
        <v/>
      </c>
      <c r="F14" s="405"/>
      <c r="G14" s="310" t="str">
        <f>IF(A14="","",VLOOKUP(A14,EQUI,4,FALSE))</f>
        <v/>
      </c>
      <c r="H14" s="311" t="str">
        <f>IF(A14="","",ROUND((G14/F14),0))</f>
        <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2562</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c r="B23" s="353"/>
      <c r="C23" s="305"/>
      <c r="D23" s="306"/>
      <c r="E23" s="276"/>
      <c r="F23" s="405"/>
      <c r="G23" s="310"/>
      <c r="H23" s="311"/>
    </row>
    <row r="24" spans="1:8">
      <c r="A24" s="534" t="s">
        <v>1387</v>
      </c>
      <c r="B24" s="353" t="str">
        <f>IF(A24="","",VLOOKUP(A24,MAT,2,FALSE))</f>
        <v>Lubricante PVC x 500 gr.</v>
      </c>
      <c r="C24" s="305"/>
      <c r="D24" s="306"/>
      <c r="E24" s="276" t="str">
        <f>IF(A24="","",VLOOKUP(A24,MAT,3,FALSE))</f>
        <v>Lb.</v>
      </c>
      <c r="F24" s="585">
        <v>2.5000000000000001E-2</v>
      </c>
      <c r="G24" s="310">
        <f>IF(A24="","",VLOOKUP(A24,MAT,5,FALSE))</f>
        <v>34081</v>
      </c>
      <c r="H24" s="311">
        <f>IF(A24="","",ROUND((G24*F24),0))</f>
        <v>852</v>
      </c>
    </row>
    <row r="25" spans="1:8">
      <c r="A25" s="534" t="s">
        <v>1388</v>
      </c>
      <c r="B25" s="353" t="str">
        <f>IF(A25="","",VLOOKUP(A25,MAT,2,FALSE))</f>
        <v>Limpiador PVC x 1/4.</v>
      </c>
      <c r="C25" s="305"/>
      <c r="D25" s="306"/>
      <c r="E25" s="276" t="str">
        <f>IF(A25="","",VLOOKUP(A25,MAT,3,FALSE))</f>
        <v>1/4 Gal</v>
      </c>
      <c r="F25" s="585">
        <v>2.5000000000000001E-2</v>
      </c>
      <c r="G25" s="310">
        <f>IF(A25="","",VLOOKUP(A25,MAT,5,FALSE))</f>
        <v>72505</v>
      </c>
      <c r="H25" s="311">
        <f>IF(A25="","",ROUND((G25*F25),0))</f>
        <v>1813</v>
      </c>
    </row>
    <row r="26" spans="1:8">
      <c r="A26" s="534"/>
      <c r="B26" s="305" t="str">
        <f t="shared" ref="B26:B32" si="2">IF(A26="","",VLOOKUP(A26,MAT,2,FALSE))</f>
        <v/>
      </c>
      <c r="C26" s="305"/>
      <c r="D26" s="306"/>
      <c r="E26" s="276" t="str">
        <f t="shared" ref="E26:E32" si="3">IF(A26="","",VLOOKUP(A26,MAT,3,FALSE))</f>
        <v/>
      </c>
      <c r="F26" s="405"/>
      <c r="G26" s="310" t="str">
        <f t="shared" ref="G26:G32" si="4">IF(A26="","",VLOOKUP(A26,MAT,5,FALSE))</f>
        <v/>
      </c>
      <c r="H26" s="311" t="str">
        <f t="shared" ref="H26:H32" si="5">IF(A26="","",ROUND((G26*F26),0))</f>
        <v/>
      </c>
    </row>
    <row r="27" spans="1:8">
      <c r="A27" s="534"/>
      <c r="B27" s="305" t="str">
        <f t="shared" si="2"/>
        <v/>
      </c>
      <c r="C27" s="305"/>
      <c r="D27" s="306"/>
      <c r="E27" s="276" t="str">
        <f t="shared" si="3"/>
        <v/>
      </c>
      <c r="F27" s="405"/>
      <c r="G27" s="310" t="str">
        <f t="shared" si="4"/>
        <v/>
      </c>
      <c r="H27" s="311" t="str">
        <f t="shared" si="5"/>
        <v/>
      </c>
    </row>
    <row r="28" spans="1:8">
      <c r="A28" s="534"/>
      <c r="B28" s="305" t="str">
        <f t="shared" si="2"/>
        <v/>
      </c>
      <c r="C28" s="305"/>
      <c r="D28" s="306"/>
      <c r="E28" s="276" t="str">
        <f t="shared" si="3"/>
        <v/>
      </c>
      <c r="F28" s="405"/>
      <c r="G28" s="310" t="str">
        <f t="shared" si="4"/>
        <v/>
      </c>
      <c r="H28" s="311" t="str">
        <f t="shared" si="5"/>
        <v/>
      </c>
    </row>
    <row r="29" spans="1:8">
      <c r="A29" s="534"/>
      <c r="B29" s="305" t="str">
        <f t="shared" si="2"/>
        <v/>
      </c>
      <c r="C29" s="305"/>
      <c r="D29" s="306"/>
      <c r="E29" s="276" t="str">
        <f t="shared" si="3"/>
        <v/>
      </c>
      <c r="F29" s="405"/>
      <c r="G29" s="310" t="str">
        <f t="shared" si="4"/>
        <v/>
      </c>
      <c r="H29" s="311" t="str">
        <f t="shared" si="5"/>
        <v/>
      </c>
    </row>
    <row r="30" spans="1:8">
      <c r="A30" s="534"/>
      <c r="B30" s="305" t="str">
        <f t="shared" si="2"/>
        <v/>
      </c>
      <c r="C30" s="305"/>
      <c r="D30" s="306"/>
      <c r="E30" s="276" t="str">
        <f t="shared" si="3"/>
        <v/>
      </c>
      <c r="F30" s="405"/>
      <c r="G30" s="310" t="str">
        <f t="shared" si="4"/>
        <v/>
      </c>
      <c r="H30" s="311" t="str">
        <f t="shared" si="5"/>
        <v/>
      </c>
    </row>
    <row r="31" spans="1:8">
      <c r="A31" s="534"/>
      <c r="B31" s="305" t="str">
        <f t="shared" si="2"/>
        <v/>
      </c>
      <c r="C31" s="305"/>
      <c r="D31" s="306"/>
      <c r="E31" s="276" t="str">
        <f t="shared" si="3"/>
        <v/>
      </c>
      <c r="F31" s="405"/>
      <c r="G31" s="310" t="str">
        <f t="shared" si="4"/>
        <v/>
      </c>
      <c r="H31" s="311" t="str">
        <f t="shared" si="5"/>
        <v/>
      </c>
    </row>
    <row r="32" spans="1:8" ht="13.5" thickBot="1">
      <c r="A32" s="535"/>
      <c r="B32" s="326" t="str">
        <f t="shared" si="2"/>
        <v/>
      </c>
      <c r="C32" s="314"/>
      <c r="D32" s="314"/>
      <c r="E32" s="315" t="str">
        <f t="shared" si="3"/>
        <v/>
      </c>
      <c r="F32" s="406"/>
      <c r="G32" s="327" t="str">
        <f t="shared" si="4"/>
        <v/>
      </c>
      <c r="H32" s="311" t="str">
        <f t="shared" si="5"/>
        <v/>
      </c>
    </row>
    <row r="33" spans="1:8" ht="13.5" thickBot="1">
      <c r="A33" s="285"/>
      <c r="B33" s="285"/>
      <c r="C33" s="285"/>
      <c r="D33" s="285"/>
      <c r="E33" s="286"/>
      <c r="F33" s="285"/>
      <c r="G33" s="210" t="s">
        <v>529</v>
      </c>
      <c r="H33" s="328">
        <f>ROUND(SUM(H23:H32),0)</f>
        <v>2665</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546"/>
      <c r="B37" s="305"/>
      <c r="C37" s="333"/>
      <c r="D37" s="409"/>
      <c r="E37" s="419"/>
      <c r="F37" s="413"/>
      <c r="G37" s="334"/>
      <c r="H37" s="311"/>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t="str">
        <f>IF(A39="","",ROUND((G39*F39*E39),0))</f>
        <v/>
      </c>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0</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940</v>
      </c>
      <c r="B46" s="2192" t="str">
        <f>IF(A46="","",VLOOKUP(A46,MO,2,FALSE))</f>
        <v>Cuadrilla NN: Instalaciones hidrosanitarias. (1 Of.Insta.+ 2 Ayud.).</v>
      </c>
      <c r="C46" s="2193"/>
      <c r="D46" s="2194"/>
      <c r="E46" s="538" t="str">
        <f>IF(A46="","",VLOOKUP(A46,MO,13,FALSE))</f>
        <v>HC</v>
      </c>
      <c r="F46" s="544">
        <v>3.8</v>
      </c>
      <c r="G46" s="540">
        <f>IF(A46="","",VLOOKUP(A46,MO,15,FALSE))</f>
        <v>97342</v>
      </c>
      <c r="H46" s="542">
        <f>IF(A46="","",ROUND((G46/F46),0))</f>
        <v>25616</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25616</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30843</v>
      </c>
    </row>
    <row r="53" spans="1:8">
      <c r="A53" s="285"/>
      <c r="B53" s="285"/>
      <c r="C53" s="285"/>
      <c r="D53" s="285"/>
      <c r="E53" s="346" t="s">
        <v>2697</v>
      </c>
      <c r="F53" s="347"/>
      <c r="G53" s="347">
        <v>0.3</v>
      </c>
      <c r="H53" s="349">
        <f>H52*G53</f>
        <v>9252.9</v>
      </c>
    </row>
    <row r="54" spans="1:8">
      <c r="A54" s="285"/>
      <c r="B54" s="285"/>
      <c r="C54" s="285"/>
      <c r="D54" s="285"/>
      <c r="E54" s="346"/>
      <c r="F54" s="347"/>
      <c r="G54" s="347"/>
      <c r="H54" s="349">
        <f>SUM(H52:H53)</f>
        <v>40095.9</v>
      </c>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ht="15">
      <c r="A59" s="1243" t="str">
        <f>+[14]PRESUPUESTO!$A$113</f>
        <v>__________________________________________</v>
      </c>
      <c r="B59" s="1243"/>
      <c r="C59" s="1244"/>
    </row>
    <row r="60" spans="1:8" ht="15.75">
      <c r="A60" s="1245" t="str">
        <f>+[14]PRESUPUESTO!$A$114</f>
        <v>Ing. JHON FREDY GARCIA MENDEZ</v>
      </c>
      <c r="B60" s="1243"/>
      <c r="C60" s="1244"/>
    </row>
    <row r="61" spans="1:8" ht="15.75">
      <c r="A61" s="1246" t="str">
        <f>+[14]PRESUPUESTO!$A$115</f>
        <v>M.P.  70268-326294 TLM.</v>
      </c>
      <c r="B61" s="1243"/>
      <c r="C61" s="1244"/>
    </row>
    <row r="62" spans="1:8" ht="15.75">
      <c r="A62" s="1246" t="str">
        <f>+[14]PRESUPUESTO!$A$116</f>
        <v>CONSULTOR</v>
      </c>
      <c r="B62" s="1243"/>
      <c r="C62" s="1244"/>
    </row>
  </sheetData>
  <mergeCells count="15">
    <mergeCell ref="B47:D47"/>
    <mergeCell ref="B48:D48"/>
    <mergeCell ref="B49:D49"/>
    <mergeCell ref="B6:D6"/>
    <mergeCell ref="B7:E7"/>
    <mergeCell ref="B8:E8"/>
    <mergeCell ref="B36:C36"/>
    <mergeCell ref="B45:D45"/>
    <mergeCell ref="B46:D46"/>
    <mergeCell ref="D2:E4"/>
    <mergeCell ref="F2:H2"/>
    <mergeCell ref="F3:H3"/>
    <mergeCell ref="F4:H4"/>
    <mergeCell ref="A5:E5"/>
    <mergeCell ref="F5:H5"/>
  </mergeCells>
  <pageMargins left="0.75" right="0.75" top="1" bottom="1" header="0" footer="0"/>
  <pageSetup scale="70" orientation="portrait" r:id="rId1"/>
  <headerFooter alignWithMargins="0"/>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Hoja92">
    <tabColor theme="6" tint="0.79998168889431442"/>
  </sheetPr>
  <dimension ref="A1:I62"/>
  <sheetViews>
    <sheetView view="pageBreakPreview" topLeftCell="A32" zoomScaleNormal="100" zoomScaleSheetLayoutView="100" workbookViewId="0">
      <selection activeCell="E53" sqref="E53:H54"/>
    </sheetView>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4.570312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f>PRESUPUESTO!A31</f>
        <v>1.3</v>
      </c>
      <c r="B7" s="2185" t="str">
        <f>PRESUPUESTO!B31</f>
        <v>INSTALACIÓN DE TUBERÍA DE ALCANTARILLADO</v>
      </c>
      <c r="C7" s="2185"/>
      <c r="D7" s="2185"/>
      <c r="E7" s="2185"/>
      <c r="F7" s="289"/>
      <c r="G7" s="290" t="s">
        <v>525</v>
      </c>
      <c r="H7" s="97" t="str">
        <f>+PRESUPUESTO!C34</f>
        <v>m</v>
      </c>
    </row>
    <row r="8" spans="1:9" ht="63.75" customHeight="1">
      <c r="A8" s="97" t="str">
        <f>+PRESUPUESTO!A34</f>
        <v>1.3.3</v>
      </c>
      <c r="B8" s="2256" t="str">
        <f>+PRESUPUESTO!B34</f>
        <v>Instalación de tubería de alcantarillado PVC ø 315 mm (12") y accesorios. Incluye: Nivelación, arreglo del fondo de la zanja, bajada y empalme del tubo, uso de herramienta y mano de obra, lubricante,  y todo lo necesario para la correcta ejecución de la obra.</v>
      </c>
      <c r="C8" s="2257"/>
      <c r="D8" s="2257"/>
      <c r="E8" s="225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967</v>
      </c>
      <c r="B13" s="305" t="str">
        <f t="shared" ref="B13:B18" si="0">IF(A13="","",VLOOKUP(A13,EQUI,2,FALSE))</f>
        <v>Herramienta Menor (10% de la mano de obra).</v>
      </c>
      <c r="C13" s="306"/>
      <c r="D13" s="306"/>
      <c r="E13" s="276" t="str">
        <f t="shared" ref="E13:E18" si="1">IF(A13="","",VLOOKUP(A13,EQUI,3,FALSE))</f>
        <v>%</v>
      </c>
      <c r="F13" s="433">
        <f>IF(A13="","",VLOOKUP(A13,EQUI,4,FALSE))</f>
        <v>0.1</v>
      </c>
      <c r="G13" s="307">
        <f>ROUND(F13*H50,0)</f>
        <v>3042</v>
      </c>
      <c r="H13" s="308">
        <f>+G13</f>
        <v>3042</v>
      </c>
      <c r="I13" s="309"/>
    </row>
    <row r="14" spans="1:9">
      <c r="A14" s="536"/>
      <c r="B14" s="305" t="str">
        <f t="shared" si="0"/>
        <v/>
      </c>
      <c r="C14" s="306"/>
      <c r="D14" s="306"/>
      <c r="E14" s="276" t="str">
        <f t="shared" si="1"/>
        <v/>
      </c>
      <c r="F14" s="405"/>
      <c r="G14" s="310" t="str">
        <f>IF(A14="","",VLOOKUP(A14,EQUI,4,FALSE))</f>
        <v/>
      </c>
      <c r="H14" s="311" t="str">
        <f>IF(A14="","",ROUND((G14/F14),0))</f>
        <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3042</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c r="B23" s="353"/>
      <c r="C23" s="305"/>
      <c r="D23" s="306"/>
      <c r="E23" s="276"/>
      <c r="F23" s="405"/>
      <c r="G23" s="310"/>
      <c r="H23" s="311"/>
    </row>
    <row r="24" spans="1:8">
      <c r="A24" s="534" t="s">
        <v>1387</v>
      </c>
      <c r="B24" s="353" t="str">
        <f>IF(A24="","",VLOOKUP(A24,MAT,2,FALSE))</f>
        <v>Lubricante PVC x 500 gr.</v>
      </c>
      <c r="C24" s="305"/>
      <c r="D24" s="306"/>
      <c r="E24" s="276" t="str">
        <f>IF(A24="","",VLOOKUP(A24,MAT,3,FALSE))</f>
        <v>Lb.</v>
      </c>
      <c r="F24" s="405">
        <v>2.8000000000000001E-2</v>
      </c>
      <c r="G24" s="310">
        <f>IF(A24="","",VLOOKUP(A24,MAT,5,FALSE))</f>
        <v>34081</v>
      </c>
      <c r="H24" s="311">
        <f>IF(A24="","",ROUND((G24*F24),0))</f>
        <v>954</v>
      </c>
    </row>
    <row r="25" spans="1:8">
      <c r="A25" s="534" t="s">
        <v>1388</v>
      </c>
      <c r="B25" s="353" t="str">
        <f>IF(A25="","",VLOOKUP(A25,MAT,2,FALSE))</f>
        <v>Limpiador PVC x 1/4.</v>
      </c>
      <c r="C25" s="305"/>
      <c r="D25" s="306"/>
      <c r="E25" s="276" t="str">
        <f>IF(A25="","",VLOOKUP(A25,MAT,3,FALSE))</f>
        <v>1/4 Gal</v>
      </c>
      <c r="F25" s="405">
        <v>2.8000000000000001E-2</v>
      </c>
      <c r="G25" s="310">
        <f>IF(A25="","",VLOOKUP(A25,MAT,5,FALSE))</f>
        <v>72505</v>
      </c>
      <c r="H25" s="311">
        <f>IF(A25="","",ROUND((G25*F25),0))</f>
        <v>2030</v>
      </c>
    </row>
    <row r="26" spans="1:8">
      <c r="A26" s="534"/>
      <c r="B26" s="305" t="str">
        <f t="shared" ref="B26:B32" si="2">IF(A26="","",VLOOKUP(A26,MAT,2,FALSE))</f>
        <v/>
      </c>
      <c r="C26" s="305"/>
      <c r="D26" s="306"/>
      <c r="E26" s="276" t="str">
        <f t="shared" ref="E26:E32" si="3">IF(A26="","",VLOOKUP(A26,MAT,3,FALSE))</f>
        <v/>
      </c>
      <c r="F26" s="405"/>
      <c r="G26" s="310" t="str">
        <f t="shared" ref="G26:G32" si="4">IF(A26="","",VLOOKUP(A26,MAT,5,FALSE))</f>
        <v/>
      </c>
      <c r="H26" s="311" t="str">
        <f t="shared" ref="H26:H32" si="5">IF(A26="","",ROUND((G26*F26),0))</f>
        <v/>
      </c>
    </row>
    <row r="27" spans="1:8">
      <c r="A27" s="534"/>
      <c r="B27" s="305" t="str">
        <f t="shared" si="2"/>
        <v/>
      </c>
      <c r="C27" s="305"/>
      <c r="D27" s="306"/>
      <c r="E27" s="276" t="str">
        <f t="shared" si="3"/>
        <v/>
      </c>
      <c r="F27" s="405"/>
      <c r="G27" s="310" t="str">
        <f t="shared" si="4"/>
        <v/>
      </c>
      <c r="H27" s="311" t="str">
        <f t="shared" si="5"/>
        <v/>
      </c>
    </row>
    <row r="28" spans="1:8">
      <c r="A28" s="534"/>
      <c r="B28" s="305" t="str">
        <f t="shared" si="2"/>
        <v/>
      </c>
      <c r="C28" s="305"/>
      <c r="D28" s="306"/>
      <c r="E28" s="276" t="str">
        <f t="shared" si="3"/>
        <v/>
      </c>
      <c r="F28" s="405"/>
      <c r="G28" s="310" t="str">
        <f t="shared" si="4"/>
        <v/>
      </c>
      <c r="H28" s="311" t="str">
        <f t="shared" si="5"/>
        <v/>
      </c>
    </row>
    <row r="29" spans="1:8">
      <c r="A29" s="534"/>
      <c r="B29" s="305" t="str">
        <f t="shared" si="2"/>
        <v/>
      </c>
      <c r="C29" s="305"/>
      <c r="D29" s="306"/>
      <c r="E29" s="276" t="str">
        <f t="shared" si="3"/>
        <v/>
      </c>
      <c r="F29" s="405"/>
      <c r="G29" s="310" t="str">
        <f t="shared" si="4"/>
        <v/>
      </c>
      <c r="H29" s="311" t="str">
        <f t="shared" si="5"/>
        <v/>
      </c>
    </row>
    <row r="30" spans="1:8">
      <c r="A30" s="534"/>
      <c r="B30" s="305" t="str">
        <f t="shared" si="2"/>
        <v/>
      </c>
      <c r="C30" s="305"/>
      <c r="D30" s="306"/>
      <c r="E30" s="276" t="str">
        <f t="shared" si="3"/>
        <v/>
      </c>
      <c r="F30" s="405"/>
      <c r="G30" s="310" t="str">
        <f t="shared" si="4"/>
        <v/>
      </c>
      <c r="H30" s="311" t="str">
        <f t="shared" si="5"/>
        <v/>
      </c>
    </row>
    <row r="31" spans="1:8">
      <c r="A31" s="534"/>
      <c r="B31" s="305" t="str">
        <f t="shared" si="2"/>
        <v/>
      </c>
      <c r="C31" s="305"/>
      <c r="D31" s="306"/>
      <c r="E31" s="276" t="str">
        <f t="shared" si="3"/>
        <v/>
      </c>
      <c r="F31" s="405"/>
      <c r="G31" s="310" t="str">
        <f t="shared" si="4"/>
        <v/>
      </c>
      <c r="H31" s="311" t="str">
        <f t="shared" si="5"/>
        <v/>
      </c>
    </row>
    <row r="32" spans="1:8" ht="13.5" thickBot="1">
      <c r="A32" s="535"/>
      <c r="B32" s="326" t="str">
        <f t="shared" si="2"/>
        <v/>
      </c>
      <c r="C32" s="314"/>
      <c r="D32" s="314"/>
      <c r="E32" s="315" t="str">
        <f t="shared" si="3"/>
        <v/>
      </c>
      <c r="F32" s="406"/>
      <c r="G32" s="327" t="str">
        <f t="shared" si="4"/>
        <v/>
      </c>
      <c r="H32" s="311" t="str">
        <f t="shared" si="5"/>
        <v/>
      </c>
    </row>
    <row r="33" spans="1:8" ht="13.5" thickBot="1">
      <c r="A33" s="285"/>
      <c r="B33" s="285"/>
      <c r="C33" s="285"/>
      <c r="D33" s="285"/>
      <c r="E33" s="286"/>
      <c r="F33" s="285"/>
      <c r="G33" s="210" t="s">
        <v>529</v>
      </c>
      <c r="H33" s="328">
        <f>ROUND(SUM(H23:H32),0)</f>
        <v>2984</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546"/>
      <c r="B37" s="305"/>
      <c r="C37" s="333"/>
      <c r="D37" s="409"/>
      <c r="E37" s="419"/>
      <c r="F37" s="413"/>
      <c r="G37" s="334"/>
      <c r="H37" s="311"/>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t="str">
        <f>IF(A39="","",ROUND((G39*F39*E39),0))</f>
        <v/>
      </c>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0</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940</v>
      </c>
      <c r="B46" s="2192" t="str">
        <f>IF(A46="","",VLOOKUP(A46,MO,2,FALSE))</f>
        <v>Cuadrilla NN: Instalaciones hidrosanitarias. (1 Of.Insta.+ 2 Ayud.).</v>
      </c>
      <c r="C46" s="2193"/>
      <c r="D46" s="2194"/>
      <c r="E46" s="538" t="str">
        <f>IF(A46="","",VLOOKUP(A46,MO,13,FALSE))</f>
        <v>HC</v>
      </c>
      <c r="F46" s="544">
        <v>3.2</v>
      </c>
      <c r="G46" s="540">
        <f>IF(A46="","",VLOOKUP(A46,MO,15,FALSE))</f>
        <v>97342</v>
      </c>
      <c r="H46" s="542">
        <f>IF(A46="","",ROUND((G46/F46),0))</f>
        <v>30419</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30419</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36445</v>
      </c>
    </row>
    <row r="53" spans="1:8">
      <c r="A53" s="285"/>
      <c r="B53" s="285"/>
      <c r="C53" s="285"/>
      <c r="D53" s="285"/>
      <c r="E53" s="346" t="s">
        <v>2697</v>
      </c>
      <c r="F53" s="347"/>
      <c r="G53" s="347">
        <v>0.3</v>
      </c>
      <c r="H53" s="349">
        <f>H52*G53</f>
        <v>10933.5</v>
      </c>
    </row>
    <row r="54" spans="1:8">
      <c r="A54" s="285"/>
      <c r="B54" s="285"/>
      <c r="C54" s="285"/>
      <c r="D54" s="285"/>
      <c r="E54" s="346"/>
      <c r="F54" s="347"/>
      <c r="G54" s="347"/>
      <c r="H54" s="349">
        <f>SUM(H52:H53)</f>
        <v>47378.5</v>
      </c>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ht="15">
      <c r="A59" s="1243" t="str">
        <f>+[14]PRESUPUESTO!$A$113</f>
        <v>__________________________________________</v>
      </c>
      <c r="B59" s="1243"/>
      <c r="C59" s="1244"/>
    </row>
    <row r="60" spans="1:8" ht="15.75">
      <c r="A60" s="1245" t="str">
        <f>+[14]PRESUPUESTO!$A$114</f>
        <v>Ing. JHON FREDY GARCIA MENDEZ</v>
      </c>
      <c r="B60" s="1243"/>
      <c r="C60" s="1244"/>
    </row>
    <row r="61" spans="1:8" ht="15.75">
      <c r="A61" s="1246" t="str">
        <f>+[14]PRESUPUESTO!$A$115</f>
        <v>M.P.  70268-326294 TLM.</v>
      </c>
      <c r="B61" s="1243"/>
      <c r="C61" s="1244"/>
    </row>
    <row r="62" spans="1:8" ht="15.75">
      <c r="A62" s="1246" t="str">
        <f>+[14]PRESUPUESTO!$A$116</f>
        <v>CONSULTOR</v>
      </c>
      <c r="B62" s="1243"/>
      <c r="C62" s="1244"/>
    </row>
  </sheetData>
  <mergeCells count="15">
    <mergeCell ref="B47:D47"/>
    <mergeCell ref="B48:D48"/>
    <mergeCell ref="B49:D49"/>
    <mergeCell ref="B6:D6"/>
    <mergeCell ref="B7:E7"/>
    <mergeCell ref="B8:E8"/>
    <mergeCell ref="B36:C36"/>
    <mergeCell ref="B45:D45"/>
    <mergeCell ref="B46:D46"/>
    <mergeCell ref="D2:E4"/>
    <mergeCell ref="F2:H2"/>
    <mergeCell ref="F3:H3"/>
    <mergeCell ref="F4:H4"/>
    <mergeCell ref="A5:E5"/>
    <mergeCell ref="F5:H5"/>
  </mergeCells>
  <pageMargins left="0.75" right="0.75" top="1" bottom="1" header="0" footer="0"/>
  <pageSetup scale="70" orientation="portrait" r:id="rId1"/>
  <headerFooter alignWithMargins="0"/>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Hoja93">
    <tabColor theme="6" tint="0.79998168889431442"/>
  </sheetPr>
  <dimension ref="A1:I62"/>
  <sheetViews>
    <sheetView view="pageBreakPreview" topLeftCell="A27" zoomScale="90" zoomScaleNormal="100" zoomScaleSheetLayoutView="90" workbookViewId="0">
      <selection activeCell="E53" sqref="E53:H54"/>
    </sheetView>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4.570312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f>PRESUPUESTO!A31</f>
        <v>1.3</v>
      </c>
      <c r="B7" s="2185" t="str">
        <f>PRESUPUESTO!B31</f>
        <v>INSTALACIÓN DE TUBERÍA DE ALCANTARILLADO</v>
      </c>
      <c r="C7" s="2185"/>
      <c r="D7" s="2185"/>
      <c r="E7" s="2185"/>
      <c r="F7" s="289"/>
      <c r="G7" s="290" t="s">
        <v>525</v>
      </c>
      <c r="H7" s="97" t="str">
        <f>+PRESUPUESTO!C35</f>
        <v>m</v>
      </c>
    </row>
    <row r="8" spans="1:9" ht="63.75" customHeight="1">
      <c r="A8" s="97" t="str">
        <f>+PRESUPUESTO!A35</f>
        <v>1.3.4</v>
      </c>
      <c r="B8" s="2256" t="str">
        <f>+PRESUPUESTO!B35</f>
        <v>Instalación de tubería de alcantarillado PVC ø 355 mm (14") y accesorios. Incluye: Nivelación, arreglo del fondo de la zanja, bajada y empalme del tubo, uso de herramienta y mano de obra, lubricante  y todo lo necesario para la correcta ejecución de la obra.</v>
      </c>
      <c r="C8" s="2257"/>
      <c r="D8" s="2257"/>
      <c r="E8" s="225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967</v>
      </c>
      <c r="B13" s="305" t="str">
        <f t="shared" ref="B13:B18" si="0">IF(A13="","",VLOOKUP(A13,EQUI,2,FALSE))</f>
        <v>Herramienta Menor (10% de la mano de obra).</v>
      </c>
      <c r="C13" s="306"/>
      <c r="D13" s="306"/>
      <c r="E13" s="276" t="str">
        <f t="shared" ref="E13:E18" si="1">IF(A13="","",VLOOKUP(A13,EQUI,3,FALSE))</f>
        <v>%</v>
      </c>
      <c r="F13" s="433">
        <f>IF(A13="","",VLOOKUP(A13,EQUI,4,FALSE))</f>
        <v>0.1</v>
      </c>
      <c r="G13" s="307">
        <f>ROUND(F13*H50,0)</f>
        <v>3744</v>
      </c>
      <c r="H13" s="308">
        <f>+G13</f>
        <v>3744</v>
      </c>
      <c r="I13" s="309"/>
    </row>
    <row r="14" spans="1:9">
      <c r="A14" s="536"/>
      <c r="B14" s="305" t="str">
        <f t="shared" si="0"/>
        <v/>
      </c>
      <c r="C14" s="306"/>
      <c r="D14" s="306"/>
      <c r="E14" s="276" t="str">
        <f t="shared" si="1"/>
        <v/>
      </c>
      <c r="F14" s="405"/>
      <c r="G14" s="310" t="str">
        <f>IF(A14="","",VLOOKUP(A14,EQUI,4,FALSE))</f>
        <v/>
      </c>
      <c r="H14" s="311" t="str">
        <f>IF(A14="","",ROUND((G14/F14),0))</f>
        <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3744</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c r="B23" s="353"/>
      <c r="C23" s="305"/>
      <c r="D23" s="306"/>
      <c r="E23" s="276"/>
      <c r="F23" s="405"/>
      <c r="G23" s="310"/>
      <c r="H23" s="311"/>
    </row>
    <row r="24" spans="1:8">
      <c r="A24" s="534" t="s">
        <v>1387</v>
      </c>
      <c r="B24" s="353" t="str">
        <f>IF(A24="","",VLOOKUP(A24,MAT,2,FALSE))</f>
        <v>Lubricante PVC x 500 gr.</v>
      </c>
      <c r="C24" s="305"/>
      <c r="D24" s="306"/>
      <c r="E24" s="276" t="str">
        <f>IF(A24="","",VLOOKUP(A24,MAT,3,FALSE))</f>
        <v>Lb.</v>
      </c>
      <c r="F24" s="405">
        <v>2.8000000000000001E-2</v>
      </c>
      <c r="G24" s="310">
        <f>IF(A24="","",VLOOKUP(A24,MAT,5,FALSE))</f>
        <v>34081</v>
      </c>
      <c r="H24" s="311">
        <f>IF(A24="","",ROUND((G24*F24),0))</f>
        <v>954</v>
      </c>
    </row>
    <row r="25" spans="1:8">
      <c r="A25" s="534" t="s">
        <v>1388</v>
      </c>
      <c r="B25" s="353" t="str">
        <f>IF(A25="","",VLOOKUP(A25,MAT,2,FALSE))</f>
        <v>Limpiador PVC x 1/4.</v>
      </c>
      <c r="C25" s="305"/>
      <c r="D25" s="306"/>
      <c r="E25" s="276" t="str">
        <f>IF(A25="","",VLOOKUP(A25,MAT,3,FALSE))</f>
        <v>1/4 Gal</v>
      </c>
      <c r="F25" s="405">
        <v>2.8000000000000001E-2</v>
      </c>
      <c r="G25" s="310">
        <f>IF(A25="","",VLOOKUP(A25,MAT,5,FALSE))</f>
        <v>72505</v>
      </c>
      <c r="H25" s="311">
        <f>IF(A25="","",ROUND((G25*F25),0))</f>
        <v>2030</v>
      </c>
    </row>
    <row r="26" spans="1:8">
      <c r="A26" s="534"/>
      <c r="B26" s="305" t="str">
        <f t="shared" ref="B26:B32" si="2">IF(A26="","",VLOOKUP(A26,MAT,2,FALSE))</f>
        <v/>
      </c>
      <c r="C26" s="305"/>
      <c r="D26" s="306"/>
      <c r="E26" s="276" t="str">
        <f t="shared" ref="E26:E32" si="3">IF(A26="","",VLOOKUP(A26,MAT,3,FALSE))</f>
        <v/>
      </c>
      <c r="F26" s="405"/>
      <c r="G26" s="310" t="str">
        <f t="shared" ref="G26:G32" si="4">IF(A26="","",VLOOKUP(A26,MAT,5,FALSE))</f>
        <v/>
      </c>
      <c r="H26" s="311" t="str">
        <f t="shared" ref="H26:H32" si="5">IF(A26="","",ROUND((G26*F26),0))</f>
        <v/>
      </c>
    </row>
    <row r="27" spans="1:8">
      <c r="A27" s="534"/>
      <c r="B27" s="305" t="str">
        <f t="shared" si="2"/>
        <v/>
      </c>
      <c r="C27" s="305"/>
      <c r="D27" s="306"/>
      <c r="E27" s="276" t="str">
        <f t="shared" si="3"/>
        <v/>
      </c>
      <c r="F27" s="405"/>
      <c r="G27" s="310" t="str">
        <f t="shared" si="4"/>
        <v/>
      </c>
      <c r="H27" s="311" t="str">
        <f t="shared" si="5"/>
        <v/>
      </c>
    </row>
    <row r="28" spans="1:8">
      <c r="A28" s="534"/>
      <c r="B28" s="305" t="str">
        <f t="shared" si="2"/>
        <v/>
      </c>
      <c r="C28" s="305"/>
      <c r="D28" s="306"/>
      <c r="E28" s="276" t="str">
        <f t="shared" si="3"/>
        <v/>
      </c>
      <c r="F28" s="405"/>
      <c r="G28" s="310" t="str">
        <f t="shared" si="4"/>
        <v/>
      </c>
      <c r="H28" s="311" t="str">
        <f t="shared" si="5"/>
        <v/>
      </c>
    </row>
    <row r="29" spans="1:8">
      <c r="A29" s="534"/>
      <c r="B29" s="305" t="str">
        <f t="shared" si="2"/>
        <v/>
      </c>
      <c r="C29" s="305"/>
      <c r="D29" s="306"/>
      <c r="E29" s="276" t="str">
        <f t="shared" si="3"/>
        <v/>
      </c>
      <c r="F29" s="405"/>
      <c r="G29" s="310" t="str">
        <f t="shared" si="4"/>
        <v/>
      </c>
      <c r="H29" s="311" t="str">
        <f t="shared" si="5"/>
        <v/>
      </c>
    </row>
    <row r="30" spans="1:8">
      <c r="A30" s="534"/>
      <c r="B30" s="305" t="str">
        <f t="shared" si="2"/>
        <v/>
      </c>
      <c r="C30" s="305"/>
      <c r="D30" s="306"/>
      <c r="E30" s="276" t="str">
        <f t="shared" si="3"/>
        <v/>
      </c>
      <c r="F30" s="405"/>
      <c r="G30" s="310" t="str">
        <f t="shared" si="4"/>
        <v/>
      </c>
      <c r="H30" s="311" t="str">
        <f t="shared" si="5"/>
        <v/>
      </c>
    </row>
    <row r="31" spans="1:8">
      <c r="A31" s="534"/>
      <c r="B31" s="305" t="str">
        <f t="shared" si="2"/>
        <v/>
      </c>
      <c r="C31" s="305"/>
      <c r="D31" s="306"/>
      <c r="E31" s="276" t="str">
        <f t="shared" si="3"/>
        <v/>
      </c>
      <c r="F31" s="405"/>
      <c r="G31" s="310" t="str">
        <f t="shared" si="4"/>
        <v/>
      </c>
      <c r="H31" s="311" t="str">
        <f t="shared" si="5"/>
        <v/>
      </c>
    </row>
    <row r="32" spans="1:8" ht="13.5" thickBot="1">
      <c r="A32" s="535"/>
      <c r="B32" s="326" t="str">
        <f t="shared" si="2"/>
        <v/>
      </c>
      <c r="C32" s="314"/>
      <c r="D32" s="314"/>
      <c r="E32" s="315" t="str">
        <f t="shared" si="3"/>
        <v/>
      </c>
      <c r="F32" s="406"/>
      <c r="G32" s="327" t="str">
        <f t="shared" si="4"/>
        <v/>
      </c>
      <c r="H32" s="311" t="str">
        <f t="shared" si="5"/>
        <v/>
      </c>
    </row>
    <row r="33" spans="1:8" ht="13.5" thickBot="1">
      <c r="A33" s="285"/>
      <c r="B33" s="285"/>
      <c r="C33" s="285"/>
      <c r="D33" s="285"/>
      <c r="E33" s="286"/>
      <c r="F33" s="285"/>
      <c r="G33" s="210" t="s">
        <v>529</v>
      </c>
      <c r="H33" s="328">
        <f>ROUND(SUM(H23:H32),0)</f>
        <v>2984</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546"/>
      <c r="B37" s="305"/>
      <c r="C37" s="333"/>
      <c r="D37" s="409"/>
      <c r="E37" s="419"/>
      <c r="F37" s="413"/>
      <c r="G37" s="334"/>
      <c r="H37" s="311"/>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t="str">
        <f>IF(A39="","",ROUND((G39*F39*E39),0))</f>
        <v/>
      </c>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0</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940</v>
      </c>
      <c r="B46" s="2192" t="str">
        <f>IF(A46="","",VLOOKUP(A46,MO,2,FALSE))</f>
        <v>Cuadrilla NN: Instalaciones hidrosanitarias. (1 Of.Insta.+ 2 Ayud.).</v>
      </c>
      <c r="C46" s="2193"/>
      <c r="D46" s="2194"/>
      <c r="E46" s="538" t="str">
        <f>IF(A46="","",VLOOKUP(A46,MO,13,FALSE))</f>
        <v>HC</v>
      </c>
      <c r="F46" s="544">
        <v>2.6</v>
      </c>
      <c r="G46" s="540">
        <f>IF(A46="","",VLOOKUP(A46,MO,15,FALSE))</f>
        <v>97342</v>
      </c>
      <c r="H46" s="542">
        <f>IF(A46="","",ROUND((G46/F46),0))</f>
        <v>37439</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37439</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44167</v>
      </c>
    </row>
    <row r="53" spans="1:8">
      <c r="A53" s="285"/>
      <c r="B53" s="285"/>
      <c r="C53" s="285"/>
      <c r="D53" s="285"/>
      <c r="E53" s="346" t="s">
        <v>2697</v>
      </c>
      <c r="F53" s="347"/>
      <c r="G53" s="347">
        <v>0.3</v>
      </c>
      <c r="H53" s="349">
        <f>H52*G53</f>
        <v>13250.1</v>
      </c>
    </row>
    <row r="54" spans="1:8">
      <c r="A54" s="285"/>
      <c r="B54" s="285"/>
      <c r="C54" s="285"/>
      <c r="D54" s="285"/>
      <c r="E54" s="346"/>
      <c r="F54" s="347"/>
      <c r="G54" s="347"/>
      <c r="H54" s="349">
        <f>SUM(H52:H53)</f>
        <v>57417.1</v>
      </c>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ht="15">
      <c r="A59" s="1243" t="str">
        <f>+[14]PRESUPUESTO!$A$113</f>
        <v>__________________________________________</v>
      </c>
      <c r="B59" s="1243"/>
      <c r="C59" s="1244"/>
    </row>
    <row r="60" spans="1:8" ht="15.75">
      <c r="A60" s="1245" t="str">
        <f>+[14]PRESUPUESTO!$A$114</f>
        <v>Ing. JHON FREDY GARCIA MENDEZ</v>
      </c>
      <c r="B60" s="1243"/>
      <c r="C60" s="1244"/>
    </row>
    <row r="61" spans="1:8" ht="15.75">
      <c r="A61" s="1246" t="str">
        <f>+[14]PRESUPUESTO!$A$115</f>
        <v>M.P.  70268-326294 TLM.</v>
      </c>
      <c r="B61" s="1243"/>
      <c r="C61" s="1244"/>
    </row>
    <row r="62" spans="1:8" ht="15.75">
      <c r="A62" s="1246" t="str">
        <f>+[14]PRESUPUESTO!$A$116</f>
        <v>CONSULTOR</v>
      </c>
      <c r="B62" s="1243"/>
      <c r="C62" s="1244"/>
    </row>
  </sheetData>
  <mergeCells count="15">
    <mergeCell ref="B47:D47"/>
    <mergeCell ref="B48:D48"/>
    <mergeCell ref="B49:D49"/>
    <mergeCell ref="B6:D6"/>
    <mergeCell ref="B7:E7"/>
    <mergeCell ref="B8:E8"/>
    <mergeCell ref="B36:C36"/>
    <mergeCell ref="B45:D45"/>
    <mergeCell ref="B46:D46"/>
    <mergeCell ref="D2:E4"/>
    <mergeCell ref="F2:H2"/>
    <mergeCell ref="F3:H3"/>
    <mergeCell ref="F4:H4"/>
    <mergeCell ref="A5:E5"/>
    <mergeCell ref="F5:H5"/>
  </mergeCells>
  <pageMargins left="0.75" right="0.75" top="1" bottom="1" header="0" footer="0"/>
  <pageSetup scale="70" orientation="portrait" r:id="rId1"/>
  <headerFooter alignWithMargins="0"/>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Hoja101">
    <tabColor theme="6" tint="0.79998168889431442"/>
  </sheetPr>
  <dimension ref="A1:M62"/>
  <sheetViews>
    <sheetView view="pageBreakPreview" topLeftCell="A21" zoomScale="80" zoomScaleNormal="100" zoomScaleSheetLayoutView="80" workbookViewId="0">
      <selection activeCell="E53" sqref="E53:H54"/>
    </sheetView>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4.570312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821"/>
    </row>
    <row r="7" spans="1:9" ht="15.95" customHeight="1">
      <c r="A7" s="96">
        <f>PRESUPUESTO!A38</f>
        <v>1.4</v>
      </c>
      <c r="B7" s="2185" t="str">
        <f>PRESUPUESTO!B38</f>
        <v>ENTIBADOS</v>
      </c>
      <c r="C7" s="2185"/>
      <c r="D7" s="2185"/>
      <c r="E7" s="2185"/>
      <c r="F7" s="289"/>
      <c r="G7" s="290" t="s">
        <v>525</v>
      </c>
      <c r="H7" s="97" t="str">
        <f>+PRESUPUESTO!C39</f>
        <v>m2</v>
      </c>
    </row>
    <row r="8" spans="1:9" ht="24.75" customHeight="1">
      <c r="A8" s="97" t="str">
        <f>+PRESUPUESTO!A39</f>
        <v>1.4.1</v>
      </c>
      <c r="B8" s="2258" t="str">
        <f>+PRESUPUESTO!B39</f>
        <v>Entibado en madera Tipo 1A : Discontinuo en madera -Profundidades de entre 1.50-4.0 m ;para protección de excavaciones. 5 Usos(de ser necesario), por ambas caras</v>
      </c>
      <c r="C8" s="2257"/>
      <c r="D8" s="2257"/>
      <c r="E8" s="225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966</v>
      </c>
      <c r="B13" s="305" t="str">
        <f t="shared" ref="B13:B18" si="0">IF(A13="","",VLOOKUP(A13,EQUI,2,FALSE))</f>
        <v>Herramienta Menor (5% de la mano de obra).</v>
      </c>
      <c r="C13" s="306"/>
      <c r="D13" s="306"/>
      <c r="E13" s="276" t="str">
        <f t="shared" ref="E13:E18" si="1">IF(A13="","",VLOOKUP(A13,EQUI,3,FALSE))</f>
        <v>%</v>
      </c>
      <c r="F13" s="433">
        <f>IF(A13="","",VLOOKUP(A13,EQUI,4,FALSE))</f>
        <v>0.05</v>
      </c>
      <c r="G13" s="307">
        <f>ROUND(F13*H50,0)</f>
        <v>918</v>
      </c>
      <c r="H13" s="308">
        <f>+G13</f>
        <v>918</v>
      </c>
      <c r="I13" s="309"/>
    </row>
    <row r="14" spans="1:9">
      <c r="A14" s="536"/>
      <c r="B14" s="305" t="str">
        <f t="shared" si="0"/>
        <v/>
      </c>
      <c r="C14" s="306"/>
      <c r="D14" s="306"/>
      <c r="E14" s="276" t="str">
        <f t="shared" si="1"/>
        <v/>
      </c>
      <c r="F14" s="405"/>
      <c r="G14" s="310" t="str">
        <f>IF(A14="","",VLOOKUP(A14,EQUI,4,FALSE))</f>
        <v/>
      </c>
      <c r="H14" s="311" t="str">
        <f>IF(A14="","",ROUND((G14/F14),0))</f>
        <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13">
      <c r="A17" s="536"/>
      <c r="B17" s="305" t="str">
        <f t="shared" si="0"/>
        <v/>
      </c>
      <c r="C17" s="306"/>
      <c r="D17" s="306"/>
      <c r="E17" s="276" t="str">
        <f t="shared" si="1"/>
        <v/>
      </c>
      <c r="F17" s="405"/>
      <c r="G17" s="310" t="str">
        <f>IF(A17="","",VLOOKUP(A17,EQUI,4,FALSE))</f>
        <v/>
      </c>
      <c r="H17" s="311" t="str">
        <f>IF(A17="","",ROUND((G17/F17),0))</f>
        <v/>
      </c>
    </row>
    <row r="18" spans="1:13" ht="13.5" thickBot="1">
      <c r="A18" s="537"/>
      <c r="B18" s="313" t="str">
        <f t="shared" si="0"/>
        <v/>
      </c>
      <c r="C18" s="313"/>
      <c r="D18" s="314"/>
      <c r="E18" s="315" t="str">
        <f t="shared" si="1"/>
        <v/>
      </c>
      <c r="F18" s="408"/>
      <c r="G18" s="316" t="str">
        <f>IF(A18="","",VLOOKUP(A18,EQUI,4,FALSE))</f>
        <v/>
      </c>
      <c r="H18" s="311" t="str">
        <f>IF(A18="","",ROUND((G18/F18),0))</f>
        <v/>
      </c>
    </row>
    <row r="19" spans="1:13" ht="13.5" thickBot="1">
      <c r="A19" s="285"/>
      <c r="B19" s="285"/>
      <c r="C19" s="285"/>
      <c r="D19" s="285"/>
      <c r="E19" s="286"/>
      <c r="F19" s="285"/>
      <c r="G19" s="317" t="s">
        <v>529</v>
      </c>
      <c r="H19" s="318">
        <f>ROUND(SUM(H13:H18),0)</f>
        <v>918</v>
      </c>
    </row>
    <row r="20" spans="1:13">
      <c r="A20" s="285"/>
      <c r="B20" s="285"/>
      <c r="C20" s="285"/>
      <c r="D20" s="285"/>
      <c r="E20" s="286"/>
      <c r="F20" s="285"/>
      <c r="G20" s="286"/>
      <c r="H20" s="319"/>
    </row>
    <row r="21" spans="1:13" ht="13.5" thickBot="1">
      <c r="A21" s="295" t="s">
        <v>530</v>
      </c>
      <c r="B21" s="295"/>
      <c r="C21" s="295"/>
      <c r="D21" s="295"/>
      <c r="E21" s="320"/>
      <c r="F21" s="314"/>
      <c r="G21" s="314"/>
      <c r="H21" s="314"/>
    </row>
    <row r="22" spans="1:13" ht="13.5" thickBot="1">
      <c r="A22" s="297" t="s">
        <v>527</v>
      </c>
      <c r="B22" s="298"/>
      <c r="C22" s="299" t="s">
        <v>521</v>
      </c>
      <c r="D22" s="299"/>
      <c r="E22" s="321" t="s">
        <v>515</v>
      </c>
      <c r="F22" s="322" t="s">
        <v>7</v>
      </c>
      <c r="G22" s="303" t="s">
        <v>832</v>
      </c>
      <c r="H22" s="278" t="s">
        <v>831</v>
      </c>
    </row>
    <row r="23" spans="1:13">
      <c r="A23" s="533" t="s">
        <v>2511</v>
      </c>
      <c r="B23" s="1033" t="s">
        <v>2558</v>
      </c>
      <c r="C23" s="305"/>
      <c r="D23" s="306"/>
      <c r="E23" s="276" t="str">
        <f>+INSUMOS!C110</f>
        <v>m</v>
      </c>
      <c r="F23" s="585">
        <v>0.16</v>
      </c>
      <c r="G23" s="310">
        <v>16900</v>
      </c>
      <c r="H23" s="311">
        <f>IF(A23="","",ROUND((G23*F23),0))</f>
        <v>2704</v>
      </c>
      <c r="I23" s="822"/>
      <c r="J23" s="823"/>
      <c r="K23" s="823"/>
      <c r="L23" s="824"/>
      <c r="M23" s="823"/>
    </row>
    <row r="24" spans="1:13">
      <c r="A24" s="534"/>
      <c r="B24" s="816" t="s">
        <v>2559</v>
      </c>
      <c r="C24" s="305"/>
      <c r="D24" s="306"/>
      <c r="E24" s="276" t="s">
        <v>1654</v>
      </c>
      <c r="F24" s="585">
        <v>0.5</v>
      </c>
      <c r="G24" s="310">
        <v>42000</v>
      </c>
      <c r="H24" s="311">
        <f>ROUND((G24*F24),0)</f>
        <v>21000</v>
      </c>
      <c r="I24" s="825"/>
      <c r="J24" s="825"/>
      <c r="K24" s="825"/>
      <c r="L24" s="825"/>
      <c r="M24" s="825"/>
    </row>
    <row r="25" spans="1:13">
      <c r="A25" s="534"/>
      <c r="B25" s="816" t="s">
        <v>2560</v>
      </c>
      <c r="C25" s="305"/>
      <c r="D25" s="306"/>
      <c r="E25" s="815" t="s">
        <v>1654</v>
      </c>
      <c r="F25" s="585">
        <v>0.16</v>
      </c>
      <c r="G25" s="310">
        <v>31900</v>
      </c>
      <c r="H25" s="311">
        <f>ROUND((G25*F25),0)</f>
        <v>5104</v>
      </c>
      <c r="I25" s="822"/>
      <c r="J25" s="823"/>
      <c r="K25" s="823"/>
      <c r="L25" s="824"/>
      <c r="M25" s="824"/>
    </row>
    <row r="26" spans="1:13">
      <c r="A26" s="534"/>
      <c r="B26" s="816" t="s">
        <v>2611</v>
      </c>
      <c r="C26" s="305"/>
      <c r="D26" s="306"/>
      <c r="E26" s="815" t="s">
        <v>606</v>
      </c>
      <c r="F26" s="405">
        <v>0.5</v>
      </c>
      <c r="G26" s="310">
        <v>5100</v>
      </c>
      <c r="H26" s="311">
        <f>ROUND((G26*F26),0)</f>
        <v>2550</v>
      </c>
      <c r="I26" s="825"/>
      <c r="J26" s="825"/>
      <c r="K26" s="825"/>
      <c r="L26" s="825"/>
      <c r="M26" s="825"/>
    </row>
    <row r="27" spans="1:13">
      <c r="A27" s="534"/>
      <c r="B27" s="305"/>
      <c r="C27" s="305"/>
      <c r="D27" s="306"/>
      <c r="E27" s="276" t="str">
        <f t="shared" ref="E27:E32" si="2">IF(A27="","",VLOOKUP(A27,MAT,3,FALSE))</f>
        <v/>
      </c>
      <c r="F27" s="405"/>
      <c r="G27" s="310" t="str">
        <f t="shared" ref="G27:G32" si="3">IF(A27="","",VLOOKUP(A27,MAT,5,FALSE))</f>
        <v/>
      </c>
      <c r="H27" s="311" t="str">
        <f t="shared" ref="H27:H32" si="4">IF(A27="","",ROUND((G27*F27),0))</f>
        <v/>
      </c>
      <c r="I27" s="822"/>
      <c r="J27"/>
      <c r="K27"/>
      <c r="L27"/>
      <c r="M27"/>
    </row>
    <row r="28" spans="1:13">
      <c r="A28" s="534"/>
      <c r="B28" s="305"/>
      <c r="C28" s="305"/>
      <c r="D28" s="306"/>
      <c r="E28" s="276" t="str">
        <f t="shared" si="2"/>
        <v/>
      </c>
      <c r="F28" s="405"/>
      <c r="G28" s="310" t="str">
        <f t="shared" si="3"/>
        <v/>
      </c>
      <c r="H28" s="311" t="str">
        <f t="shared" si="4"/>
        <v/>
      </c>
    </row>
    <row r="29" spans="1:13">
      <c r="A29" s="534"/>
      <c r="B29" s="305" t="str">
        <f>IF(A29="","",VLOOKUP(A29,MAT,2,FALSE))</f>
        <v/>
      </c>
      <c r="C29" s="305"/>
      <c r="D29" s="306"/>
      <c r="E29" s="276" t="str">
        <f t="shared" si="2"/>
        <v/>
      </c>
      <c r="F29" s="405"/>
      <c r="G29" s="310" t="str">
        <f t="shared" si="3"/>
        <v/>
      </c>
      <c r="H29" s="311" t="str">
        <f t="shared" si="4"/>
        <v/>
      </c>
    </row>
    <row r="30" spans="1:13">
      <c r="A30" s="534"/>
      <c r="B30" s="305" t="str">
        <f>IF(A30="","",VLOOKUP(A30,MAT,2,FALSE))</f>
        <v/>
      </c>
      <c r="C30" s="305"/>
      <c r="D30" s="306"/>
      <c r="E30" s="276" t="str">
        <f t="shared" si="2"/>
        <v/>
      </c>
      <c r="F30" s="405"/>
      <c r="G30" s="310" t="str">
        <f t="shared" si="3"/>
        <v/>
      </c>
      <c r="H30" s="311" t="str">
        <f t="shared" si="4"/>
        <v/>
      </c>
    </row>
    <row r="31" spans="1:13">
      <c r="A31" s="534"/>
      <c r="B31" s="305" t="str">
        <f>IF(A31="","",VLOOKUP(A31,MAT,2,FALSE))</f>
        <v/>
      </c>
      <c r="C31" s="305"/>
      <c r="D31" s="306"/>
      <c r="E31" s="276" t="str">
        <f t="shared" si="2"/>
        <v/>
      </c>
      <c r="F31" s="405"/>
      <c r="G31" s="310" t="str">
        <f t="shared" si="3"/>
        <v/>
      </c>
      <c r="H31" s="311" t="str">
        <f t="shared" si="4"/>
        <v/>
      </c>
    </row>
    <row r="32" spans="1:13" ht="13.5" thickBot="1">
      <c r="A32" s="535"/>
      <c r="B32" s="326" t="str">
        <f>IF(A32="","",VLOOKUP(A32,MAT,2,FALSE))</f>
        <v/>
      </c>
      <c r="C32" s="314"/>
      <c r="D32" s="314"/>
      <c r="E32" s="315" t="str">
        <f t="shared" si="2"/>
        <v/>
      </c>
      <c r="F32" s="406"/>
      <c r="G32" s="327" t="str">
        <f t="shared" si="3"/>
        <v/>
      </c>
      <c r="H32" s="311" t="str">
        <f t="shared" si="4"/>
        <v/>
      </c>
    </row>
    <row r="33" spans="1:8" ht="13.5" thickBot="1">
      <c r="A33" s="285"/>
      <c r="B33" s="285"/>
      <c r="C33" s="285"/>
      <c r="D33" s="285"/>
      <c r="E33" s="286"/>
      <c r="F33" s="285"/>
      <c r="G33" s="210" t="s">
        <v>529</v>
      </c>
      <c r="H33" s="328">
        <f>ROUND(SUM(H23:H32),0)</f>
        <v>31358</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546"/>
      <c r="B37" s="305"/>
      <c r="C37" s="333"/>
      <c r="D37" s="409"/>
      <c r="E37" s="419"/>
      <c r="F37" s="413"/>
      <c r="G37" s="334"/>
      <c r="H37" s="311"/>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t="str">
        <f>IF(A39="","",ROUND((G39*F39*E39),0))</f>
        <v/>
      </c>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0</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940</v>
      </c>
      <c r="B46" s="2192" t="str">
        <f>IF(A46="","",VLOOKUP(A46,MO,2,FALSE))</f>
        <v>Cuadrilla NN: Instalaciones hidrosanitarias. (1 Of.Insta.+ 2 Ayud.).</v>
      </c>
      <c r="C46" s="2193"/>
      <c r="D46" s="2194"/>
      <c r="E46" s="538" t="str">
        <f>IF(A46="","",VLOOKUP(A46,MO,13,FALSE))</f>
        <v>HC</v>
      </c>
      <c r="F46" s="544">
        <v>5.3</v>
      </c>
      <c r="G46" s="540">
        <f>IF(A46="","",VLOOKUP(A46,MO,15,FALSE))</f>
        <v>97342</v>
      </c>
      <c r="H46" s="542">
        <f>IF(A46="","",ROUND((G46/F46),0))</f>
        <v>18366</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18366</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50642</v>
      </c>
    </row>
    <row r="53" spans="1:8">
      <c r="A53" s="285"/>
      <c r="B53" s="285"/>
      <c r="C53" s="285"/>
      <c r="D53" s="285"/>
      <c r="E53" s="346" t="s">
        <v>2697</v>
      </c>
      <c r="F53" s="347"/>
      <c r="G53" s="347">
        <v>0.3</v>
      </c>
      <c r="H53" s="349">
        <f>H52*G53</f>
        <v>15192.599999999999</v>
      </c>
    </row>
    <row r="54" spans="1:8">
      <c r="A54" s="285"/>
      <c r="B54" s="285"/>
      <c r="C54" s="285"/>
      <c r="D54" s="285"/>
      <c r="E54" s="346"/>
      <c r="F54" s="347"/>
      <c r="G54" s="347"/>
      <c r="H54" s="349">
        <f>SUM(H52:H53)</f>
        <v>65834.600000000006</v>
      </c>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ht="15">
      <c r="A59" s="1243" t="str">
        <f>+[14]PRESUPUESTO!$A$113</f>
        <v>__________________________________________</v>
      </c>
      <c r="B59" s="1243"/>
      <c r="C59" s="1244"/>
    </row>
    <row r="60" spans="1:8" ht="15.75">
      <c r="A60" s="1245" t="str">
        <f>+[14]PRESUPUESTO!$A$114</f>
        <v>Ing. JHON FREDY GARCIA MENDEZ</v>
      </c>
      <c r="B60" s="1243"/>
      <c r="C60" s="1244"/>
    </row>
    <row r="61" spans="1:8" ht="15.75">
      <c r="A61" s="1246" t="str">
        <f>+[14]PRESUPUESTO!$A$115</f>
        <v>M.P.  70268-326294 TLM.</v>
      </c>
      <c r="B61" s="1243"/>
      <c r="C61" s="1244"/>
    </row>
    <row r="62" spans="1:8" ht="15.75">
      <c r="A62" s="1246" t="str">
        <f>+[14]PRESUPUESTO!$A$116</f>
        <v>CONSULTOR</v>
      </c>
      <c r="B62" s="1243"/>
      <c r="C62" s="1244"/>
    </row>
  </sheetData>
  <mergeCells count="15">
    <mergeCell ref="B47:D47"/>
    <mergeCell ref="B48:D48"/>
    <mergeCell ref="B49:D49"/>
    <mergeCell ref="B6:D6"/>
    <mergeCell ref="B7:E7"/>
    <mergeCell ref="B8:E8"/>
    <mergeCell ref="B36:C36"/>
    <mergeCell ref="B45:D45"/>
    <mergeCell ref="B46:D46"/>
    <mergeCell ref="D2:E4"/>
    <mergeCell ref="F2:H2"/>
    <mergeCell ref="F3:H3"/>
    <mergeCell ref="F4:H4"/>
    <mergeCell ref="A5:E5"/>
    <mergeCell ref="F5:H5"/>
  </mergeCells>
  <pageMargins left="0.75" right="0.75" top="1" bottom="1" header="0" footer="0"/>
  <pageSetup scale="70" orientation="portrait" r:id="rId1"/>
  <headerFooter alignWithMargins="0"/>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Hoja17">
    <tabColor theme="6" tint="0.79998168889431442"/>
  </sheetPr>
  <dimension ref="A1:M62"/>
  <sheetViews>
    <sheetView view="pageBreakPreview" topLeftCell="A26" zoomScale="90" zoomScaleNormal="100" zoomScaleSheetLayoutView="90" workbookViewId="0">
      <selection activeCell="E53" sqref="E53:H54"/>
    </sheetView>
  </sheetViews>
  <sheetFormatPr baseColWidth="10" defaultColWidth="11.42578125" defaultRowHeight="12.75"/>
  <cols>
    <col min="1" max="1" width="9.140625" style="247" customWidth="1"/>
    <col min="2" max="2" width="12.28515625" style="247" bestFit="1" customWidth="1"/>
    <col min="3" max="3" width="25.85546875" style="247" customWidth="1"/>
    <col min="4" max="4" width="22.140625" style="247" customWidth="1"/>
    <col min="5" max="5" width="13" style="247" customWidth="1"/>
    <col min="6" max="6" width="11.7109375" style="247" bestFit="1" customWidth="1"/>
    <col min="7" max="7" width="14" style="247" customWidth="1"/>
    <col min="8" max="8" width="14.570312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821"/>
    </row>
    <row r="7" spans="1:9" ht="15.95" customHeight="1">
      <c r="A7" s="96">
        <f>PRESUPUESTO!A38</f>
        <v>1.4</v>
      </c>
      <c r="B7" s="2185" t="str">
        <f>PRESUPUESTO!B38</f>
        <v>ENTIBADOS</v>
      </c>
      <c r="C7" s="2185"/>
      <c r="D7" s="2185"/>
      <c r="E7" s="2185"/>
      <c r="F7" s="289"/>
      <c r="G7" s="290" t="s">
        <v>525</v>
      </c>
      <c r="H7" s="97" t="str">
        <f>+PRESUPUESTO!C40</f>
        <v>m2</v>
      </c>
    </row>
    <row r="8" spans="1:9" ht="26.25" customHeight="1">
      <c r="A8" s="97" t="str">
        <f>+PRESUPUESTO!A40</f>
        <v>1.4.2</v>
      </c>
      <c r="B8" s="2256" t="str">
        <f>+PRESUPUESTO!B40</f>
        <v>Entibado metálico -Profundidades mayores a 3.0 m ;para protección de excavaciones. por ambas caras.</v>
      </c>
      <c r="C8" s="2257"/>
      <c r="D8" s="2257"/>
      <c r="E8" s="225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966</v>
      </c>
      <c r="B13" s="305" t="str">
        <f t="shared" ref="B13:B18" si="0">IF(A13="","",VLOOKUP(A13,EQUI,2,FALSE))</f>
        <v>Herramienta Menor (5% de la mano de obra).</v>
      </c>
      <c r="C13" s="306"/>
      <c r="D13" s="306"/>
      <c r="E13" s="276" t="str">
        <f t="shared" ref="E13:E18" si="1">IF(A13="","",VLOOKUP(A13,EQUI,3,FALSE))</f>
        <v>%</v>
      </c>
      <c r="F13" s="433">
        <f>IF(A13="","",VLOOKUP(A13,EQUI,4,FALSE))</f>
        <v>0.05</v>
      </c>
      <c r="G13" s="307">
        <f>ROUND(F13*H50,0)</f>
        <v>2318</v>
      </c>
      <c r="H13" s="308">
        <f>+G13</f>
        <v>2318</v>
      </c>
      <c r="I13" s="309"/>
    </row>
    <row r="14" spans="1:9">
      <c r="A14" s="536" t="s">
        <v>1625</v>
      </c>
      <c r="B14" s="305" t="str">
        <f>IF(A14="","",VLOOKUP(A14,EQUI,2,FALSE))</f>
        <v>Retroexcavadora de oruga</v>
      </c>
      <c r="C14" s="306"/>
      <c r="D14" s="306"/>
      <c r="E14" s="276" t="str">
        <f t="shared" si="1"/>
        <v>Hora</v>
      </c>
      <c r="F14" s="405">
        <v>12</v>
      </c>
      <c r="G14" s="310">
        <f>IF(A14="","",VLOOKUP(A14,EQUI,4,FALSE))</f>
        <v>180000</v>
      </c>
      <c r="H14" s="311">
        <f>IF(A14="","",ROUND((G14/F14),0))</f>
        <v>15000</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13">
      <c r="A17" s="536"/>
      <c r="B17" s="305" t="str">
        <f t="shared" si="0"/>
        <v/>
      </c>
      <c r="C17" s="306"/>
      <c r="D17" s="306"/>
      <c r="E17" s="276" t="str">
        <f t="shared" si="1"/>
        <v/>
      </c>
      <c r="F17" s="405"/>
      <c r="G17" s="310" t="str">
        <f>IF(A17="","",VLOOKUP(A17,EQUI,4,FALSE))</f>
        <v/>
      </c>
      <c r="H17" s="311" t="str">
        <f>IF(A17="","",ROUND((G17/F17),0))</f>
        <v/>
      </c>
    </row>
    <row r="18" spans="1:13" ht="13.5" thickBot="1">
      <c r="A18" s="537"/>
      <c r="B18" s="313" t="str">
        <f t="shared" si="0"/>
        <v/>
      </c>
      <c r="C18" s="313"/>
      <c r="D18" s="314"/>
      <c r="E18" s="315" t="str">
        <f t="shared" si="1"/>
        <v/>
      </c>
      <c r="F18" s="408"/>
      <c r="G18" s="316" t="str">
        <f>IF(A18="","",VLOOKUP(A18,EQUI,4,FALSE))</f>
        <v/>
      </c>
      <c r="H18" s="311" t="str">
        <f>IF(A18="","",ROUND((G18/F18),0))</f>
        <v/>
      </c>
    </row>
    <row r="19" spans="1:13" ht="13.5" thickBot="1">
      <c r="A19" s="285"/>
      <c r="B19" s="285"/>
      <c r="C19" s="285"/>
      <c r="D19" s="285"/>
      <c r="E19" s="286"/>
      <c r="F19" s="285"/>
      <c r="G19" s="317" t="s">
        <v>529</v>
      </c>
      <c r="H19" s="318">
        <f>ROUND(SUM(H13:H18),0)</f>
        <v>17318</v>
      </c>
    </row>
    <row r="20" spans="1:13">
      <c r="A20" s="285"/>
      <c r="B20" s="285"/>
      <c r="C20" s="285"/>
      <c r="D20" s="285"/>
      <c r="E20" s="286"/>
      <c r="F20" s="285"/>
      <c r="G20" s="286"/>
      <c r="H20" s="319"/>
    </row>
    <row r="21" spans="1:13" ht="13.5" thickBot="1">
      <c r="A21" s="295" t="s">
        <v>530</v>
      </c>
      <c r="B21" s="295"/>
      <c r="C21" s="295"/>
      <c r="D21" s="295"/>
      <c r="E21" s="320"/>
      <c r="F21" s="314"/>
      <c r="G21" s="314"/>
      <c r="H21" s="314"/>
    </row>
    <row r="22" spans="1:13" ht="13.5" thickBot="1">
      <c r="A22" s="297" t="s">
        <v>527</v>
      </c>
      <c r="B22" s="298"/>
      <c r="C22" s="299" t="s">
        <v>521</v>
      </c>
      <c r="D22" s="299"/>
      <c r="E22" s="321" t="s">
        <v>515</v>
      </c>
      <c r="F22" s="322" t="s">
        <v>7</v>
      </c>
      <c r="G22" s="303" t="s">
        <v>832</v>
      </c>
      <c r="H22" s="278" t="s">
        <v>831</v>
      </c>
    </row>
    <row r="23" spans="1:13" ht="49.5" customHeight="1">
      <c r="A23" s="533"/>
      <c r="B23" s="2259" t="s">
        <v>2561</v>
      </c>
      <c r="C23" s="2260"/>
      <c r="D23" s="2261"/>
      <c r="E23" s="815" t="s">
        <v>1681</v>
      </c>
      <c r="F23" s="405">
        <v>1</v>
      </c>
      <c r="G23" s="310">
        <v>85000</v>
      </c>
      <c r="H23" s="311">
        <f>ROUND((G23*F23),0)</f>
        <v>85000</v>
      </c>
      <c r="I23" s="822"/>
      <c r="J23" s="823"/>
      <c r="K23" s="823"/>
      <c r="L23" s="824"/>
      <c r="M23" s="823"/>
    </row>
    <row r="24" spans="1:13" ht="26.25" customHeight="1">
      <c r="A24" s="534"/>
      <c r="B24" s="2262" t="s">
        <v>2562</v>
      </c>
      <c r="C24" s="2263"/>
      <c r="D24" s="2264"/>
      <c r="E24" s="815" t="s">
        <v>1681</v>
      </c>
      <c r="F24" s="405">
        <v>1</v>
      </c>
      <c r="G24" s="310">
        <v>9000</v>
      </c>
      <c r="H24" s="311">
        <f>ROUND((G24*F24),0)</f>
        <v>9000</v>
      </c>
      <c r="I24" s="825"/>
      <c r="J24" s="825"/>
      <c r="K24" s="825"/>
      <c r="L24" s="825"/>
      <c r="M24" s="825"/>
    </row>
    <row r="25" spans="1:13">
      <c r="A25" s="534"/>
      <c r="B25" s="305"/>
      <c r="C25" s="305"/>
      <c r="D25" s="306"/>
      <c r="E25" s="276"/>
      <c r="F25" s="585"/>
      <c r="G25" s="310"/>
      <c r="H25" s="311"/>
      <c r="I25" s="822"/>
      <c r="J25" s="823"/>
      <c r="K25" s="823"/>
      <c r="L25" s="824"/>
      <c r="M25" s="824"/>
    </row>
    <row r="26" spans="1:13">
      <c r="A26" s="534"/>
      <c r="B26" s="305"/>
      <c r="C26" s="305"/>
      <c r="D26" s="306"/>
      <c r="E26" s="276" t="str">
        <f t="shared" ref="E26:E32" si="2">IF(A26="","",VLOOKUP(A26,MAT,3,FALSE))</f>
        <v/>
      </c>
      <c r="F26" s="405"/>
      <c r="G26" s="310" t="str">
        <f t="shared" ref="G26:G32" si="3">IF(A26="","",VLOOKUP(A26,MAT,5,FALSE))</f>
        <v/>
      </c>
      <c r="H26" s="311" t="str">
        <f t="shared" ref="H26:H32" si="4">IF(A26="","",ROUND((G26*F26),0))</f>
        <v/>
      </c>
      <c r="I26" s="825"/>
      <c r="J26" s="825"/>
      <c r="K26" s="825"/>
      <c r="L26" s="825"/>
      <c r="M26" s="825"/>
    </row>
    <row r="27" spans="1:13">
      <c r="A27" s="534"/>
      <c r="B27" s="305"/>
      <c r="C27" s="305"/>
      <c r="D27" s="306"/>
      <c r="E27" s="276" t="str">
        <f t="shared" si="2"/>
        <v/>
      </c>
      <c r="F27" s="405"/>
      <c r="G27" s="310" t="str">
        <f t="shared" si="3"/>
        <v/>
      </c>
      <c r="H27" s="311" t="str">
        <f t="shared" si="4"/>
        <v/>
      </c>
      <c r="I27" s="822"/>
      <c r="J27"/>
      <c r="K27"/>
      <c r="L27"/>
      <c r="M27"/>
    </row>
    <row r="28" spans="1:13">
      <c r="A28" s="534"/>
      <c r="B28" s="305"/>
      <c r="C28" s="305"/>
      <c r="D28" s="306"/>
      <c r="E28" s="276" t="str">
        <f t="shared" si="2"/>
        <v/>
      </c>
      <c r="F28" s="405"/>
      <c r="G28" s="310" t="str">
        <f t="shared" si="3"/>
        <v/>
      </c>
      <c r="H28" s="311" t="str">
        <f t="shared" si="4"/>
        <v/>
      </c>
    </row>
    <row r="29" spans="1:13">
      <c r="A29" s="534"/>
      <c r="B29" s="305" t="str">
        <f>IF(A29="","",VLOOKUP(A29,MAT,2,FALSE))</f>
        <v/>
      </c>
      <c r="C29" s="305"/>
      <c r="D29" s="306"/>
      <c r="E29" s="276" t="str">
        <f t="shared" si="2"/>
        <v/>
      </c>
      <c r="F29" s="405"/>
      <c r="G29" s="310" t="str">
        <f t="shared" si="3"/>
        <v/>
      </c>
      <c r="H29" s="311" t="str">
        <f t="shared" si="4"/>
        <v/>
      </c>
    </row>
    <row r="30" spans="1:13">
      <c r="A30" s="534"/>
      <c r="B30" s="305" t="str">
        <f>IF(A30="","",VLOOKUP(A30,MAT,2,FALSE))</f>
        <v/>
      </c>
      <c r="C30" s="305"/>
      <c r="D30" s="306"/>
      <c r="E30" s="276" t="str">
        <f t="shared" si="2"/>
        <v/>
      </c>
      <c r="F30" s="405"/>
      <c r="G30" s="310" t="str">
        <f t="shared" si="3"/>
        <v/>
      </c>
      <c r="H30" s="311" t="str">
        <f t="shared" si="4"/>
        <v/>
      </c>
    </row>
    <row r="31" spans="1:13">
      <c r="A31" s="534"/>
      <c r="B31" s="305" t="str">
        <f>IF(A31="","",VLOOKUP(A31,MAT,2,FALSE))</f>
        <v/>
      </c>
      <c r="C31" s="305"/>
      <c r="D31" s="306"/>
      <c r="E31" s="276" t="str">
        <f t="shared" si="2"/>
        <v/>
      </c>
      <c r="F31" s="405"/>
      <c r="G31" s="310" t="str">
        <f t="shared" si="3"/>
        <v/>
      </c>
      <c r="H31" s="311" t="str">
        <f t="shared" si="4"/>
        <v/>
      </c>
    </row>
    <row r="32" spans="1:13" ht="13.5" thickBot="1">
      <c r="A32" s="535"/>
      <c r="B32" s="326" t="str">
        <f>IF(A32="","",VLOOKUP(A32,MAT,2,FALSE))</f>
        <v/>
      </c>
      <c r="C32" s="314"/>
      <c r="D32" s="314"/>
      <c r="E32" s="315" t="str">
        <f t="shared" si="2"/>
        <v/>
      </c>
      <c r="F32" s="406"/>
      <c r="G32" s="327" t="str">
        <f t="shared" si="3"/>
        <v/>
      </c>
      <c r="H32" s="311" t="str">
        <f t="shared" si="4"/>
        <v/>
      </c>
    </row>
    <row r="33" spans="1:8" ht="13.5" thickBot="1">
      <c r="A33" s="285"/>
      <c r="B33" s="285"/>
      <c r="C33" s="285"/>
      <c r="D33" s="285"/>
      <c r="E33" s="286"/>
      <c r="F33" s="285"/>
      <c r="G33" s="210" t="s">
        <v>529</v>
      </c>
      <c r="H33" s="328">
        <f>ROUND(SUM(H23:H32),0)</f>
        <v>94000</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546"/>
      <c r="B37" s="305"/>
      <c r="C37" s="333"/>
      <c r="D37" s="409"/>
      <c r="E37" s="419"/>
      <c r="F37" s="413"/>
      <c r="G37" s="334"/>
      <c r="H37" s="311"/>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t="str">
        <f>IF(A39="","",ROUND((G39*F39*E39),0))</f>
        <v/>
      </c>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0</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940</v>
      </c>
      <c r="B46" s="2192" t="str">
        <f>IF(A46="","",VLOOKUP(A46,MO,2,FALSE))</f>
        <v>Cuadrilla NN: Instalaciones hidrosanitarias. (1 Of.Insta.+ 2 Ayud.).</v>
      </c>
      <c r="C46" s="2193"/>
      <c r="D46" s="2194"/>
      <c r="E46" s="538" t="str">
        <f>IF(A46="","",VLOOKUP(A46,MO,13,FALSE))</f>
        <v>HC</v>
      </c>
      <c r="F46" s="544">
        <v>2.1</v>
      </c>
      <c r="G46" s="540">
        <f>IF(A46="","",VLOOKUP(A46,MO,15,FALSE))</f>
        <v>97342</v>
      </c>
      <c r="H46" s="542">
        <f>IF(A46="","",ROUND((G46/F46),0))</f>
        <v>46353</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46353</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157671</v>
      </c>
    </row>
    <row r="53" spans="1:8">
      <c r="A53" s="285"/>
      <c r="B53" s="285"/>
      <c r="C53" s="285"/>
      <c r="D53" s="285"/>
      <c r="E53" s="346" t="s">
        <v>2697</v>
      </c>
      <c r="F53" s="347"/>
      <c r="G53" s="347">
        <v>0.3</v>
      </c>
      <c r="H53" s="349">
        <f>H52*G53</f>
        <v>47301.299999999996</v>
      </c>
    </row>
    <row r="54" spans="1:8">
      <c r="A54" s="285"/>
      <c r="B54" s="285"/>
      <c r="C54" s="285"/>
      <c r="D54" s="285"/>
      <c r="E54" s="346"/>
      <c r="F54" s="347"/>
      <c r="G54" s="347"/>
      <c r="H54" s="349">
        <f>SUM(H52:H53)</f>
        <v>204972.3</v>
      </c>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ht="15">
      <c r="A59" s="1243" t="str">
        <f>+[14]PRESUPUESTO!$A$113</f>
        <v>__________________________________________</v>
      </c>
      <c r="B59" s="1243"/>
      <c r="C59" s="1244"/>
    </row>
    <row r="60" spans="1:8" ht="15.75">
      <c r="A60" s="1245" t="str">
        <f>+[14]PRESUPUESTO!$A$114</f>
        <v>Ing. JHON FREDY GARCIA MENDEZ</v>
      </c>
      <c r="B60" s="1243"/>
      <c r="C60" s="1244"/>
    </row>
    <row r="61" spans="1:8" ht="15.75">
      <c r="A61" s="1246" t="str">
        <f>+[14]PRESUPUESTO!$A$115</f>
        <v>M.P.  70268-326294 TLM.</v>
      </c>
      <c r="B61" s="1243"/>
      <c r="C61" s="1244"/>
    </row>
    <row r="62" spans="1:8" ht="15.75">
      <c r="A62" s="1246" t="str">
        <f>+[14]PRESUPUESTO!$A$116</f>
        <v>CONSULTOR</v>
      </c>
      <c r="B62" s="1243"/>
      <c r="C62" s="1244"/>
    </row>
  </sheetData>
  <mergeCells count="17">
    <mergeCell ref="B47:D47"/>
    <mergeCell ref="B48:D48"/>
    <mergeCell ref="B49:D49"/>
    <mergeCell ref="B6:D6"/>
    <mergeCell ref="B7:E7"/>
    <mergeCell ref="B8:E8"/>
    <mergeCell ref="B36:C36"/>
    <mergeCell ref="B45:D45"/>
    <mergeCell ref="B46:D46"/>
    <mergeCell ref="B23:D23"/>
    <mergeCell ref="B24:D24"/>
    <mergeCell ref="D2:E4"/>
    <mergeCell ref="F2:H2"/>
    <mergeCell ref="F3:H3"/>
    <mergeCell ref="F4:H4"/>
    <mergeCell ref="A5:E5"/>
    <mergeCell ref="F5:H5"/>
  </mergeCells>
  <pageMargins left="0.75" right="0.75" top="1" bottom="1" header="0" footer="0"/>
  <pageSetup scale="70" orientation="portrait" r:id="rId1"/>
  <headerFooter alignWithMargins="0"/>
  <drawing r:id="rId2"/>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Hoja96">
    <tabColor theme="6" tint="0.79998168889431442"/>
  </sheetPr>
  <dimension ref="A1:I62"/>
  <sheetViews>
    <sheetView view="pageBreakPreview" topLeftCell="A7" zoomScale="90" zoomScaleNormal="100" zoomScaleSheetLayoutView="90" workbookViewId="0">
      <selection activeCell="G23" sqref="G23"/>
    </sheetView>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8.7109375" style="247" customWidth="1"/>
    <col min="8" max="8" width="16.2851562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f>PRESUPUESTO!A43</f>
        <v>1.5</v>
      </c>
      <c r="B7" s="2185" t="str">
        <f>PRESUPUESTO!B43</f>
        <v>POZOS DE INSPECCIÓN</v>
      </c>
      <c r="C7" s="2185"/>
      <c r="D7" s="2185"/>
      <c r="E7" s="2185"/>
      <c r="F7" s="289"/>
      <c r="G7" s="290" t="s">
        <v>525</v>
      </c>
      <c r="H7" s="97" t="str">
        <f>+PRESUPUESTO!C44</f>
        <v>Und.</v>
      </c>
    </row>
    <row r="8" spans="1:9" ht="104.25" customHeight="1">
      <c r="A8" s="97" t="str">
        <f>+PRESUPUESTO!A44</f>
        <v>1.5.1</v>
      </c>
      <c r="B8" s="2256" t="str">
        <f>+PRESUPUESTO!B44</f>
        <v>Construcción de pozo de inspección a todo costo, en concreto impermeabilizado de 4000 PSI de resistencia a los 28 días, espesor de 0,20 m. Incluye: formaleta,  producción, mezcla, vaciado, desencofrado, cañuelas pulidas en concreto puro, escalones en hierro de 3/4" separados cada 0,40 m. Llevará cono de reducción, diámetro interno de 1,20 m. y espesor 0,20 m., suministro e instalación de  aro tapa HD clase D400, mano de obra, curado, desencofrada, equipo, herramientas y todo lo relacionado para la correcta ejecución de la obra; diametro total 1,60 m. incluye: Base y cañuela.Pozo de Inspección de 0 a 2.00 metros de altura, desde la cota batea.</v>
      </c>
      <c r="C8" s="2257"/>
      <c r="D8" s="2257"/>
      <c r="E8" s="225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966</v>
      </c>
      <c r="B13" s="305" t="str">
        <f t="shared" ref="B13:B18" si="0">IF(A13="","",VLOOKUP(A13,EQUI,2,FALSE))</f>
        <v>Herramienta Menor (5% de la mano de obra).</v>
      </c>
      <c r="C13" s="306"/>
      <c r="D13" s="306"/>
      <c r="E13" s="276" t="str">
        <f t="shared" ref="E13:E18" si="1">IF(A13="","",VLOOKUP(A13,EQUI,3,FALSE))</f>
        <v>%</v>
      </c>
      <c r="F13" s="433">
        <f>IF(A13="","",VLOOKUP(A13,EQUI,4,FALSE))</f>
        <v>0.05</v>
      </c>
      <c r="G13" s="307">
        <f>ROUND(F13*H50,0)</f>
        <v>35408</v>
      </c>
      <c r="H13" s="308">
        <f>+G13</f>
        <v>35408</v>
      </c>
      <c r="I13" s="309"/>
    </row>
    <row r="14" spans="1:9">
      <c r="A14" s="536" t="s">
        <v>1623</v>
      </c>
      <c r="B14" s="305" t="str">
        <f t="shared" si="0"/>
        <v>Formaleta metálica para pozo</v>
      </c>
      <c r="C14" s="306"/>
      <c r="D14" s="306"/>
      <c r="E14" s="276" t="str">
        <f t="shared" si="1"/>
        <v>Día</v>
      </c>
      <c r="F14" s="405">
        <v>1</v>
      </c>
      <c r="G14" s="310">
        <f>IF(A14="","",VLOOKUP(A14,EQUI,4,FALSE))</f>
        <v>115000</v>
      </c>
      <c r="H14" s="311">
        <f>IF(A14="","",ROUND((G14/F14),0))</f>
        <v>115000</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150408</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t="s">
        <v>550</v>
      </c>
      <c r="B23" s="353" t="str">
        <f>IF(A23="","",VLOOKUP(A23,MAT,2,FALSE))</f>
        <v>Concreto de 280 Kg/cm2 (4000 PSI)</v>
      </c>
      <c r="C23" s="305"/>
      <c r="D23" s="306"/>
      <c r="E23" s="276" t="str">
        <f>IF(A23="","",VLOOKUP(A23,MAT,3,FALSE))</f>
        <v>m3</v>
      </c>
      <c r="F23" s="405">
        <v>2.19</v>
      </c>
      <c r="G23" s="310">
        <f>IF(A23="","",VLOOKUP(A23,MAT,5,FALSE))</f>
        <v>773984</v>
      </c>
      <c r="H23" s="311">
        <f>IF(A23="","",ROUND((G23*F23),0))</f>
        <v>1695025</v>
      </c>
    </row>
    <row r="24" spans="1:8">
      <c r="A24" s="534" t="s">
        <v>617</v>
      </c>
      <c r="B24" s="1237" t="s">
        <v>2563</v>
      </c>
      <c r="C24" s="305"/>
      <c r="D24" s="306"/>
      <c r="E24" s="276" t="str">
        <f>IF(A24="","",VLOOKUP(A24,MAT,3,FALSE))</f>
        <v>UND</v>
      </c>
      <c r="F24" s="405">
        <v>1</v>
      </c>
      <c r="G24" s="310">
        <f>IF(A24="","",VLOOKUP(A24,MAT,5,FALSE))</f>
        <v>950000</v>
      </c>
      <c r="H24" s="311">
        <f>IF(A24="","",ROUND((G24*F24),0))</f>
        <v>950000</v>
      </c>
    </row>
    <row r="25" spans="1:8">
      <c r="A25" s="534" t="s">
        <v>1703</v>
      </c>
      <c r="B25" s="1210" t="str">
        <f>IF(A25="","",VLOOKUP(A25,MAT,2,FALSE))</f>
        <v>Acero  de refuerzo de 60000 psi.</v>
      </c>
      <c r="C25" s="305"/>
      <c r="D25" s="306"/>
      <c r="E25" s="276" t="str">
        <f>IF(A25="","",VLOOKUP(A25,MAT,3,FALSE))</f>
        <v>kg</v>
      </c>
      <c r="F25" s="405">
        <v>40</v>
      </c>
      <c r="G25" s="310">
        <f>IF(A25="","",VLOOKUP(A25,MAT,5,FALSE))</f>
        <v>5200</v>
      </c>
      <c r="H25" s="311">
        <f>IF(A25="","",ROUND((G25*F25),0))</f>
        <v>208000</v>
      </c>
    </row>
    <row r="26" spans="1:8">
      <c r="A26" s="534"/>
      <c r="B26" s="816" t="s">
        <v>2564</v>
      </c>
      <c r="C26" s="305"/>
      <c r="D26" s="306"/>
      <c r="E26" s="815" t="s">
        <v>2419</v>
      </c>
      <c r="F26" s="405">
        <v>2</v>
      </c>
      <c r="G26" s="310">
        <v>42000</v>
      </c>
      <c r="H26" s="311">
        <f>ROUND((G26*F26),0)</f>
        <v>84000</v>
      </c>
    </row>
    <row r="27" spans="1:8">
      <c r="A27" s="534"/>
      <c r="B27" s="816" t="s">
        <v>2565</v>
      </c>
      <c r="C27" s="305"/>
      <c r="D27" s="306"/>
      <c r="E27" s="815" t="s">
        <v>143</v>
      </c>
      <c r="F27" s="405">
        <v>6</v>
      </c>
      <c r="G27" s="310">
        <v>35000</v>
      </c>
      <c r="H27" s="311">
        <f>ROUND((G27*F27),0)</f>
        <v>210000</v>
      </c>
    </row>
    <row r="28" spans="1:8">
      <c r="A28" s="534"/>
      <c r="B28" s="305" t="str">
        <f t="shared" ref="B28:B32" si="2">IF(A28="","",VLOOKUP(A28,MAT,2,FALSE))</f>
        <v/>
      </c>
      <c r="C28" s="305"/>
      <c r="D28" s="306"/>
      <c r="E28" s="276" t="str">
        <f t="shared" ref="E28:E32" si="3">IF(A28="","",VLOOKUP(A28,MAT,3,FALSE))</f>
        <v/>
      </c>
      <c r="F28" s="405"/>
      <c r="G28" s="310" t="str">
        <f t="shared" ref="G28:G32" si="4">IF(A28="","",VLOOKUP(A28,MAT,5,FALSE))</f>
        <v/>
      </c>
      <c r="H28" s="311" t="str">
        <f t="shared" ref="H28:H32" si="5">IF(A28="","",ROUND((G28*F28),0))</f>
        <v/>
      </c>
    </row>
    <row r="29" spans="1:8">
      <c r="A29" s="534"/>
      <c r="B29" s="305" t="str">
        <f t="shared" si="2"/>
        <v/>
      </c>
      <c r="C29" s="305"/>
      <c r="D29" s="306"/>
      <c r="E29" s="276" t="str">
        <f t="shared" si="3"/>
        <v/>
      </c>
      <c r="F29" s="405"/>
      <c r="G29" s="310" t="str">
        <f t="shared" si="4"/>
        <v/>
      </c>
      <c r="H29" s="311" t="str">
        <f t="shared" si="5"/>
        <v/>
      </c>
    </row>
    <row r="30" spans="1:8">
      <c r="A30" s="534"/>
      <c r="B30" s="305" t="str">
        <f t="shared" si="2"/>
        <v/>
      </c>
      <c r="C30" s="305"/>
      <c r="D30" s="306"/>
      <c r="E30" s="276" t="str">
        <f t="shared" si="3"/>
        <v/>
      </c>
      <c r="F30" s="405"/>
      <c r="G30" s="310" t="str">
        <f t="shared" si="4"/>
        <v/>
      </c>
      <c r="H30" s="311" t="str">
        <f t="shared" si="5"/>
        <v/>
      </c>
    </row>
    <row r="31" spans="1:8">
      <c r="A31" s="534"/>
      <c r="B31" s="305" t="str">
        <f t="shared" si="2"/>
        <v/>
      </c>
      <c r="C31" s="305"/>
      <c r="D31" s="306"/>
      <c r="E31" s="276" t="str">
        <f t="shared" si="3"/>
        <v/>
      </c>
      <c r="F31" s="405"/>
      <c r="G31" s="310" t="str">
        <f t="shared" si="4"/>
        <v/>
      </c>
      <c r="H31" s="311" t="str">
        <f t="shared" si="5"/>
        <v/>
      </c>
    </row>
    <row r="32" spans="1:8" ht="13.5" thickBot="1">
      <c r="A32" s="535"/>
      <c r="B32" s="326" t="str">
        <f t="shared" si="2"/>
        <v/>
      </c>
      <c r="C32" s="314"/>
      <c r="D32" s="314"/>
      <c r="E32" s="315" t="str">
        <f t="shared" si="3"/>
        <v/>
      </c>
      <c r="F32" s="406"/>
      <c r="G32" s="327" t="str">
        <f t="shared" si="4"/>
        <v/>
      </c>
      <c r="H32" s="311" t="str">
        <f t="shared" si="5"/>
        <v/>
      </c>
    </row>
    <row r="33" spans="1:8" ht="13.5" thickBot="1">
      <c r="A33" s="285"/>
      <c r="B33" s="285"/>
      <c r="C33" s="285"/>
      <c r="D33" s="285"/>
      <c r="E33" s="286"/>
      <c r="F33" s="285"/>
      <c r="G33" s="210" t="s">
        <v>529</v>
      </c>
      <c r="H33" s="328">
        <f>ROUND(SUM(H23:H32),0)</f>
        <v>3147025</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546"/>
      <c r="B37" s="305"/>
      <c r="C37" s="333"/>
      <c r="D37" s="409"/>
      <c r="E37" s="419"/>
      <c r="F37" s="413"/>
      <c r="G37" s="334"/>
      <c r="H37" s="311"/>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t="str">
        <f>IF(A39="","",ROUND((G39*F39*E39),0))</f>
        <v/>
      </c>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0</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883</v>
      </c>
      <c r="B46" s="2192" t="str">
        <f>IF(A46="","",VLOOKUP(A46,MO,2,FALSE))</f>
        <v>Cuadrilla AA: Albañilería. (1 Of. + 1 Ayud.).</v>
      </c>
      <c r="C46" s="2193"/>
      <c r="D46" s="2194"/>
      <c r="E46" s="538" t="str">
        <f>IF(A46="","",VLOOKUP(A46,MO,13,FALSE))</f>
        <v>HC</v>
      </c>
      <c r="F46" s="618">
        <v>5.5E-2</v>
      </c>
      <c r="G46" s="540">
        <f>IF(A46="","",VLOOKUP(A46,MO,15,FALSE))</f>
        <v>38949</v>
      </c>
      <c r="H46" s="542">
        <f>IF(A46="","",ROUND((G46/F46),0))</f>
        <v>708164</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708164</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4005597</v>
      </c>
    </row>
    <row r="53" spans="1:8">
      <c r="A53" s="285"/>
      <c r="B53" s="285"/>
      <c r="C53" s="285"/>
      <c r="D53" s="285"/>
      <c r="E53" s="346" t="s">
        <v>2697</v>
      </c>
      <c r="F53" s="347"/>
      <c r="G53" s="347">
        <v>0.3</v>
      </c>
      <c r="H53" s="349">
        <f>H52*G53</f>
        <v>1201679.0999999999</v>
      </c>
    </row>
    <row r="54" spans="1:8">
      <c r="A54" s="285"/>
      <c r="B54" s="285"/>
      <c r="C54" s="285"/>
      <c r="D54" s="285"/>
      <c r="E54" s="346"/>
      <c r="F54" s="347"/>
      <c r="G54" s="347"/>
      <c r="H54" s="349">
        <f>SUM(H52:H53)</f>
        <v>5207276.0999999996</v>
      </c>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ht="15">
      <c r="A59" s="1243" t="str">
        <f>+[14]PRESUPUESTO!$A$113</f>
        <v>__________________________________________</v>
      </c>
      <c r="B59" s="1243"/>
      <c r="C59" s="1244"/>
    </row>
    <row r="60" spans="1:8" ht="15.75">
      <c r="A60" s="1245" t="str">
        <f>+[14]PRESUPUESTO!$A$114</f>
        <v>Ing. JHON FREDY GARCIA MENDEZ</v>
      </c>
      <c r="B60" s="1243"/>
      <c r="C60" s="1244"/>
    </row>
    <row r="61" spans="1:8" ht="15.75">
      <c r="A61" s="1246" t="str">
        <f>+[14]PRESUPUESTO!$A$115</f>
        <v>M.P.  70268-326294 TLM.</v>
      </c>
      <c r="B61" s="1243"/>
      <c r="C61" s="1244"/>
    </row>
    <row r="62" spans="1:8" ht="15.75">
      <c r="A62" s="1246" t="str">
        <f>+[14]PRESUPUESTO!$A$116</f>
        <v>CONSULTOR</v>
      </c>
      <c r="B62" s="1243"/>
      <c r="C62" s="1244"/>
    </row>
  </sheetData>
  <mergeCells count="15">
    <mergeCell ref="B47:D47"/>
    <mergeCell ref="B48:D48"/>
    <mergeCell ref="B49:D49"/>
    <mergeCell ref="B6:D6"/>
    <mergeCell ref="B7:E7"/>
    <mergeCell ref="B8:E8"/>
    <mergeCell ref="B36:C36"/>
    <mergeCell ref="B45:D45"/>
    <mergeCell ref="B46:D46"/>
    <mergeCell ref="D2:E4"/>
    <mergeCell ref="F2:H2"/>
    <mergeCell ref="F3:H3"/>
    <mergeCell ref="F4:H4"/>
    <mergeCell ref="A5:E5"/>
    <mergeCell ref="F5:H5"/>
  </mergeCells>
  <pageMargins left="0.74803149606299213" right="0.74803149606299213" top="0.98425196850393704" bottom="0.98425196850393704" header="0" footer="0"/>
  <pageSetup scale="65" orientation="portrait" r:id="rId1"/>
  <headerFooter alignWithMargins="0"/>
  <drawing r:id="rId2"/>
  <legacyDrawing r:id="rId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Hoja97">
    <tabColor theme="6" tint="0.79998168889431442"/>
  </sheetPr>
  <dimension ref="A1:I62"/>
  <sheetViews>
    <sheetView view="pageBreakPreview" topLeftCell="A32" zoomScaleNormal="100" zoomScaleSheetLayoutView="100" workbookViewId="0">
      <selection activeCell="E53" sqref="E53:H54"/>
    </sheetView>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6" style="247" customWidth="1"/>
    <col min="8" max="8" width="14.570312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f>PRESUPUESTO!A43</f>
        <v>1.5</v>
      </c>
      <c r="B7" s="2185" t="str">
        <f>PRESUPUESTO!B43</f>
        <v>POZOS DE INSPECCIÓN</v>
      </c>
      <c r="C7" s="2185"/>
      <c r="D7" s="2185"/>
      <c r="E7" s="2185"/>
      <c r="F7" s="289"/>
      <c r="G7" s="290" t="s">
        <v>525</v>
      </c>
      <c r="H7" s="97" t="str">
        <f>+PRESUPUESTO!C45</f>
        <v>Und.</v>
      </c>
    </row>
    <row r="8" spans="1:9" ht="113.25" customHeight="1">
      <c r="A8" s="97" t="str">
        <f>+PRESUPUESTO!A45</f>
        <v>1.5.2</v>
      </c>
      <c r="B8" s="2256" t="str">
        <f>+PRESUPUESTO!B45</f>
        <v>Construcción de pozo de inspección a todo costo, en concreto impermeabilizado de 4000 PSI de resistencia a los 28 días, espesor de 0,20 m. Incluye: formaleta,  producción, mezcla, vaciado, desencofrado, cañuelas pulidas en concreto puro, escalones en hierro de 3/4" separados cada 0,40 m. Llevará cono de reducción, diámetro interno de 1,20 m. y espesor 0,20 m., suministro e instalación de aro base y tapa HD clase D400, mano de obra, curado, desencofrada, equipo, herramientas y todo lo relacionado para la correcta ejecución de la obra; diametro total 1,60 m. incluye: Base y canuela. Pozo de Inspección de 0 a 3.00 metros de altura, desde la cota batea.</v>
      </c>
      <c r="C8" s="2257"/>
      <c r="D8" s="2257"/>
      <c r="E8" s="225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966</v>
      </c>
      <c r="B13" s="305" t="str">
        <f t="shared" ref="B13:B18" si="0">IF(A13="","",VLOOKUP(A13,EQUI,2,FALSE))</f>
        <v>Herramienta Menor (5% de la mano de obra).</v>
      </c>
      <c r="C13" s="306"/>
      <c r="D13" s="306"/>
      <c r="E13" s="276" t="str">
        <f t="shared" ref="E13:E18" si="1">IF(A13="","",VLOOKUP(A13,EQUI,3,FALSE))</f>
        <v>%</v>
      </c>
      <c r="F13" s="433">
        <f>IF(A13="","",VLOOKUP(A13,EQUI,4,FALSE))</f>
        <v>0.05</v>
      </c>
      <c r="G13" s="307">
        <f>ROUND(F13*H50,0)</f>
        <v>42336</v>
      </c>
      <c r="H13" s="308">
        <f>+G13</f>
        <v>42336</v>
      </c>
      <c r="I13" s="309"/>
    </row>
    <row r="14" spans="1:9">
      <c r="A14" s="536" t="s">
        <v>1623</v>
      </c>
      <c r="B14" s="305" t="str">
        <f t="shared" si="0"/>
        <v>Formaleta metálica para pozo</v>
      </c>
      <c r="C14" s="306"/>
      <c r="D14" s="306"/>
      <c r="E14" s="276" t="str">
        <f t="shared" si="1"/>
        <v>Día</v>
      </c>
      <c r="F14" s="405">
        <v>1</v>
      </c>
      <c r="G14" s="310">
        <f>IF(A14="","",VLOOKUP(A14,EQUI,4,FALSE))</f>
        <v>115000</v>
      </c>
      <c r="H14" s="311">
        <f>IF(A14="","",ROUND((G14/F14),0))</f>
        <v>115000</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157336</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t="s">
        <v>550</v>
      </c>
      <c r="B23" s="353" t="str">
        <f>IF(A23="","",VLOOKUP(A23,MAT,2,FALSE))</f>
        <v>Concreto de 280 Kg/cm2 (4000 PSI)</v>
      </c>
      <c r="C23" s="305"/>
      <c r="D23" s="306"/>
      <c r="E23" s="276" t="str">
        <f>IF(A23="","",VLOOKUP(A23,MAT,3,FALSE))</f>
        <v>m3</v>
      </c>
      <c r="F23" s="405">
        <v>3.12</v>
      </c>
      <c r="G23" s="310">
        <f>IF(A23="","",VLOOKUP(A23,MAT,5,FALSE))</f>
        <v>773984</v>
      </c>
      <c r="H23" s="311">
        <f>IF(A23="","",ROUND((G23*F23),0))</f>
        <v>2414830</v>
      </c>
    </row>
    <row r="24" spans="1:8">
      <c r="A24" s="534"/>
      <c r="B24" s="1033" t="s">
        <v>2565</v>
      </c>
      <c r="C24" s="305"/>
      <c r="D24" s="306"/>
      <c r="E24" s="815" t="s">
        <v>1681</v>
      </c>
      <c r="F24" s="405">
        <v>8</v>
      </c>
      <c r="G24" s="310">
        <v>35000</v>
      </c>
      <c r="H24" s="311">
        <f>ROUND((G24*F24),0)</f>
        <v>280000</v>
      </c>
    </row>
    <row r="25" spans="1:8">
      <c r="A25" s="534" t="s">
        <v>617</v>
      </c>
      <c r="B25" s="1237" t="s">
        <v>2563</v>
      </c>
      <c r="C25" s="305"/>
      <c r="D25" s="306"/>
      <c r="E25" s="276" t="str">
        <f>IF(A25="","",VLOOKUP(A25,MAT,3,FALSE))</f>
        <v>UND</v>
      </c>
      <c r="F25" s="405">
        <v>1</v>
      </c>
      <c r="G25" s="310">
        <f>IF(A25="","",VLOOKUP(A25,MAT,5,FALSE))</f>
        <v>950000</v>
      </c>
      <c r="H25" s="311">
        <f>IF(A25="","",ROUND((G25*F25),0))</f>
        <v>950000</v>
      </c>
    </row>
    <row r="26" spans="1:8">
      <c r="A26" s="534"/>
      <c r="B26" s="816" t="s">
        <v>2564</v>
      </c>
      <c r="C26" s="305"/>
      <c r="D26" s="306"/>
      <c r="E26" s="815" t="s">
        <v>2419</v>
      </c>
      <c r="F26" s="405">
        <v>3</v>
      </c>
      <c r="G26" s="310">
        <v>42000</v>
      </c>
      <c r="H26" s="311">
        <f>ROUND((G26*F26),0)</f>
        <v>126000</v>
      </c>
    </row>
    <row r="27" spans="1:8">
      <c r="A27" s="534" t="s">
        <v>1703</v>
      </c>
      <c r="B27" s="816" t="s">
        <v>2566</v>
      </c>
      <c r="C27" s="305"/>
      <c r="D27" s="306"/>
      <c r="E27" s="815" t="s">
        <v>2419</v>
      </c>
      <c r="F27" s="405">
        <v>40</v>
      </c>
      <c r="G27" s="310">
        <f>IF(A27="","",VLOOKUP(A27,MAT,5,FALSE))</f>
        <v>5200</v>
      </c>
      <c r="H27" s="311">
        <f>ROUND((G27*F27),0)</f>
        <v>208000</v>
      </c>
    </row>
    <row r="28" spans="1:8">
      <c r="A28" s="534"/>
      <c r="B28" s="305" t="str">
        <f t="shared" ref="B28:B32" si="2">IF(A28="","",VLOOKUP(A28,MAT,2,FALSE))</f>
        <v/>
      </c>
      <c r="C28" s="305"/>
      <c r="D28" s="306"/>
      <c r="E28" s="276" t="str">
        <f t="shared" ref="E28:E32" si="3">IF(A28="","",VLOOKUP(A28,MAT,3,FALSE))</f>
        <v/>
      </c>
      <c r="F28" s="405"/>
      <c r="G28" s="310" t="str">
        <f t="shared" ref="G28:G32" si="4">IF(A28="","",VLOOKUP(A28,MAT,5,FALSE))</f>
        <v/>
      </c>
      <c r="H28" s="311" t="str">
        <f t="shared" ref="H28:H32" si="5">IF(A28="","",ROUND((G28*F28),0))</f>
        <v/>
      </c>
    </row>
    <row r="29" spans="1:8">
      <c r="A29" s="534"/>
      <c r="B29" s="305" t="str">
        <f t="shared" si="2"/>
        <v/>
      </c>
      <c r="C29" s="305"/>
      <c r="D29" s="306"/>
      <c r="E29" s="276" t="str">
        <f t="shared" si="3"/>
        <v/>
      </c>
      <c r="F29" s="405"/>
      <c r="G29" s="310" t="str">
        <f t="shared" si="4"/>
        <v/>
      </c>
      <c r="H29" s="311" t="str">
        <f t="shared" si="5"/>
        <v/>
      </c>
    </row>
    <row r="30" spans="1:8">
      <c r="A30" s="534"/>
      <c r="B30" s="305" t="str">
        <f t="shared" si="2"/>
        <v/>
      </c>
      <c r="C30" s="305"/>
      <c r="D30" s="306"/>
      <c r="E30" s="276" t="str">
        <f t="shared" si="3"/>
        <v/>
      </c>
      <c r="F30" s="405"/>
      <c r="G30" s="310" t="str">
        <f t="shared" si="4"/>
        <v/>
      </c>
      <c r="H30" s="311" t="str">
        <f t="shared" si="5"/>
        <v/>
      </c>
    </row>
    <row r="31" spans="1:8">
      <c r="A31" s="534"/>
      <c r="B31" s="305" t="str">
        <f t="shared" si="2"/>
        <v/>
      </c>
      <c r="C31" s="305"/>
      <c r="D31" s="306"/>
      <c r="E31" s="276" t="str">
        <f t="shared" si="3"/>
        <v/>
      </c>
      <c r="F31" s="405"/>
      <c r="G31" s="310" t="str">
        <f t="shared" si="4"/>
        <v/>
      </c>
      <c r="H31" s="311" t="str">
        <f t="shared" si="5"/>
        <v/>
      </c>
    </row>
    <row r="32" spans="1:8" ht="13.5" thickBot="1">
      <c r="A32" s="535"/>
      <c r="B32" s="326" t="str">
        <f t="shared" si="2"/>
        <v/>
      </c>
      <c r="C32" s="314"/>
      <c r="D32" s="314"/>
      <c r="E32" s="315" t="str">
        <f t="shared" si="3"/>
        <v/>
      </c>
      <c r="F32" s="406"/>
      <c r="G32" s="327" t="str">
        <f t="shared" si="4"/>
        <v/>
      </c>
      <c r="H32" s="311" t="str">
        <f t="shared" si="5"/>
        <v/>
      </c>
    </row>
    <row r="33" spans="1:8" ht="13.5" thickBot="1">
      <c r="A33" s="285"/>
      <c r="B33" s="285"/>
      <c r="C33" s="285"/>
      <c r="D33" s="285"/>
      <c r="E33" s="286"/>
      <c r="F33" s="285"/>
      <c r="G33" s="210" t="s">
        <v>529</v>
      </c>
      <c r="H33" s="328">
        <f>ROUND(SUM(H23:H32),0)</f>
        <v>3978830</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546"/>
      <c r="B37" s="305"/>
      <c r="C37" s="333"/>
      <c r="D37" s="409"/>
      <c r="E37" s="419"/>
      <c r="F37" s="413"/>
      <c r="G37" s="334"/>
      <c r="H37" s="311"/>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t="str">
        <f>IF(A39="","",ROUND((G39*F39*E39),0))</f>
        <v/>
      </c>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0</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883</v>
      </c>
      <c r="B46" s="2192" t="str">
        <f>IF(A46="","",VLOOKUP(A46,MO,2,FALSE))</f>
        <v>Cuadrilla AA: Albañilería. (1 Of. + 1 Ayud.).</v>
      </c>
      <c r="C46" s="2193"/>
      <c r="D46" s="2194"/>
      <c r="E46" s="538" t="str">
        <f>IF(A46="","",VLOOKUP(A46,MO,13,FALSE))</f>
        <v>HC</v>
      </c>
      <c r="F46" s="618">
        <v>4.5999999999999999E-2</v>
      </c>
      <c r="G46" s="540">
        <f>IF(A46="","",VLOOKUP(A46,MO,15,FALSE))</f>
        <v>38949</v>
      </c>
      <c r="H46" s="542">
        <f>IF(A46="","",ROUND((G46/F46),0))</f>
        <v>846717</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846717</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4982883</v>
      </c>
    </row>
    <row r="53" spans="1:8">
      <c r="A53" s="285"/>
      <c r="B53" s="285"/>
      <c r="C53" s="285"/>
      <c r="D53" s="285"/>
      <c r="E53" s="346" t="s">
        <v>2697</v>
      </c>
      <c r="F53" s="347"/>
      <c r="G53" s="347">
        <v>0.3</v>
      </c>
      <c r="H53" s="349">
        <f>H52*G53</f>
        <v>1494864.9</v>
      </c>
    </row>
    <row r="54" spans="1:8">
      <c r="A54" s="285"/>
      <c r="B54" s="285"/>
      <c r="C54" s="285"/>
      <c r="D54" s="285"/>
      <c r="E54" s="346"/>
      <c r="F54" s="347"/>
      <c r="G54" s="347"/>
      <c r="H54" s="349">
        <f>SUM(H52:H53)</f>
        <v>6477747.9000000004</v>
      </c>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ht="15">
      <c r="A59" s="1243" t="str">
        <f>+[14]PRESUPUESTO!$A$113</f>
        <v>__________________________________________</v>
      </c>
      <c r="B59" s="1243"/>
      <c r="C59" s="1244"/>
    </row>
    <row r="60" spans="1:8" ht="15.75">
      <c r="A60" s="1245" t="str">
        <f>+[14]PRESUPUESTO!$A$114</f>
        <v>Ing. JHON FREDY GARCIA MENDEZ</v>
      </c>
      <c r="B60" s="1243"/>
      <c r="C60" s="1244"/>
    </row>
    <row r="61" spans="1:8" ht="15.75">
      <c r="A61" s="1246" t="str">
        <f>+[14]PRESUPUESTO!$A$115</f>
        <v>M.P.  70268-326294 TLM.</v>
      </c>
      <c r="B61" s="1243"/>
      <c r="C61" s="1244"/>
    </row>
    <row r="62" spans="1:8" ht="15.75">
      <c r="A62" s="1246" t="str">
        <f>+[14]PRESUPUESTO!$A$116</f>
        <v>CONSULTOR</v>
      </c>
      <c r="B62" s="1243"/>
      <c r="C62" s="1244"/>
    </row>
  </sheetData>
  <mergeCells count="15">
    <mergeCell ref="B47:D47"/>
    <mergeCell ref="B48:D48"/>
    <mergeCell ref="B49:D49"/>
    <mergeCell ref="B6:D6"/>
    <mergeCell ref="B7:E7"/>
    <mergeCell ref="B8:E8"/>
    <mergeCell ref="B36:C36"/>
    <mergeCell ref="B45:D45"/>
    <mergeCell ref="B46:D46"/>
    <mergeCell ref="D2:E4"/>
    <mergeCell ref="F2:H2"/>
    <mergeCell ref="F3:H3"/>
    <mergeCell ref="F4:H4"/>
    <mergeCell ref="A5:E5"/>
    <mergeCell ref="F5:H5"/>
  </mergeCells>
  <pageMargins left="0.75" right="0.75" top="1" bottom="1" header="0" footer="0"/>
  <pageSetup scale="67" orientation="portrait" r:id="rId1"/>
  <headerFooter alignWithMargins="0"/>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Hoja106">
    <tabColor theme="6" tint="0.79998168889431442"/>
  </sheetPr>
  <dimension ref="A1:I62"/>
  <sheetViews>
    <sheetView view="pageBreakPreview" topLeftCell="A28" zoomScale="90" zoomScaleNormal="100" zoomScaleSheetLayoutView="90" workbookViewId="0">
      <selection activeCell="E53" sqref="E53:H54"/>
    </sheetView>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6.5703125" style="247" customWidth="1"/>
    <col min="8" max="8" width="14.570312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f>PRESUPUESTO!A43</f>
        <v>1.5</v>
      </c>
      <c r="B7" s="2185" t="str">
        <f>PRESUPUESTO!B43</f>
        <v>POZOS DE INSPECCIÓN</v>
      </c>
      <c r="C7" s="2185"/>
      <c r="D7" s="2185"/>
      <c r="E7" s="2185"/>
      <c r="F7" s="289"/>
      <c r="G7" s="290" t="s">
        <v>525</v>
      </c>
      <c r="H7" s="97" t="str">
        <f>+PRESUPUESTO!C46</f>
        <v>Und.</v>
      </c>
    </row>
    <row r="8" spans="1:9" ht="114.75" customHeight="1">
      <c r="A8" s="97" t="str">
        <f>+PRESUPUESTO!A46</f>
        <v>1.5.3</v>
      </c>
      <c r="B8" s="2256" t="str">
        <f>+PRESUPUESTO!B46</f>
        <v>Construcción de pozo de inspección a todo costo, en concreto impermeabilizado de 4000 PSI de resistencia a los 28 días, espesor de 0,20 m. Incluye: formaleta,  producción, mezcla, vaciado, desencofrado, cañuelas pulidas en concreto puro, escalones en hierro de 3/4" separados cada 0,40 m. Llevará cono de reducción, diámetro interno de 1,20 m. y espesor 0,20 m., suministro e instalación de aro base y tapa HD clase D400, mano de obra, curado, desencofrada, equipo, herramientas y todo lo relacionado para la correcta ejecución de la obra; diametro total 1,60 m. incluye: Base y canuela. Pozo de Inspección de 0 a 4.00 metros de altura, desde la cota batea.</v>
      </c>
      <c r="C8" s="2257"/>
      <c r="D8" s="2257"/>
      <c r="E8" s="225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966</v>
      </c>
      <c r="B13" s="305" t="str">
        <f t="shared" ref="B13:B18" si="0">IF(A13="","",VLOOKUP(A13,EQUI,2,FALSE))</f>
        <v>Herramienta Menor (5% de la mano de obra).</v>
      </c>
      <c r="C13" s="306"/>
      <c r="D13" s="306"/>
      <c r="E13" s="276" t="str">
        <f t="shared" ref="E13:E18" si="1">IF(A13="","",VLOOKUP(A13,EQUI,3,FALSE))</f>
        <v>%</v>
      </c>
      <c r="F13" s="433">
        <f>IF(A13="","",VLOOKUP(A13,EQUI,4,FALSE))</f>
        <v>0.05</v>
      </c>
      <c r="G13" s="307">
        <f>ROUND(F13*H50,0)</f>
        <v>54096</v>
      </c>
      <c r="H13" s="308">
        <f>+G13</f>
        <v>54096</v>
      </c>
      <c r="I13" s="309"/>
    </row>
    <row r="14" spans="1:9">
      <c r="A14" s="536" t="s">
        <v>1623</v>
      </c>
      <c r="B14" s="305" t="str">
        <f t="shared" si="0"/>
        <v>Formaleta metálica para pozo</v>
      </c>
      <c r="C14" s="306"/>
      <c r="D14" s="306"/>
      <c r="E14" s="276" t="str">
        <f t="shared" si="1"/>
        <v>Día</v>
      </c>
      <c r="F14" s="405">
        <v>0.87</v>
      </c>
      <c r="G14" s="310">
        <f>IF(A14="","",VLOOKUP(A14,EQUI,4,FALSE))</f>
        <v>115000</v>
      </c>
      <c r="H14" s="311">
        <f>IF(A14="","",ROUND((G14/F14),0))</f>
        <v>132184</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186280</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t="s">
        <v>550</v>
      </c>
      <c r="B23" s="353" t="str">
        <f>IF(A23="","",VLOOKUP(A23,MAT,2,FALSE))</f>
        <v>Concreto de 280 Kg/cm2 (4000 PSI)</v>
      </c>
      <c r="C23" s="305"/>
      <c r="D23" s="306"/>
      <c r="E23" s="276" t="str">
        <f>IF(A23="","",VLOOKUP(A23,MAT,3,FALSE))</f>
        <v>m3</v>
      </c>
      <c r="F23" s="405">
        <v>4.04</v>
      </c>
      <c r="G23" s="310">
        <f>IF(A23="","",VLOOKUP(A23,MAT,5,FALSE))</f>
        <v>773984</v>
      </c>
      <c r="H23" s="311">
        <f>IF(A23="","",ROUND((G23*F23),0))</f>
        <v>3126895</v>
      </c>
    </row>
    <row r="24" spans="1:8">
      <c r="A24" s="534"/>
      <c r="B24" s="1033" t="s">
        <v>2565</v>
      </c>
      <c r="C24" s="305"/>
      <c r="D24" s="306"/>
      <c r="E24" s="815" t="s">
        <v>1681</v>
      </c>
      <c r="F24" s="405">
        <v>12</v>
      </c>
      <c r="G24" s="310">
        <v>35000</v>
      </c>
      <c r="H24" s="311">
        <f>ROUND((G24*F24),0)</f>
        <v>420000</v>
      </c>
    </row>
    <row r="25" spans="1:8">
      <c r="A25" s="534" t="s">
        <v>617</v>
      </c>
      <c r="B25" s="1237" t="s">
        <v>2563</v>
      </c>
      <c r="C25" s="305"/>
      <c r="D25" s="306"/>
      <c r="E25" s="276" t="str">
        <f>IF(A25="","",VLOOKUP(A25,MAT,3,FALSE))</f>
        <v>UND</v>
      </c>
      <c r="F25" s="405">
        <v>1</v>
      </c>
      <c r="G25" s="310">
        <f>IF(A25="","",VLOOKUP(A25,MAT,5,FALSE))</f>
        <v>950000</v>
      </c>
      <c r="H25" s="311">
        <f>IF(A25="","",ROUND((G25*F25),0))</f>
        <v>950000</v>
      </c>
    </row>
    <row r="26" spans="1:8">
      <c r="A26" s="534"/>
      <c r="B26" s="816" t="s">
        <v>2564</v>
      </c>
      <c r="C26" s="305"/>
      <c r="D26" s="306"/>
      <c r="E26" s="815" t="s">
        <v>2419</v>
      </c>
      <c r="F26" s="405">
        <v>4</v>
      </c>
      <c r="G26" s="310">
        <v>42000</v>
      </c>
      <c r="H26" s="311">
        <f>ROUND((G26*F26),0)</f>
        <v>168000</v>
      </c>
    </row>
    <row r="27" spans="1:8">
      <c r="A27" s="534" t="s">
        <v>1703</v>
      </c>
      <c r="B27" s="816" t="s">
        <v>2566</v>
      </c>
      <c r="C27" s="305"/>
      <c r="D27" s="306"/>
      <c r="E27" s="815" t="s">
        <v>2419</v>
      </c>
      <c r="F27" s="405">
        <v>40</v>
      </c>
      <c r="G27" s="310">
        <f>IF(A27="","",VLOOKUP(A27,MAT,5,FALSE))</f>
        <v>5200</v>
      </c>
      <c r="H27" s="311">
        <f>ROUND((G27*F27),0)</f>
        <v>208000</v>
      </c>
    </row>
    <row r="28" spans="1:8">
      <c r="A28" s="534"/>
      <c r="B28" s="305" t="str">
        <f t="shared" ref="B28:B32" si="2">IF(A28="","",VLOOKUP(A28,MAT,2,FALSE))</f>
        <v/>
      </c>
      <c r="C28" s="305"/>
      <c r="D28" s="306"/>
      <c r="E28" s="276" t="str">
        <f t="shared" ref="E28:E32" si="3">IF(A28="","",VLOOKUP(A28,MAT,3,FALSE))</f>
        <v/>
      </c>
      <c r="F28" s="405"/>
      <c r="G28" s="310" t="str">
        <f t="shared" ref="G28:G32" si="4">IF(A28="","",VLOOKUP(A28,MAT,5,FALSE))</f>
        <v/>
      </c>
      <c r="H28" s="311" t="str">
        <f t="shared" ref="H28:H32" si="5">IF(A28="","",ROUND((G28*F28),0))</f>
        <v/>
      </c>
    </row>
    <row r="29" spans="1:8">
      <c r="A29" s="534"/>
      <c r="B29" s="305" t="str">
        <f t="shared" si="2"/>
        <v/>
      </c>
      <c r="C29" s="305"/>
      <c r="D29" s="306"/>
      <c r="E29" s="276" t="str">
        <f t="shared" si="3"/>
        <v/>
      </c>
      <c r="F29" s="405"/>
      <c r="G29" s="310" t="str">
        <f t="shared" si="4"/>
        <v/>
      </c>
      <c r="H29" s="311" t="str">
        <f t="shared" si="5"/>
        <v/>
      </c>
    </row>
    <row r="30" spans="1:8">
      <c r="A30" s="534"/>
      <c r="B30" s="305" t="str">
        <f t="shared" si="2"/>
        <v/>
      </c>
      <c r="C30" s="305"/>
      <c r="D30" s="306"/>
      <c r="E30" s="276" t="str">
        <f t="shared" si="3"/>
        <v/>
      </c>
      <c r="F30" s="405"/>
      <c r="G30" s="310" t="str">
        <f t="shared" si="4"/>
        <v/>
      </c>
      <c r="H30" s="311" t="str">
        <f t="shared" si="5"/>
        <v/>
      </c>
    </row>
    <row r="31" spans="1:8">
      <c r="A31" s="534"/>
      <c r="B31" s="305" t="str">
        <f t="shared" si="2"/>
        <v/>
      </c>
      <c r="C31" s="305"/>
      <c r="D31" s="306"/>
      <c r="E31" s="276" t="str">
        <f t="shared" si="3"/>
        <v/>
      </c>
      <c r="F31" s="405"/>
      <c r="G31" s="310" t="str">
        <f t="shared" si="4"/>
        <v/>
      </c>
      <c r="H31" s="311" t="str">
        <f t="shared" si="5"/>
        <v/>
      </c>
    </row>
    <row r="32" spans="1:8" ht="13.5" thickBot="1">
      <c r="A32" s="535"/>
      <c r="B32" s="326" t="str">
        <f t="shared" si="2"/>
        <v/>
      </c>
      <c r="C32" s="314"/>
      <c r="D32" s="314"/>
      <c r="E32" s="315" t="str">
        <f t="shared" si="3"/>
        <v/>
      </c>
      <c r="F32" s="406"/>
      <c r="G32" s="327" t="str">
        <f t="shared" si="4"/>
        <v/>
      </c>
      <c r="H32" s="311" t="str">
        <f t="shared" si="5"/>
        <v/>
      </c>
    </row>
    <row r="33" spans="1:8" ht="13.5" thickBot="1">
      <c r="A33" s="285"/>
      <c r="B33" s="285"/>
      <c r="C33" s="285"/>
      <c r="D33" s="285"/>
      <c r="E33" s="286"/>
      <c r="F33" s="285"/>
      <c r="G33" s="210" t="s">
        <v>529</v>
      </c>
      <c r="H33" s="328">
        <f>ROUND(SUM(H23:H32),0)</f>
        <v>4872895</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546"/>
      <c r="B37" s="305"/>
      <c r="C37" s="333"/>
      <c r="D37" s="409"/>
      <c r="E37" s="419"/>
      <c r="F37" s="413"/>
      <c r="G37" s="334"/>
      <c r="H37" s="311"/>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t="str">
        <f>IF(A39="","",ROUND((G39*F39*E39),0))</f>
        <v/>
      </c>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0</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883</v>
      </c>
      <c r="B46" s="2192" t="str">
        <f>IF(A46="","",VLOOKUP(A46,MO,2,FALSE))</f>
        <v>Cuadrilla AA: Albañilería. (1 Of. + 1 Ayud.).</v>
      </c>
      <c r="C46" s="2193"/>
      <c r="D46" s="2194"/>
      <c r="E46" s="538" t="str">
        <f>IF(A46="","",VLOOKUP(A46,MO,13,FALSE))</f>
        <v>HC</v>
      </c>
      <c r="F46" s="618">
        <v>3.5999999999999997E-2</v>
      </c>
      <c r="G46" s="540">
        <f>IF(A46="","",VLOOKUP(A46,MO,15,FALSE))</f>
        <v>38949</v>
      </c>
      <c r="H46" s="542">
        <f>IF(A46="","",ROUND((G46/F46),0))</f>
        <v>1081917</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1081917</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6141092</v>
      </c>
    </row>
    <row r="53" spans="1:8">
      <c r="A53" s="285"/>
      <c r="B53" s="285"/>
      <c r="C53" s="285"/>
      <c r="D53" s="285"/>
      <c r="E53" s="346" t="s">
        <v>2697</v>
      </c>
      <c r="F53" s="347"/>
      <c r="G53" s="347">
        <v>0.3</v>
      </c>
      <c r="H53" s="349">
        <f>H52*G53</f>
        <v>1842327.5999999999</v>
      </c>
    </row>
    <row r="54" spans="1:8">
      <c r="A54" s="285"/>
      <c r="B54" s="285"/>
      <c r="C54" s="285"/>
      <c r="D54" s="285"/>
      <c r="E54" s="346"/>
      <c r="F54" s="347"/>
      <c r="G54" s="347"/>
      <c r="H54" s="349">
        <f>SUM(H52:H53)</f>
        <v>7983419.5999999996</v>
      </c>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ht="15">
      <c r="A59" s="1243" t="str">
        <f>+[14]PRESUPUESTO!$A$113</f>
        <v>__________________________________________</v>
      </c>
      <c r="B59" s="1243"/>
      <c r="C59" s="1244"/>
    </row>
    <row r="60" spans="1:8" ht="15.75">
      <c r="A60" s="1245" t="str">
        <f>+[14]PRESUPUESTO!$A$114</f>
        <v>Ing. JHON FREDY GARCIA MENDEZ</v>
      </c>
      <c r="B60" s="1243"/>
      <c r="C60" s="1244"/>
    </row>
    <row r="61" spans="1:8" ht="15.75">
      <c r="A61" s="1246" t="str">
        <f>+[14]PRESUPUESTO!$A$115</f>
        <v>M.P.  70268-326294 TLM.</v>
      </c>
      <c r="B61" s="1243"/>
      <c r="C61" s="1244"/>
    </row>
    <row r="62" spans="1:8" ht="15.75">
      <c r="A62" s="1246" t="str">
        <f>+[14]PRESUPUESTO!$A$116</f>
        <v>CONSULTOR</v>
      </c>
      <c r="B62" s="1243"/>
      <c r="C62" s="1244"/>
    </row>
  </sheetData>
  <mergeCells count="15">
    <mergeCell ref="B47:D47"/>
    <mergeCell ref="B48:D48"/>
    <mergeCell ref="B49:D49"/>
    <mergeCell ref="B6:D6"/>
    <mergeCell ref="B7:E7"/>
    <mergeCell ref="B8:E8"/>
    <mergeCell ref="B36:C36"/>
    <mergeCell ref="B45:D45"/>
    <mergeCell ref="B46:D46"/>
    <mergeCell ref="D2:E4"/>
    <mergeCell ref="F2:H2"/>
    <mergeCell ref="F3:H3"/>
    <mergeCell ref="F4:H4"/>
    <mergeCell ref="A5:E5"/>
    <mergeCell ref="F5:H5"/>
  </mergeCells>
  <pageMargins left="0.75" right="0.75" top="1" bottom="1" header="0" footer="0"/>
  <pageSetup scale="67" orientation="portrait" r:id="rId1"/>
  <headerFooter alignWithMargins="0"/>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tabColor theme="6" tint="0.79998168889431442"/>
  </sheetPr>
  <dimension ref="A1:I62"/>
  <sheetViews>
    <sheetView view="pageBreakPreview" topLeftCell="A16" zoomScaleNormal="100" zoomScaleSheetLayoutView="100" workbookViewId="0">
      <selection activeCell="G23" sqref="G23"/>
    </sheetView>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4.570312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f>+PRESUPUESTO!A49</f>
        <v>1.6</v>
      </c>
      <c r="B7" s="2185" t="str">
        <f>+PRESUPUESTO!B49</f>
        <v>SUMINISTROS DE ELEMENTOS PVC PARA DOMICILIARIAS</v>
      </c>
      <c r="C7" s="2185"/>
      <c r="D7" s="2185"/>
      <c r="E7" s="2185"/>
      <c r="F7" s="289"/>
      <c r="G7" s="290" t="s">
        <v>525</v>
      </c>
      <c r="H7" s="97" t="str">
        <f>+PRESUPUESTO!C50</f>
        <v>m</v>
      </c>
    </row>
    <row r="8" spans="1:9">
      <c r="A8" s="1220" t="str">
        <f>+PRESUPUESTO!A50</f>
        <v>1.6.1</v>
      </c>
      <c r="B8" s="2265" t="str">
        <f>+PRESUPUESTO!B50</f>
        <v xml:space="preserve">Suministro  de tubería de alcantarillado PVC ø 160 mm (6") </v>
      </c>
      <c r="C8" s="2266"/>
      <c r="D8" s="2266"/>
      <c r="E8" s="2266"/>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c r="B13" s="305"/>
      <c r="C13" s="306"/>
      <c r="D13" s="306"/>
      <c r="E13" s="276"/>
      <c r="F13" s="433"/>
      <c r="G13" s="307"/>
      <c r="H13" s="308"/>
      <c r="I13" s="309"/>
    </row>
    <row r="14" spans="1:9">
      <c r="A14" s="536"/>
      <c r="B14" s="305" t="str">
        <f t="shared" ref="B14:B18" si="0">IF(A14="","",VLOOKUP(A14,EQUI,2,FALSE))</f>
        <v/>
      </c>
      <c r="C14" s="306"/>
      <c r="D14" s="306"/>
      <c r="E14" s="276" t="str">
        <f t="shared" ref="E14:E18" si="1">IF(A14="","",VLOOKUP(A14,EQUI,3,FALSE))</f>
        <v/>
      </c>
      <c r="F14" s="405"/>
      <c r="G14" s="310" t="str">
        <f>IF(A14="","",VLOOKUP(A14,EQUI,4,FALSE))</f>
        <v/>
      </c>
      <c r="H14" s="311" t="str">
        <f>IF(A14="","",ROUND((G14/F14),0))</f>
        <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0</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t="s">
        <v>1732</v>
      </c>
      <c r="B23" s="353" t="str">
        <f>IF(A23="","",VLOOKUP(A23,MAT,2,FALSE))</f>
        <v xml:space="preserve">Tubería Corrugada Alcantarillado RS8 de 160 mm </v>
      </c>
      <c r="C23" s="305"/>
      <c r="D23" s="306"/>
      <c r="E23" s="276" t="str">
        <f>IF(A23="","",VLOOKUP(A23,MAT,3,FALSE))</f>
        <v>m.</v>
      </c>
      <c r="F23" s="405">
        <v>1.03</v>
      </c>
      <c r="G23" s="310">
        <f>IF(A23="","",VLOOKUP(A23,MAT,5,FALSE))</f>
        <v>52566.833333333336</v>
      </c>
      <c r="H23" s="311">
        <f>IF(A23="","",ROUND((G23*F23),0))</f>
        <v>54144</v>
      </c>
    </row>
    <row r="24" spans="1:8">
      <c r="A24" s="534"/>
      <c r="B24" s="353" t="str">
        <f>IF(A24="","",VLOOKUP(A24,MAT,2,FALSE))</f>
        <v/>
      </c>
      <c r="C24" s="305"/>
      <c r="D24" s="306"/>
      <c r="E24" s="276" t="str">
        <f>IF(A24="","",VLOOKUP(A24,MAT,3,FALSE))</f>
        <v/>
      </c>
      <c r="F24" s="405"/>
      <c r="G24" s="310" t="str">
        <f>IF(A24="","",VLOOKUP(A24,MAT,5,FALSE))</f>
        <v/>
      </c>
      <c r="H24" s="311" t="str">
        <f>IF(A24="","",ROUND((G24*F24),0))</f>
        <v/>
      </c>
    </row>
    <row r="25" spans="1:8">
      <c r="A25" s="534"/>
      <c r="B25" s="353" t="str">
        <f>IF(A25="","",VLOOKUP(A25,MAT,2,FALSE))</f>
        <v/>
      </c>
      <c r="C25" s="305"/>
      <c r="D25" s="306"/>
      <c r="E25" s="276" t="str">
        <f>IF(A25="","",VLOOKUP(A25,MAT,3,FALSE))</f>
        <v/>
      </c>
      <c r="F25" s="405"/>
      <c r="G25" s="310" t="str">
        <f>IF(A25="","",VLOOKUP(A25,MAT,5,FALSE))</f>
        <v/>
      </c>
      <c r="H25" s="311" t="str">
        <f>IF(A25="","",ROUND((G25*F25),0))</f>
        <v/>
      </c>
    </row>
    <row r="26" spans="1:8">
      <c r="A26" s="534"/>
      <c r="B26" s="305" t="str">
        <f t="shared" ref="B26:B32" si="2">IF(A26="","",VLOOKUP(A26,MAT,2,FALSE))</f>
        <v/>
      </c>
      <c r="C26" s="305"/>
      <c r="D26" s="306"/>
      <c r="E26" s="276" t="str">
        <f t="shared" ref="E26:E32" si="3">IF(A26="","",VLOOKUP(A26,MAT,3,FALSE))</f>
        <v/>
      </c>
      <c r="F26" s="405"/>
      <c r="G26" s="310" t="str">
        <f t="shared" ref="G26:G32" si="4">IF(A26="","",VLOOKUP(A26,MAT,5,FALSE))</f>
        <v/>
      </c>
      <c r="H26" s="311" t="str">
        <f t="shared" ref="H26:H32" si="5">IF(A26="","",ROUND((G26*F26),0))</f>
        <v/>
      </c>
    </row>
    <row r="27" spans="1:8">
      <c r="A27" s="534"/>
      <c r="B27" s="305" t="str">
        <f t="shared" si="2"/>
        <v/>
      </c>
      <c r="C27" s="305"/>
      <c r="D27" s="306"/>
      <c r="E27" s="276" t="str">
        <f t="shared" si="3"/>
        <v/>
      </c>
      <c r="F27" s="405"/>
      <c r="G27" s="310" t="str">
        <f t="shared" si="4"/>
        <v/>
      </c>
      <c r="H27" s="311" t="str">
        <f t="shared" si="5"/>
        <v/>
      </c>
    </row>
    <row r="28" spans="1:8">
      <c r="A28" s="534"/>
      <c r="B28" s="305" t="str">
        <f t="shared" si="2"/>
        <v/>
      </c>
      <c r="C28" s="305"/>
      <c r="D28" s="306"/>
      <c r="E28" s="276" t="str">
        <f t="shared" si="3"/>
        <v/>
      </c>
      <c r="F28" s="405"/>
      <c r="G28" s="310" t="str">
        <f t="shared" si="4"/>
        <v/>
      </c>
      <c r="H28" s="311" t="str">
        <f t="shared" si="5"/>
        <v/>
      </c>
    </row>
    <row r="29" spans="1:8">
      <c r="A29" s="534"/>
      <c r="B29" s="305" t="str">
        <f t="shared" si="2"/>
        <v/>
      </c>
      <c r="C29" s="305"/>
      <c r="D29" s="306"/>
      <c r="E29" s="276" t="str">
        <f t="shared" si="3"/>
        <v/>
      </c>
      <c r="F29" s="405"/>
      <c r="G29" s="310" t="str">
        <f t="shared" si="4"/>
        <v/>
      </c>
      <c r="H29" s="311" t="str">
        <f t="shared" si="5"/>
        <v/>
      </c>
    </row>
    <row r="30" spans="1:8">
      <c r="A30" s="534"/>
      <c r="B30" s="305" t="str">
        <f t="shared" si="2"/>
        <v/>
      </c>
      <c r="C30" s="305"/>
      <c r="D30" s="306"/>
      <c r="E30" s="276" t="str">
        <f t="shared" si="3"/>
        <v/>
      </c>
      <c r="F30" s="405"/>
      <c r="G30" s="310" t="str">
        <f t="shared" si="4"/>
        <v/>
      </c>
      <c r="H30" s="311" t="str">
        <f t="shared" si="5"/>
        <v/>
      </c>
    </row>
    <row r="31" spans="1:8">
      <c r="A31" s="534"/>
      <c r="B31" s="305" t="str">
        <f t="shared" si="2"/>
        <v/>
      </c>
      <c r="C31" s="305"/>
      <c r="D31" s="306"/>
      <c r="E31" s="276" t="str">
        <f t="shared" si="3"/>
        <v/>
      </c>
      <c r="F31" s="405"/>
      <c r="G31" s="310" t="str">
        <f t="shared" si="4"/>
        <v/>
      </c>
      <c r="H31" s="311" t="str">
        <f t="shared" si="5"/>
        <v/>
      </c>
    </row>
    <row r="32" spans="1:8" ht="13.5" thickBot="1">
      <c r="A32" s="535"/>
      <c r="B32" s="326" t="str">
        <f t="shared" si="2"/>
        <v/>
      </c>
      <c r="C32" s="314"/>
      <c r="D32" s="314"/>
      <c r="E32" s="315" t="str">
        <f t="shared" si="3"/>
        <v/>
      </c>
      <c r="F32" s="406"/>
      <c r="G32" s="327" t="str">
        <f t="shared" si="4"/>
        <v/>
      </c>
      <c r="H32" s="311" t="str">
        <f t="shared" si="5"/>
        <v/>
      </c>
    </row>
    <row r="33" spans="1:8" ht="13.5" thickBot="1">
      <c r="A33" s="285"/>
      <c r="B33" s="285"/>
      <c r="C33" s="285"/>
      <c r="D33" s="285"/>
      <c r="E33" s="286"/>
      <c r="F33" s="285"/>
      <c r="G33" s="210" t="s">
        <v>529</v>
      </c>
      <c r="H33" s="328">
        <f>ROUND(SUM(H23:H32),0)</f>
        <v>54144</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546" t="str">
        <f>A23</f>
        <v>TA6</v>
      </c>
      <c r="B37" s="305" t="str">
        <f>IF(A37="","",VLOOKUP(A37,MAT,2,FALSE))</f>
        <v xml:space="preserve">Tubería Corrugada Alcantarillado RS8 de 160 mm </v>
      </c>
      <c r="C37" s="333"/>
      <c r="D37" s="409" t="str">
        <f>IF(A37="","",VLOOKUP(A37,MAT,3,FALSE))</f>
        <v>m.</v>
      </c>
      <c r="E37" s="419">
        <v>160</v>
      </c>
      <c r="F37" s="413">
        <f>IF(A37="","",VLOOKUP(A37,$A$23:$H$32,6,FALSE))</f>
        <v>1.03</v>
      </c>
      <c r="G37" s="334">
        <f>IF(A37="","",VLOOKUP(A37,MAT,7,FALSE))</f>
        <v>15</v>
      </c>
      <c r="H37" s="311">
        <f>(ROUND((G37*F37*E37),0))</f>
        <v>2472</v>
      </c>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t="str">
        <f>IF(A39="","",ROUND((G39*F39*E39),0))</f>
        <v/>
      </c>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2472</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c r="B46" s="2192"/>
      <c r="C46" s="2193"/>
      <c r="D46" s="2194"/>
      <c r="E46" s="538"/>
      <c r="F46" s="544"/>
      <c r="G46" s="540"/>
      <c r="H46" s="542"/>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0</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56616</v>
      </c>
    </row>
    <row r="53" spans="1:8">
      <c r="A53" s="285"/>
      <c r="B53" s="285"/>
      <c r="C53" s="285"/>
      <c r="D53" s="285"/>
      <c r="E53" s="346"/>
      <c r="F53" s="347"/>
      <c r="G53" s="347"/>
      <c r="H53" s="349"/>
    </row>
    <row r="54" spans="1:8">
      <c r="A54" s="285"/>
      <c r="B54" s="285"/>
      <c r="C54" s="285"/>
      <c r="D54" s="285"/>
      <c r="E54" s="346"/>
      <c r="F54" s="347"/>
      <c r="G54" s="347"/>
      <c r="H54" s="349"/>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ht="15">
      <c r="A59" s="1243" t="str">
        <f>+[14]PRESUPUESTO!$A$113</f>
        <v>__________________________________________</v>
      </c>
      <c r="B59" s="1243"/>
      <c r="C59" s="1244"/>
    </row>
    <row r="60" spans="1:8" ht="15.75">
      <c r="A60" s="1245" t="str">
        <f>+[14]PRESUPUESTO!$A$114</f>
        <v>Ing. JHON FREDY GARCIA MENDEZ</v>
      </c>
      <c r="B60" s="1243"/>
      <c r="C60" s="1244"/>
    </row>
    <row r="61" spans="1:8" ht="15.75">
      <c r="A61" s="1246" t="str">
        <f>+[14]PRESUPUESTO!$A$115</f>
        <v>M.P.  70268-326294 TLM.</v>
      </c>
      <c r="B61" s="1243"/>
      <c r="C61" s="1244"/>
    </row>
    <row r="62" spans="1:8" ht="15.75">
      <c r="A62" s="1246" t="str">
        <f>+[14]PRESUPUESTO!$A$116</f>
        <v>CONSULTOR</v>
      </c>
      <c r="B62" s="1243"/>
      <c r="C62" s="1244"/>
    </row>
  </sheetData>
  <mergeCells count="15">
    <mergeCell ref="B47:D47"/>
    <mergeCell ref="B48:D48"/>
    <mergeCell ref="B49:D49"/>
    <mergeCell ref="B6:D6"/>
    <mergeCell ref="B7:E7"/>
    <mergeCell ref="B8:E8"/>
    <mergeCell ref="B36:C36"/>
    <mergeCell ref="B45:D45"/>
    <mergeCell ref="B46:D46"/>
    <mergeCell ref="D2:E4"/>
    <mergeCell ref="F2:H2"/>
    <mergeCell ref="F3:H3"/>
    <mergeCell ref="F4:H4"/>
    <mergeCell ref="A5:E5"/>
    <mergeCell ref="F5:H5"/>
  </mergeCells>
  <pageMargins left="0.75" right="0.75" top="1" bottom="1" header="0" footer="0"/>
  <pageSetup scale="70" orientation="portrait" r:id="rId1"/>
  <headerFooter alignWithMargins="0"/>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tabColor theme="6" tint="0.79998168889431442"/>
  </sheetPr>
  <dimension ref="A1:I62"/>
  <sheetViews>
    <sheetView workbookViewId="0"/>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4.570312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v>1.6</v>
      </c>
      <c r="B7" s="2185" t="s">
        <v>2541</v>
      </c>
      <c r="C7" s="2185"/>
      <c r="D7" s="2185"/>
      <c r="E7" s="2185"/>
      <c r="F7" s="289"/>
      <c r="G7" s="290" t="s">
        <v>525</v>
      </c>
      <c r="H7" s="97" t="s">
        <v>622</v>
      </c>
    </row>
    <row r="8" spans="1:9" ht="12.75" customHeight="1">
      <c r="A8" s="1220" t="s">
        <v>2299</v>
      </c>
      <c r="B8" s="2265" t="s">
        <v>2586</v>
      </c>
      <c r="C8" s="2265"/>
      <c r="D8" s="2265"/>
      <c r="E8" s="2265"/>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c r="B13" s="305"/>
      <c r="C13" s="306"/>
      <c r="D13" s="306"/>
      <c r="E13" s="276"/>
      <c r="F13" s="433"/>
      <c r="G13" s="307"/>
      <c r="H13" s="308"/>
      <c r="I13" s="309"/>
    </row>
    <row r="14" spans="1:9">
      <c r="A14" s="536"/>
      <c r="B14" s="305" t="str">
        <f t="shared" ref="B14:B18" si="0">IF(A14="","",VLOOKUP(A14,EQUI,2,FALSE))</f>
        <v/>
      </c>
      <c r="C14" s="306"/>
      <c r="D14" s="306"/>
      <c r="E14" s="276" t="str">
        <f t="shared" ref="E14:E18" si="1">IF(A14="","",VLOOKUP(A14,EQUI,3,FALSE))</f>
        <v/>
      </c>
      <c r="F14" s="405"/>
      <c r="G14" s="310" t="str">
        <f>IF(A14="","",VLOOKUP(A14,EQUI,4,FALSE))</f>
        <v/>
      </c>
      <c r="H14" s="311" t="str">
        <f>IF(A14="","",ROUND((G14/F14),0))</f>
        <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0</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t="s">
        <v>2514</v>
      </c>
      <c r="B23" s="353" t="str">
        <f>IF(A23="","",VLOOKUP(A23,MAT,2,FALSE))</f>
        <v>Yee 160mmm</v>
      </c>
      <c r="C23" s="305"/>
      <c r="D23" s="306"/>
      <c r="E23" s="815" t="str">
        <f>+INSUMOS!C715</f>
        <v>Und.</v>
      </c>
      <c r="F23" s="405">
        <v>1</v>
      </c>
      <c r="G23" s="310">
        <f>IF(A23="","",VLOOKUP(A23,MAT,5,FALSE))</f>
        <v>129603</v>
      </c>
      <c r="H23" s="311">
        <f>ROUND((G23*F23),0)</f>
        <v>129603</v>
      </c>
    </row>
    <row r="24" spans="1:8">
      <c r="A24" s="534"/>
      <c r="B24" s="353"/>
      <c r="C24" s="305"/>
      <c r="D24" s="306"/>
      <c r="E24" s="276"/>
      <c r="F24" s="405"/>
      <c r="G24" s="310"/>
      <c r="H24" s="311"/>
    </row>
    <row r="25" spans="1:8">
      <c r="A25" s="534"/>
      <c r="B25" s="353"/>
      <c r="C25" s="305"/>
      <c r="D25" s="306"/>
      <c r="E25" s="276"/>
      <c r="F25" s="585"/>
      <c r="G25" s="310"/>
      <c r="H25" s="311"/>
    </row>
    <row r="26" spans="1:8">
      <c r="A26" s="534"/>
      <c r="B26" s="305" t="str">
        <f t="shared" ref="B26:B32" si="2">IF(A26="","",VLOOKUP(A26,MAT,2,FALSE))</f>
        <v/>
      </c>
      <c r="C26" s="305"/>
      <c r="D26" s="306"/>
      <c r="E26" s="276" t="str">
        <f t="shared" ref="E26:E32" si="3">IF(A26="","",VLOOKUP(A26,MAT,3,FALSE))</f>
        <v/>
      </c>
      <c r="F26" s="405"/>
      <c r="G26" s="310" t="str">
        <f t="shared" ref="G26:G32" si="4">IF(A26="","",VLOOKUP(A26,MAT,5,FALSE))</f>
        <v/>
      </c>
      <c r="H26" s="311" t="str">
        <f t="shared" ref="H26:H32" si="5">IF(A26="","",ROUND((G26*F26),0))</f>
        <v/>
      </c>
    </row>
    <row r="27" spans="1:8">
      <c r="A27" s="534"/>
      <c r="B27" s="305" t="str">
        <f t="shared" si="2"/>
        <v/>
      </c>
      <c r="C27" s="305"/>
      <c r="D27" s="306"/>
      <c r="E27" s="276" t="str">
        <f t="shared" si="3"/>
        <v/>
      </c>
      <c r="F27" s="405"/>
      <c r="G27" s="310" t="str">
        <f t="shared" si="4"/>
        <v/>
      </c>
      <c r="H27" s="311" t="str">
        <f t="shared" si="5"/>
        <v/>
      </c>
    </row>
    <row r="28" spans="1:8">
      <c r="A28" s="534"/>
      <c r="B28" s="305" t="str">
        <f t="shared" si="2"/>
        <v/>
      </c>
      <c r="C28" s="305"/>
      <c r="D28" s="306"/>
      <c r="E28" s="276" t="str">
        <f t="shared" si="3"/>
        <v/>
      </c>
      <c r="F28" s="405"/>
      <c r="G28" s="310" t="str">
        <f t="shared" si="4"/>
        <v/>
      </c>
      <c r="H28" s="311" t="str">
        <f t="shared" si="5"/>
        <v/>
      </c>
    </row>
    <row r="29" spans="1:8">
      <c r="A29" s="534"/>
      <c r="B29" s="305" t="str">
        <f t="shared" si="2"/>
        <v/>
      </c>
      <c r="C29" s="305"/>
      <c r="D29" s="306"/>
      <c r="E29" s="276" t="str">
        <f t="shared" si="3"/>
        <v/>
      </c>
      <c r="F29" s="405"/>
      <c r="G29" s="310" t="str">
        <f t="shared" si="4"/>
        <v/>
      </c>
      <c r="H29" s="311" t="str">
        <f t="shared" si="5"/>
        <v/>
      </c>
    </row>
    <row r="30" spans="1:8">
      <c r="A30" s="534"/>
      <c r="B30" s="305" t="str">
        <f t="shared" si="2"/>
        <v/>
      </c>
      <c r="C30" s="305"/>
      <c r="D30" s="306"/>
      <c r="E30" s="276" t="str">
        <f t="shared" si="3"/>
        <v/>
      </c>
      <c r="F30" s="405"/>
      <c r="G30" s="310" t="str">
        <f t="shared" si="4"/>
        <v/>
      </c>
      <c r="H30" s="311" t="str">
        <f t="shared" si="5"/>
        <v/>
      </c>
    </row>
    <row r="31" spans="1:8">
      <c r="A31" s="534"/>
      <c r="B31" s="305" t="str">
        <f t="shared" si="2"/>
        <v/>
      </c>
      <c r="C31" s="305"/>
      <c r="D31" s="306"/>
      <c r="E31" s="276" t="str">
        <f t="shared" si="3"/>
        <v/>
      </c>
      <c r="F31" s="405"/>
      <c r="G31" s="310" t="str">
        <f t="shared" si="4"/>
        <v/>
      </c>
      <c r="H31" s="311" t="str">
        <f t="shared" si="5"/>
        <v/>
      </c>
    </row>
    <row r="32" spans="1:8" ht="13.5" thickBot="1">
      <c r="A32" s="535"/>
      <c r="B32" s="326" t="str">
        <f t="shared" si="2"/>
        <v/>
      </c>
      <c r="C32" s="314"/>
      <c r="D32" s="314"/>
      <c r="E32" s="315" t="str">
        <f t="shared" si="3"/>
        <v/>
      </c>
      <c r="F32" s="406"/>
      <c r="G32" s="327" t="str">
        <f t="shared" si="4"/>
        <v/>
      </c>
      <c r="H32" s="311" t="str">
        <f t="shared" si="5"/>
        <v/>
      </c>
    </row>
    <row r="33" spans="1:8" ht="13.5" thickBot="1">
      <c r="A33" s="285"/>
      <c r="B33" s="285"/>
      <c r="C33" s="285"/>
      <c r="D33" s="285"/>
      <c r="E33" s="286"/>
      <c r="F33" s="285"/>
      <c r="G33" s="210" t="s">
        <v>529</v>
      </c>
      <c r="H33" s="328">
        <f>ROUND(SUM(H23:H32),0)</f>
        <v>129603</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546"/>
      <c r="B37" s="305" t="str">
        <f>IF(A37="","",VLOOKUP(A37,MAT,2,FALSE))</f>
        <v/>
      </c>
      <c r="C37" s="333"/>
      <c r="D37" s="409" t="str">
        <f>IF(A37="","",VLOOKUP(A37,MAT,3,FALSE))</f>
        <v/>
      </c>
      <c r="E37" s="419" t="str">
        <f>IF(A37="","",VLOOKUP(A37,MAT,6,FALSE))</f>
        <v/>
      </c>
      <c r="F37" s="413" t="str">
        <f>IF(A37="","",VLOOKUP(A37,$A$23:$H$32,6,FALSE))</f>
        <v/>
      </c>
      <c r="G37" s="334" t="str">
        <f>IF(A37="","",VLOOKUP(A37,MAT,7,FALSE))</f>
        <v/>
      </c>
      <c r="H37" s="311" t="str">
        <f>IF(A37="","",ROUND((G37*F37*E37),0))</f>
        <v/>
      </c>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t="str">
        <f>IF(A39="","",ROUND((G39*F39*E39),0))</f>
        <v/>
      </c>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0</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c r="B46" s="2192"/>
      <c r="C46" s="2193"/>
      <c r="D46" s="2194"/>
      <c r="E46" s="538"/>
      <c r="F46" s="544"/>
      <c r="G46" s="540"/>
      <c r="H46" s="542"/>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0</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129603</v>
      </c>
    </row>
    <row r="53" spans="1:8">
      <c r="A53" s="285"/>
      <c r="B53" s="285"/>
      <c r="C53" s="285"/>
      <c r="D53" s="285"/>
      <c r="E53" s="346"/>
      <c r="F53" s="347"/>
      <c r="G53" s="347"/>
      <c r="H53" s="349"/>
    </row>
    <row r="54" spans="1:8">
      <c r="A54" s="285"/>
      <c r="B54" s="285"/>
      <c r="C54" s="285"/>
      <c r="D54" s="285"/>
      <c r="E54" s="346"/>
      <c r="F54" s="347"/>
      <c r="G54" s="347"/>
      <c r="H54" s="349"/>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ht="15">
      <c r="A59" s="1243" t="str">
        <f>+[14]PRESUPUESTO!$A$113</f>
        <v>__________________________________________</v>
      </c>
      <c r="B59" s="1243"/>
      <c r="C59" s="1244"/>
    </row>
    <row r="60" spans="1:8" ht="15.75">
      <c r="A60" s="1245" t="str">
        <f>+[14]PRESUPUESTO!$A$114</f>
        <v>Ing. JHON FREDY GARCIA MENDEZ</v>
      </c>
      <c r="B60" s="1243"/>
      <c r="C60" s="1244"/>
    </row>
    <row r="61" spans="1:8" ht="15.75">
      <c r="A61" s="1246" t="str">
        <f>+[14]PRESUPUESTO!$A$115</f>
        <v>M.P.  70268-326294 TLM.</v>
      </c>
      <c r="B61" s="1243"/>
      <c r="C61" s="1244"/>
    </row>
    <row r="62" spans="1:8" ht="15.75">
      <c r="A62" s="1246" t="str">
        <f>+[14]PRESUPUESTO!$A$116</f>
        <v>CONSULTOR</v>
      </c>
      <c r="B62" s="1243"/>
      <c r="C62" s="1244"/>
    </row>
  </sheetData>
  <mergeCells count="15">
    <mergeCell ref="B47:D47"/>
    <mergeCell ref="B48:D48"/>
    <mergeCell ref="B49:D49"/>
    <mergeCell ref="B6:D6"/>
    <mergeCell ref="B7:E7"/>
    <mergeCell ref="B8:E8"/>
    <mergeCell ref="B36:C36"/>
    <mergeCell ref="B45:D45"/>
    <mergeCell ref="B46:D46"/>
    <mergeCell ref="D2:E4"/>
    <mergeCell ref="F2:H2"/>
    <mergeCell ref="F3:H3"/>
    <mergeCell ref="F4:H4"/>
    <mergeCell ref="A5:E5"/>
    <mergeCell ref="F5:H5"/>
  </mergeCells>
  <pageMargins left="0.75" right="0.75" top="1" bottom="1" header="0" footer="0"/>
  <pageSetup scale="70" orientation="portrait" r:id="rId1"/>
  <headerFooter alignWithMargins="0"/>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tabColor theme="6" tint="0.79998168889431442"/>
  </sheetPr>
  <dimension ref="A1:I62"/>
  <sheetViews>
    <sheetView view="pageBreakPreview" topLeftCell="A34" zoomScaleNormal="100" zoomScaleSheetLayoutView="100" workbookViewId="0">
      <selection activeCell="E53" sqref="E53:H54"/>
    </sheetView>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4.570312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f>+PRESUPUESTO!A49</f>
        <v>1.6</v>
      </c>
      <c r="B7" s="2185" t="str">
        <f>+PRESUPUESTO!B49</f>
        <v>SUMINISTROS DE ELEMENTOS PVC PARA DOMICILIARIAS</v>
      </c>
      <c r="C7" s="2185"/>
      <c r="D7" s="2185"/>
      <c r="E7" s="2185"/>
      <c r="F7" s="289"/>
      <c r="G7" s="290" t="s">
        <v>525</v>
      </c>
      <c r="H7" s="97" t="str">
        <f>+PRESUPUESTO!C51</f>
        <v>Und.</v>
      </c>
    </row>
    <row r="8" spans="1:9">
      <c r="A8" s="1220" t="str">
        <f>+PRESUPUESTO!A51</f>
        <v>1.6.2</v>
      </c>
      <c r="B8" s="2256" t="str">
        <f>+PRESUPUESTO!B51</f>
        <v xml:space="preserve">Suministro de Kit Silla Yee de 200 mm x 160 mm para conexión de domiciliarias </v>
      </c>
      <c r="C8" s="2257"/>
      <c r="D8" s="2257"/>
      <c r="E8" s="225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c r="B13" s="305"/>
      <c r="C13" s="306"/>
      <c r="D13" s="306"/>
      <c r="E13" s="276"/>
      <c r="F13" s="433"/>
      <c r="G13" s="307"/>
      <c r="H13" s="308"/>
      <c r="I13" s="309"/>
    </row>
    <row r="14" spans="1:9">
      <c r="A14" s="536"/>
      <c r="B14" s="305" t="str">
        <f t="shared" ref="B14:B18" si="0">IF(A14="","",VLOOKUP(A14,EQUI,2,FALSE))</f>
        <v/>
      </c>
      <c r="C14" s="306"/>
      <c r="D14" s="306"/>
      <c r="E14" s="276" t="str">
        <f t="shared" ref="E14:E18" si="1">IF(A14="","",VLOOKUP(A14,EQUI,3,FALSE))</f>
        <v/>
      </c>
      <c r="F14" s="405"/>
      <c r="G14" s="310" t="str">
        <f>IF(A14="","",VLOOKUP(A14,EQUI,4,FALSE))</f>
        <v/>
      </c>
      <c r="H14" s="311" t="str">
        <f>IF(A14="","",ROUND((G14/F14),0))</f>
        <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0</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t="s">
        <v>812</v>
      </c>
      <c r="B23" s="353" t="str">
        <f>IF(A23="","",VLOOKUP(A23,MAT,2,FALSE))</f>
        <v xml:space="preserve">Kit Silla Yee de 200x160 </v>
      </c>
      <c r="C23" s="305"/>
      <c r="D23" s="306"/>
      <c r="E23" s="276" t="str">
        <f>IF(A23="","",VLOOKUP(A23,MAT,3,FALSE))</f>
        <v>Und.</v>
      </c>
      <c r="F23" s="405">
        <v>1</v>
      </c>
      <c r="G23" s="310">
        <f>IF(A23="","",VLOOKUP(A23,MAT,5,FALSE))</f>
        <v>217902</v>
      </c>
      <c r="H23" s="311">
        <f>IF(A23="","",ROUND((G23*F23),0))</f>
        <v>217902</v>
      </c>
    </row>
    <row r="24" spans="1:8">
      <c r="A24" s="534"/>
      <c r="B24" s="353"/>
      <c r="C24" s="305"/>
      <c r="D24" s="306"/>
      <c r="E24" s="276"/>
      <c r="F24" s="405"/>
      <c r="G24" s="310"/>
      <c r="H24" s="311"/>
    </row>
    <row r="25" spans="1:8">
      <c r="A25" s="534"/>
      <c r="B25" s="353"/>
      <c r="C25" s="305"/>
      <c r="D25" s="306"/>
      <c r="E25" s="276"/>
      <c r="F25" s="585"/>
      <c r="G25" s="310"/>
      <c r="H25" s="311"/>
    </row>
    <row r="26" spans="1:8">
      <c r="A26" s="534"/>
      <c r="B26" s="305" t="str">
        <f t="shared" ref="B26:B32" si="2">IF(A26="","",VLOOKUP(A26,MAT,2,FALSE))</f>
        <v/>
      </c>
      <c r="C26" s="305"/>
      <c r="D26" s="306"/>
      <c r="E26" s="276" t="str">
        <f t="shared" ref="E26:E32" si="3">IF(A26="","",VLOOKUP(A26,MAT,3,FALSE))</f>
        <v/>
      </c>
      <c r="F26" s="405"/>
      <c r="G26" s="310" t="str">
        <f t="shared" ref="G26:G32" si="4">IF(A26="","",VLOOKUP(A26,MAT,5,FALSE))</f>
        <v/>
      </c>
      <c r="H26" s="311" t="str">
        <f t="shared" ref="H26:H32" si="5">IF(A26="","",ROUND((G26*F26),0))</f>
        <v/>
      </c>
    </row>
    <row r="27" spans="1:8">
      <c r="A27" s="534"/>
      <c r="B27" s="305" t="str">
        <f t="shared" si="2"/>
        <v/>
      </c>
      <c r="C27" s="305"/>
      <c r="D27" s="306"/>
      <c r="E27" s="276" t="str">
        <f t="shared" si="3"/>
        <v/>
      </c>
      <c r="F27" s="405"/>
      <c r="G27" s="310" t="str">
        <f t="shared" si="4"/>
        <v/>
      </c>
      <c r="H27" s="311" t="str">
        <f t="shared" si="5"/>
        <v/>
      </c>
    </row>
    <row r="28" spans="1:8">
      <c r="A28" s="534"/>
      <c r="B28" s="305" t="str">
        <f t="shared" si="2"/>
        <v/>
      </c>
      <c r="C28" s="305"/>
      <c r="D28" s="306"/>
      <c r="E28" s="276" t="str">
        <f t="shared" si="3"/>
        <v/>
      </c>
      <c r="F28" s="405"/>
      <c r="G28" s="310" t="str">
        <f t="shared" si="4"/>
        <v/>
      </c>
      <c r="H28" s="311" t="str">
        <f t="shared" si="5"/>
        <v/>
      </c>
    </row>
    <row r="29" spans="1:8">
      <c r="A29" s="534"/>
      <c r="B29" s="305" t="str">
        <f t="shared" si="2"/>
        <v/>
      </c>
      <c r="C29" s="305"/>
      <c r="D29" s="306"/>
      <c r="E29" s="276" t="str">
        <f t="shared" si="3"/>
        <v/>
      </c>
      <c r="F29" s="405"/>
      <c r="G29" s="310" t="str">
        <f t="shared" si="4"/>
        <v/>
      </c>
      <c r="H29" s="311" t="str">
        <f t="shared" si="5"/>
        <v/>
      </c>
    </row>
    <row r="30" spans="1:8">
      <c r="A30" s="534"/>
      <c r="B30" s="305" t="str">
        <f t="shared" si="2"/>
        <v/>
      </c>
      <c r="C30" s="305"/>
      <c r="D30" s="306"/>
      <c r="E30" s="276" t="str">
        <f t="shared" si="3"/>
        <v/>
      </c>
      <c r="F30" s="405"/>
      <c r="G30" s="310" t="str">
        <f t="shared" si="4"/>
        <v/>
      </c>
      <c r="H30" s="311" t="str">
        <f t="shared" si="5"/>
        <v/>
      </c>
    </row>
    <row r="31" spans="1:8">
      <c r="A31" s="534"/>
      <c r="B31" s="305" t="str">
        <f t="shared" si="2"/>
        <v/>
      </c>
      <c r="C31" s="305"/>
      <c r="D31" s="306"/>
      <c r="E31" s="276" t="str">
        <f t="shared" si="3"/>
        <v/>
      </c>
      <c r="F31" s="405"/>
      <c r="G31" s="310" t="str">
        <f t="shared" si="4"/>
        <v/>
      </c>
      <c r="H31" s="311" t="str">
        <f t="shared" si="5"/>
        <v/>
      </c>
    </row>
    <row r="32" spans="1:8" ht="13.5" thickBot="1">
      <c r="A32" s="535"/>
      <c r="B32" s="326" t="str">
        <f t="shared" si="2"/>
        <v/>
      </c>
      <c r="C32" s="314"/>
      <c r="D32" s="314"/>
      <c r="E32" s="315" t="str">
        <f t="shared" si="3"/>
        <v/>
      </c>
      <c r="F32" s="406"/>
      <c r="G32" s="327" t="str">
        <f t="shared" si="4"/>
        <v/>
      </c>
      <c r="H32" s="311" t="str">
        <f t="shared" si="5"/>
        <v/>
      </c>
    </row>
    <row r="33" spans="1:8" ht="13.5" thickBot="1">
      <c r="A33" s="285"/>
      <c r="B33" s="285"/>
      <c r="C33" s="285"/>
      <c r="D33" s="285"/>
      <c r="E33" s="286"/>
      <c r="F33" s="285"/>
      <c r="G33" s="210" t="s">
        <v>529</v>
      </c>
      <c r="H33" s="328">
        <f>ROUND(SUM(H23:H32),0)</f>
        <v>217902</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546"/>
      <c r="B37" s="305" t="str">
        <f>IF(A37="","",VLOOKUP(A37,MAT,2,FALSE))</f>
        <v/>
      </c>
      <c r="C37" s="333"/>
      <c r="D37" s="409" t="str">
        <f>IF(A37="","",VLOOKUP(A37,MAT,3,FALSE))</f>
        <v/>
      </c>
      <c r="E37" s="419" t="str">
        <f>IF(A37="","",VLOOKUP(A37,MAT,6,FALSE))</f>
        <v/>
      </c>
      <c r="F37" s="413" t="str">
        <f>IF(A37="","",VLOOKUP(A37,$A$23:$H$32,6,FALSE))</f>
        <v/>
      </c>
      <c r="G37" s="334" t="str">
        <f>IF(A37="","",VLOOKUP(A37,MAT,7,FALSE))</f>
        <v/>
      </c>
      <c r="H37" s="311" t="str">
        <f>IF(A37="","",ROUND((G37*F37*E37),0))</f>
        <v/>
      </c>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t="str">
        <f>IF(A39="","",ROUND((G39*F39*E39),0))</f>
        <v/>
      </c>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0</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c r="B46" s="2192"/>
      <c r="C46" s="2193"/>
      <c r="D46" s="2194"/>
      <c r="E46" s="538"/>
      <c r="F46" s="544"/>
      <c r="G46" s="540"/>
      <c r="H46" s="542"/>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0</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217902</v>
      </c>
    </row>
    <row r="53" spans="1:8">
      <c r="A53" s="285"/>
      <c r="B53" s="285"/>
      <c r="C53" s="285"/>
      <c r="D53" s="285"/>
      <c r="E53" s="346"/>
      <c r="F53" s="347"/>
      <c r="G53" s="347"/>
      <c r="H53" s="349"/>
    </row>
    <row r="54" spans="1:8">
      <c r="A54" s="285"/>
      <c r="B54" s="285"/>
      <c r="C54" s="285"/>
      <c r="D54" s="285"/>
      <c r="E54" s="346"/>
      <c r="F54" s="347"/>
      <c r="G54" s="347"/>
      <c r="H54" s="349"/>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ht="15">
      <c r="A59" s="1243" t="str">
        <f>+[14]PRESUPUESTO!$A$113</f>
        <v>__________________________________________</v>
      </c>
      <c r="B59" s="1243"/>
      <c r="C59" s="1244"/>
    </row>
    <row r="60" spans="1:8" ht="15.75">
      <c r="A60" s="1245" t="str">
        <f>+[14]PRESUPUESTO!$A$114</f>
        <v>Ing. JHON FREDY GARCIA MENDEZ</v>
      </c>
      <c r="B60" s="1243"/>
      <c r="C60" s="1244"/>
    </row>
    <row r="61" spans="1:8" ht="15.75">
      <c r="A61" s="1246" t="str">
        <f>+[14]PRESUPUESTO!$A$115</f>
        <v>M.P.  70268-326294 TLM.</v>
      </c>
      <c r="B61" s="1243"/>
      <c r="C61" s="1244"/>
    </row>
    <row r="62" spans="1:8" ht="15.75">
      <c r="A62" s="1246" t="str">
        <f>+[14]PRESUPUESTO!$A$116</f>
        <v>CONSULTOR</v>
      </c>
      <c r="B62" s="1243"/>
      <c r="C62" s="1244"/>
    </row>
  </sheetData>
  <mergeCells count="15">
    <mergeCell ref="B47:D47"/>
    <mergeCell ref="B48:D48"/>
    <mergeCell ref="B49:D49"/>
    <mergeCell ref="B6:D6"/>
    <mergeCell ref="B7:E7"/>
    <mergeCell ref="B8:E8"/>
    <mergeCell ref="B36:C36"/>
    <mergeCell ref="B45:D45"/>
    <mergeCell ref="B46:D46"/>
    <mergeCell ref="D2:E4"/>
    <mergeCell ref="F2:H2"/>
    <mergeCell ref="F3:H3"/>
    <mergeCell ref="F4:H4"/>
    <mergeCell ref="A5:E5"/>
    <mergeCell ref="F5:H5"/>
  </mergeCells>
  <pageMargins left="0.75" right="0.75" top="1" bottom="1" header="0" footer="0"/>
  <pageSetup scale="70" orientation="portrait" r:id="rId1"/>
  <headerFooter alignWithMargins="0"/>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tabColor theme="6" tint="0.79998168889431442"/>
  </sheetPr>
  <dimension ref="A1:I62"/>
  <sheetViews>
    <sheetView view="pageBreakPreview" topLeftCell="A31" zoomScale="90" zoomScaleNormal="100" zoomScaleSheetLayoutView="90" workbookViewId="0">
      <selection activeCell="E53" sqref="E53:H54"/>
    </sheetView>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4.570312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f>+PRESUPUESTO!A49</f>
        <v>1.6</v>
      </c>
      <c r="B7" s="2185" t="str">
        <f>+PRESUPUESTO!B49</f>
        <v>SUMINISTROS DE ELEMENTOS PVC PARA DOMICILIARIAS</v>
      </c>
      <c r="C7" s="2185"/>
      <c r="D7" s="2185"/>
      <c r="E7" s="2185"/>
      <c r="F7" s="289"/>
      <c r="G7" s="290" t="s">
        <v>525</v>
      </c>
      <c r="H7" s="97" t="str">
        <f>+PRESUPUESTO!C52</f>
        <v>Und.</v>
      </c>
    </row>
    <row r="8" spans="1:9">
      <c r="A8" s="1220" t="str">
        <f>+PRESUPUESTO!A52</f>
        <v>1.6.3</v>
      </c>
      <c r="B8" s="2256" t="str">
        <f>+PRESUPUESTO!B52</f>
        <v xml:space="preserve">Suministro de Kit Silla Yee de 250 mm x 160 mm para conexión de domiciliarias </v>
      </c>
      <c r="C8" s="2257"/>
      <c r="D8" s="2257"/>
      <c r="E8" s="225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c r="B13" s="305"/>
      <c r="C13" s="306"/>
      <c r="D13" s="306"/>
      <c r="E13" s="276"/>
      <c r="F13" s="433"/>
      <c r="G13" s="307"/>
      <c r="H13" s="308"/>
      <c r="I13" s="309"/>
    </row>
    <row r="14" spans="1:9">
      <c r="A14" s="536"/>
      <c r="B14" s="305" t="str">
        <f t="shared" ref="B14:B18" si="0">IF(A14="","",VLOOKUP(A14,EQUI,2,FALSE))</f>
        <v/>
      </c>
      <c r="C14" s="306"/>
      <c r="D14" s="306"/>
      <c r="E14" s="276" t="str">
        <f t="shared" ref="E14:E18" si="1">IF(A14="","",VLOOKUP(A14,EQUI,3,FALSE))</f>
        <v/>
      </c>
      <c r="F14" s="405"/>
      <c r="G14" s="310" t="str">
        <f>IF(A14="","",VLOOKUP(A14,EQUI,4,FALSE))</f>
        <v/>
      </c>
      <c r="H14" s="311" t="str">
        <f>IF(A14="","",ROUND((G14/F14),0))</f>
        <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0</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t="s">
        <v>813</v>
      </c>
      <c r="B23" s="353" t="str">
        <f>IF(A23="","",VLOOKUP(A23,MAT,2,FALSE))</f>
        <v xml:space="preserve">Kit Silla Yee de 250x160 </v>
      </c>
      <c r="C23" s="305"/>
      <c r="D23" s="306"/>
      <c r="E23" s="276" t="str">
        <f>IF(A23="","",VLOOKUP(A23,MAT,3,FALSE))</f>
        <v>Und.</v>
      </c>
      <c r="F23" s="405">
        <v>1</v>
      </c>
      <c r="G23" s="310">
        <f>IF(A23="","",VLOOKUP(A23,MAT,5,FALSE))</f>
        <v>246331</v>
      </c>
      <c r="H23" s="311">
        <f>IF(A23="","",ROUND((G23*F23),0))</f>
        <v>246331</v>
      </c>
    </row>
    <row r="24" spans="1:8">
      <c r="A24" s="534"/>
      <c r="B24" s="353"/>
      <c r="C24" s="305"/>
      <c r="D24" s="306"/>
      <c r="E24" s="276"/>
      <c r="F24" s="405"/>
      <c r="G24" s="310"/>
      <c r="H24" s="311"/>
    </row>
    <row r="25" spans="1:8">
      <c r="A25" s="534"/>
      <c r="B25" s="353"/>
      <c r="C25" s="305"/>
      <c r="D25" s="306"/>
      <c r="E25" s="276"/>
      <c r="F25" s="585"/>
      <c r="G25" s="310"/>
      <c r="H25" s="311"/>
    </row>
    <row r="26" spans="1:8">
      <c r="A26" s="534"/>
      <c r="B26" s="305" t="str">
        <f t="shared" ref="B26:B32" si="2">IF(A26="","",VLOOKUP(A26,MAT,2,FALSE))</f>
        <v/>
      </c>
      <c r="C26" s="305"/>
      <c r="D26" s="306"/>
      <c r="E26" s="276" t="str">
        <f t="shared" ref="E26:E32" si="3">IF(A26="","",VLOOKUP(A26,MAT,3,FALSE))</f>
        <v/>
      </c>
      <c r="F26" s="405"/>
      <c r="G26" s="310" t="str">
        <f t="shared" ref="G26:G32" si="4">IF(A26="","",VLOOKUP(A26,MAT,5,FALSE))</f>
        <v/>
      </c>
      <c r="H26" s="311" t="str">
        <f t="shared" ref="H26:H32" si="5">IF(A26="","",ROUND((G26*F26),0))</f>
        <v/>
      </c>
    </row>
    <row r="27" spans="1:8">
      <c r="A27" s="534"/>
      <c r="B27" s="305" t="str">
        <f t="shared" si="2"/>
        <v/>
      </c>
      <c r="C27" s="305"/>
      <c r="D27" s="306"/>
      <c r="E27" s="276" t="str">
        <f t="shared" si="3"/>
        <v/>
      </c>
      <c r="F27" s="405"/>
      <c r="G27" s="310" t="str">
        <f t="shared" si="4"/>
        <v/>
      </c>
      <c r="H27" s="311" t="str">
        <f t="shared" si="5"/>
        <v/>
      </c>
    </row>
    <row r="28" spans="1:8">
      <c r="A28" s="534"/>
      <c r="B28" s="305" t="str">
        <f t="shared" si="2"/>
        <v/>
      </c>
      <c r="C28" s="305"/>
      <c r="D28" s="306"/>
      <c r="E28" s="276" t="str">
        <f t="shared" si="3"/>
        <v/>
      </c>
      <c r="F28" s="405"/>
      <c r="G28" s="310" t="str">
        <f t="shared" si="4"/>
        <v/>
      </c>
      <c r="H28" s="311" t="str">
        <f t="shared" si="5"/>
        <v/>
      </c>
    </row>
    <row r="29" spans="1:8">
      <c r="A29" s="534"/>
      <c r="B29" s="305" t="str">
        <f t="shared" si="2"/>
        <v/>
      </c>
      <c r="C29" s="305"/>
      <c r="D29" s="306"/>
      <c r="E29" s="276" t="str">
        <f t="shared" si="3"/>
        <v/>
      </c>
      <c r="F29" s="405"/>
      <c r="G29" s="310" t="str">
        <f t="shared" si="4"/>
        <v/>
      </c>
      <c r="H29" s="311" t="str">
        <f t="shared" si="5"/>
        <v/>
      </c>
    </row>
    <row r="30" spans="1:8">
      <c r="A30" s="534"/>
      <c r="B30" s="305" t="str">
        <f t="shared" si="2"/>
        <v/>
      </c>
      <c r="C30" s="305"/>
      <c r="D30" s="306"/>
      <c r="E30" s="276" t="str">
        <f t="shared" si="3"/>
        <v/>
      </c>
      <c r="F30" s="405"/>
      <c r="G30" s="310" t="str">
        <f t="shared" si="4"/>
        <v/>
      </c>
      <c r="H30" s="311" t="str">
        <f t="shared" si="5"/>
        <v/>
      </c>
    </row>
    <row r="31" spans="1:8">
      <c r="A31" s="534"/>
      <c r="B31" s="305" t="str">
        <f t="shared" si="2"/>
        <v/>
      </c>
      <c r="C31" s="305"/>
      <c r="D31" s="306"/>
      <c r="E31" s="276" t="str">
        <f t="shared" si="3"/>
        <v/>
      </c>
      <c r="F31" s="405"/>
      <c r="G31" s="310" t="str">
        <f t="shared" si="4"/>
        <v/>
      </c>
      <c r="H31" s="311" t="str">
        <f t="shared" si="5"/>
        <v/>
      </c>
    </row>
    <row r="32" spans="1:8" ht="13.5" thickBot="1">
      <c r="A32" s="535"/>
      <c r="B32" s="326" t="str">
        <f t="shared" si="2"/>
        <v/>
      </c>
      <c r="C32" s="314"/>
      <c r="D32" s="314"/>
      <c r="E32" s="315" t="str">
        <f t="shared" si="3"/>
        <v/>
      </c>
      <c r="F32" s="406"/>
      <c r="G32" s="327" t="str">
        <f t="shared" si="4"/>
        <v/>
      </c>
      <c r="H32" s="311" t="str">
        <f t="shared" si="5"/>
        <v/>
      </c>
    </row>
    <row r="33" spans="1:8" ht="13.5" thickBot="1">
      <c r="A33" s="285"/>
      <c r="B33" s="285"/>
      <c r="C33" s="285"/>
      <c r="D33" s="285"/>
      <c r="E33" s="286"/>
      <c r="F33" s="285"/>
      <c r="G33" s="210" t="s">
        <v>529</v>
      </c>
      <c r="H33" s="328">
        <f>ROUND(SUM(H23:H32),0)</f>
        <v>246331</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546"/>
      <c r="B37" s="305" t="str">
        <f>IF(A37="","",VLOOKUP(A37,MAT,2,FALSE))</f>
        <v/>
      </c>
      <c r="C37" s="333"/>
      <c r="D37" s="409" t="str">
        <f>IF(A37="","",VLOOKUP(A37,MAT,3,FALSE))</f>
        <v/>
      </c>
      <c r="E37" s="419" t="str">
        <f>IF(A37="","",VLOOKUP(A37,MAT,6,FALSE))</f>
        <v/>
      </c>
      <c r="F37" s="413" t="str">
        <f>IF(A37="","",VLOOKUP(A37,$A$23:$H$32,6,FALSE))</f>
        <v/>
      </c>
      <c r="G37" s="334" t="str">
        <f>IF(A37="","",VLOOKUP(A37,MAT,7,FALSE))</f>
        <v/>
      </c>
      <c r="H37" s="311" t="str">
        <f>IF(A37="","",ROUND((G37*F37*E37),0))</f>
        <v/>
      </c>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t="str">
        <f>IF(A39="","",ROUND((G39*F39*E39),0))</f>
        <v/>
      </c>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0</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c r="B46" s="2192"/>
      <c r="C46" s="2193"/>
      <c r="D46" s="2194"/>
      <c r="E46" s="538"/>
      <c r="F46" s="544"/>
      <c r="G46" s="540"/>
      <c r="H46" s="542"/>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0</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246331</v>
      </c>
    </row>
    <row r="53" spans="1:8">
      <c r="A53" s="285"/>
      <c r="B53" s="285"/>
      <c r="C53" s="285"/>
      <c r="D53" s="285"/>
      <c r="E53" s="346"/>
      <c r="F53" s="347"/>
      <c r="G53" s="347"/>
      <c r="H53" s="349"/>
    </row>
    <row r="54" spans="1:8">
      <c r="A54" s="285"/>
      <c r="B54" s="285"/>
      <c r="C54" s="285"/>
      <c r="D54" s="285"/>
      <c r="E54" s="346"/>
      <c r="F54" s="347"/>
      <c r="G54" s="347"/>
      <c r="H54" s="349"/>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ht="15">
      <c r="A59" s="1243" t="str">
        <f>+[14]PRESUPUESTO!$A$113</f>
        <v>__________________________________________</v>
      </c>
      <c r="B59" s="1243"/>
      <c r="C59" s="1244"/>
    </row>
    <row r="60" spans="1:8" ht="15.75">
      <c r="A60" s="1245" t="str">
        <f>+[14]PRESUPUESTO!$A$114</f>
        <v>Ing. JHON FREDY GARCIA MENDEZ</v>
      </c>
      <c r="B60" s="1243"/>
      <c r="C60" s="1244"/>
    </row>
    <row r="61" spans="1:8" ht="15.75">
      <c r="A61" s="1246" t="str">
        <f>+[14]PRESUPUESTO!$A$115</f>
        <v>M.P.  70268-326294 TLM.</v>
      </c>
      <c r="B61" s="1243"/>
      <c r="C61" s="1244"/>
    </row>
    <row r="62" spans="1:8" ht="15.75">
      <c r="A62" s="1246" t="str">
        <f>+[14]PRESUPUESTO!$A$116</f>
        <v>CONSULTOR</v>
      </c>
      <c r="B62" s="1243"/>
      <c r="C62" s="1244"/>
    </row>
  </sheetData>
  <mergeCells count="15">
    <mergeCell ref="B47:D47"/>
    <mergeCell ref="B48:D48"/>
    <mergeCell ref="B49:D49"/>
    <mergeCell ref="B6:D6"/>
    <mergeCell ref="B7:E7"/>
    <mergeCell ref="B8:E8"/>
    <mergeCell ref="B36:C36"/>
    <mergeCell ref="B45:D45"/>
    <mergeCell ref="B46:D46"/>
    <mergeCell ref="D2:E4"/>
    <mergeCell ref="F2:H2"/>
    <mergeCell ref="F3:H3"/>
    <mergeCell ref="F4:H4"/>
    <mergeCell ref="A5:E5"/>
    <mergeCell ref="F5:H5"/>
  </mergeCells>
  <pageMargins left="0.75" right="0.75" top="1" bottom="1" header="0" footer="0"/>
  <pageSetup scale="70" orientation="portrait" r:id="rId1"/>
  <headerFooter alignWithMargins="0"/>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tabColor theme="6" tint="0.79998168889431442"/>
  </sheetPr>
  <dimension ref="A1:I62"/>
  <sheetViews>
    <sheetView view="pageBreakPreview" topLeftCell="A29" zoomScale="90" zoomScaleNormal="100" zoomScaleSheetLayoutView="90" workbookViewId="0">
      <selection activeCell="E53" sqref="E53:H54"/>
    </sheetView>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4.570312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f>+PRESUPUESTO!A49</f>
        <v>1.6</v>
      </c>
      <c r="B7" s="2185" t="str">
        <f>+PRESUPUESTO!B49</f>
        <v>SUMINISTROS DE ELEMENTOS PVC PARA DOMICILIARIAS</v>
      </c>
      <c r="C7" s="2185"/>
      <c r="D7" s="2185"/>
      <c r="E7" s="2185"/>
      <c r="F7" s="289"/>
      <c r="G7" s="290" t="s">
        <v>525</v>
      </c>
      <c r="H7" s="97" t="str">
        <f>+PRESUPUESTO!C53</f>
        <v>Und.</v>
      </c>
    </row>
    <row r="8" spans="1:9">
      <c r="A8" s="1220" t="str">
        <f>+PRESUPUESTO!A53</f>
        <v>1.6.4</v>
      </c>
      <c r="B8" s="2256" t="str">
        <f>+PRESUPUESTO!B53</f>
        <v xml:space="preserve">Suministro de Kit Silla Yee de 315 mm x 160 mm para conexión de domiciliarias </v>
      </c>
      <c r="C8" s="2257"/>
      <c r="D8" s="2257"/>
      <c r="E8" s="225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c r="B13" s="305"/>
      <c r="C13" s="306"/>
      <c r="D13" s="306"/>
      <c r="E13" s="276"/>
      <c r="F13" s="433"/>
      <c r="G13" s="307"/>
      <c r="H13" s="308"/>
      <c r="I13" s="309"/>
    </row>
    <row r="14" spans="1:9">
      <c r="A14" s="536"/>
      <c r="B14" s="305" t="str">
        <f t="shared" ref="B14:B18" si="0">IF(A14="","",VLOOKUP(A14,EQUI,2,FALSE))</f>
        <v/>
      </c>
      <c r="C14" s="306"/>
      <c r="D14" s="306"/>
      <c r="E14" s="276" t="str">
        <f t="shared" ref="E14:E18" si="1">IF(A14="","",VLOOKUP(A14,EQUI,3,FALSE))</f>
        <v/>
      </c>
      <c r="F14" s="405"/>
      <c r="G14" s="310" t="str">
        <f>IF(A14="","",VLOOKUP(A14,EQUI,4,FALSE))</f>
        <v/>
      </c>
      <c r="H14" s="311" t="str">
        <f>IF(A14="","",ROUND((G14/F14),0))</f>
        <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0</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t="s">
        <v>814</v>
      </c>
      <c r="B23" s="353" t="str">
        <f>IF(A23="","",VLOOKUP(A23,MAT,2,FALSE))</f>
        <v xml:space="preserve">Kit Silla Yee de 315x160 </v>
      </c>
      <c r="C23" s="305"/>
      <c r="D23" s="306"/>
      <c r="E23" s="276" t="str">
        <f>IF(A23="","",VLOOKUP(A23,MAT,3,FALSE))</f>
        <v>Und.</v>
      </c>
      <c r="F23" s="405">
        <v>1</v>
      </c>
      <c r="G23" s="310">
        <f>IF(A23="","",VLOOKUP(A23,MAT,5,FALSE))</f>
        <v>370391</v>
      </c>
      <c r="H23" s="311">
        <f>IF(A23="","",ROUND((G23*F23),0))</f>
        <v>370391</v>
      </c>
    </row>
    <row r="24" spans="1:8">
      <c r="A24" s="534"/>
      <c r="B24" s="353"/>
      <c r="C24" s="305"/>
      <c r="D24" s="306"/>
      <c r="E24" s="276"/>
      <c r="F24" s="405"/>
      <c r="G24" s="310"/>
      <c r="H24" s="311"/>
    </row>
    <row r="25" spans="1:8">
      <c r="A25" s="534"/>
      <c r="B25" s="353"/>
      <c r="C25" s="305"/>
      <c r="D25" s="306"/>
      <c r="E25" s="276"/>
      <c r="F25" s="585"/>
      <c r="G25" s="310"/>
      <c r="H25" s="311"/>
    </row>
    <row r="26" spans="1:8">
      <c r="A26" s="534"/>
      <c r="B26" s="305" t="str">
        <f t="shared" ref="B26:B32" si="2">IF(A26="","",VLOOKUP(A26,MAT,2,FALSE))</f>
        <v/>
      </c>
      <c r="C26" s="305"/>
      <c r="D26" s="306"/>
      <c r="E26" s="276" t="str">
        <f t="shared" ref="E26:E32" si="3">IF(A26="","",VLOOKUP(A26,MAT,3,FALSE))</f>
        <v/>
      </c>
      <c r="F26" s="405"/>
      <c r="G26" s="310" t="str">
        <f t="shared" ref="G26:G32" si="4">IF(A26="","",VLOOKUP(A26,MAT,5,FALSE))</f>
        <v/>
      </c>
      <c r="H26" s="311" t="str">
        <f t="shared" ref="H26:H32" si="5">IF(A26="","",ROUND((G26*F26),0))</f>
        <v/>
      </c>
    </row>
    <row r="27" spans="1:8">
      <c r="A27" s="534"/>
      <c r="B27" s="305" t="str">
        <f t="shared" si="2"/>
        <v/>
      </c>
      <c r="C27" s="305"/>
      <c r="D27" s="306"/>
      <c r="E27" s="276" t="str">
        <f t="shared" si="3"/>
        <v/>
      </c>
      <c r="F27" s="405"/>
      <c r="G27" s="310" t="str">
        <f t="shared" si="4"/>
        <v/>
      </c>
      <c r="H27" s="311" t="str">
        <f t="shared" si="5"/>
        <v/>
      </c>
    </row>
    <row r="28" spans="1:8">
      <c r="A28" s="534"/>
      <c r="B28" s="305" t="str">
        <f t="shared" si="2"/>
        <v/>
      </c>
      <c r="C28" s="305"/>
      <c r="D28" s="306"/>
      <c r="E28" s="276" t="str">
        <f t="shared" si="3"/>
        <v/>
      </c>
      <c r="F28" s="405"/>
      <c r="G28" s="310" t="str">
        <f t="shared" si="4"/>
        <v/>
      </c>
      <c r="H28" s="311" t="str">
        <f t="shared" si="5"/>
        <v/>
      </c>
    </row>
    <row r="29" spans="1:8">
      <c r="A29" s="534"/>
      <c r="B29" s="305" t="str">
        <f t="shared" si="2"/>
        <v/>
      </c>
      <c r="C29" s="305"/>
      <c r="D29" s="306"/>
      <c r="E29" s="276" t="str">
        <f t="shared" si="3"/>
        <v/>
      </c>
      <c r="F29" s="405"/>
      <c r="G29" s="310" t="str">
        <f t="shared" si="4"/>
        <v/>
      </c>
      <c r="H29" s="311" t="str">
        <f t="shared" si="5"/>
        <v/>
      </c>
    </row>
    <row r="30" spans="1:8">
      <c r="A30" s="534"/>
      <c r="B30" s="305" t="str">
        <f t="shared" si="2"/>
        <v/>
      </c>
      <c r="C30" s="305"/>
      <c r="D30" s="306"/>
      <c r="E30" s="276" t="str">
        <f t="shared" si="3"/>
        <v/>
      </c>
      <c r="F30" s="405"/>
      <c r="G30" s="310" t="str">
        <f t="shared" si="4"/>
        <v/>
      </c>
      <c r="H30" s="311" t="str">
        <f t="shared" si="5"/>
        <v/>
      </c>
    </row>
    <row r="31" spans="1:8">
      <c r="A31" s="534"/>
      <c r="B31" s="305" t="str">
        <f t="shared" si="2"/>
        <v/>
      </c>
      <c r="C31" s="305"/>
      <c r="D31" s="306"/>
      <c r="E31" s="276" t="str">
        <f t="shared" si="3"/>
        <v/>
      </c>
      <c r="F31" s="405"/>
      <c r="G31" s="310" t="str">
        <f t="shared" si="4"/>
        <v/>
      </c>
      <c r="H31" s="311" t="str">
        <f t="shared" si="5"/>
        <v/>
      </c>
    </row>
    <row r="32" spans="1:8" ht="13.5" thickBot="1">
      <c r="A32" s="535"/>
      <c r="B32" s="326" t="str">
        <f t="shared" si="2"/>
        <v/>
      </c>
      <c r="C32" s="314"/>
      <c r="D32" s="314"/>
      <c r="E32" s="315" t="str">
        <f t="shared" si="3"/>
        <v/>
      </c>
      <c r="F32" s="406"/>
      <c r="G32" s="327" t="str">
        <f t="shared" si="4"/>
        <v/>
      </c>
      <c r="H32" s="311" t="str">
        <f t="shared" si="5"/>
        <v/>
      </c>
    </row>
    <row r="33" spans="1:8" ht="13.5" thickBot="1">
      <c r="A33" s="285"/>
      <c r="B33" s="285"/>
      <c r="C33" s="285"/>
      <c r="D33" s="285"/>
      <c r="E33" s="286"/>
      <c r="F33" s="285"/>
      <c r="G33" s="210" t="s">
        <v>529</v>
      </c>
      <c r="H33" s="328">
        <f>ROUND(SUM(H23:H32),0)</f>
        <v>370391</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546"/>
      <c r="B37" s="305" t="str">
        <f>IF(A37="","",VLOOKUP(A37,MAT,2,FALSE))</f>
        <v/>
      </c>
      <c r="C37" s="333"/>
      <c r="D37" s="409" t="str">
        <f>IF(A37="","",VLOOKUP(A37,MAT,3,FALSE))</f>
        <v/>
      </c>
      <c r="E37" s="419" t="str">
        <f>IF(A37="","",VLOOKUP(A37,MAT,6,FALSE))</f>
        <v/>
      </c>
      <c r="F37" s="413" t="str">
        <f>IF(A37="","",VLOOKUP(A37,$A$23:$H$32,6,FALSE))</f>
        <v/>
      </c>
      <c r="G37" s="334" t="str">
        <f>IF(A37="","",VLOOKUP(A37,MAT,7,FALSE))</f>
        <v/>
      </c>
      <c r="H37" s="311" t="str">
        <f>IF(A37="","",ROUND((G37*F37*E37),0))</f>
        <v/>
      </c>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t="str">
        <f>IF(A39="","",ROUND((G39*F39*E39),0))</f>
        <v/>
      </c>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0</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c r="B46" s="2192"/>
      <c r="C46" s="2193"/>
      <c r="D46" s="2194"/>
      <c r="E46" s="538"/>
      <c r="F46" s="544"/>
      <c r="G46" s="540"/>
      <c r="H46" s="542"/>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0</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370391</v>
      </c>
    </row>
    <row r="53" spans="1:8">
      <c r="A53" s="285"/>
      <c r="B53" s="285"/>
      <c r="C53" s="285"/>
      <c r="D53" s="285"/>
      <c r="E53" s="346"/>
      <c r="F53" s="347"/>
      <c r="G53" s="347"/>
      <c r="H53" s="349"/>
    </row>
    <row r="54" spans="1:8">
      <c r="A54" s="285"/>
      <c r="B54" s="285"/>
      <c r="C54" s="285"/>
      <c r="D54" s="285"/>
      <c r="E54" s="346"/>
      <c r="F54" s="347"/>
      <c r="G54" s="347"/>
      <c r="H54" s="349"/>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ht="15">
      <c r="A59" s="1243" t="str">
        <f>+[14]PRESUPUESTO!$A$113</f>
        <v>__________________________________________</v>
      </c>
      <c r="B59" s="1243"/>
      <c r="C59" s="1244"/>
    </row>
    <row r="60" spans="1:8" ht="15.75">
      <c r="A60" s="1245" t="str">
        <f>+[14]PRESUPUESTO!$A$114</f>
        <v>Ing. JHON FREDY GARCIA MENDEZ</v>
      </c>
      <c r="B60" s="1243"/>
      <c r="C60" s="1244"/>
    </row>
    <row r="61" spans="1:8" ht="15.75">
      <c r="A61" s="1246" t="str">
        <f>+[14]PRESUPUESTO!$A$115</f>
        <v>M.P.  70268-326294 TLM.</v>
      </c>
      <c r="B61" s="1243"/>
      <c r="C61" s="1244"/>
    </row>
    <row r="62" spans="1:8" ht="15.75">
      <c r="A62" s="1246" t="str">
        <f>+[14]PRESUPUESTO!$A$116</f>
        <v>CONSULTOR</v>
      </c>
      <c r="B62" s="1243"/>
      <c r="C62" s="1244"/>
    </row>
  </sheetData>
  <mergeCells count="15">
    <mergeCell ref="B47:D47"/>
    <mergeCell ref="B48:D48"/>
    <mergeCell ref="B49:D49"/>
    <mergeCell ref="B6:D6"/>
    <mergeCell ref="B7:E7"/>
    <mergeCell ref="B8:E8"/>
    <mergeCell ref="B36:C36"/>
    <mergeCell ref="B45:D45"/>
    <mergeCell ref="B46:D46"/>
    <mergeCell ref="D2:E4"/>
    <mergeCell ref="F2:H2"/>
    <mergeCell ref="F3:H3"/>
    <mergeCell ref="F4:H4"/>
    <mergeCell ref="A5:E5"/>
    <mergeCell ref="F5:H5"/>
  </mergeCells>
  <pageMargins left="0.75" right="0.75" top="1" bottom="1" header="0" footer="0"/>
  <pageSetup scale="70" orientation="portrait" r:id="rId1"/>
  <headerFooter alignWithMargins="0"/>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Hoja98">
    <tabColor theme="6" tint="0.79998168889431442"/>
  </sheetPr>
  <dimension ref="A1:I62"/>
  <sheetViews>
    <sheetView view="pageBreakPreview" topLeftCell="A30" zoomScale="90" zoomScaleNormal="100" zoomScaleSheetLayoutView="90" workbookViewId="0">
      <selection activeCell="E53" sqref="E53:H54"/>
    </sheetView>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4.570312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f>PRESUPUESTO!A56</f>
        <v>1.7</v>
      </c>
      <c r="B7" s="2185" t="str">
        <f>PRESUPUESTO!B56</f>
        <v>DOMICILIARIAS</v>
      </c>
      <c r="C7" s="2185"/>
      <c r="D7" s="2185"/>
      <c r="E7" s="2185"/>
      <c r="F7" s="289"/>
      <c r="G7" s="290" t="s">
        <v>525</v>
      </c>
      <c r="H7" s="97" t="str">
        <f>+PRESUPUESTO!C57</f>
        <v>m</v>
      </c>
    </row>
    <row r="8" spans="1:9" ht="63.75" customHeight="1">
      <c r="A8" s="97" t="str">
        <f>+PRESUPUESTO!A57</f>
        <v>1.7.1</v>
      </c>
      <c r="B8" s="2265" t="str">
        <f>+PRESUPUESTO!B57</f>
        <v>Instalación de tubería de alcantarillado PVC ø 160 mm (6") y accesorios. Incluye: Nivelación, arreglo del fondo de la zanja, bajada y empalme del tubo, uso de herramienta y mano de obra, lubricante,y todo lo necesario para la correcta ejecución de la obra.</v>
      </c>
      <c r="C8" s="2266"/>
      <c r="D8" s="2266"/>
      <c r="E8" s="2266"/>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967</v>
      </c>
      <c r="B13" s="305" t="str">
        <f t="shared" ref="B13:B18" si="0">IF(A13="","",VLOOKUP(A13,EQUI,2,FALSE))</f>
        <v>Herramienta Menor (10% de la mano de obra).</v>
      </c>
      <c r="C13" s="306"/>
      <c r="D13" s="306"/>
      <c r="E13" s="276" t="str">
        <f t="shared" ref="E13:E18" si="1">IF(A13="","",VLOOKUP(A13,EQUI,3,FALSE))</f>
        <v>%</v>
      </c>
      <c r="F13" s="433">
        <f>IF(A13="","",VLOOKUP(A13,EQUI,4,FALSE))</f>
        <v>0.1</v>
      </c>
      <c r="G13" s="307">
        <f>ROUND(F13*H50,0)</f>
        <v>1872</v>
      </c>
      <c r="H13" s="308">
        <f>+G13</f>
        <v>1872</v>
      </c>
      <c r="I13" s="309"/>
    </row>
    <row r="14" spans="1:9">
      <c r="A14" s="536"/>
      <c r="B14" s="305" t="str">
        <f t="shared" si="0"/>
        <v/>
      </c>
      <c r="C14" s="306"/>
      <c r="D14" s="306"/>
      <c r="E14" s="276" t="str">
        <f t="shared" si="1"/>
        <v/>
      </c>
      <c r="F14" s="405"/>
      <c r="G14" s="310" t="str">
        <f>IF(A14="","",VLOOKUP(A14,EQUI,4,FALSE))</f>
        <v/>
      </c>
      <c r="H14" s="311" t="str">
        <f>IF(A14="","",ROUND((G14/F14),0))</f>
        <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1872</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c r="B23" s="353"/>
      <c r="C23" s="305"/>
      <c r="D23" s="306"/>
      <c r="E23" s="276"/>
      <c r="F23" s="405"/>
      <c r="G23" s="310"/>
      <c r="H23" s="311"/>
    </row>
    <row r="24" spans="1:8">
      <c r="A24" s="534" t="s">
        <v>1387</v>
      </c>
      <c r="B24" s="353" t="str">
        <f>IF(A24="","",VLOOKUP(A24,MAT,2,FALSE))</f>
        <v>Lubricante PVC x 500 gr.</v>
      </c>
      <c r="C24" s="305"/>
      <c r="D24" s="306"/>
      <c r="E24" s="276" t="str">
        <f>IF(A24="","",VLOOKUP(A24,MAT,3,FALSE))</f>
        <v>Lb.</v>
      </c>
      <c r="F24" s="405">
        <v>0.01</v>
      </c>
      <c r="G24" s="310">
        <f>IF(A24="","",VLOOKUP(A24,MAT,5,FALSE))</f>
        <v>34081</v>
      </c>
      <c r="H24" s="311">
        <f>IF(A24="","",ROUND((G24*F24),0))</f>
        <v>341</v>
      </c>
    </row>
    <row r="25" spans="1:8">
      <c r="A25" s="534" t="s">
        <v>1388</v>
      </c>
      <c r="B25" s="353" t="str">
        <f>IF(A25="","",VLOOKUP(A25,MAT,2,FALSE))</f>
        <v>Limpiador PVC x 1/4.</v>
      </c>
      <c r="C25" s="305"/>
      <c r="D25" s="306"/>
      <c r="E25" s="276" t="str">
        <f>IF(A25="","",VLOOKUP(A25,MAT,3,FALSE))</f>
        <v>1/4 Gal</v>
      </c>
      <c r="F25" s="405">
        <v>0.01</v>
      </c>
      <c r="G25" s="310">
        <f>IF(A25="","",VLOOKUP(A25,MAT,5,FALSE))</f>
        <v>72505</v>
      </c>
      <c r="H25" s="311">
        <f>IF(A25="","",ROUND((G25*F25),0))</f>
        <v>725</v>
      </c>
    </row>
    <row r="26" spans="1:8">
      <c r="A26" s="534"/>
      <c r="B26" s="305" t="str">
        <f t="shared" ref="B26:B32" si="2">IF(A26="","",VLOOKUP(A26,MAT,2,FALSE))</f>
        <v/>
      </c>
      <c r="C26" s="305"/>
      <c r="D26" s="306"/>
      <c r="E26" s="276" t="str">
        <f t="shared" ref="E26:E32" si="3">IF(A26="","",VLOOKUP(A26,MAT,3,FALSE))</f>
        <v/>
      </c>
      <c r="F26" s="405"/>
      <c r="G26" s="310" t="str">
        <f t="shared" ref="G26:G32" si="4">IF(A26="","",VLOOKUP(A26,MAT,5,FALSE))</f>
        <v/>
      </c>
      <c r="H26" s="311" t="str">
        <f t="shared" ref="H26:H32" si="5">IF(A26="","",ROUND((G26*F26),0))</f>
        <v/>
      </c>
    </row>
    <row r="27" spans="1:8">
      <c r="A27" s="534"/>
      <c r="B27" s="305" t="str">
        <f t="shared" si="2"/>
        <v/>
      </c>
      <c r="C27" s="305"/>
      <c r="D27" s="306"/>
      <c r="E27" s="276" t="str">
        <f t="shared" si="3"/>
        <v/>
      </c>
      <c r="F27" s="405"/>
      <c r="G27" s="310" t="str">
        <f t="shared" si="4"/>
        <v/>
      </c>
      <c r="H27" s="311" t="str">
        <f t="shared" si="5"/>
        <v/>
      </c>
    </row>
    <row r="28" spans="1:8">
      <c r="A28" s="534"/>
      <c r="B28" s="305" t="str">
        <f t="shared" si="2"/>
        <v/>
      </c>
      <c r="C28" s="305"/>
      <c r="D28" s="306"/>
      <c r="E28" s="276" t="str">
        <f t="shared" si="3"/>
        <v/>
      </c>
      <c r="F28" s="405"/>
      <c r="G28" s="310" t="str">
        <f t="shared" si="4"/>
        <v/>
      </c>
      <c r="H28" s="311" t="str">
        <f t="shared" si="5"/>
        <v/>
      </c>
    </row>
    <row r="29" spans="1:8">
      <c r="A29" s="534"/>
      <c r="B29" s="305" t="str">
        <f t="shared" si="2"/>
        <v/>
      </c>
      <c r="C29" s="305"/>
      <c r="D29" s="306"/>
      <c r="E29" s="276" t="str">
        <f t="shared" si="3"/>
        <v/>
      </c>
      <c r="F29" s="405"/>
      <c r="G29" s="310" t="str">
        <f t="shared" si="4"/>
        <v/>
      </c>
      <c r="H29" s="311" t="str">
        <f t="shared" si="5"/>
        <v/>
      </c>
    </row>
    <row r="30" spans="1:8">
      <c r="A30" s="534"/>
      <c r="B30" s="305" t="str">
        <f t="shared" si="2"/>
        <v/>
      </c>
      <c r="C30" s="305"/>
      <c r="D30" s="306"/>
      <c r="E30" s="276" t="str">
        <f t="shared" si="3"/>
        <v/>
      </c>
      <c r="F30" s="405"/>
      <c r="G30" s="310" t="str">
        <f t="shared" si="4"/>
        <v/>
      </c>
      <c r="H30" s="311" t="str">
        <f t="shared" si="5"/>
        <v/>
      </c>
    </row>
    <row r="31" spans="1:8">
      <c r="A31" s="534"/>
      <c r="B31" s="305" t="str">
        <f t="shared" si="2"/>
        <v/>
      </c>
      <c r="C31" s="305"/>
      <c r="D31" s="306"/>
      <c r="E31" s="276" t="str">
        <f t="shared" si="3"/>
        <v/>
      </c>
      <c r="F31" s="405"/>
      <c r="G31" s="310" t="str">
        <f t="shared" si="4"/>
        <v/>
      </c>
      <c r="H31" s="311" t="str">
        <f t="shared" si="5"/>
        <v/>
      </c>
    </row>
    <row r="32" spans="1:8" ht="13.5" thickBot="1">
      <c r="A32" s="535"/>
      <c r="B32" s="326" t="str">
        <f t="shared" si="2"/>
        <v/>
      </c>
      <c r="C32" s="314"/>
      <c r="D32" s="314"/>
      <c r="E32" s="315" t="str">
        <f t="shared" si="3"/>
        <v/>
      </c>
      <c r="F32" s="406"/>
      <c r="G32" s="327" t="str">
        <f t="shared" si="4"/>
        <v/>
      </c>
      <c r="H32" s="311" t="str">
        <f t="shared" si="5"/>
        <v/>
      </c>
    </row>
    <row r="33" spans="1:8" ht="13.5" thickBot="1">
      <c r="A33" s="285"/>
      <c r="B33" s="285"/>
      <c r="C33" s="285"/>
      <c r="D33" s="285"/>
      <c r="E33" s="286"/>
      <c r="F33" s="285"/>
      <c r="G33" s="210" t="s">
        <v>529</v>
      </c>
      <c r="H33" s="328">
        <f>ROUND(SUM(H23:H32),0)</f>
        <v>1066</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546"/>
      <c r="B37" s="305"/>
      <c r="C37" s="333"/>
      <c r="D37" s="409"/>
      <c r="E37" s="419"/>
      <c r="F37" s="413"/>
      <c r="G37" s="334"/>
      <c r="H37" s="311"/>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t="str">
        <f>IF(A39="","",ROUND((G39*F39*E39),0))</f>
        <v/>
      </c>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0</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940</v>
      </c>
      <c r="B46" s="2192" t="str">
        <f>IF(A46="","",VLOOKUP(A46,MO,2,FALSE))</f>
        <v>Cuadrilla NN: Instalaciones hidrosanitarias. (1 Of.Insta.+ 2 Ayud.).</v>
      </c>
      <c r="C46" s="2193"/>
      <c r="D46" s="2194"/>
      <c r="E46" s="538" t="str">
        <f>IF(A46="","",VLOOKUP(A46,MO,13,FALSE))</f>
        <v>HC</v>
      </c>
      <c r="F46" s="544">
        <v>5.2</v>
      </c>
      <c r="G46" s="540">
        <f>IF(A46="","",VLOOKUP(A46,MO,15,FALSE))</f>
        <v>97342</v>
      </c>
      <c r="H46" s="542">
        <f>IF(A46="","",ROUND((G46/F46),0))</f>
        <v>18720</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18720</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21658</v>
      </c>
    </row>
    <row r="53" spans="1:8">
      <c r="A53" s="285"/>
      <c r="B53" s="285"/>
      <c r="C53" s="285"/>
      <c r="D53" s="285"/>
      <c r="E53" s="346" t="s">
        <v>2697</v>
      </c>
      <c r="F53" s="347"/>
      <c r="G53" s="347">
        <v>0.3</v>
      </c>
      <c r="H53" s="349">
        <f>H52*G53</f>
        <v>6497.4</v>
      </c>
    </row>
    <row r="54" spans="1:8">
      <c r="A54" s="285"/>
      <c r="B54" s="285"/>
      <c r="C54" s="285"/>
      <c r="D54" s="285"/>
      <c r="E54" s="346"/>
      <c r="F54" s="347"/>
      <c r="G54" s="347"/>
      <c r="H54" s="349">
        <f>SUM(H52:H53)</f>
        <v>28155.4</v>
      </c>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ht="15">
      <c r="A59" s="1243" t="str">
        <f>+[14]PRESUPUESTO!$A$113</f>
        <v>__________________________________________</v>
      </c>
      <c r="B59" s="1243"/>
      <c r="C59" s="1244"/>
    </row>
    <row r="60" spans="1:8" ht="15.75">
      <c r="A60" s="1245" t="str">
        <f>+[14]PRESUPUESTO!$A$114</f>
        <v>Ing. JHON FREDY GARCIA MENDEZ</v>
      </c>
      <c r="B60" s="1243"/>
      <c r="C60" s="1244"/>
    </row>
    <row r="61" spans="1:8" ht="15.75">
      <c r="A61" s="1246" t="str">
        <f>+[14]PRESUPUESTO!$A$115</f>
        <v>M.P.  70268-326294 TLM.</v>
      </c>
      <c r="B61" s="1243"/>
      <c r="C61" s="1244"/>
    </row>
    <row r="62" spans="1:8" ht="15.75">
      <c r="A62" s="1246" t="str">
        <f>+[14]PRESUPUESTO!$A$116</f>
        <v>CONSULTOR</v>
      </c>
      <c r="B62" s="1243"/>
      <c r="C62" s="1244"/>
    </row>
  </sheetData>
  <mergeCells count="15">
    <mergeCell ref="B47:D47"/>
    <mergeCell ref="B48:D48"/>
    <mergeCell ref="B49:D49"/>
    <mergeCell ref="B6:D6"/>
    <mergeCell ref="B7:E7"/>
    <mergeCell ref="B8:E8"/>
    <mergeCell ref="B36:C36"/>
    <mergeCell ref="B45:D45"/>
    <mergeCell ref="B46:D46"/>
    <mergeCell ref="D2:E4"/>
    <mergeCell ref="F2:H2"/>
    <mergeCell ref="F3:H3"/>
    <mergeCell ref="F4:H4"/>
    <mergeCell ref="A5:E5"/>
    <mergeCell ref="F5:H5"/>
  </mergeCells>
  <pageMargins left="0.75" right="0.75" top="1" bottom="1" header="0" footer="0"/>
  <pageSetup scale="70" orientation="portrait" r:id="rId1"/>
  <headerFooter alignWithMargins="0"/>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Hoja102">
    <tabColor theme="6" tint="0.79998168889431442"/>
  </sheetPr>
  <dimension ref="A1:I62"/>
  <sheetViews>
    <sheetView view="pageBreakPreview" topLeftCell="A39" zoomScaleNormal="100" zoomScaleSheetLayoutView="100" workbookViewId="0">
      <selection activeCell="E53" sqref="E53:H54"/>
    </sheetView>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4.570312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f>PRESUPUESTO!A56</f>
        <v>1.7</v>
      </c>
      <c r="B7" s="2185" t="str">
        <f>PRESUPUESTO!B56</f>
        <v>DOMICILIARIAS</v>
      </c>
      <c r="C7" s="2185"/>
      <c r="D7" s="2185"/>
      <c r="E7" s="2185"/>
      <c r="F7" s="289"/>
      <c r="G7" s="290" t="s">
        <v>525</v>
      </c>
      <c r="H7" s="97" t="str">
        <f>+PRESUPUESTO!C58</f>
        <v>Und.</v>
      </c>
    </row>
    <row r="8" spans="1:9" ht="24.75" customHeight="1">
      <c r="A8" s="97" t="str">
        <f>+PRESUPUESTO!A58</f>
        <v>1.7.2</v>
      </c>
      <c r="B8" s="2256" t="str">
        <f>+PRESUPUESTO!B58</f>
        <v>Instalación de Kit Silla Yee 200 mm x 160 mm.  Incluye: Codo de 6x45, accesorios adecuados para su correcta conexión y sello hermético.</v>
      </c>
      <c r="C8" s="2257"/>
      <c r="D8" s="2257"/>
      <c r="E8" s="225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966</v>
      </c>
      <c r="B13" s="305" t="str">
        <f t="shared" ref="B13:B18" si="0">IF(A13="","",VLOOKUP(A13,EQUI,2,FALSE))</f>
        <v>Herramienta Menor (5% de la mano de obra).</v>
      </c>
      <c r="C13" s="306"/>
      <c r="D13" s="306"/>
      <c r="E13" s="276" t="str">
        <f t="shared" ref="E13:E18" si="1">IF(A13="","",VLOOKUP(A13,EQUI,3,FALSE))</f>
        <v>%</v>
      </c>
      <c r="F13" s="433">
        <f>IF(A13="","",VLOOKUP(A13,EQUI,4,FALSE))</f>
        <v>0.05</v>
      </c>
      <c r="G13" s="307">
        <f>ROUND(F13*H50,0)</f>
        <v>3744</v>
      </c>
      <c r="H13" s="308">
        <f>+G13</f>
        <v>3744</v>
      </c>
      <c r="I13" s="309"/>
    </row>
    <row r="14" spans="1:9">
      <c r="A14" s="536"/>
      <c r="B14" s="305" t="str">
        <f t="shared" si="0"/>
        <v/>
      </c>
      <c r="C14" s="306"/>
      <c r="D14" s="306"/>
      <c r="E14" s="276" t="str">
        <f t="shared" si="1"/>
        <v/>
      </c>
      <c r="F14" s="405"/>
      <c r="G14" s="310" t="str">
        <f>IF(A14="","",VLOOKUP(A14,EQUI,4,FALSE))</f>
        <v/>
      </c>
      <c r="H14" s="311" t="str">
        <f>IF(A14="","",ROUND((G14/F14),0))</f>
        <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3744</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c r="B23" s="353"/>
      <c r="C23" s="305"/>
      <c r="D23" s="306"/>
      <c r="E23" s="276"/>
      <c r="F23" s="405"/>
      <c r="G23" s="310"/>
      <c r="H23" s="311"/>
    </row>
    <row r="24" spans="1:8">
      <c r="A24" s="534" t="s">
        <v>1387</v>
      </c>
      <c r="B24" s="353" t="str">
        <f>IF(A24="","",VLOOKUP(A24,MAT,2,FALSE))</f>
        <v>Lubricante PVC x 500 gr.</v>
      </c>
      <c r="C24" s="305"/>
      <c r="D24" s="306"/>
      <c r="E24" s="1247" t="str">
        <f>IF(A24="","",VLOOKUP(A24,MAT,3,FALSE))</f>
        <v>Lb.</v>
      </c>
      <c r="F24" s="585">
        <v>2.8000000000000001E-2</v>
      </c>
      <c r="G24" s="310">
        <f>IF(A24="","",VLOOKUP(A24,MAT,5,FALSE))</f>
        <v>34081</v>
      </c>
      <c r="H24" s="311">
        <f>IF(A24="","",ROUND((G24*F24),0))</f>
        <v>954</v>
      </c>
    </row>
    <row r="25" spans="1:8">
      <c r="A25" s="534" t="s">
        <v>1388</v>
      </c>
      <c r="B25" s="353" t="str">
        <f>IF(A25="","",VLOOKUP(A25,MAT,2,FALSE))</f>
        <v>Limpiador PVC x 1/4.</v>
      </c>
      <c r="C25" s="305"/>
      <c r="D25" s="306"/>
      <c r="E25" s="276" t="str">
        <f>IF(A25="","",VLOOKUP(A25,MAT,3,FALSE))</f>
        <v>1/4 Gal</v>
      </c>
      <c r="F25" s="585">
        <v>1.4999999999999999E-2</v>
      </c>
      <c r="G25" s="310">
        <f>IF(A25="","",VLOOKUP(A25,MAT,5,FALSE))</f>
        <v>72505</v>
      </c>
      <c r="H25" s="311">
        <f>IF(A25="","",ROUND((G25*F25),0))</f>
        <v>1088</v>
      </c>
    </row>
    <row r="26" spans="1:8">
      <c r="A26" s="534"/>
      <c r="B26" s="305" t="str">
        <f t="shared" ref="B26:B32" si="2">IF(A26="","",VLOOKUP(A26,MAT,2,FALSE))</f>
        <v/>
      </c>
      <c r="C26" s="305"/>
      <c r="D26" s="306"/>
      <c r="E26" s="276" t="str">
        <f t="shared" ref="E26:E32" si="3">IF(A26="","",VLOOKUP(A26,MAT,3,FALSE))</f>
        <v/>
      </c>
      <c r="F26" s="405"/>
      <c r="G26" s="310" t="str">
        <f t="shared" ref="G26:G32" si="4">IF(A26="","",VLOOKUP(A26,MAT,5,FALSE))</f>
        <v/>
      </c>
      <c r="H26" s="311" t="str">
        <f t="shared" ref="H26:H32" si="5">IF(A26="","",ROUND((G26*F26),0))</f>
        <v/>
      </c>
    </row>
    <row r="27" spans="1:8">
      <c r="A27" s="534"/>
      <c r="B27" s="305" t="str">
        <f t="shared" si="2"/>
        <v/>
      </c>
      <c r="C27" s="305"/>
      <c r="D27" s="306"/>
      <c r="E27" s="276" t="str">
        <f t="shared" si="3"/>
        <v/>
      </c>
      <c r="F27" s="405"/>
      <c r="G27" s="310" t="str">
        <f t="shared" si="4"/>
        <v/>
      </c>
      <c r="H27" s="311" t="str">
        <f t="shared" si="5"/>
        <v/>
      </c>
    </row>
    <row r="28" spans="1:8">
      <c r="A28" s="534"/>
      <c r="B28" s="305" t="str">
        <f t="shared" si="2"/>
        <v/>
      </c>
      <c r="C28" s="305"/>
      <c r="D28" s="306"/>
      <c r="E28" s="276" t="str">
        <f t="shared" si="3"/>
        <v/>
      </c>
      <c r="F28" s="405"/>
      <c r="G28" s="310" t="str">
        <f t="shared" si="4"/>
        <v/>
      </c>
      <c r="H28" s="311" t="str">
        <f t="shared" si="5"/>
        <v/>
      </c>
    </row>
    <row r="29" spans="1:8">
      <c r="A29" s="534"/>
      <c r="B29" s="305" t="str">
        <f t="shared" si="2"/>
        <v/>
      </c>
      <c r="C29" s="305"/>
      <c r="D29" s="306"/>
      <c r="E29" s="276" t="str">
        <f t="shared" si="3"/>
        <v/>
      </c>
      <c r="F29" s="405"/>
      <c r="G29" s="310" t="str">
        <f t="shared" si="4"/>
        <v/>
      </c>
      <c r="H29" s="311" t="str">
        <f t="shared" si="5"/>
        <v/>
      </c>
    </row>
    <row r="30" spans="1:8">
      <c r="A30" s="534"/>
      <c r="B30" s="305" t="str">
        <f t="shared" si="2"/>
        <v/>
      </c>
      <c r="C30" s="305"/>
      <c r="D30" s="306"/>
      <c r="E30" s="276" t="str">
        <f t="shared" si="3"/>
        <v/>
      </c>
      <c r="F30" s="405"/>
      <c r="G30" s="310" t="str">
        <f t="shared" si="4"/>
        <v/>
      </c>
      <c r="H30" s="311" t="str">
        <f t="shared" si="5"/>
        <v/>
      </c>
    </row>
    <row r="31" spans="1:8">
      <c r="A31" s="534"/>
      <c r="B31" s="305" t="str">
        <f t="shared" si="2"/>
        <v/>
      </c>
      <c r="C31" s="305"/>
      <c r="D31" s="306"/>
      <c r="E31" s="276" t="str">
        <f t="shared" si="3"/>
        <v/>
      </c>
      <c r="F31" s="405"/>
      <c r="G31" s="310" t="str">
        <f t="shared" si="4"/>
        <v/>
      </c>
      <c r="H31" s="311" t="str">
        <f t="shared" si="5"/>
        <v/>
      </c>
    </row>
    <row r="32" spans="1:8" ht="13.5" thickBot="1">
      <c r="A32" s="535"/>
      <c r="B32" s="326" t="str">
        <f t="shared" si="2"/>
        <v/>
      </c>
      <c r="C32" s="314"/>
      <c r="D32" s="314"/>
      <c r="E32" s="315" t="str">
        <f t="shared" si="3"/>
        <v/>
      </c>
      <c r="F32" s="406"/>
      <c r="G32" s="327" t="str">
        <f t="shared" si="4"/>
        <v/>
      </c>
      <c r="H32" s="311" t="str">
        <f t="shared" si="5"/>
        <v/>
      </c>
    </row>
    <row r="33" spans="1:8" ht="13.5" thickBot="1">
      <c r="A33" s="285"/>
      <c r="B33" s="285"/>
      <c r="C33" s="285"/>
      <c r="D33" s="285"/>
      <c r="E33" s="286"/>
      <c r="F33" s="285"/>
      <c r="G33" s="210" t="s">
        <v>529</v>
      </c>
      <c r="H33" s="328">
        <f>ROUND(SUM(H23:H32),0)</f>
        <v>2042</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546"/>
      <c r="B37" s="305" t="str">
        <f>IF(A37="","",VLOOKUP(A37,MAT,2,FALSE))</f>
        <v/>
      </c>
      <c r="C37" s="333"/>
      <c r="D37" s="409" t="str">
        <f>IF(A37="","",VLOOKUP(A37,MAT,3,FALSE))</f>
        <v/>
      </c>
      <c r="E37" s="419" t="str">
        <f>IF(A37="","",VLOOKUP(A37,MAT,6,FALSE))</f>
        <v/>
      </c>
      <c r="F37" s="413" t="str">
        <f>IF(A37="","",VLOOKUP(A37,$A$23:$H$32,6,FALSE))</f>
        <v/>
      </c>
      <c r="G37" s="334" t="str">
        <f>IF(A37="","",VLOOKUP(A37,MAT,7,FALSE))</f>
        <v/>
      </c>
      <c r="H37" s="311" t="str">
        <f>IF(A37="","",ROUND((G37*F37*E37),0))</f>
        <v/>
      </c>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t="str">
        <f>IF(A39="","",ROUND((G39*F39*E39),0))</f>
        <v/>
      </c>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0</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940</v>
      </c>
      <c r="B46" s="2192" t="str">
        <f>IF(A46="","",VLOOKUP(A46,MO,2,FALSE))</f>
        <v>Cuadrilla NN: Instalaciones hidrosanitarias. (1 Of.Insta.+ 2 Ayud.).</v>
      </c>
      <c r="C46" s="2193"/>
      <c r="D46" s="2194"/>
      <c r="E46" s="538" t="str">
        <f>IF(A46="","",VLOOKUP(A46,MO,13,FALSE))</f>
        <v>HC</v>
      </c>
      <c r="F46" s="544">
        <v>1.3</v>
      </c>
      <c r="G46" s="540">
        <f>IF(A46="","",VLOOKUP(A46,MO,15,FALSE))</f>
        <v>97342</v>
      </c>
      <c r="H46" s="542">
        <f>IF(A46="","",ROUND((G46/F46),0))</f>
        <v>74878</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74878</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80664</v>
      </c>
    </row>
    <row r="53" spans="1:8">
      <c r="A53" s="285"/>
      <c r="B53" s="285"/>
      <c r="C53" s="285"/>
      <c r="D53" s="285"/>
      <c r="E53" s="346" t="s">
        <v>2697</v>
      </c>
      <c r="F53" s="347"/>
      <c r="G53" s="347">
        <v>0.3</v>
      </c>
      <c r="H53" s="349">
        <f>H52*G53</f>
        <v>24199.200000000001</v>
      </c>
    </row>
    <row r="54" spans="1:8">
      <c r="A54" s="285"/>
      <c r="B54" s="285"/>
      <c r="C54" s="285"/>
      <c r="D54" s="285"/>
      <c r="E54" s="346"/>
      <c r="F54" s="347"/>
      <c r="G54" s="347"/>
      <c r="H54" s="349">
        <f>SUM(H52:H53)</f>
        <v>104863.2</v>
      </c>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ht="15">
      <c r="A59" s="1243" t="str">
        <f>+[14]PRESUPUESTO!$A$113</f>
        <v>__________________________________________</v>
      </c>
      <c r="B59" s="1243"/>
      <c r="C59" s="1244"/>
    </row>
    <row r="60" spans="1:8" ht="15.75">
      <c r="A60" s="1245" t="str">
        <f>+[14]PRESUPUESTO!$A$114</f>
        <v>Ing. JHON FREDY GARCIA MENDEZ</v>
      </c>
      <c r="B60" s="1243"/>
      <c r="C60" s="1244"/>
    </row>
    <row r="61" spans="1:8" ht="15.75">
      <c r="A61" s="1246" t="str">
        <f>+[14]PRESUPUESTO!$A$115</f>
        <v>M.P.  70268-326294 TLM.</v>
      </c>
      <c r="B61" s="1243"/>
      <c r="C61" s="1244"/>
    </row>
    <row r="62" spans="1:8" ht="15.75">
      <c r="A62" s="1246" t="str">
        <f>+[14]PRESUPUESTO!$A$116</f>
        <v>CONSULTOR</v>
      </c>
      <c r="B62" s="1243"/>
      <c r="C62" s="1244"/>
    </row>
  </sheetData>
  <mergeCells count="15">
    <mergeCell ref="B47:D47"/>
    <mergeCell ref="B48:D48"/>
    <mergeCell ref="B49:D49"/>
    <mergeCell ref="B6:D6"/>
    <mergeCell ref="B7:E7"/>
    <mergeCell ref="B8:E8"/>
    <mergeCell ref="B36:C36"/>
    <mergeCell ref="B45:D45"/>
    <mergeCell ref="B46:D46"/>
    <mergeCell ref="D2:E4"/>
    <mergeCell ref="F2:H2"/>
    <mergeCell ref="F3:H3"/>
    <mergeCell ref="F4:H4"/>
    <mergeCell ref="A5:E5"/>
    <mergeCell ref="F5:H5"/>
  </mergeCells>
  <pageMargins left="0.75" right="0.75" top="1" bottom="1" header="0" footer="0"/>
  <pageSetup scale="70" orientation="portrait" r:id="rId1"/>
  <headerFooter alignWithMargins="0"/>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Hoja103">
    <tabColor theme="6" tint="0.79998168889431442"/>
  </sheetPr>
  <dimension ref="A1:I63"/>
  <sheetViews>
    <sheetView view="pageBreakPreview" topLeftCell="A30" zoomScale="90" zoomScaleNormal="100" zoomScaleSheetLayoutView="90" workbookViewId="0">
      <selection activeCell="E53" sqref="E53:H54"/>
    </sheetView>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4.570312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f>PRESUPUESTO!A56</f>
        <v>1.7</v>
      </c>
      <c r="B7" s="2185" t="str">
        <f>PRESUPUESTO!B56</f>
        <v>DOMICILIARIAS</v>
      </c>
      <c r="C7" s="2185"/>
      <c r="D7" s="2185"/>
      <c r="E7" s="2185"/>
      <c r="F7" s="289"/>
      <c r="G7" s="290" t="s">
        <v>525</v>
      </c>
      <c r="H7" s="97" t="str">
        <f>+PRESUPUESTO!C59</f>
        <v>Und.</v>
      </c>
    </row>
    <row r="8" spans="1:9" ht="25.5" customHeight="1">
      <c r="A8" s="97" t="str">
        <f>+PRESUPUESTO!A59</f>
        <v>1.7.3</v>
      </c>
      <c r="B8" s="2256" t="str">
        <f>+PRESUPUESTO!B59</f>
        <v>Instalación de Kit Silla Yee 250 mm x 160 mm.  Incluye: Codo de 6x45, accesorios adecuados para su correcta conexión y sello hermético.</v>
      </c>
      <c r="C8" s="2257"/>
      <c r="D8" s="2257"/>
      <c r="E8" s="225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966</v>
      </c>
      <c r="B13" s="305" t="str">
        <f t="shared" ref="B13:B18" si="0">IF(A13="","",VLOOKUP(A13,EQUI,2,FALSE))</f>
        <v>Herramienta Menor (5% de la mano de obra).</v>
      </c>
      <c r="C13" s="306"/>
      <c r="D13" s="306"/>
      <c r="E13" s="276" t="str">
        <f t="shared" ref="E13:E18" si="1">IF(A13="","",VLOOKUP(A13,EQUI,3,FALSE))</f>
        <v>%</v>
      </c>
      <c r="F13" s="433">
        <f>IF(A13="","",VLOOKUP(A13,EQUI,4,FALSE))</f>
        <v>0.05</v>
      </c>
      <c r="G13" s="307">
        <f>ROUND(F13*H50,0)</f>
        <v>3744</v>
      </c>
      <c r="H13" s="308">
        <f>+G13</f>
        <v>3744</v>
      </c>
      <c r="I13" s="309"/>
    </row>
    <row r="14" spans="1:9">
      <c r="A14" s="536"/>
      <c r="B14" s="305" t="str">
        <f t="shared" si="0"/>
        <v/>
      </c>
      <c r="C14" s="306"/>
      <c r="D14" s="306"/>
      <c r="E14" s="276" t="str">
        <f t="shared" si="1"/>
        <v/>
      </c>
      <c r="F14" s="405"/>
      <c r="G14" s="310" t="str">
        <f>IF(A14="","",VLOOKUP(A14,EQUI,4,FALSE))</f>
        <v/>
      </c>
      <c r="H14" s="311" t="str">
        <f>IF(A14="","",ROUND((G14/F14),0))</f>
        <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3744</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c r="B23" s="353"/>
      <c r="C23" s="305"/>
      <c r="D23" s="306"/>
      <c r="E23" s="276"/>
      <c r="F23" s="405"/>
      <c r="G23" s="310"/>
      <c r="H23" s="311"/>
    </row>
    <row r="24" spans="1:8">
      <c r="A24" s="534" t="s">
        <v>1387</v>
      </c>
      <c r="B24" s="353" t="str">
        <f>IF(A24="","",VLOOKUP(A24,MAT,2,FALSE))</f>
        <v>Lubricante PVC x 500 gr.</v>
      </c>
      <c r="C24" s="305"/>
      <c r="D24" s="306"/>
      <c r="E24" s="1247" t="str">
        <f>IF(A24="","",VLOOKUP(A24,MAT,3,FALSE))</f>
        <v>Lb.</v>
      </c>
      <c r="F24" s="585">
        <v>0.03</v>
      </c>
      <c r="G24" s="310">
        <f>IF(A24="","",VLOOKUP(A24,MAT,5,FALSE))</f>
        <v>34081</v>
      </c>
      <c r="H24" s="311">
        <f>IF(A24="","",ROUND((G24*F24),0))</f>
        <v>1022</v>
      </c>
    </row>
    <row r="25" spans="1:8">
      <c r="A25" s="534" t="s">
        <v>1388</v>
      </c>
      <c r="B25" s="353" t="str">
        <f>IF(A25="","",VLOOKUP(A25,MAT,2,FALSE))</f>
        <v>Limpiador PVC x 1/4.</v>
      </c>
      <c r="C25" s="305"/>
      <c r="D25" s="306"/>
      <c r="E25" s="1247" t="str">
        <f>IF(A25="","",VLOOKUP(A25,MAT,3,FALSE))</f>
        <v>1/4 Gal</v>
      </c>
      <c r="F25" s="585">
        <v>0.02</v>
      </c>
      <c r="G25" s="310">
        <f>IF(A25="","",VLOOKUP(A25,MAT,5,FALSE))</f>
        <v>72505</v>
      </c>
      <c r="H25" s="311">
        <f>IF(A25="","",ROUND((G25*F25),0))</f>
        <v>1450</v>
      </c>
    </row>
    <row r="26" spans="1:8">
      <c r="A26" s="534"/>
      <c r="B26" s="305" t="str">
        <f t="shared" ref="B26:B32" si="2">IF(A26="","",VLOOKUP(A26,MAT,2,FALSE))</f>
        <v/>
      </c>
      <c r="C26" s="305"/>
      <c r="D26" s="306"/>
      <c r="E26" s="276" t="str">
        <f t="shared" ref="E26:E32" si="3">IF(A26="","",VLOOKUP(A26,MAT,3,FALSE))</f>
        <v/>
      </c>
      <c r="F26" s="405"/>
      <c r="G26" s="310" t="str">
        <f t="shared" ref="G26:G32" si="4">IF(A26="","",VLOOKUP(A26,MAT,5,FALSE))</f>
        <v/>
      </c>
      <c r="H26" s="311" t="str">
        <f t="shared" ref="H26:H32" si="5">IF(A26="","",ROUND((G26*F26),0))</f>
        <v/>
      </c>
    </row>
    <row r="27" spans="1:8">
      <c r="A27" s="534"/>
      <c r="B27" s="305" t="str">
        <f t="shared" si="2"/>
        <v/>
      </c>
      <c r="C27" s="305"/>
      <c r="D27" s="306"/>
      <c r="E27" s="276" t="str">
        <f t="shared" si="3"/>
        <v/>
      </c>
      <c r="F27" s="405"/>
      <c r="G27" s="310" t="str">
        <f t="shared" si="4"/>
        <v/>
      </c>
      <c r="H27" s="311" t="str">
        <f t="shared" si="5"/>
        <v/>
      </c>
    </row>
    <row r="28" spans="1:8">
      <c r="A28" s="534"/>
      <c r="B28" s="305" t="str">
        <f t="shared" si="2"/>
        <v/>
      </c>
      <c r="C28" s="305"/>
      <c r="D28" s="306"/>
      <c r="E28" s="276" t="str">
        <f t="shared" si="3"/>
        <v/>
      </c>
      <c r="F28" s="405"/>
      <c r="G28" s="310" t="str">
        <f t="shared" si="4"/>
        <v/>
      </c>
      <c r="H28" s="311" t="str">
        <f t="shared" si="5"/>
        <v/>
      </c>
    </row>
    <row r="29" spans="1:8">
      <c r="A29" s="534"/>
      <c r="B29" s="305" t="str">
        <f t="shared" si="2"/>
        <v/>
      </c>
      <c r="C29" s="305"/>
      <c r="D29" s="306"/>
      <c r="E29" s="276" t="str">
        <f t="shared" si="3"/>
        <v/>
      </c>
      <c r="F29" s="405"/>
      <c r="G29" s="310" t="str">
        <f t="shared" si="4"/>
        <v/>
      </c>
      <c r="H29" s="311" t="str">
        <f t="shared" si="5"/>
        <v/>
      </c>
    </row>
    <row r="30" spans="1:8">
      <c r="A30" s="534"/>
      <c r="B30" s="305" t="str">
        <f t="shared" si="2"/>
        <v/>
      </c>
      <c r="C30" s="305"/>
      <c r="D30" s="306"/>
      <c r="E30" s="276" t="str">
        <f t="shared" si="3"/>
        <v/>
      </c>
      <c r="F30" s="405"/>
      <c r="G30" s="310" t="str">
        <f t="shared" si="4"/>
        <v/>
      </c>
      <c r="H30" s="311" t="str">
        <f t="shared" si="5"/>
        <v/>
      </c>
    </row>
    <row r="31" spans="1:8">
      <c r="A31" s="534"/>
      <c r="B31" s="305" t="str">
        <f t="shared" si="2"/>
        <v/>
      </c>
      <c r="C31" s="305"/>
      <c r="D31" s="306"/>
      <c r="E31" s="276" t="str">
        <f t="shared" si="3"/>
        <v/>
      </c>
      <c r="F31" s="405"/>
      <c r="G31" s="310" t="str">
        <f t="shared" si="4"/>
        <v/>
      </c>
      <c r="H31" s="311" t="str">
        <f t="shared" si="5"/>
        <v/>
      </c>
    </row>
    <row r="32" spans="1:8" ht="13.5" thickBot="1">
      <c r="A32" s="535"/>
      <c r="B32" s="326" t="str">
        <f t="shared" si="2"/>
        <v/>
      </c>
      <c r="C32" s="314"/>
      <c r="D32" s="314"/>
      <c r="E32" s="315" t="str">
        <f t="shared" si="3"/>
        <v/>
      </c>
      <c r="F32" s="406"/>
      <c r="G32" s="327" t="str">
        <f t="shared" si="4"/>
        <v/>
      </c>
      <c r="H32" s="311" t="str">
        <f t="shared" si="5"/>
        <v/>
      </c>
    </row>
    <row r="33" spans="1:8" ht="13.5" thickBot="1">
      <c r="A33" s="285"/>
      <c r="B33" s="285"/>
      <c r="C33" s="285"/>
      <c r="D33" s="285"/>
      <c r="E33" s="286"/>
      <c r="F33" s="285"/>
      <c r="G33" s="210" t="s">
        <v>529</v>
      </c>
      <c r="H33" s="328">
        <f>ROUND(SUM(H23:H32),0)</f>
        <v>2472</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546"/>
      <c r="B37" s="305" t="str">
        <f>IF(A37="","",VLOOKUP(A37,MAT,2,FALSE))</f>
        <v/>
      </c>
      <c r="C37" s="333"/>
      <c r="D37" s="409" t="str">
        <f>IF(A37="","",VLOOKUP(A37,MAT,3,FALSE))</f>
        <v/>
      </c>
      <c r="E37" s="419" t="str">
        <f>IF(A37="","",VLOOKUP(A37,MAT,6,FALSE))</f>
        <v/>
      </c>
      <c r="F37" s="413" t="str">
        <f>IF(A37="","",VLOOKUP(A37,$A$23:$H$32,6,FALSE))</f>
        <v/>
      </c>
      <c r="G37" s="334" t="str">
        <f>IF(A37="","",VLOOKUP(A37,MAT,7,FALSE))</f>
        <v/>
      </c>
      <c r="H37" s="311" t="str">
        <f>IF(A37="","",ROUND((G37*F37*E37),0))</f>
        <v/>
      </c>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t="str">
        <f>IF(A39="","",ROUND((G39*F39*E39),0))</f>
        <v/>
      </c>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0</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940</v>
      </c>
      <c r="B46" s="2192" t="str">
        <f>IF(A46="","",VLOOKUP(A46,MO,2,FALSE))</f>
        <v>Cuadrilla NN: Instalaciones hidrosanitarias. (1 Of.Insta.+ 2 Ayud.).</v>
      </c>
      <c r="C46" s="2193"/>
      <c r="D46" s="2194"/>
      <c r="E46" s="538" t="str">
        <f>IF(A46="","",VLOOKUP(A46,MO,13,FALSE))</f>
        <v>HC</v>
      </c>
      <c r="F46" s="544">
        <v>1.3</v>
      </c>
      <c r="G46" s="540">
        <f>IF(A46="","",VLOOKUP(A46,MO,15,FALSE))</f>
        <v>97342</v>
      </c>
      <c r="H46" s="542">
        <f>IF(A46="","",ROUND((G46/F46),0))</f>
        <v>74878</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74878</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81094</v>
      </c>
    </row>
    <row r="53" spans="1:8">
      <c r="A53" s="285"/>
      <c r="B53" s="285"/>
      <c r="C53" s="285"/>
      <c r="D53" s="285"/>
      <c r="E53" s="346" t="s">
        <v>2697</v>
      </c>
      <c r="F53" s="347"/>
      <c r="G53" s="347">
        <v>0.3</v>
      </c>
      <c r="H53" s="349">
        <f>H52*G53</f>
        <v>24328.2</v>
      </c>
    </row>
    <row r="54" spans="1:8">
      <c r="A54" s="285"/>
      <c r="B54" s="285"/>
      <c r="C54" s="285"/>
      <c r="D54" s="285"/>
      <c r="E54" s="346"/>
      <c r="F54" s="347"/>
      <c r="G54" s="347"/>
      <c r="H54" s="349">
        <f>SUM(H52:H53)</f>
        <v>105422.2</v>
      </c>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ht="15">
      <c r="A59" s="1243" t="str">
        <f>+[14]PRESUPUESTO!$A$113</f>
        <v>__________________________________________</v>
      </c>
      <c r="B59" s="1243"/>
      <c r="C59" s="1244"/>
    </row>
    <row r="60" spans="1:8" ht="15.75">
      <c r="A60" s="1245" t="str">
        <f>+[14]PRESUPUESTO!$A$114</f>
        <v>Ing. JHON FREDY GARCIA MENDEZ</v>
      </c>
      <c r="B60" s="1243"/>
      <c r="C60" s="1244"/>
    </row>
    <row r="61" spans="1:8" ht="15.75">
      <c r="A61" s="1246" t="str">
        <f>+[14]PRESUPUESTO!$A$115</f>
        <v>M.P.  70268-326294 TLM.</v>
      </c>
      <c r="B61" s="1243"/>
      <c r="C61" s="1244"/>
    </row>
    <row r="62" spans="1:8" ht="15.75">
      <c r="A62" s="1246" t="str">
        <f>+[14]PRESUPUESTO!$A$116</f>
        <v>CONSULTOR</v>
      </c>
      <c r="B62" s="1243"/>
      <c r="C62" s="1244"/>
    </row>
    <row r="63" spans="1:8" ht="15">
      <c r="A63" s="1244"/>
      <c r="B63" s="1244"/>
      <c r="C63" s="1244"/>
    </row>
  </sheetData>
  <mergeCells count="15">
    <mergeCell ref="B47:D47"/>
    <mergeCell ref="B48:D48"/>
    <mergeCell ref="B49:D49"/>
    <mergeCell ref="B6:D6"/>
    <mergeCell ref="B7:E7"/>
    <mergeCell ref="B8:E8"/>
    <mergeCell ref="B36:C36"/>
    <mergeCell ref="B45:D45"/>
    <mergeCell ref="B46:D46"/>
    <mergeCell ref="D2:E4"/>
    <mergeCell ref="F2:H2"/>
    <mergeCell ref="F3:H3"/>
    <mergeCell ref="F4:H4"/>
    <mergeCell ref="A5:E5"/>
    <mergeCell ref="F5:H5"/>
  </mergeCells>
  <pageMargins left="0.75" right="0.75" top="1" bottom="1" header="0" footer="0"/>
  <pageSetup scale="70" orientation="portrait" r:id="rId1"/>
  <headerFooter alignWithMargins="0"/>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Hoja104">
    <tabColor theme="6" tint="0.79998168889431442"/>
  </sheetPr>
  <dimension ref="A1:I62"/>
  <sheetViews>
    <sheetView view="pageBreakPreview" topLeftCell="A31" zoomScaleNormal="100" zoomScaleSheetLayoutView="100" workbookViewId="0">
      <selection activeCell="E53" sqref="E53:H54"/>
    </sheetView>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4.570312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f>PRESUPUESTO!A56</f>
        <v>1.7</v>
      </c>
      <c r="B7" s="2185" t="str">
        <f>PRESUPUESTO!B56</f>
        <v>DOMICILIARIAS</v>
      </c>
      <c r="C7" s="2185"/>
      <c r="D7" s="2185"/>
      <c r="E7" s="2185"/>
      <c r="F7" s="289"/>
      <c r="G7" s="290" t="s">
        <v>525</v>
      </c>
      <c r="H7" s="97" t="str">
        <f>+PRESUPUESTO!C60</f>
        <v>Und.</v>
      </c>
    </row>
    <row r="8" spans="1:9" ht="24.75" customHeight="1">
      <c r="A8" s="97" t="str">
        <f>+PRESUPUESTO!A60</f>
        <v>1.7.4</v>
      </c>
      <c r="B8" s="2256" t="str">
        <f>+PRESUPUESTO!B60</f>
        <v>Instalación de Kit Silla Yee 315 mm x 160 mm.  Incluye: Codo de 6x45, accesorios adecuados para su correcta conexión y sello hermético.</v>
      </c>
      <c r="C8" s="2257"/>
      <c r="D8" s="2257"/>
      <c r="E8" s="225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966</v>
      </c>
      <c r="B13" s="305" t="str">
        <f t="shared" ref="B13:B18" si="0">IF(A13="","",VLOOKUP(A13,EQUI,2,FALSE))</f>
        <v>Herramienta Menor (5% de la mano de obra).</v>
      </c>
      <c r="C13" s="306"/>
      <c r="D13" s="306"/>
      <c r="E13" s="276" t="str">
        <f t="shared" ref="E13:E18" si="1">IF(A13="","",VLOOKUP(A13,EQUI,3,FALSE))</f>
        <v>%</v>
      </c>
      <c r="F13" s="433">
        <f>IF(A13="","",VLOOKUP(A13,EQUI,4,FALSE))</f>
        <v>0.05</v>
      </c>
      <c r="G13" s="307">
        <f>ROUND(F13*H50,0)</f>
        <v>3894</v>
      </c>
      <c r="H13" s="308">
        <f>+G13</f>
        <v>3894</v>
      </c>
      <c r="I13" s="309"/>
    </row>
    <row r="14" spans="1:9">
      <c r="A14" s="536"/>
      <c r="B14" s="305" t="str">
        <f t="shared" si="0"/>
        <v/>
      </c>
      <c r="C14" s="306"/>
      <c r="D14" s="306"/>
      <c r="E14" s="276" t="str">
        <f t="shared" si="1"/>
        <v/>
      </c>
      <c r="F14" s="405"/>
      <c r="G14" s="310" t="str">
        <f>IF(A14="","",VLOOKUP(A14,EQUI,4,FALSE))</f>
        <v/>
      </c>
      <c r="H14" s="311" t="str">
        <f>IF(A14="","",ROUND((G14/F14),0))</f>
        <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3894</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c r="B23" s="353"/>
      <c r="C23" s="305"/>
      <c r="D23" s="306"/>
      <c r="E23" s="276"/>
      <c r="F23" s="405"/>
      <c r="G23" s="310"/>
      <c r="H23" s="311"/>
    </row>
    <row r="24" spans="1:8">
      <c r="A24" s="534" t="s">
        <v>1387</v>
      </c>
      <c r="B24" s="353" t="str">
        <f>IF(A24="","",VLOOKUP(A24,MAT,2,FALSE))</f>
        <v>Lubricante PVC x 500 gr.</v>
      </c>
      <c r="C24" s="305"/>
      <c r="D24" s="306"/>
      <c r="E24" s="276" t="str">
        <f>IF(A24="","",VLOOKUP(A24,MAT,3,FALSE))</f>
        <v>Lb.</v>
      </c>
      <c r="F24" s="585">
        <v>0.03</v>
      </c>
      <c r="G24" s="310">
        <f>IF(A24="","",VLOOKUP(A24,MAT,5,FALSE))</f>
        <v>34081</v>
      </c>
      <c r="H24" s="311">
        <f>IF(A24="","",ROUND((G24*F24),0))</f>
        <v>1022</v>
      </c>
    </row>
    <row r="25" spans="1:8">
      <c r="A25" s="534" t="s">
        <v>1388</v>
      </c>
      <c r="B25" s="353" t="str">
        <f>IF(A25="","",VLOOKUP(A25,MAT,2,FALSE))</f>
        <v>Limpiador PVC x 1/4.</v>
      </c>
      <c r="C25" s="305"/>
      <c r="D25" s="306"/>
      <c r="E25" s="276" t="str">
        <f>IF(A25="","",VLOOKUP(A25,MAT,3,FALSE))</f>
        <v>1/4 Gal</v>
      </c>
      <c r="F25" s="585">
        <v>0.02</v>
      </c>
      <c r="G25" s="310">
        <f>IF(A25="","",VLOOKUP(A25,MAT,5,FALSE))</f>
        <v>72505</v>
      </c>
      <c r="H25" s="311">
        <f>IF(A25="","",ROUND((G25*F25),0))</f>
        <v>1450</v>
      </c>
    </row>
    <row r="26" spans="1:8">
      <c r="A26" s="534"/>
      <c r="B26" s="305" t="str">
        <f t="shared" ref="B26:B32" si="2">IF(A26="","",VLOOKUP(A26,MAT,2,FALSE))</f>
        <v/>
      </c>
      <c r="C26" s="305"/>
      <c r="D26" s="306"/>
      <c r="E26" s="276" t="str">
        <f t="shared" ref="E26:E32" si="3">IF(A26="","",VLOOKUP(A26,MAT,3,FALSE))</f>
        <v/>
      </c>
      <c r="F26" s="405"/>
      <c r="G26" s="310" t="str">
        <f t="shared" ref="G26:G32" si="4">IF(A26="","",VLOOKUP(A26,MAT,5,FALSE))</f>
        <v/>
      </c>
      <c r="H26" s="311" t="str">
        <f t="shared" ref="H26:H32" si="5">IF(A26="","",ROUND((G26*F26),0))</f>
        <v/>
      </c>
    </row>
    <row r="27" spans="1:8">
      <c r="A27" s="534"/>
      <c r="B27" s="305" t="str">
        <f t="shared" si="2"/>
        <v/>
      </c>
      <c r="C27" s="305"/>
      <c r="D27" s="306"/>
      <c r="E27" s="276" t="str">
        <f t="shared" si="3"/>
        <v/>
      </c>
      <c r="F27" s="405"/>
      <c r="G27" s="310" t="str">
        <f t="shared" si="4"/>
        <v/>
      </c>
      <c r="H27" s="311" t="str">
        <f t="shared" si="5"/>
        <v/>
      </c>
    </row>
    <row r="28" spans="1:8">
      <c r="A28" s="534"/>
      <c r="B28" s="305" t="str">
        <f t="shared" si="2"/>
        <v/>
      </c>
      <c r="C28" s="305"/>
      <c r="D28" s="306"/>
      <c r="E28" s="276" t="str">
        <f t="shared" si="3"/>
        <v/>
      </c>
      <c r="F28" s="405"/>
      <c r="G28" s="310" t="str">
        <f t="shared" si="4"/>
        <v/>
      </c>
      <c r="H28" s="311" t="str">
        <f t="shared" si="5"/>
        <v/>
      </c>
    </row>
    <row r="29" spans="1:8">
      <c r="A29" s="534"/>
      <c r="B29" s="305" t="str">
        <f t="shared" si="2"/>
        <v/>
      </c>
      <c r="C29" s="305"/>
      <c r="D29" s="306"/>
      <c r="E29" s="276" t="str">
        <f t="shared" si="3"/>
        <v/>
      </c>
      <c r="F29" s="405"/>
      <c r="G29" s="310" t="str">
        <f t="shared" si="4"/>
        <v/>
      </c>
      <c r="H29" s="311" t="str">
        <f t="shared" si="5"/>
        <v/>
      </c>
    </row>
    <row r="30" spans="1:8">
      <c r="A30" s="534"/>
      <c r="B30" s="305" t="str">
        <f t="shared" si="2"/>
        <v/>
      </c>
      <c r="C30" s="305"/>
      <c r="D30" s="306"/>
      <c r="E30" s="276" t="str">
        <f t="shared" si="3"/>
        <v/>
      </c>
      <c r="F30" s="405"/>
      <c r="G30" s="310" t="str">
        <f t="shared" si="4"/>
        <v/>
      </c>
      <c r="H30" s="311" t="str">
        <f t="shared" si="5"/>
        <v/>
      </c>
    </row>
    <row r="31" spans="1:8">
      <c r="A31" s="534"/>
      <c r="B31" s="305" t="str">
        <f t="shared" si="2"/>
        <v/>
      </c>
      <c r="C31" s="305"/>
      <c r="D31" s="306"/>
      <c r="E31" s="276" t="str">
        <f t="shared" si="3"/>
        <v/>
      </c>
      <c r="F31" s="405"/>
      <c r="G31" s="310" t="str">
        <f t="shared" si="4"/>
        <v/>
      </c>
      <c r="H31" s="311" t="str">
        <f t="shared" si="5"/>
        <v/>
      </c>
    </row>
    <row r="32" spans="1:8" ht="13.5" thickBot="1">
      <c r="A32" s="535"/>
      <c r="B32" s="326" t="str">
        <f t="shared" si="2"/>
        <v/>
      </c>
      <c r="C32" s="314"/>
      <c r="D32" s="314"/>
      <c r="E32" s="315" t="str">
        <f t="shared" si="3"/>
        <v/>
      </c>
      <c r="F32" s="406"/>
      <c r="G32" s="327" t="str">
        <f t="shared" si="4"/>
        <v/>
      </c>
      <c r="H32" s="311" t="str">
        <f t="shared" si="5"/>
        <v/>
      </c>
    </row>
    <row r="33" spans="1:8" ht="13.5" thickBot="1">
      <c r="A33" s="285"/>
      <c r="B33" s="285"/>
      <c r="C33" s="285"/>
      <c r="D33" s="285"/>
      <c r="E33" s="286"/>
      <c r="F33" s="285"/>
      <c r="G33" s="210" t="s">
        <v>529</v>
      </c>
      <c r="H33" s="328">
        <f>ROUND(SUM(H23:H32),0)</f>
        <v>2472</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546"/>
      <c r="B37" s="305" t="str">
        <f>IF(A37="","",VLOOKUP(A37,MAT,2,FALSE))</f>
        <v/>
      </c>
      <c r="C37" s="333"/>
      <c r="D37" s="409" t="str">
        <f>IF(A37="","",VLOOKUP(A37,MAT,3,FALSE))</f>
        <v/>
      </c>
      <c r="E37" s="419" t="str">
        <f>IF(A37="","",VLOOKUP(A37,MAT,6,FALSE))</f>
        <v/>
      </c>
      <c r="F37" s="413" t="str">
        <f>IF(A37="","",VLOOKUP(A37,$A$23:$H$32,6,FALSE))</f>
        <v/>
      </c>
      <c r="G37" s="334" t="str">
        <f>IF(A37="","",VLOOKUP(A37,MAT,7,FALSE))</f>
        <v/>
      </c>
      <c r="H37" s="311" t="str">
        <f>IF(A37="","",ROUND((G37*F37*E37),0))</f>
        <v/>
      </c>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t="str">
        <f>IF(A39="","",ROUND((G39*F39*E39),0))</f>
        <v/>
      </c>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0</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940</v>
      </c>
      <c r="B46" s="2192" t="str">
        <f>IF(A46="","",VLOOKUP(A46,MO,2,FALSE))</f>
        <v>Cuadrilla NN: Instalaciones hidrosanitarias. (1 Of.Insta.+ 2 Ayud.).</v>
      </c>
      <c r="C46" s="2193"/>
      <c r="D46" s="2194"/>
      <c r="E46" s="538" t="str">
        <f>IF(A46="","",VLOOKUP(A46,MO,13,FALSE))</f>
        <v>HC</v>
      </c>
      <c r="F46" s="544">
        <v>1.25</v>
      </c>
      <c r="G46" s="540">
        <f>IF(A46="","",VLOOKUP(A46,MO,15,FALSE))</f>
        <v>97342</v>
      </c>
      <c r="H46" s="542">
        <f>IF(A46="","",ROUND((G46/F46),0))</f>
        <v>77874</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77874</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84240</v>
      </c>
    </row>
    <row r="53" spans="1:8">
      <c r="A53" s="285"/>
      <c r="B53" s="285"/>
      <c r="C53" s="285"/>
      <c r="D53" s="285"/>
      <c r="E53" s="346" t="s">
        <v>2697</v>
      </c>
      <c r="F53" s="347"/>
      <c r="G53" s="347">
        <v>0.3</v>
      </c>
      <c r="H53" s="349">
        <f>H52*G53</f>
        <v>25272</v>
      </c>
    </row>
    <row r="54" spans="1:8">
      <c r="A54" s="285"/>
      <c r="B54" s="285"/>
      <c r="C54" s="285"/>
      <c r="D54" s="285"/>
      <c r="E54" s="346"/>
      <c r="F54" s="347"/>
      <c r="G54" s="347"/>
      <c r="H54" s="349">
        <f>SUM(H52:H53)</f>
        <v>109512</v>
      </c>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ht="15">
      <c r="A59" s="1243" t="str">
        <f>+[14]PRESUPUESTO!$A$113</f>
        <v>__________________________________________</v>
      </c>
      <c r="B59" s="1243"/>
      <c r="C59" s="1244"/>
    </row>
    <row r="60" spans="1:8" ht="15.75">
      <c r="A60" s="1245" t="str">
        <f>+[14]PRESUPUESTO!$A$114</f>
        <v>Ing. JHON FREDY GARCIA MENDEZ</v>
      </c>
      <c r="B60" s="1243"/>
      <c r="C60" s="1244"/>
    </row>
    <row r="61" spans="1:8" ht="15.75">
      <c r="A61" s="1246" t="str">
        <f>+[14]PRESUPUESTO!$A$115</f>
        <v>M.P.  70268-326294 TLM.</v>
      </c>
      <c r="B61" s="1243"/>
      <c r="C61" s="1244"/>
    </row>
    <row r="62" spans="1:8" ht="15.75">
      <c r="A62" s="1246" t="str">
        <f>+[14]PRESUPUESTO!$A$116</f>
        <v>CONSULTOR</v>
      </c>
      <c r="B62" s="1243"/>
      <c r="C62" s="1244"/>
    </row>
  </sheetData>
  <mergeCells count="15">
    <mergeCell ref="B47:D47"/>
    <mergeCell ref="B48:D48"/>
    <mergeCell ref="B49:D49"/>
    <mergeCell ref="B6:D6"/>
    <mergeCell ref="B7:E7"/>
    <mergeCell ref="B8:E8"/>
    <mergeCell ref="B36:C36"/>
    <mergeCell ref="B45:D45"/>
    <mergeCell ref="B46:D46"/>
    <mergeCell ref="D2:E4"/>
    <mergeCell ref="F2:H2"/>
    <mergeCell ref="F3:H3"/>
    <mergeCell ref="F4:H4"/>
    <mergeCell ref="A5:E5"/>
    <mergeCell ref="F5:H5"/>
  </mergeCells>
  <pageMargins left="0.75" right="0.75" top="1" bottom="1" header="0" footer="0"/>
  <pageSetup scale="70" orientation="portrait" r:id="rId1"/>
  <headerFooter alignWithMargins="0"/>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Hoja99">
    <tabColor theme="6" tint="0.79998168889431442"/>
  </sheetPr>
  <dimension ref="A1:I62"/>
  <sheetViews>
    <sheetView view="pageBreakPreview" topLeftCell="A26" zoomScale="90" zoomScaleNormal="100" zoomScaleSheetLayoutView="90" workbookViewId="0">
      <selection activeCell="E53" sqref="E53:H54"/>
    </sheetView>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4.570312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f>PRESUPUESTO!A56</f>
        <v>1.7</v>
      </c>
      <c r="B7" s="2185" t="str">
        <f>PRESUPUESTO!B56</f>
        <v>DOMICILIARIAS</v>
      </c>
      <c r="C7" s="2185"/>
      <c r="D7" s="2185"/>
      <c r="E7" s="2185"/>
      <c r="F7" s="289"/>
      <c r="G7" s="290" t="s">
        <v>525</v>
      </c>
      <c r="H7" s="97" t="str">
        <f>+PRESUPUESTO!C61</f>
        <v>Und.</v>
      </c>
    </row>
    <row r="8" spans="1:9" ht="65.25" customHeight="1">
      <c r="A8" s="97" t="str">
        <f>+PRESUPUESTO!A61</f>
        <v>1.7.5</v>
      </c>
      <c r="B8" s="2256" t="str">
        <f>+PRESUPUESTO!B61</f>
        <v>Construcción de cajillas a todo costo en concreto simple de 3000 PSI de dimensión libres de 0.60 x 0.60, espesor de 0.10 mts Tapa en concreto reforzado en hierro de 3/8 separados cada 0.15 mts. en ambos sentidos, base de 0.80 * 0.80 * 0.15 mts, superficie y cañuela esmaltadas en concreto  puro . Incluye: produccion, formaleta , vaciado,  desencofrado y todo lo necesario para la correcta ejecución de la obra.</v>
      </c>
      <c r="C8" s="2257"/>
      <c r="D8" s="2257"/>
      <c r="E8" s="225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967</v>
      </c>
      <c r="B13" s="305" t="str">
        <f t="shared" ref="B13:B18" si="0">IF(A13="","",VLOOKUP(A13,EQUI,2,FALSE))</f>
        <v>Herramienta Menor (10% de la mano de obra).</v>
      </c>
      <c r="C13" s="306"/>
      <c r="D13" s="306"/>
      <c r="E13" s="276" t="str">
        <f t="shared" ref="E13:E18" si="1">IF(A13="","",VLOOKUP(A13,EQUI,3,FALSE))</f>
        <v>%</v>
      </c>
      <c r="F13" s="433">
        <f>IF(A13="","",VLOOKUP(A13,EQUI,4,FALSE))</f>
        <v>0.1</v>
      </c>
      <c r="G13" s="307">
        <f>ROUND(F13*H50,0)</f>
        <v>31159</v>
      </c>
      <c r="H13" s="308">
        <f>+G13</f>
        <v>31159</v>
      </c>
      <c r="I13" s="309"/>
    </row>
    <row r="14" spans="1:9">
      <c r="A14" s="536"/>
      <c r="B14" s="305"/>
      <c r="C14" s="306"/>
      <c r="D14" s="306"/>
      <c r="E14" s="276" t="str">
        <f t="shared" si="1"/>
        <v/>
      </c>
      <c r="F14" s="405"/>
      <c r="G14" s="310" t="str">
        <f>IF(A14="","",VLOOKUP(A14,EQUI,4,FALSE))</f>
        <v/>
      </c>
      <c r="H14" s="311" t="str">
        <f>IF(A14="","",ROUND((G14/F14),0))</f>
        <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31159</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t="s">
        <v>551</v>
      </c>
      <c r="B23" s="353" t="str">
        <f>IF(A23="","",VLOOKUP(A23,MAT,2,FALSE))</f>
        <v>Concreto de 210 Kg/cm2 (3000 PSI)</v>
      </c>
      <c r="C23" s="305"/>
      <c r="D23" s="306"/>
      <c r="E23" s="276" t="str">
        <f>IF(A23="","",VLOOKUP(A23,MAT,3,FALSE))</f>
        <v>m3</v>
      </c>
      <c r="F23" s="405">
        <v>0.36</v>
      </c>
      <c r="G23" s="310">
        <f>IF(A23="","",VLOOKUP(A23,MAT,5,FALSE))</f>
        <v>719212</v>
      </c>
      <c r="H23" s="311">
        <f>IF(A23="","",ROUND((G23*F23),0))</f>
        <v>258916</v>
      </c>
    </row>
    <row r="24" spans="1:8">
      <c r="A24" s="534" t="s">
        <v>565</v>
      </c>
      <c r="B24" s="353" t="str">
        <f>IF(A24="","",VLOOKUP(A24,MAT,2,FALSE))</f>
        <v>Acero de refuerzo de 60.000psi</v>
      </c>
      <c r="C24" s="305"/>
      <c r="D24" s="306"/>
      <c r="E24" s="276" t="str">
        <f>IF(A24="","",VLOOKUP(A24,MAT,3,FALSE))</f>
        <v>Kg.</v>
      </c>
      <c r="F24" s="405">
        <v>7.2</v>
      </c>
      <c r="G24" s="310">
        <f>IF(A24="","",VLOOKUP(A24,MAT,5,FALSE))</f>
        <v>5200</v>
      </c>
      <c r="H24" s="311">
        <f>IF(A24="","",ROUND((G24*F24),0))</f>
        <v>37440</v>
      </c>
    </row>
    <row r="25" spans="1:8">
      <c r="A25" s="534" t="s">
        <v>591</v>
      </c>
      <c r="B25" s="353" t="str">
        <f>IF(A25="","",VLOOKUP(A25,MAT,2,FALSE))</f>
        <v>Madera para formaleta</v>
      </c>
      <c r="C25" s="305"/>
      <c r="D25" s="306"/>
      <c r="E25" s="276" t="str">
        <f>IF(A25="","",VLOOKUP(A25,MAT,3,FALSE))</f>
        <v>M2</v>
      </c>
      <c r="F25" s="405">
        <v>1</v>
      </c>
      <c r="G25" s="310">
        <f>IF(A25="","",VLOOKUP(A25,MAT,5,FALSE))</f>
        <v>29750</v>
      </c>
      <c r="H25" s="311">
        <f>IF(A25="","",ROUND((G25*F25),0))</f>
        <v>29750</v>
      </c>
    </row>
    <row r="26" spans="1:8">
      <c r="A26" s="534"/>
      <c r="B26" s="305" t="str">
        <f t="shared" ref="B26:B32" si="2">IF(A26="","",VLOOKUP(A26,MAT,2,FALSE))</f>
        <v/>
      </c>
      <c r="C26" s="305"/>
      <c r="D26" s="306"/>
      <c r="E26" s="276" t="str">
        <f t="shared" ref="E26:E32" si="3">IF(A26="","",VLOOKUP(A26,MAT,3,FALSE))</f>
        <v/>
      </c>
      <c r="F26" s="405"/>
      <c r="G26" s="310" t="str">
        <f t="shared" ref="G26:G32" si="4">IF(A26="","",VLOOKUP(A26,MAT,5,FALSE))</f>
        <v/>
      </c>
      <c r="H26" s="311" t="str">
        <f t="shared" ref="H26:H32" si="5">IF(A26="","",ROUND((G26*F26),0))</f>
        <v/>
      </c>
    </row>
    <row r="27" spans="1:8">
      <c r="A27" s="534"/>
      <c r="B27" s="305" t="str">
        <f t="shared" si="2"/>
        <v/>
      </c>
      <c r="C27" s="305"/>
      <c r="D27" s="306"/>
      <c r="E27" s="276" t="str">
        <f t="shared" si="3"/>
        <v/>
      </c>
      <c r="F27" s="405"/>
      <c r="G27" s="310" t="str">
        <f t="shared" si="4"/>
        <v/>
      </c>
      <c r="H27" s="311" t="str">
        <f t="shared" si="5"/>
        <v/>
      </c>
    </row>
    <row r="28" spans="1:8">
      <c r="A28" s="534"/>
      <c r="B28" s="305" t="str">
        <f t="shared" si="2"/>
        <v/>
      </c>
      <c r="C28" s="305"/>
      <c r="D28" s="306"/>
      <c r="E28" s="276" t="str">
        <f t="shared" si="3"/>
        <v/>
      </c>
      <c r="F28" s="405"/>
      <c r="G28" s="310" t="str">
        <f t="shared" si="4"/>
        <v/>
      </c>
      <c r="H28" s="311" t="str">
        <f t="shared" si="5"/>
        <v/>
      </c>
    </row>
    <row r="29" spans="1:8">
      <c r="A29" s="534"/>
      <c r="B29" s="305" t="str">
        <f t="shared" si="2"/>
        <v/>
      </c>
      <c r="C29" s="305"/>
      <c r="D29" s="306"/>
      <c r="E29" s="276" t="str">
        <f t="shared" si="3"/>
        <v/>
      </c>
      <c r="F29" s="405"/>
      <c r="G29" s="310" t="str">
        <f t="shared" si="4"/>
        <v/>
      </c>
      <c r="H29" s="311" t="str">
        <f t="shared" si="5"/>
        <v/>
      </c>
    </row>
    <row r="30" spans="1:8">
      <c r="A30" s="534"/>
      <c r="B30" s="305" t="str">
        <f t="shared" si="2"/>
        <v/>
      </c>
      <c r="C30" s="305"/>
      <c r="D30" s="306"/>
      <c r="E30" s="276" t="str">
        <f t="shared" si="3"/>
        <v/>
      </c>
      <c r="F30" s="405"/>
      <c r="G30" s="310" t="str">
        <f t="shared" si="4"/>
        <v/>
      </c>
      <c r="H30" s="311" t="str">
        <f t="shared" si="5"/>
        <v/>
      </c>
    </row>
    <row r="31" spans="1:8">
      <c r="A31" s="534"/>
      <c r="B31" s="305" t="str">
        <f t="shared" si="2"/>
        <v/>
      </c>
      <c r="C31" s="305"/>
      <c r="D31" s="306"/>
      <c r="E31" s="276" t="str">
        <f t="shared" si="3"/>
        <v/>
      </c>
      <c r="F31" s="405"/>
      <c r="G31" s="310" t="str">
        <f t="shared" si="4"/>
        <v/>
      </c>
      <c r="H31" s="311" t="str">
        <f t="shared" si="5"/>
        <v/>
      </c>
    </row>
    <row r="32" spans="1:8" ht="13.5" thickBot="1">
      <c r="A32" s="535"/>
      <c r="B32" s="326" t="str">
        <f t="shared" si="2"/>
        <v/>
      </c>
      <c r="C32" s="314"/>
      <c r="D32" s="314"/>
      <c r="E32" s="315" t="str">
        <f t="shared" si="3"/>
        <v/>
      </c>
      <c r="F32" s="406"/>
      <c r="G32" s="327" t="str">
        <f t="shared" si="4"/>
        <v/>
      </c>
      <c r="H32" s="311" t="str">
        <f t="shared" si="5"/>
        <v/>
      </c>
    </row>
    <row r="33" spans="1:8" ht="13.5" thickBot="1">
      <c r="A33" s="285"/>
      <c r="B33" s="285"/>
      <c r="C33" s="285"/>
      <c r="D33" s="285"/>
      <c r="E33" s="286"/>
      <c r="F33" s="285"/>
      <c r="G33" s="210" t="s">
        <v>529</v>
      </c>
      <c r="H33" s="328">
        <f>ROUND(SUM(H23:H32),0)</f>
        <v>326106</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546"/>
      <c r="B37" s="305" t="str">
        <f>IF(A37="","",VLOOKUP(A37,MAT,2,FALSE))</f>
        <v/>
      </c>
      <c r="C37" s="333"/>
      <c r="D37" s="409" t="str">
        <f>IF(A37="","",VLOOKUP(A37,MAT,3,FALSE))</f>
        <v/>
      </c>
      <c r="E37" s="419" t="str">
        <f>IF(A37="","",VLOOKUP(A37,MAT,6,FALSE))</f>
        <v/>
      </c>
      <c r="F37" s="413" t="str">
        <f>IF(A37="","",VLOOKUP(A37,$A$23:$H$32,6,FALSE))</f>
        <v/>
      </c>
      <c r="G37" s="334" t="str">
        <f>IF(A37="","",VLOOKUP(A37,MAT,7,FALSE))</f>
        <v/>
      </c>
      <c r="H37" s="311" t="str">
        <f>IF(A37="","",ROUND((G37*F37*E37),0))</f>
        <v/>
      </c>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0</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883</v>
      </c>
      <c r="B46" s="2192" t="str">
        <f>IF(A46="","",VLOOKUP(A46,MO,2,FALSE))</f>
        <v>Cuadrilla AA: Albañilería. (1 Of. + 1 Ayud.).</v>
      </c>
      <c r="C46" s="2193"/>
      <c r="D46" s="2194"/>
      <c r="E46" s="538" t="str">
        <f>IF(A46="","",VLOOKUP(A46,MO,13,FALSE))</f>
        <v>HC</v>
      </c>
      <c r="F46" s="544">
        <v>0.125</v>
      </c>
      <c r="G46" s="540">
        <f>IF(A46="","",VLOOKUP(A46,MO,15,FALSE))</f>
        <v>38949</v>
      </c>
      <c r="H46" s="542">
        <f>IF(A46="","",ROUND((G46/F46),0))</f>
        <v>311592</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311592</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668857</v>
      </c>
    </row>
    <row r="53" spans="1:8">
      <c r="A53" s="285"/>
      <c r="B53" s="285"/>
      <c r="C53" s="285"/>
      <c r="D53" s="285"/>
      <c r="E53" s="346" t="s">
        <v>2697</v>
      </c>
      <c r="F53" s="347"/>
      <c r="G53" s="347">
        <v>0.3</v>
      </c>
      <c r="H53" s="349">
        <f>H52*G53</f>
        <v>200657.1</v>
      </c>
    </row>
    <row r="54" spans="1:8">
      <c r="A54" s="285"/>
      <c r="B54" s="285"/>
      <c r="C54" s="285"/>
      <c r="D54" s="285"/>
      <c r="E54" s="346"/>
      <c r="F54" s="347"/>
      <c r="G54" s="347"/>
      <c r="H54" s="349">
        <f>SUM(H52:H53)</f>
        <v>869514.1</v>
      </c>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ht="15">
      <c r="A59" s="1243" t="str">
        <f>+[14]PRESUPUESTO!$A$113</f>
        <v>__________________________________________</v>
      </c>
      <c r="B59" s="1243"/>
      <c r="C59" s="1244"/>
    </row>
    <row r="60" spans="1:8" ht="15.75">
      <c r="A60" s="1245" t="str">
        <f>+[14]PRESUPUESTO!$A$114</f>
        <v>Ing. JHON FREDY GARCIA MENDEZ</v>
      </c>
      <c r="B60" s="1243"/>
      <c r="C60" s="1244"/>
    </row>
    <row r="61" spans="1:8" ht="15.75">
      <c r="A61" s="1246" t="str">
        <f>+[14]PRESUPUESTO!$A$115</f>
        <v>M.P.  70268-326294 TLM.</v>
      </c>
      <c r="B61" s="1243"/>
      <c r="C61" s="1244"/>
    </row>
    <row r="62" spans="1:8" ht="15.75">
      <c r="A62" s="1246" t="str">
        <f>+[14]PRESUPUESTO!$A$116</f>
        <v>CONSULTOR</v>
      </c>
      <c r="B62" s="1243"/>
      <c r="C62" s="1244"/>
    </row>
  </sheetData>
  <mergeCells count="15">
    <mergeCell ref="B47:D47"/>
    <mergeCell ref="B48:D48"/>
    <mergeCell ref="B49:D49"/>
    <mergeCell ref="B6:D6"/>
    <mergeCell ref="B7:E7"/>
    <mergeCell ref="B8:E8"/>
    <mergeCell ref="B36:C36"/>
    <mergeCell ref="B45:D45"/>
    <mergeCell ref="B46:D46"/>
    <mergeCell ref="D2:E4"/>
    <mergeCell ref="F2:H2"/>
    <mergeCell ref="F3:H3"/>
    <mergeCell ref="F4:H4"/>
    <mergeCell ref="A5:E5"/>
    <mergeCell ref="F5:H5"/>
  </mergeCells>
  <pageMargins left="0.75" right="0.75" top="1" bottom="1" header="0" footer="0"/>
  <pageSetup scale="70" orientation="portrait" r:id="rId1"/>
  <headerFooter alignWithMargins="0"/>
  <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tabColor theme="6" tint="0.79998168889431442"/>
  </sheetPr>
  <dimension ref="A1:I62"/>
  <sheetViews>
    <sheetView view="pageBreakPreview" topLeftCell="A32" zoomScale="90" zoomScaleNormal="100" zoomScaleSheetLayoutView="90" workbookViewId="0">
      <selection activeCell="E53" sqref="E53:H54"/>
    </sheetView>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4.570312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f>PRESUPUESTO!A56</f>
        <v>1.7</v>
      </c>
      <c r="B7" s="2185" t="str">
        <f>PRESUPUESTO!B56</f>
        <v>DOMICILIARIAS</v>
      </c>
      <c r="C7" s="2185"/>
      <c r="D7" s="2185"/>
      <c r="E7" s="2185"/>
      <c r="F7" s="289"/>
      <c r="G7" s="290" t="s">
        <v>525</v>
      </c>
      <c r="H7" s="97" t="str">
        <f>+PRESUPUESTO!C62</f>
        <v>Und.</v>
      </c>
    </row>
    <row r="8" spans="1:9" ht="81.75" customHeight="1">
      <c r="A8" s="97" t="str">
        <f>+PRESUPUESTO!A62</f>
        <v>1.7.6</v>
      </c>
      <c r="B8" s="2256" t="str">
        <f>+PRESUPUESTO!B62</f>
        <v>Construcción de cajilla de domiciliaria inspección  para alcantarillado sanitario a todo costo en concreto de 3000 PSI impermeablizado ,de dimensión 0,60*0,60m libres; espesor de paredes de 0,10m, profundidad superior a 0,80 m. Tapa en concreto reforzado en hierro de 3/8"  separados cada  0,15 m. en  ambos sentidos, base 0,9*0,9*0,15 m .  Incluye: producción, formaleta, vaciado, desencofrado y todo lo necesario para la correcta ejecución de la obra .</v>
      </c>
      <c r="C8" s="2257"/>
      <c r="D8" s="2257"/>
      <c r="E8" s="225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967</v>
      </c>
      <c r="B13" s="305" t="str">
        <f t="shared" ref="B13:B18" si="0">IF(A13="","",VLOOKUP(A13,EQUI,2,FALSE))</f>
        <v>Herramienta Menor (10% de la mano de obra).</v>
      </c>
      <c r="C13" s="306"/>
      <c r="D13" s="306"/>
      <c r="E13" s="276" t="str">
        <f t="shared" ref="E13:E18" si="1">IF(A13="","",VLOOKUP(A13,EQUI,3,FALSE))</f>
        <v>%</v>
      </c>
      <c r="F13" s="433">
        <f>IF(A13="","",VLOOKUP(A13,EQUI,4,FALSE))</f>
        <v>0.1</v>
      </c>
      <c r="G13" s="307">
        <f>ROUND(F13*H50,0)</f>
        <v>38949</v>
      </c>
      <c r="H13" s="308">
        <f>+G13</f>
        <v>38949</v>
      </c>
      <c r="I13" s="309"/>
    </row>
    <row r="14" spans="1:9">
      <c r="A14" s="536"/>
      <c r="B14" s="305"/>
      <c r="C14" s="306"/>
      <c r="D14" s="306"/>
      <c r="E14" s="276" t="str">
        <f t="shared" si="1"/>
        <v/>
      </c>
      <c r="F14" s="405"/>
      <c r="G14" s="310" t="str">
        <f>IF(A14="","",VLOOKUP(A14,EQUI,4,FALSE))</f>
        <v/>
      </c>
      <c r="H14" s="311" t="str">
        <f>IF(A14="","",ROUND((G14/F14),0))</f>
        <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38949</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t="s">
        <v>551</v>
      </c>
      <c r="B23" s="353" t="str">
        <f>IF(A23="","",VLOOKUP(A23,MAT,2,FALSE))</f>
        <v>Concreto de 210 Kg/cm2 (3000 PSI)</v>
      </c>
      <c r="C23" s="305"/>
      <c r="D23" s="306"/>
      <c r="E23" s="276" t="str">
        <f>IF(A23="","",VLOOKUP(A23,MAT,3,FALSE))</f>
        <v>m3</v>
      </c>
      <c r="F23" s="405">
        <v>0.54</v>
      </c>
      <c r="G23" s="310">
        <f>IF(A23="","",VLOOKUP(A23,MAT,5,FALSE))</f>
        <v>719212</v>
      </c>
      <c r="H23" s="311">
        <f>IF(A23="","",ROUND((G23*F23),0))</f>
        <v>388374</v>
      </c>
    </row>
    <row r="24" spans="1:8">
      <c r="A24" s="534" t="s">
        <v>565</v>
      </c>
      <c r="B24" s="353" t="str">
        <f>IF(A24="","",VLOOKUP(A24,MAT,2,FALSE))</f>
        <v>Acero de refuerzo de 60.000psi</v>
      </c>
      <c r="C24" s="305"/>
      <c r="D24" s="306"/>
      <c r="E24" s="276" t="str">
        <f>IF(A24="","",VLOOKUP(A24,MAT,3,FALSE))</f>
        <v>Kg.</v>
      </c>
      <c r="F24" s="405">
        <v>10.8</v>
      </c>
      <c r="G24" s="310">
        <f>IF(A24="","",VLOOKUP(A24,MAT,5,FALSE))</f>
        <v>5200</v>
      </c>
      <c r="H24" s="311">
        <f>IF(A24="","",ROUND((G24*F24),0))</f>
        <v>56160</v>
      </c>
    </row>
    <row r="25" spans="1:8">
      <c r="A25" s="534" t="s">
        <v>591</v>
      </c>
      <c r="B25" s="353" t="str">
        <f>IF(A25="","",VLOOKUP(A25,MAT,2,FALSE))</f>
        <v>Madera para formaleta</v>
      </c>
      <c r="C25" s="305"/>
      <c r="D25" s="306"/>
      <c r="E25" s="276" t="str">
        <f>IF(A25="","",VLOOKUP(A25,MAT,3,FALSE))</f>
        <v>M2</v>
      </c>
      <c r="F25" s="405">
        <v>1</v>
      </c>
      <c r="G25" s="310">
        <f>IF(A25="","",VLOOKUP(A25,MAT,5,FALSE))</f>
        <v>29750</v>
      </c>
      <c r="H25" s="311">
        <f>IF(A25="","",ROUND((G25*F25),0))</f>
        <v>29750</v>
      </c>
    </row>
    <row r="26" spans="1:8">
      <c r="A26" s="534"/>
      <c r="B26" s="305" t="str">
        <f t="shared" ref="B26:B32" si="2">IF(A26="","",VLOOKUP(A26,MAT,2,FALSE))</f>
        <v/>
      </c>
      <c r="C26" s="305"/>
      <c r="D26" s="306"/>
      <c r="E26" s="276" t="str">
        <f t="shared" ref="E26:E32" si="3">IF(A26="","",VLOOKUP(A26,MAT,3,FALSE))</f>
        <v/>
      </c>
      <c r="F26" s="405"/>
      <c r="G26" s="310" t="str">
        <f t="shared" ref="G26:G32" si="4">IF(A26="","",VLOOKUP(A26,MAT,5,FALSE))</f>
        <v/>
      </c>
      <c r="H26" s="311" t="str">
        <f t="shared" ref="H26:H32" si="5">IF(A26="","",ROUND((G26*F26),0))</f>
        <v/>
      </c>
    </row>
    <row r="27" spans="1:8">
      <c r="A27" s="534"/>
      <c r="B27" s="305" t="str">
        <f t="shared" si="2"/>
        <v/>
      </c>
      <c r="C27" s="305"/>
      <c r="D27" s="306"/>
      <c r="E27" s="276" t="str">
        <f t="shared" si="3"/>
        <v/>
      </c>
      <c r="F27" s="405"/>
      <c r="G27" s="310" t="str">
        <f t="shared" si="4"/>
        <v/>
      </c>
      <c r="H27" s="311" t="str">
        <f t="shared" si="5"/>
        <v/>
      </c>
    </row>
    <row r="28" spans="1:8">
      <c r="A28" s="534"/>
      <c r="B28" s="305" t="str">
        <f t="shared" si="2"/>
        <v/>
      </c>
      <c r="C28" s="305"/>
      <c r="D28" s="306"/>
      <c r="E28" s="276" t="str">
        <f t="shared" si="3"/>
        <v/>
      </c>
      <c r="F28" s="405"/>
      <c r="G28" s="310" t="str">
        <f t="shared" si="4"/>
        <v/>
      </c>
      <c r="H28" s="311" t="str">
        <f t="shared" si="5"/>
        <v/>
      </c>
    </row>
    <row r="29" spans="1:8">
      <c r="A29" s="534"/>
      <c r="B29" s="305" t="str">
        <f t="shared" si="2"/>
        <v/>
      </c>
      <c r="C29" s="305"/>
      <c r="D29" s="306"/>
      <c r="E29" s="276" t="str">
        <f t="shared" si="3"/>
        <v/>
      </c>
      <c r="F29" s="405"/>
      <c r="G29" s="310" t="str">
        <f t="shared" si="4"/>
        <v/>
      </c>
      <c r="H29" s="311" t="str">
        <f t="shared" si="5"/>
        <v/>
      </c>
    </row>
    <row r="30" spans="1:8">
      <c r="A30" s="534"/>
      <c r="B30" s="305" t="str">
        <f t="shared" si="2"/>
        <v/>
      </c>
      <c r="C30" s="305"/>
      <c r="D30" s="306"/>
      <c r="E30" s="276" t="str">
        <f t="shared" si="3"/>
        <v/>
      </c>
      <c r="F30" s="405"/>
      <c r="G30" s="310" t="str">
        <f t="shared" si="4"/>
        <v/>
      </c>
      <c r="H30" s="311" t="str">
        <f t="shared" si="5"/>
        <v/>
      </c>
    </row>
    <row r="31" spans="1:8">
      <c r="A31" s="534"/>
      <c r="B31" s="305" t="str">
        <f t="shared" si="2"/>
        <v/>
      </c>
      <c r="C31" s="305"/>
      <c r="D31" s="306"/>
      <c r="E31" s="276" t="str">
        <f t="shared" si="3"/>
        <v/>
      </c>
      <c r="F31" s="405"/>
      <c r="G31" s="310" t="str">
        <f t="shared" si="4"/>
        <v/>
      </c>
      <c r="H31" s="311" t="str">
        <f t="shared" si="5"/>
        <v/>
      </c>
    </row>
    <row r="32" spans="1:8" ht="13.5" thickBot="1">
      <c r="A32" s="535"/>
      <c r="B32" s="326" t="str">
        <f t="shared" si="2"/>
        <v/>
      </c>
      <c r="C32" s="314"/>
      <c r="D32" s="314"/>
      <c r="E32" s="315" t="str">
        <f t="shared" si="3"/>
        <v/>
      </c>
      <c r="F32" s="406"/>
      <c r="G32" s="327" t="str">
        <f t="shared" si="4"/>
        <v/>
      </c>
      <c r="H32" s="311" t="str">
        <f t="shared" si="5"/>
        <v/>
      </c>
    </row>
    <row r="33" spans="1:8" ht="13.5" thickBot="1">
      <c r="A33" s="285"/>
      <c r="B33" s="285"/>
      <c r="C33" s="285"/>
      <c r="D33" s="285"/>
      <c r="E33" s="286"/>
      <c r="F33" s="285"/>
      <c r="G33" s="210" t="s">
        <v>529</v>
      </c>
      <c r="H33" s="328">
        <f>ROUND(SUM(H23:H32),0)</f>
        <v>474284</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546"/>
      <c r="B37" s="305" t="str">
        <f>IF(A37="","",VLOOKUP(A37,MAT,2,FALSE))</f>
        <v/>
      </c>
      <c r="C37" s="333"/>
      <c r="D37" s="409" t="str">
        <f>IF(A37="","",VLOOKUP(A37,MAT,3,FALSE))</f>
        <v/>
      </c>
      <c r="E37" s="419" t="str">
        <f>IF(A37="","",VLOOKUP(A37,MAT,6,FALSE))</f>
        <v/>
      </c>
      <c r="F37" s="413" t="str">
        <f>IF(A37="","",VLOOKUP(A37,$A$23:$H$32,6,FALSE))</f>
        <v/>
      </c>
      <c r="G37" s="334" t="str">
        <f>IF(A37="","",VLOOKUP(A37,MAT,7,FALSE))</f>
        <v/>
      </c>
      <c r="H37" s="311" t="str">
        <f>IF(A37="","",ROUND((G37*F37*E37),0))</f>
        <v/>
      </c>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0</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883</v>
      </c>
      <c r="B46" s="2192" t="str">
        <f>IF(A46="","",VLOOKUP(A46,MO,2,FALSE))</f>
        <v>Cuadrilla AA: Albañilería. (1 Of. + 1 Ayud.).</v>
      </c>
      <c r="C46" s="2193"/>
      <c r="D46" s="2194"/>
      <c r="E46" s="538" t="str">
        <f>IF(A46="","",VLOOKUP(A46,MO,13,FALSE))</f>
        <v>HC</v>
      </c>
      <c r="F46" s="544">
        <v>0.1</v>
      </c>
      <c r="G46" s="540">
        <f>IF(A46="","",VLOOKUP(A46,MO,15,FALSE))</f>
        <v>38949</v>
      </c>
      <c r="H46" s="542">
        <f>IF(A46="","",ROUND((G46/F46),0))</f>
        <v>389490</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389490</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902723</v>
      </c>
    </row>
    <row r="53" spans="1:8">
      <c r="A53" s="285"/>
      <c r="B53" s="285"/>
      <c r="C53" s="285"/>
      <c r="D53" s="285"/>
      <c r="E53" s="346" t="s">
        <v>2697</v>
      </c>
      <c r="F53" s="347"/>
      <c r="G53" s="347">
        <v>0.3</v>
      </c>
      <c r="H53" s="349">
        <f>H52*G53</f>
        <v>270816.89999999997</v>
      </c>
    </row>
    <row r="54" spans="1:8">
      <c r="A54" s="285"/>
      <c r="B54" s="285"/>
      <c r="C54" s="285"/>
      <c r="D54" s="285"/>
      <c r="E54" s="346"/>
      <c r="F54" s="347"/>
      <c r="G54" s="347"/>
      <c r="H54" s="349">
        <f>SUM(H52:H53)</f>
        <v>1173539.8999999999</v>
      </c>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8" spans="1:8" ht="15">
      <c r="A58" s="1244"/>
      <c r="B58" s="1244"/>
      <c r="C58" s="1244"/>
    </row>
    <row r="59" spans="1:8" ht="15">
      <c r="A59" s="1243" t="str">
        <f>+[14]PRESUPUESTO!$A$113</f>
        <v>__________________________________________</v>
      </c>
      <c r="B59" s="1243"/>
      <c r="C59" s="1244"/>
    </row>
    <row r="60" spans="1:8" ht="15.75">
      <c r="A60" s="1245" t="str">
        <f>+[14]PRESUPUESTO!$A$114</f>
        <v>Ing. JHON FREDY GARCIA MENDEZ</v>
      </c>
      <c r="B60" s="1243"/>
      <c r="C60" s="1244"/>
    </row>
    <row r="61" spans="1:8" ht="15.75">
      <c r="A61" s="1246" t="str">
        <f>+[14]PRESUPUESTO!$A$115</f>
        <v>M.P.  70268-326294 TLM.</v>
      </c>
      <c r="B61" s="1243"/>
      <c r="C61" s="1244"/>
    </row>
    <row r="62" spans="1:8" ht="15.75">
      <c r="A62" s="1246" t="str">
        <f>+[14]PRESUPUESTO!$A$116</f>
        <v>CONSULTOR</v>
      </c>
      <c r="B62" s="1243"/>
      <c r="C62" s="1244"/>
    </row>
  </sheetData>
  <mergeCells count="15">
    <mergeCell ref="D2:E4"/>
    <mergeCell ref="F2:H2"/>
    <mergeCell ref="F3:H3"/>
    <mergeCell ref="F4:H4"/>
    <mergeCell ref="A5:E5"/>
    <mergeCell ref="F5:H5"/>
    <mergeCell ref="B47:D47"/>
    <mergeCell ref="B48:D48"/>
    <mergeCell ref="B49:D49"/>
    <mergeCell ref="B6:D6"/>
    <mergeCell ref="B7:E7"/>
    <mergeCell ref="B8:E8"/>
    <mergeCell ref="B36:C36"/>
    <mergeCell ref="B45:D45"/>
    <mergeCell ref="B46:D46"/>
  </mergeCells>
  <pageMargins left="0.75" right="0.75" top="1" bottom="1" header="0" footer="0"/>
  <pageSetup scale="70" orientation="portrait" r:id="rId1"/>
  <headerFooter alignWithMargins="0"/>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tabColor theme="6" tint="0.79998168889431442"/>
  </sheetPr>
  <dimension ref="A1:I63"/>
  <sheetViews>
    <sheetView view="pageBreakPreview" topLeftCell="A27" zoomScale="90" zoomScaleNormal="100" zoomScaleSheetLayoutView="90" workbookViewId="0">
      <selection activeCell="E53" sqref="E53:H54"/>
    </sheetView>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2.710937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f>PRESUPUESTO!A65</f>
        <v>1.8</v>
      </c>
      <c r="B7" s="2185" t="str">
        <f>PRESUPUESTO!B65</f>
        <v>RELLENOS</v>
      </c>
      <c r="C7" s="2185"/>
      <c r="D7" s="2185"/>
      <c r="E7" s="2185"/>
      <c r="F7" s="289"/>
      <c r="G7" s="290" t="s">
        <v>525</v>
      </c>
      <c r="H7" s="97" t="str">
        <f>+PRESUPUESTO!C66</f>
        <v>m3</v>
      </c>
    </row>
    <row r="8" spans="1:9" ht="26.25" customHeight="1">
      <c r="A8" s="97" t="str">
        <f>+PRESUPUESTO!A66</f>
        <v>1.8.1</v>
      </c>
      <c r="B8" s="2217" t="str">
        <f>+PRESUPUESTO!B66</f>
        <v>Cama en arena para soporte de tubería. Espesor: 15 cm por debajo de la cota batea.</v>
      </c>
      <c r="C8" s="2217"/>
      <c r="D8" s="2217"/>
      <c r="E8" s="221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966</v>
      </c>
      <c r="B13" s="305" t="str">
        <f t="shared" ref="B13:B18" si="0">IF(A13="","",VLOOKUP(A13,EQUI,2,FALSE))</f>
        <v>Herramienta Menor (5% de la mano de obra).</v>
      </c>
      <c r="C13" s="306"/>
      <c r="D13" s="306"/>
      <c r="E13" s="276" t="str">
        <f t="shared" ref="E13:E18" si="1">IF(A13="","",VLOOKUP(A13,EQUI,3,FALSE))</f>
        <v>%</v>
      </c>
      <c r="F13" s="433">
        <f>IF(A13="","",VLOOKUP(A13,EQUI,4,FALSE))</f>
        <v>0.05</v>
      </c>
      <c r="G13" s="307">
        <f>ROUND(F13*H50,0)</f>
        <v>1180</v>
      </c>
      <c r="H13" s="308">
        <f>+G13</f>
        <v>1180</v>
      </c>
      <c r="I13" s="309"/>
    </row>
    <row r="14" spans="1:9">
      <c r="A14" s="536"/>
      <c r="B14" s="305"/>
      <c r="C14" s="306"/>
      <c r="D14" s="306"/>
      <c r="E14" s="276" t="str">
        <f t="shared" si="1"/>
        <v/>
      </c>
      <c r="F14" s="405"/>
      <c r="G14" s="310" t="str">
        <f>IF(A14="","",VLOOKUP(A14,EQUI,4,FALSE))</f>
        <v/>
      </c>
      <c r="H14" s="311" t="str">
        <f>IF(A14="","",ROUND((G14/F14),0))</f>
        <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1180</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t="s">
        <v>560</v>
      </c>
      <c r="B23" s="353" t="str">
        <f t="shared" ref="B23:B32" si="2">IF(A23="","",VLOOKUP(A23,MAT,2,FALSE))</f>
        <v>Arena fina de río.</v>
      </c>
      <c r="C23" s="305"/>
      <c r="D23" s="306"/>
      <c r="E23" s="276" t="str">
        <f t="shared" ref="E23:E32" si="3">IF(A23="","",VLOOKUP(A23,MAT,3,FALSE))</f>
        <v>m3</v>
      </c>
      <c r="F23" s="405">
        <v>1.25</v>
      </c>
      <c r="G23" s="310">
        <f t="shared" ref="G23:G32" si="4">IF(A23="","",VLOOKUP(A23,MAT,5,FALSE))</f>
        <v>60000</v>
      </c>
      <c r="H23" s="311">
        <f t="shared" ref="H23:H32" si="5">IF(A23="","",ROUND((G23*F23),0))</f>
        <v>75000</v>
      </c>
    </row>
    <row r="24" spans="1:8">
      <c r="A24" s="534"/>
      <c r="B24" s="353" t="str">
        <f t="shared" si="2"/>
        <v/>
      </c>
      <c r="C24" s="305"/>
      <c r="D24" s="306"/>
      <c r="E24" s="276" t="str">
        <f t="shared" si="3"/>
        <v/>
      </c>
      <c r="F24" s="405"/>
      <c r="G24" s="310" t="str">
        <f t="shared" si="4"/>
        <v/>
      </c>
      <c r="H24" s="311" t="str">
        <f t="shared" si="5"/>
        <v/>
      </c>
    </row>
    <row r="25" spans="1:8">
      <c r="A25" s="534"/>
      <c r="B25" s="353" t="str">
        <f t="shared" si="2"/>
        <v/>
      </c>
      <c r="C25" s="305"/>
      <c r="D25" s="306"/>
      <c r="E25" s="276" t="str">
        <f t="shared" si="3"/>
        <v/>
      </c>
      <c r="F25" s="405"/>
      <c r="G25" s="310" t="str">
        <f t="shared" si="4"/>
        <v/>
      </c>
      <c r="H25" s="311" t="str">
        <f t="shared" si="5"/>
        <v/>
      </c>
    </row>
    <row r="26" spans="1:8">
      <c r="A26" s="534"/>
      <c r="B26" s="305" t="str">
        <f t="shared" si="2"/>
        <v/>
      </c>
      <c r="C26" s="305"/>
      <c r="D26" s="306"/>
      <c r="E26" s="276" t="str">
        <f t="shared" si="3"/>
        <v/>
      </c>
      <c r="F26" s="405"/>
      <c r="G26" s="310" t="str">
        <f t="shared" si="4"/>
        <v/>
      </c>
      <c r="H26" s="311" t="str">
        <f t="shared" si="5"/>
        <v/>
      </c>
    </row>
    <row r="27" spans="1:8">
      <c r="A27" s="534"/>
      <c r="B27" s="305" t="str">
        <f t="shared" si="2"/>
        <v/>
      </c>
      <c r="C27" s="305"/>
      <c r="D27" s="306"/>
      <c r="E27" s="276" t="str">
        <f t="shared" si="3"/>
        <v/>
      </c>
      <c r="F27" s="405"/>
      <c r="G27" s="310" t="str">
        <f t="shared" si="4"/>
        <v/>
      </c>
      <c r="H27" s="311" t="str">
        <f t="shared" si="5"/>
        <v/>
      </c>
    </row>
    <row r="28" spans="1:8">
      <c r="A28" s="534"/>
      <c r="B28" s="305" t="str">
        <f t="shared" si="2"/>
        <v/>
      </c>
      <c r="C28" s="305"/>
      <c r="D28" s="306"/>
      <c r="E28" s="276" t="str">
        <f t="shared" si="3"/>
        <v/>
      </c>
      <c r="F28" s="405"/>
      <c r="G28" s="310" t="str">
        <f t="shared" si="4"/>
        <v/>
      </c>
      <c r="H28" s="311" t="str">
        <f t="shared" si="5"/>
        <v/>
      </c>
    </row>
    <row r="29" spans="1:8">
      <c r="A29" s="534"/>
      <c r="B29" s="305" t="str">
        <f t="shared" si="2"/>
        <v/>
      </c>
      <c r="C29" s="305"/>
      <c r="D29" s="306"/>
      <c r="E29" s="276" t="str">
        <f t="shared" si="3"/>
        <v/>
      </c>
      <c r="F29" s="405"/>
      <c r="G29" s="310" t="str">
        <f t="shared" si="4"/>
        <v/>
      </c>
      <c r="H29" s="311" t="str">
        <f t="shared" si="5"/>
        <v/>
      </c>
    </row>
    <row r="30" spans="1:8">
      <c r="A30" s="534"/>
      <c r="B30" s="305" t="str">
        <f t="shared" si="2"/>
        <v/>
      </c>
      <c r="C30" s="305"/>
      <c r="D30" s="306"/>
      <c r="E30" s="276" t="str">
        <f t="shared" si="3"/>
        <v/>
      </c>
      <c r="F30" s="405"/>
      <c r="G30" s="310" t="str">
        <f t="shared" si="4"/>
        <v/>
      </c>
      <c r="H30" s="311" t="str">
        <f t="shared" si="5"/>
        <v/>
      </c>
    </row>
    <row r="31" spans="1:8">
      <c r="A31" s="534"/>
      <c r="B31" s="305" t="str">
        <f t="shared" si="2"/>
        <v/>
      </c>
      <c r="C31" s="305"/>
      <c r="D31" s="306"/>
      <c r="E31" s="276" t="str">
        <f t="shared" si="3"/>
        <v/>
      </c>
      <c r="F31" s="405"/>
      <c r="G31" s="310" t="str">
        <f t="shared" si="4"/>
        <v/>
      </c>
      <c r="H31" s="311" t="str">
        <f t="shared" si="5"/>
        <v/>
      </c>
    </row>
    <row r="32" spans="1:8" ht="13.5" thickBot="1">
      <c r="A32" s="535"/>
      <c r="B32" s="326" t="str">
        <f t="shared" si="2"/>
        <v/>
      </c>
      <c r="C32" s="314"/>
      <c r="D32" s="314"/>
      <c r="E32" s="315" t="str">
        <f t="shared" si="3"/>
        <v/>
      </c>
      <c r="F32" s="406"/>
      <c r="G32" s="327" t="str">
        <f t="shared" si="4"/>
        <v/>
      </c>
      <c r="H32" s="311" t="str">
        <f t="shared" si="5"/>
        <v/>
      </c>
    </row>
    <row r="33" spans="1:8" ht="13.5" thickBot="1">
      <c r="A33" s="285"/>
      <c r="B33" s="285"/>
      <c r="C33" s="285"/>
      <c r="D33" s="285"/>
      <c r="E33" s="286"/>
      <c r="F33" s="285"/>
      <c r="G33" s="210" t="s">
        <v>529</v>
      </c>
      <c r="H33" s="328">
        <f>ROUND(SUM(H23:H32),0)</f>
        <v>75000</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546" t="str">
        <f>+A23</f>
        <v>AF</v>
      </c>
      <c r="B37" s="305" t="str">
        <f>IF(A37="","",VLOOKUP(A37,MAT,2,FALSE))</f>
        <v>Arena fina de río.</v>
      </c>
      <c r="C37" s="333"/>
      <c r="D37" s="409" t="str">
        <f>IF(A37="","",VLOOKUP(A37,MAT,3,FALSE))</f>
        <v>m3</v>
      </c>
      <c r="E37" s="419">
        <v>15</v>
      </c>
      <c r="F37" s="1238">
        <f>F23</f>
        <v>1.25</v>
      </c>
      <c r="G37" s="334">
        <f>IF(A37="","",VLOOKUP(A37,MAT,7,FALSE))</f>
        <v>1500</v>
      </c>
      <c r="H37" s="311">
        <f>IF(A37="","",ROUND((G37*F37*E37),0))</f>
        <v>28125</v>
      </c>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t="str">
        <f>IF(A39="","",ROUND((G39*F39*E39),0))</f>
        <v/>
      </c>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28125</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883</v>
      </c>
      <c r="B46" s="2192" t="str">
        <f>IF(A46="","",VLOOKUP(A46,MO,2,FALSE))</f>
        <v>Cuadrilla AA: Albañilería. (1 Of. + 1 Ayud.).</v>
      </c>
      <c r="C46" s="2193"/>
      <c r="D46" s="2194"/>
      <c r="E46" s="538" t="str">
        <f>IF(A46="","",VLOOKUP(A46,MO,13,FALSE))</f>
        <v>HC</v>
      </c>
      <c r="F46" s="544">
        <v>1.65</v>
      </c>
      <c r="G46" s="540">
        <f>IF(A46="","",VLOOKUP(A46,MO,15,FALSE))</f>
        <v>38949</v>
      </c>
      <c r="H46" s="542">
        <f>IF(A46="","",ROUND((G46/F46),0))</f>
        <v>23605</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23605</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127910</v>
      </c>
    </row>
    <row r="53" spans="1:8">
      <c r="A53" s="285"/>
      <c r="B53" s="285"/>
      <c r="C53" s="285"/>
      <c r="D53" s="285"/>
      <c r="E53" s="346" t="s">
        <v>2697</v>
      </c>
      <c r="F53" s="347"/>
      <c r="G53" s="347">
        <v>0.3</v>
      </c>
      <c r="H53" s="349">
        <f>H52*G53</f>
        <v>38373</v>
      </c>
    </row>
    <row r="54" spans="1:8">
      <c r="A54" s="285"/>
      <c r="B54" s="285"/>
      <c r="C54" s="285"/>
      <c r="D54" s="285"/>
      <c r="E54" s="346"/>
      <c r="F54" s="347"/>
      <c r="G54" s="347"/>
      <c r="H54" s="349">
        <f>SUM(H52:H53)</f>
        <v>166283</v>
      </c>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ht="15">
      <c r="A59" s="1243" t="str">
        <f>+[14]PRESUPUESTO!$A$113</f>
        <v>__________________________________________</v>
      </c>
      <c r="B59" s="1243"/>
      <c r="C59" s="1244"/>
    </row>
    <row r="60" spans="1:8" ht="15.75">
      <c r="A60" s="1245" t="str">
        <f>+[14]PRESUPUESTO!$A$114</f>
        <v>Ing. JHON FREDY GARCIA MENDEZ</v>
      </c>
      <c r="B60" s="1243"/>
      <c r="C60" s="1244"/>
    </row>
    <row r="61" spans="1:8" ht="15.75">
      <c r="A61" s="1246" t="str">
        <f>+[14]PRESUPUESTO!$A$115</f>
        <v>M.P.  70268-326294 TLM.</v>
      </c>
      <c r="B61" s="1243"/>
      <c r="C61" s="1244"/>
    </row>
    <row r="62" spans="1:8" ht="15.75">
      <c r="A62" s="1246" t="str">
        <f>+[14]PRESUPUESTO!$A$116</f>
        <v>CONSULTOR</v>
      </c>
      <c r="B62" s="1243"/>
      <c r="C62" s="1244"/>
    </row>
    <row r="63" spans="1:8" ht="15">
      <c r="A63" s="1244"/>
      <c r="B63" s="1244"/>
      <c r="C63" s="1244"/>
    </row>
  </sheetData>
  <mergeCells count="15">
    <mergeCell ref="B47:D47"/>
    <mergeCell ref="B48:D48"/>
    <mergeCell ref="B49:D49"/>
    <mergeCell ref="B6:D6"/>
    <mergeCell ref="B7:E7"/>
    <mergeCell ref="B8:E8"/>
    <mergeCell ref="B36:C36"/>
    <mergeCell ref="B45:D45"/>
    <mergeCell ref="B46:D46"/>
    <mergeCell ref="D2:E4"/>
    <mergeCell ref="F2:H2"/>
    <mergeCell ref="F3:H3"/>
    <mergeCell ref="F4:H4"/>
    <mergeCell ref="A5:E5"/>
    <mergeCell ref="F5:H5"/>
  </mergeCells>
  <pageMargins left="0.75" right="0.75" top="1" bottom="1" header="0" footer="0"/>
  <pageSetup scale="70" orientation="portrait" r:id="rId1"/>
  <headerFooter alignWithMargins="0"/>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Hoja73">
    <tabColor theme="6" tint="0.79998168889431442"/>
  </sheetPr>
  <dimension ref="A1:I62"/>
  <sheetViews>
    <sheetView view="pageBreakPreview" topLeftCell="A28" zoomScale="90" zoomScaleNormal="100" zoomScaleSheetLayoutView="90" workbookViewId="0">
      <selection activeCell="F47" sqref="F47"/>
    </sheetView>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2.710937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f>PRESUPUESTO!A65</f>
        <v>1.8</v>
      </c>
      <c r="B7" s="2185" t="str">
        <f>PRESUPUESTO!B65</f>
        <v>RELLENOS</v>
      </c>
      <c r="C7" s="2185"/>
      <c r="D7" s="2185"/>
      <c r="E7" s="2185"/>
      <c r="F7" s="289"/>
      <c r="G7" s="290" t="s">
        <v>525</v>
      </c>
      <c r="H7" s="97" t="str">
        <f>+PRESUPUESTO!C67</f>
        <v>m3</v>
      </c>
    </row>
    <row r="8" spans="1:9" ht="54.75" customHeight="1">
      <c r="A8" s="97" t="str">
        <f>+PRESUPUESTO!A67</f>
        <v>1.8.2</v>
      </c>
      <c r="B8" s="2229" t="str">
        <f>+PRESUPUESTO!B67</f>
        <v>Relleno de brechas con material seleccionado de la misma excavación, compactación mecánica, capa máxima 10cm, IP &lt; 10%, Dm = 95% según PM. Incluye: uso de herramientas, maquinaria, equipos, apisonado y demás actividades y elementos que se requieren para ejecutar correctamente la obra.</v>
      </c>
      <c r="C8" s="2217"/>
      <c r="D8" s="2217"/>
      <c r="E8" s="221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966</v>
      </c>
      <c r="B13" s="305" t="str">
        <f t="shared" ref="B13:B18" si="0">IF(A13="","",VLOOKUP(A13,EQUI,2,FALSE))</f>
        <v>Herramienta Menor (5% de la mano de obra).</v>
      </c>
      <c r="C13" s="306"/>
      <c r="D13" s="306"/>
      <c r="E13" s="276" t="str">
        <f t="shared" ref="E13:E18" si="1">IF(A13="","",VLOOKUP(A13,EQUI,3,FALSE))</f>
        <v>%</v>
      </c>
      <c r="F13" s="433">
        <f>IF(A13="","",VLOOKUP(A13,EQUI,4,FALSE))</f>
        <v>0.05</v>
      </c>
      <c r="G13" s="307">
        <f>ROUND(F13*H50,0)</f>
        <v>779</v>
      </c>
      <c r="H13" s="308">
        <f>+G13</f>
        <v>779</v>
      </c>
      <c r="I13" s="309"/>
    </row>
    <row r="14" spans="1:9">
      <c r="A14" s="536" t="s">
        <v>481</v>
      </c>
      <c r="B14" s="305" t="str">
        <f t="shared" si="0"/>
        <v>Apisonador tipo canguro</v>
      </c>
      <c r="C14" s="306"/>
      <c r="D14" s="306"/>
      <c r="E14" s="276" t="str">
        <f t="shared" si="1"/>
        <v>Dia</v>
      </c>
      <c r="F14" s="405">
        <v>20</v>
      </c>
      <c r="G14" s="310">
        <f>IF(A14="","",VLOOKUP(A14,EQUI,4,FALSE))</f>
        <v>95693</v>
      </c>
      <c r="H14" s="311">
        <f>IF(A14="","",ROUND((G14/F14),0))</f>
        <v>4785</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5564</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c r="B23" s="353" t="str">
        <f t="shared" ref="B23:B32" si="2">IF(A23="","",VLOOKUP(A23,MAT,2,FALSE))</f>
        <v/>
      </c>
      <c r="C23" s="305"/>
      <c r="D23" s="306"/>
      <c r="E23" s="276" t="str">
        <f t="shared" ref="E23:E32" si="3">IF(A23="","",VLOOKUP(A23,MAT,3,FALSE))</f>
        <v/>
      </c>
      <c r="F23" s="405"/>
      <c r="G23" s="310" t="str">
        <f t="shared" ref="G23:G32" si="4">IF(A23="","",VLOOKUP(A23,MAT,5,FALSE))</f>
        <v/>
      </c>
      <c r="H23" s="311" t="str">
        <f t="shared" ref="H23:H32" si="5">IF(A23="","",ROUND((G23*F23),0))</f>
        <v/>
      </c>
    </row>
    <row r="24" spans="1:8">
      <c r="A24" s="534"/>
      <c r="B24" s="353" t="str">
        <f t="shared" si="2"/>
        <v/>
      </c>
      <c r="C24" s="305"/>
      <c r="D24" s="306"/>
      <c r="E24" s="276" t="str">
        <f t="shared" si="3"/>
        <v/>
      </c>
      <c r="F24" s="405"/>
      <c r="G24" s="310" t="str">
        <f t="shared" si="4"/>
        <v/>
      </c>
      <c r="H24" s="311" t="str">
        <f t="shared" si="5"/>
        <v/>
      </c>
    </row>
    <row r="25" spans="1:8">
      <c r="A25" s="534"/>
      <c r="B25" s="353" t="str">
        <f t="shared" si="2"/>
        <v/>
      </c>
      <c r="C25" s="305"/>
      <c r="D25" s="306"/>
      <c r="E25" s="276" t="str">
        <f t="shared" si="3"/>
        <v/>
      </c>
      <c r="F25" s="405"/>
      <c r="G25" s="310" t="str">
        <f t="shared" si="4"/>
        <v/>
      </c>
      <c r="H25" s="311" t="str">
        <f t="shared" si="5"/>
        <v/>
      </c>
    </row>
    <row r="26" spans="1:8">
      <c r="A26" s="534"/>
      <c r="B26" s="305" t="str">
        <f t="shared" si="2"/>
        <v/>
      </c>
      <c r="C26" s="305"/>
      <c r="D26" s="306"/>
      <c r="E26" s="276" t="str">
        <f t="shared" si="3"/>
        <v/>
      </c>
      <c r="F26" s="405"/>
      <c r="G26" s="310" t="str">
        <f t="shared" si="4"/>
        <v/>
      </c>
      <c r="H26" s="311" t="str">
        <f t="shared" si="5"/>
        <v/>
      </c>
    </row>
    <row r="27" spans="1:8">
      <c r="A27" s="534"/>
      <c r="B27" s="305" t="str">
        <f t="shared" si="2"/>
        <v/>
      </c>
      <c r="C27" s="305"/>
      <c r="D27" s="306"/>
      <c r="E27" s="276" t="str">
        <f t="shared" si="3"/>
        <v/>
      </c>
      <c r="F27" s="405"/>
      <c r="G27" s="310" t="str">
        <f t="shared" si="4"/>
        <v/>
      </c>
      <c r="H27" s="311" t="str">
        <f t="shared" si="5"/>
        <v/>
      </c>
    </row>
    <row r="28" spans="1:8">
      <c r="A28" s="534"/>
      <c r="B28" s="305" t="str">
        <f t="shared" si="2"/>
        <v/>
      </c>
      <c r="C28" s="305"/>
      <c r="D28" s="306"/>
      <c r="E28" s="276" t="str">
        <f t="shared" si="3"/>
        <v/>
      </c>
      <c r="F28" s="405"/>
      <c r="G28" s="310" t="str">
        <f t="shared" si="4"/>
        <v/>
      </c>
      <c r="H28" s="311" t="str">
        <f t="shared" si="5"/>
        <v/>
      </c>
    </row>
    <row r="29" spans="1:8">
      <c r="A29" s="534"/>
      <c r="B29" s="305" t="str">
        <f t="shared" si="2"/>
        <v/>
      </c>
      <c r="C29" s="305"/>
      <c r="D29" s="306"/>
      <c r="E29" s="276" t="str">
        <f t="shared" si="3"/>
        <v/>
      </c>
      <c r="F29" s="405"/>
      <c r="G29" s="310" t="str">
        <f t="shared" si="4"/>
        <v/>
      </c>
      <c r="H29" s="311" t="str">
        <f t="shared" si="5"/>
        <v/>
      </c>
    </row>
    <row r="30" spans="1:8">
      <c r="A30" s="534"/>
      <c r="B30" s="305" t="str">
        <f t="shared" si="2"/>
        <v/>
      </c>
      <c r="C30" s="305"/>
      <c r="D30" s="306"/>
      <c r="E30" s="276" t="str">
        <f t="shared" si="3"/>
        <v/>
      </c>
      <c r="F30" s="405"/>
      <c r="G30" s="310" t="str">
        <f t="shared" si="4"/>
        <v/>
      </c>
      <c r="H30" s="311" t="str">
        <f t="shared" si="5"/>
        <v/>
      </c>
    </row>
    <row r="31" spans="1:8">
      <c r="A31" s="534"/>
      <c r="B31" s="305" t="str">
        <f t="shared" si="2"/>
        <v/>
      </c>
      <c r="C31" s="305"/>
      <c r="D31" s="306"/>
      <c r="E31" s="276" t="str">
        <f t="shared" si="3"/>
        <v/>
      </c>
      <c r="F31" s="405"/>
      <c r="G31" s="310" t="str">
        <f t="shared" si="4"/>
        <v/>
      </c>
      <c r="H31" s="311" t="str">
        <f t="shared" si="5"/>
        <v/>
      </c>
    </row>
    <row r="32" spans="1:8" ht="13.5" thickBot="1">
      <c r="A32" s="535"/>
      <c r="B32" s="326" t="str">
        <f t="shared" si="2"/>
        <v/>
      </c>
      <c r="C32" s="314"/>
      <c r="D32" s="314"/>
      <c r="E32" s="315" t="str">
        <f t="shared" si="3"/>
        <v/>
      </c>
      <c r="F32" s="406"/>
      <c r="G32" s="327" t="str">
        <f t="shared" si="4"/>
        <v/>
      </c>
      <c r="H32" s="311" t="str">
        <f t="shared" si="5"/>
        <v/>
      </c>
    </row>
    <row r="33" spans="1:8" ht="13.5" thickBot="1">
      <c r="A33" s="285"/>
      <c r="B33" s="285"/>
      <c r="C33" s="285"/>
      <c r="D33" s="285"/>
      <c r="E33" s="286"/>
      <c r="F33" s="285"/>
      <c r="G33" s="210" t="s">
        <v>529</v>
      </c>
      <c r="H33" s="328">
        <f>ROUND(SUM(H23:H32),0)</f>
        <v>0</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546"/>
      <c r="B37" s="305" t="str">
        <f>IF(A37="","",VLOOKUP(A37,MAT,2,FALSE))</f>
        <v/>
      </c>
      <c r="C37" s="333"/>
      <c r="D37" s="409" t="str">
        <f>IF(A37="","",VLOOKUP(A37,MAT,3,FALSE))</f>
        <v/>
      </c>
      <c r="E37" s="419" t="str">
        <f>IF(A37="","",VLOOKUP(A37,MAT,6,FALSE))</f>
        <v/>
      </c>
      <c r="F37" s="413"/>
      <c r="G37" s="334" t="str">
        <f>IF(A37="","",VLOOKUP(A37,MAT,7,FALSE))</f>
        <v/>
      </c>
      <c r="H37" s="311" t="str">
        <f>IF(A37="","",ROUND((G37*F37*E37),0))</f>
        <v/>
      </c>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t="str">
        <f>IF(A39="","",ROUND((G39*F39*E39),0))</f>
        <v/>
      </c>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0</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883</v>
      </c>
      <c r="B46" s="2192" t="str">
        <f>IF(A46="","",VLOOKUP(A46,MO,2,FALSE))</f>
        <v>Cuadrilla AA: Albañilería. (1 Of. + 1 Ayud.).</v>
      </c>
      <c r="C46" s="2193"/>
      <c r="D46" s="2194"/>
      <c r="E46" s="538" t="str">
        <f>IF(A46="","",VLOOKUP(A46,MO,13,FALSE))</f>
        <v>HC</v>
      </c>
      <c r="F46" s="544">
        <v>2.5</v>
      </c>
      <c r="G46" s="540">
        <f>IF(A46="","",VLOOKUP(A46,MO,15,FALSE))</f>
        <v>38949</v>
      </c>
      <c r="H46" s="542">
        <f>IF(A46="","",ROUND((G46/F46),0))</f>
        <v>15580</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15580</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21144</v>
      </c>
    </row>
    <row r="53" spans="1:8">
      <c r="A53" s="285"/>
      <c r="B53" s="285"/>
      <c r="C53" s="285"/>
      <c r="D53" s="285"/>
      <c r="E53" s="346" t="s">
        <v>2697</v>
      </c>
      <c r="F53" s="347"/>
      <c r="G53" s="347">
        <v>0.3</v>
      </c>
      <c r="H53" s="349">
        <f>H52*G53</f>
        <v>6343.2</v>
      </c>
    </row>
    <row r="54" spans="1:8">
      <c r="A54" s="285"/>
      <c r="B54" s="285"/>
      <c r="C54" s="285"/>
      <c r="D54" s="285"/>
      <c r="E54" s="346"/>
      <c r="F54" s="347"/>
      <c r="G54" s="347"/>
      <c r="H54" s="349">
        <f>SUM(H52:H53)</f>
        <v>27487.200000000001</v>
      </c>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ht="15">
      <c r="A59" s="1243" t="str">
        <f>+[14]PRESUPUESTO!$A$113</f>
        <v>__________________________________________</v>
      </c>
      <c r="B59" s="1243"/>
      <c r="C59" s="1244"/>
    </row>
    <row r="60" spans="1:8" ht="15.75">
      <c r="A60" s="1245" t="str">
        <f>+[14]PRESUPUESTO!$A$114</f>
        <v>Ing. JHON FREDY GARCIA MENDEZ</v>
      </c>
      <c r="B60" s="1243"/>
      <c r="C60" s="1244"/>
    </row>
    <row r="61" spans="1:8" ht="15.75">
      <c r="A61" s="1246" t="str">
        <f>+[14]PRESUPUESTO!$A$115</f>
        <v>M.P.  70268-326294 TLM.</v>
      </c>
      <c r="B61" s="1243"/>
      <c r="C61" s="1244"/>
    </row>
    <row r="62" spans="1:8" ht="15.75">
      <c r="A62" s="1246" t="str">
        <f>+[14]PRESUPUESTO!$A$116</f>
        <v>CONSULTOR</v>
      </c>
      <c r="B62" s="1243"/>
      <c r="C62" s="1244"/>
    </row>
  </sheetData>
  <mergeCells count="15">
    <mergeCell ref="D2:E4"/>
    <mergeCell ref="F2:H2"/>
    <mergeCell ref="F3:H3"/>
    <mergeCell ref="F4:H4"/>
    <mergeCell ref="A5:E5"/>
    <mergeCell ref="F5:H5"/>
    <mergeCell ref="B47:D47"/>
    <mergeCell ref="B48:D48"/>
    <mergeCell ref="B49:D49"/>
    <mergeCell ref="B6:D6"/>
    <mergeCell ref="B7:E7"/>
    <mergeCell ref="B8:E8"/>
    <mergeCell ref="B36:C36"/>
    <mergeCell ref="B45:D45"/>
    <mergeCell ref="B46:D46"/>
  </mergeCells>
  <pageMargins left="0.75" right="0.75" top="1" bottom="1" header="0" footer="0"/>
  <pageSetup scale="70" orientation="portrait" r:id="rId1"/>
  <headerFooter alignWithMargins="0"/>
  <drawing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codeName="Hoja74">
    <tabColor theme="6" tint="0.79998168889431442"/>
  </sheetPr>
  <dimension ref="A1:I62"/>
  <sheetViews>
    <sheetView view="pageBreakPreview" topLeftCell="A26" zoomScaleNormal="100" zoomScaleSheetLayoutView="100" workbookViewId="0">
      <selection activeCell="F47" sqref="F47"/>
    </sheetView>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2.710937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f>PRESUPUESTO!A65</f>
        <v>1.8</v>
      </c>
      <c r="B7" s="2185" t="str">
        <f>PRESUPUESTO!B65</f>
        <v>RELLENOS</v>
      </c>
      <c r="C7" s="2185"/>
      <c r="D7" s="2185"/>
      <c r="E7" s="2185"/>
      <c r="F7" s="289"/>
      <c r="G7" s="290" t="s">
        <v>525</v>
      </c>
      <c r="H7" s="97" t="str">
        <f>+PRESUPUESTO!C68</f>
        <v>m3</v>
      </c>
    </row>
    <row r="8" spans="1:9" ht="26.25" customHeight="1">
      <c r="A8" s="97" t="str">
        <f>+PRESUPUESTO!A68</f>
        <v>1.8.3</v>
      </c>
      <c r="B8" s="2229" t="str">
        <f>+PRESUPUESTO!B68</f>
        <v>Relleno de la brecha con material recebo seleccionado, incluye transporte al sitio de la obra, extendido, humedecido y apisonado mecánicamente en capas de 0.20 m.</v>
      </c>
      <c r="C8" s="2217"/>
      <c r="D8" s="2217"/>
      <c r="E8" s="221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966</v>
      </c>
      <c r="B13" s="305" t="str">
        <f t="shared" ref="B13:B18" si="0">IF(A13="","",VLOOKUP(A13,EQUI,2,FALSE))</f>
        <v>Herramienta Menor (5% de la mano de obra).</v>
      </c>
      <c r="C13" s="306"/>
      <c r="D13" s="306"/>
      <c r="E13" s="276" t="str">
        <f t="shared" ref="E13:E18" si="1">IF(A13="","",VLOOKUP(A13,EQUI,3,FALSE))</f>
        <v>%</v>
      </c>
      <c r="F13" s="433">
        <f>IF(A13="","",VLOOKUP(A13,EQUI,4,FALSE))</f>
        <v>0.05</v>
      </c>
      <c r="G13" s="307">
        <f>ROUND(F13*H50,0)</f>
        <v>487</v>
      </c>
      <c r="H13" s="308">
        <f>+G13</f>
        <v>487</v>
      </c>
      <c r="I13" s="309"/>
    </row>
    <row r="14" spans="1:9">
      <c r="A14" s="536" t="s">
        <v>481</v>
      </c>
      <c r="B14" s="305" t="str">
        <f t="shared" si="0"/>
        <v>Apisonador tipo canguro</v>
      </c>
      <c r="C14" s="306"/>
      <c r="D14" s="306"/>
      <c r="E14" s="276" t="str">
        <f t="shared" si="1"/>
        <v>Dia</v>
      </c>
      <c r="F14" s="405">
        <v>20</v>
      </c>
      <c r="G14" s="310">
        <f>IF(A14="","",VLOOKUP(A14,EQUI,4,FALSE))</f>
        <v>95693</v>
      </c>
      <c r="H14" s="311">
        <f>IF(A14="","",ROUND((G14/F14),0))</f>
        <v>4785</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5272</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t="s">
        <v>563</v>
      </c>
      <c r="B23" s="353" t="str">
        <f t="shared" ref="B23:B32" si="2">IF(A23="","",VLOOKUP(A23,MAT,2,FALSE))</f>
        <v>Recebo granular seleccionado IP&lt;10%.</v>
      </c>
      <c r="C23" s="305"/>
      <c r="D23" s="306"/>
      <c r="E23" s="276" t="str">
        <f t="shared" ref="E23:E32" si="3">IF(A23="","",VLOOKUP(A23,MAT,3,FALSE))</f>
        <v>m3</v>
      </c>
      <c r="F23" s="405">
        <v>1.25</v>
      </c>
      <c r="G23" s="1303">
        <f t="shared" ref="G23:G32" si="4">IF(A23="","",VLOOKUP(A23,MAT,5,FALSE))</f>
        <v>102340</v>
      </c>
      <c r="H23" s="311">
        <f t="shared" ref="H23:H32" si="5">IF(A23="","",ROUND((G23*F23),0))</f>
        <v>127925</v>
      </c>
    </row>
    <row r="24" spans="1:8">
      <c r="A24" s="534"/>
      <c r="B24" s="353" t="str">
        <f t="shared" si="2"/>
        <v/>
      </c>
      <c r="C24" s="305"/>
      <c r="D24" s="306"/>
      <c r="E24" s="276" t="str">
        <f t="shared" si="3"/>
        <v/>
      </c>
      <c r="F24" s="405"/>
      <c r="G24" s="310" t="str">
        <f t="shared" si="4"/>
        <v/>
      </c>
      <c r="H24" s="311" t="str">
        <f t="shared" si="5"/>
        <v/>
      </c>
    </row>
    <row r="25" spans="1:8">
      <c r="A25" s="534"/>
      <c r="B25" s="353" t="str">
        <f t="shared" si="2"/>
        <v/>
      </c>
      <c r="C25" s="305"/>
      <c r="D25" s="306"/>
      <c r="E25" s="276" t="str">
        <f t="shared" si="3"/>
        <v/>
      </c>
      <c r="F25" s="405"/>
      <c r="G25" s="310" t="str">
        <f t="shared" si="4"/>
        <v/>
      </c>
      <c r="H25" s="311" t="str">
        <f t="shared" si="5"/>
        <v/>
      </c>
    </row>
    <row r="26" spans="1:8">
      <c r="A26" s="534"/>
      <c r="B26" s="305" t="str">
        <f t="shared" si="2"/>
        <v/>
      </c>
      <c r="C26" s="305"/>
      <c r="D26" s="306"/>
      <c r="E26" s="276" t="str">
        <f t="shared" si="3"/>
        <v/>
      </c>
      <c r="F26" s="405"/>
      <c r="G26" s="310" t="str">
        <f t="shared" si="4"/>
        <v/>
      </c>
      <c r="H26" s="311" t="str">
        <f t="shared" si="5"/>
        <v/>
      </c>
    </row>
    <row r="27" spans="1:8">
      <c r="A27" s="534"/>
      <c r="B27" s="305" t="str">
        <f t="shared" si="2"/>
        <v/>
      </c>
      <c r="C27" s="305"/>
      <c r="D27" s="306"/>
      <c r="E27" s="276" t="str">
        <f t="shared" si="3"/>
        <v/>
      </c>
      <c r="F27" s="405"/>
      <c r="G27" s="310" t="str">
        <f t="shared" si="4"/>
        <v/>
      </c>
      <c r="H27" s="311" t="str">
        <f t="shared" si="5"/>
        <v/>
      </c>
    </row>
    <row r="28" spans="1:8">
      <c r="A28" s="534"/>
      <c r="B28" s="305" t="str">
        <f t="shared" si="2"/>
        <v/>
      </c>
      <c r="C28" s="305"/>
      <c r="D28" s="306"/>
      <c r="E28" s="276" t="str">
        <f t="shared" si="3"/>
        <v/>
      </c>
      <c r="F28" s="405"/>
      <c r="G28" s="310" t="str">
        <f t="shared" si="4"/>
        <v/>
      </c>
      <c r="H28" s="311" t="str">
        <f t="shared" si="5"/>
        <v/>
      </c>
    </row>
    <row r="29" spans="1:8">
      <c r="A29" s="534"/>
      <c r="B29" s="305" t="str">
        <f t="shared" si="2"/>
        <v/>
      </c>
      <c r="C29" s="305"/>
      <c r="D29" s="306"/>
      <c r="E29" s="276" t="str">
        <f t="shared" si="3"/>
        <v/>
      </c>
      <c r="F29" s="405"/>
      <c r="G29" s="310" t="str">
        <f t="shared" si="4"/>
        <v/>
      </c>
      <c r="H29" s="311" t="str">
        <f t="shared" si="5"/>
        <v/>
      </c>
    </row>
    <row r="30" spans="1:8">
      <c r="A30" s="534"/>
      <c r="B30" s="305" t="str">
        <f t="shared" si="2"/>
        <v/>
      </c>
      <c r="C30" s="305"/>
      <c r="D30" s="306"/>
      <c r="E30" s="276" t="str">
        <f t="shared" si="3"/>
        <v/>
      </c>
      <c r="F30" s="405"/>
      <c r="G30" s="310" t="str">
        <f t="shared" si="4"/>
        <v/>
      </c>
      <c r="H30" s="311" t="str">
        <f t="shared" si="5"/>
        <v/>
      </c>
    </row>
    <row r="31" spans="1:8">
      <c r="A31" s="534"/>
      <c r="B31" s="305" t="str">
        <f t="shared" si="2"/>
        <v/>
      </c>
      <c r="C31" s="305"/>
      <c r="D31" s="306"/>
      <c r="E31" s="276" t="str">
        <f t="shared" si="3"/>
        <v/>
      </c>
      <c r="F31" s="405"/>
      <c r="G31" s="310" t="str">
        <f t="shared" si="4"/>
        <v/>
      </c>
      <c r="H31" s="311" t="str">
        <f t="shared" si="5"/>
        <v/>
      </c>
    </row>
    <row r="32" spans="1:8" ht="13.5" thickBot="1">
      <c r="A32" s="535"/>
      <c r="B32" s="326" t="str">
        <f t="shared" si="2"/>
        <v/>
      </c>
      <c r="C32" s="314"/>
      <c r="D32" s="314"/>
      <c r="E32" s="315" t="str">
        <f t="shared" si="3"/>
        <v/>
      </c>
      <c r="F32" s="406"/>
      <c r="G32" s="327" t="str">
        <f t="shared" si="4"/>
        <v/>
      </c>
      <c r="H32" s="311" t="str">
        <f t="shared" si="5"/>
        <v/>
      </c>
    </row>
    <row r="33" spans="1:8" ht="13.5" thickBot="1">
      <c r="A33" s="285"/>
      <c r="B33" s="285"/>
      <c r="C33" s="285"/>
      <c r="D33" s="285"/>
      <c r="E33" s="286"/>
      <c r="F33" s="285"/>
      <c r="G33" s="210" t="s">
        <v>529</v>
      </c>
      <c r="H33" s="328">
        <f>ROUND(SUM(H23:H32),0)</f>
        <v>127925</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546" t="str">
        <f>+A23</f>
        <v>REC</v>
      </c>
      <c r="B37" s="305" t="str">
        <f>IF(A37="","",VLOOKUP(A37,MAT,2,FALSE))</f>
        <v>Recebo granular seleccionado IP&lt;10%.</v>
      </c>
      <c r="C37" s="333"/>
      <c r="D37" s="409" t="str">
        <f>IF(A37="","",VLOOKUP(A37,MAT,3,FALSE))</f>
        <v>m3</v>
      </c>
      <c r="E37" s="419">
        <f>IF(A37="","",VLOOKUP(A37,MAT,6,FALSE))</f>
        <v>60.5</v>
      </c>
      <c r="F37" s="1304">
        <f>F23</f>
        <v>1.25</v>
      </c>
      <c r="G37" s="334">
        <f>IF(A37="","",VLOOKUP(A37,MAT,7,FALSE))</f>
        <v>1500</v>
      </c>
      <c r="H37" s="311">
        <f>IF(A37="","",ROUND((G37*F37*E37),0))</f>
        <v>113438</v>
      </c>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t="str">
        <f>IF(A39="","",ROUND((G39*F39*E39),0))</f>
        <v/>
      </c>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113438</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883</v>
      </c>
      <c r="B46" s="2192" t="str">
        <f>IF(A46="","",VLOOKUP(A46,MO,2,FALSE))</f>
        <v>Cuadrilla AA: Albañilería. (1 Of. + 1 Ayud.).</v>
      </c>
      <c r="C46" s="2193"/>
      <c r="D46" s="2194"/>
      <c r="E46" s="538" t="str">
        <f>IF(A46="","",VLOOKUP(A46,MO,13,FALSE))</f>
        <v>HC</v>
      </c>
      <c r="F46" s="544">
        <v>4</v>
      </c>
      <c r="G46" s="540">
        <f>IF(A46="","",VLOOKUP(A46,MO,15,FALSE))</f>
        <v>38949</v>
      </c>
      <c r="H46" s="542">
        <f>IF(A46="","",ROUND((G46/F46),0))</f>
        <v>9737</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9737</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256372</v>
      </c>
    </row>
    <row r="53" spans="1:8">
      <c r="A53" s="285"/>
      <c r="B53" s="285"/>
      <c r="C53" s="285"/>
      <c r="D53" s="285"/>
      <c r="E53" s="346" t="s">
        <v>2697</v>
      </c>
      <c r="F53" s="347"/>
      <c r="G53" s="347">
        <v>0.3</v>
      </c>
      <c r="H53" s="349">
        <f>H52*G53</f>
        <v>76911.599999999991</v>
      </c>
    </row>
    <row r="54" spans="1:8">
      <c r="A54" s="285"/>
      <c r="B54" s="285"/>
      <c r="C54" s="285"/>
      <c r="D54" s="285"/>
      <c r="E54" s="346"/>
      <c r="F54" s="347"/>
      <c r="G54" s="347"/>
      <c r="H54" s="349">
        <f>SUM(H52:H53)</f>
        <v>333283.59999999998</v>
      </c>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ht="15">
      <c r="A59" s="1243" t="str">
        <f>+[14]PRESUPUESTO!$A$113</f>
        <v>__________________________________________</v>
      </c>
      <c r="B59" s="1243"/>
      <c r="C59" s="1244"/>
    </row>
    <row r="60" spans="1:8" ht="15.75">
      <c r="A60" s="1245" t="str">
        <f>+[14]PRESUPUESTO!$A$114</f>
        <v>Ing. JHON FREDY GARCIA MENDEZ</v>
      </c>
      <c r="B60" s="1243"/>
      <c r="C60" s="1244"/>
    </row>
    <row r="61" spans="1:8" ht="15.75">
      <c r="A61" s="1246" t="str">
        <f>+[14]PRESUPUESTO!$A$115</f>
        <v>M.P.  70268-326294 TLM.</v>
      </c>
      <c r="B61" s="1243"/>
      <c r="C61" s="1244"/>
    </row>
    <row r="62" spans="1:8" ht="15.75">
      <c r="A62" s="1246" t="str">
        <f>+[14]PRESUPUESTO!$A$116</f>
        <v>CONSULTOR</v>
      </c>
      <c r="B62" s="1243"/>
      <c r="C62" s="1244"/>
    </row>
  </sheetData>
  <mergeCells count="15">
    <mergeCell ref="D2:E4"/>
    <mergeCell ref="F2:H2"/>
    <mergeCell ref="F3:H3"/>
    <mergeCell ref="F4:H4"/>
    <mergeCell ref="A5:E5"/>
    <mergeCell ref="F5:H5"/>
    <mergeCell ref="B47:D47"/>
    <mergeCell ref="B48:D48"/>
    <mergeCell ref="B49:D49"/>
    <mergeCell ref="B6:D6"/>
    <mergeCell ref="B7:E7"/>
    <mergeCell ref="B8:E8"/>
    <mergeCell ref="B36:C36"/>
    <mergeCell ref="B45:D45"/>
    <mergeCell ref="B46:D46"/>
  </mergeCells>
  <pageMargins left="0.75" right="0.75" top="1" bottom="1" header="0" footer="0"/>
  <pageSetup scale="70" orientation="portrait" r:id="rId1"/>
  <headerFooter alignWithMargins="0"/>
  <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tabColor theme="6" tint="0.79998168889431442"/>
  </sheetPr>
  <dimension ref="A1:M62"/>
  <sheetViews>
    <sheetView view="pageBreakPreview" topLeftCell="A22" zoomScale="90" zoomScaleNormal="100" zoomScaleSheetLayoutView="90" workbookViewId="0">
      <selection activeCell="F46" sqref="F46"/>
    </sheetView>
  </sheetViews>
  <sheetFormatPr baseColWidth="10" defaultColWidth="11.42578125" defaultRowHeight="12.75"/>
  <cols>
    <col min="1" max="1" width="9.140625" style="703" customWidth="1"/>
    <col min="2" max="2" width="12.28515625" style="703" bestFit="1" customWidth="1"/>
    <col min="3" max="3" width="25.85546875" style="703" customWidth="1"/>
    <col min="4" max="4" width="21" style="703" customWidth="1"/>
    <col min="5" max="5" width="13" style="703" customWidth="1"/>
    <col min="6" max="6" width="11.7109375" style="703" bestFit="1" customWidth="1"/>
    <col min="7" max="7" width="15.85546875" style="703" customWidth="1"/>
    <col min="8" max="8" width="17.42578125" style="703" customWidth="1"/>
    <col min="9" max="9" width="12.5703125" style="703" bestFit="1" customWidth="1"/>
    <col min="10" max="10" width="11.42578125" style="703"/>
    <col min="11" max="11" width="17.5703125" style="703" bestFit="1" customWidth="1"/>
    <col min="12" max="16384" width="11.42578125" style="703"/>
  </cols>
  <sheetData>
    <row r="1" spans="1:9" ht="48.75" customHeight="1" thickBot="1"/>
    <row r="2" spans="1:9" ht="33.75" customHeight="1" thickBot="1">
      <c r="A2" s="704"/>
      <c r="B2" s="705"/>
      <c r="C2" s="705"/>
      <c r="D2" s="2241" t="str">
        <f>+[26]PRESUPUESTO!A7</f>
        <v>PRESUPUESTO  DEL CONTRATO DE CONSULTORÍA No. 221 de 2021, "CONSTRUCCIÓN DEL SISTEMA DE ALCANTARILLADO SANITARIO Y PLANTA DE TRATAMIENTO DE AGUAS RESIDUALES DEL CENTRO POBLADO CACHIMBAL EN EL MUNICIPIO DE GUADALUPE, DEPARTAMENTO DEL HUILA"</v>
      </c>
      <c r="E2" s="2242"/>
      <c r="F2" s="2247" t="str">
        <f>+[15]PRESUPUESTO!B2</f>
        <v>DEPARTAMENTO DEL HUILA</v>
      </c>
      <c r="G2" s="2248"/>
      <c r="H2" s="2249"/>
    </row>
    <row r="3" spans="1:9" ht="36" customHeight="1" thickBot="1">
      <c r="A3" s="706"/>
      <c r="B3" s="707"/>
      <c r="C3" s="707"/>
      <c r="D3" s="2243"/>
      <c r="E3" s="2244"/>
      <c r="F3" s="2250" t="e">
        <f>+PRESUPUESTO!#REF!</f>
        <v>#REF!</v>
      </c>
      <c r="G3" s="2251"/>
      <c r="H3" s="2252"/>
    </row>
    <row r="4" spans="1:9" ht="32.25" customHeight="1" thickBot="1">
      <c r="A4" s="708"/>
      <c r="B4" s="709"/>
      <c r="C4" s="710"/>
      <c r="D4" s="2245"/>
      <c r="E4" s="2246"/>
      <c r="F4" s="2250" t="s">
        <v>524</v>
      </c>
      <c r="G4" s="2251"/>
      <c r="H4" s="2252"/>
    </row>
    <row r="5" spans="1:9" ht="13.5" thickBot="1">
      <c r="A5" s="2218" t="s">
        <v>558</v>
      </c>
      <c r="B5" s="2219"/>
      <c r="C5" s="2219"/>
      <c r="D5" s="2219"/>
      <c r="E5" s="2220"/>
      <c r="F5" s="2253" t="e">
        <f>+PRESUPUESTO!#REF!</f>
        <v>#REF!</v>
      </c>
      <c r="G5" s="2254"/>
      <c r="H5" s="2255"/>
    </row>
    <row r="6" spans="1:9">
      <c r="A6" s="711"/>
      <c r="B6" s="2227"/>
      <c r="C6" s="2228"/>
      <c r="D6" s="2228"/>
      <c r="E6" s="711"/>
      <c r="F6" s="712"/>
      <c r="G6" s="713"/>
      <c r="H6" s="714"/>
      <c r="I6" s="288"/>
    </row>
    <row r="7" spans="1:9" ht="12.75" customHeight="1">
      <c r="A7" s="715">
        <f>+[26]PRESUPUESTO!A71</f>
        <v>1.9</v>
      </c>
      <c r="B7" s="2238" t="str">
        <f>+[26]PRESUPUESTO!B71</f>
        <v>PASOS ELEVADOS</v>
      </c>
      <c r="C7" s="2238"/>
      <c r="D7" s="2238"/>
      <c r="E7" s="2238"/>
      <c r="F7" s="716"/>
      <c r="G7" s="717" t="s">
        <v>525</v>
      </c>
      <c r="H7" s="718" t="str">
        <f>[15]PRESUPUESTO!C60</f>
        <v>m</v>
      </c>
    </row>
    <row r="8" spans="1:9" ht="51.75" customHeight="1">
      <c r="A8" s="718" t="str">
        <f>+[26]PRESUPUESTO!A72</f>
        <v>1.9.1</v>
      </c>
      <c r="B8" s="2267" t="str">
        <f>+[26]PRESUPUESTO!B72</f>
        <v>Viaducto en estructura metálica tipo cercha, en ángulo de 1"x3/16"  de sección 0,50 m de ancho x 1,50 de alto para paso de tubería PVC alcantarillado de  Ø8" a Ø14" y Luz máxima de L:22.0 m . Incluye: Protección en lámina Cold rolled Cal.18,  pintura anticorrosiva, tornillos de fijación a pedestales de concreto.</v>
      </c>
      <c r="C8" s="2268"/>
      <c r="D8" s="2268"/>
      <c r="E8" s="2268"/>
      <c r="F8" s="719"/>
      <c r="G8" s="717"/>
      <c r="H8" s="718"/>
    </row>
    <row r="9" spans="1:9">
      <c r="A9" s="715"/>
      <c r="B9" s="720"/>
      <c r="C9" s="721"/>
      <c r="D9" s="722"/>
      <c r="E9" s="721"/>
      <c r="F9" s="723"/>
      <c r="G9" s="713"/>
      <c r="H9" s="714"/>
    </row>
    <row r="10" spans="1:9">
      <c r="A10" s="718"/>
      <c r="B10" s="724"/>
      <c r="C10" s="724"/>
      <c r="D10" s="724"/>
      <c r="E10" s="724"/>
      <c r="F10" s="724"/>
      <c r="G10" s="725"/>
      <c r="H10" s="725"/>
    </row>
    <row r="11" spans="1:9" ht="13.5" thickBot="1">
      <c r="A11" s="726" t="s">
        <v>526</v>
      </c>
      <c r="B11" s="726"/>
      <c r="C11" s="712"/>
      <c r="D11" s="727"/>
      <c r="E11" s="727"/>
      <c r="F11" s="727"/>
      <c r="G11" s="727"/>
      <c r="H11" s="727"/>
    </row>
    <row r="12" spans="1:9" ht="13.5" thickBot="1">
      <c r="A12" s="728" t="s">
        <v>527</v>
      </c>
      <c r="B12" s="729"/>
      <c r="C12" s="730" t="s">
        <v>521</v>
      </c>
      <c r="D12" s="731"/>
      <c r="E12" s="732" t="s">
        <v>515</v>
      </c>
      <c r="F12" s="733" t="s">
        <v>528</v>
      </c>
      <c r="G12" s="734" t="s">
        <v>832</v>
      </c>
      <c r="H12" s="735" t="s">
        <v>831</v>
      </c>
    </row>
    <row r="13" spans="1:9">
      <c r="A13" s="736" t="s">
        <v>967</v>
      </c>
      <c r="B13" s="737" t="str">
        <f>IF(A13="","",VLOOKUP(A13,EQUI,2,FALSE))</f>
        <v>Herramienta Menor (10% de la mano de obra).</v>
      </c>
      <c r="C13" s="738"/>
      <c r="D13" s="738"/>
      <c r="E13" s="739" t="str">
        <f>IF(A13="","",VLOOKUP(A13,EQUI,3,FALSE))</f>
        <v>%</v>
      </c>
      <c r="F13" s="740">
        <f>IF(A13="","",VLOOKUP(A13,EQUI,4,FALSE))</f>
        <v>0.1</v>
      </c>
      <c r="G13" s="741">
        <f>ROUND(F13*H50,0)</f>
        <v>21786</v>
      </c>
      <c r="H13" s="742">
        <f>+G13</f>
        <v>21786</v>
      </c>
      <c r="I13" s="743"/>
    </row>
    <row r="14" spans="1:9">
      <c r="A14" s="736" t="s">
        <v>1669</v>
      </c>
      <c r="B14" s="737" t="str">
        <f>IF(A14="","",VLOOKUP(A14,EQUI,2,FALSE))</f>
        <v>Equipo de soldadura</v>
      </c>
      <c r="C14" s="738"/>
      <c r="D14" s="738"/>
      <c r="E14" s="739" t="str">
        <f>IF(A14="","",VLOOKUP(A14,EQUI,3,FALSE))</f>
        <v>Día</v>
      </c>
      <c r="F14" s="744">
        <v>4</v>
      </c>
      <c r="G14" s="745">
        <f>IF(A14="","",VLOOKUP(A14,EQUI,4,FALSE))</f>
        <v>125000</v>
      </c>
      <c r="H14" s="746">
        <f>IF(A14="","",ROUND((G14/F14),0))</f>
        <v>31250</v>
      </c>
    </row>
    <row r="15" spans="1:9">
      <c r="A15" s="736"/>
      <c r="B15" s="737" t="s">
        <v>2413</v>
      </c>
      <c r="C15" s="738"/>
      <c r="D15" s="738"/>
      <c r="E15" s="739" t="s">
        <v>493</v>
      </c>
      <c r="F15" s="744">
        <v>0.5</v>
      </c>
      <c r="G15" s="745">
        <v>30000</v>
      </c>
      <c r="H15" s="746">
        <f>G15*F15</f>
        <v>15000</v>
      </c>
    </row>
    <row r="16" spans="1:9">
      <c r="A16" s="736"/>
      <c r="B16" s="1036" t="s">
        <v>2412</v>
      </c>
      <c r="C16" s="737"/>
      <c r="D16" s="738"/>
      <c r="E16" s="739" t="s">
        <v>493</v>
      </c>
      <c r="F16" s="1038">
        <v>0.1</v>
      </c>
      <c r="G16" s="1039">
        <v>85000</v>
      </c>
      <c r="H16" s="746">
        <f>G16*F16</f>
        <v>8500</v>
      </c>
    </row>
    <row r="17" spans="1:13" ht="13.5" thickBot="1">
      <c r="A17" s="747"/>
      <c r="B17" s="748"/>
      <c r="C17" s="748"/>
      <c r="D17" s="1037"/>
      <c r="E17" s="750"/>
      <c r="F17" s="751"/>
      <c r="G17" s="752"/>
      <c r="H17" s="746"/>
    </row>
    <row r="18" spans="1:13" ht="13.5" thickBot="1">
      <c r="A18" s="712"/>
      <c r="B18" s="712"/>
      <c r="C18" s="712"/>
      <c r="D18" s="712"/>
      <c r="E18" s="713"/>
      <c r="F18" s="712"/>
      <c r="G18" s="753" t="s">
        <v>529</v>
      </c>
      <c r="H18" s="754">
        <f>ROUND(SUM(H13:H17),0)</f>
        <v>76536</v>
      </c>
    </row>
    <row r="19" spans="1:13">
      <c r="A19" s="712"/>
      <c r="B19" s="712"/>
      <c r="C19" s="712"/>
      <c r="D19" s="712"/>
      <c r="E19" s="713"/>
      <c r="F19" s="712"/>
      <c r="G19" s="713"/>
      <c r="H19" s="755"/>
    </row>
    <row r="20" spans="1:13" ht="13.5" thickBot="1">
      <c r="A20" s="726" t="s">
        <v>530</v>
      </c>
      <c r="B20" s="726"/>
      <c r="C20" s="726"/>
      <c r="D20" s="726"/>
      <c r="E20" s="756"/>
      <c r="F20" s="749"/>
      <c r="G20" s="749"/>
      <c r="H20" s="749"/>
    </row>
    <row r="21" spans="1:13" ht="13.5" thickBot="1">
      <c r="A21" s="728" t="s">
        <v>527</v>
      </c>
      <c r="B21" s="729"/>
      <c r="C21" s="730" t="s">
        <v>521</v>
      </c>
      <c r="D21" s="730"/>
      <c r="E21" s="757" t="s">
        <v>515</v>
      </c>
      <c r="F21" s="758" t="s">
        <v>7</v>
      </c>
      <c r="G21" s="734" t="s">
        <v>832</v>
      </c>
      <c r="H21" s="735" t="s">
        <v>831</v>
      </c>
    </row>
    <row r="22" spans="1:13">
      <c r="A22" s="759"/>
      <c r="B22" s="1688" t="s">
        <v>2578</v>
      </c>
      <c r="C22" s="1689"/>
      <c r="D22" s="1690"/>
      <c r="E22" s="1691" t="s">
        <v>1654</v>
      </c>
      <c r="F22" s="1035">
        <f>4.52*1.05</f>
        <v>4.7459999999999996</v>
      </c>
      <c r="G22" s="1034">
        <v>40500</v>
      </c>
      <c r="H22" s="1692">
        <f t="shared" ref="H22:H27" si="0">ROUND(F22*G22,0)</f>
        <v>192213</v>
      </c>
      <c r="I22" s="1240"/>
      <c r="J22" s="1240"/>
      <c r="K22" s="1241"/>
      <c r="M22" s="1242"/>
    </row>
    <row r="23" spans="1:13">
      <c r="A23" s="759"/>
      <c r="B23" s="1688" t="s">
        <v>2426</v>
      </c>
      <c r="C23" s="1689"/>
      <c r="D23" s="1690"/>
      <c r="E23" s="1691" t="s">
        <v>1654</v>
      </c>
      <c r="F23" s="1035">
        <f>11.1*1.05</f>
        <v>11.654999999999999</v>
      </c>
      <c r="G23" s="1034">
        <v>15900</v>
      </c>
      <c r="H23" s="1692">
        <f t="shared" si="0"/>
        <v>185315</v>
      </c>
      <c r="I23" s="1240"/>
      <c r="J23" s="1240"/>
      <c r="K23" s="1241"/>
    </row>
    <row r="24" spans="1:13">
      <c r="A24" s="759"/>
      <c r="B24" s="1688" t="s">
        <v>2579</v>
      </c>
      <c r="C24" s="1689"/>
      <c r="D24" s="1690"/>
      <c r="E24" s="1691" t="s">
        <v>205</v>
      </c>
      <c r="F24" s="1735">
        <f>0.85*1.05</f>
        <v>0.89249999999999996</v>
      </c>
      <c r="G24" s="1034">
        <v>61812</v>
      </c>
      <c r="H24" s="1692">
        <f t="shared" si="0"/>
        <v>55167</v>
      </c>
      <c r="J24" s="1240"/>
      <c r="K24" s="1259"/>
    </row>
    <row r="25" spans="1:13">
      <c r="A25" s="759"/>
      <c r="B25" s="1688" t="s">
        <v>2411</v>
      </c>
      <c r="C25" s="1689"/>
      <c r="D25" s="1690"/>
      <c r="E25" s="1691" t="s">
        <v>208</v>
      </c>
      <c r="F25" s="1035">
        <v>2</v>
      </c>
      <c r="G25" s="1034">
        <v>25500</v>
      </c>
      <c r="H25" s="1692">
        <f t="shared" si="0"/>
        <v>51000</v>
      </c>
    </row>
    <row r="26" spans="1:13">
      <c r="A26" s="759"/>
      <c r="B26" s="1689" t="s">
        <v>2410</v>
      </c>
      <c r="C26" s="1689"/>
      <c r="D26" s="1690"/>
      <c r="E26" s="1691" t="s">
        <v>282</v>
      </c>
      <c r="F26" s="1035">
        <v>1</v>
      </c>
      <c r="G26" s="1034">
        <v>9350</v>
      </c>
      <c r="H26" s="1692">
        <f t="shared" si="0"/>
        <v>9350</v>
      </c>
      <c r="K26" s="1257"/>
    </row>
    <row r="27" spans="1:13">
      <c r="A27" s="759"/>
      <c r="B27" s="1689" t="s">
        <v>2584</v>
      </c>
      <c r="C27" s="1689"/>
      <c r="D27" s="1690"/>
      <c r="E27" s="1691" t="s">
        <v>2585</v>
      </c>
      <c r="F27" s="1035">
        <v>0.2</v>
      </c>
      <c r="G27" s="1034">
        <v>70000</v>
      </c>
      <c r="H27" s="1692">
        <f t="shared" si="0"/>
        <v>14000</v>
      </c>
      <c r="K27" s="1256"/>
    </row>
    <row r="28" spans="1:13">
      <c r="A28" s="759"/>
      <c r="B28" s="1689"/>
      <c r="C28" s="1689"/>
      <c r="D28" s="1690"/>
      <c r="E28" s="1691"/>
      <c r="F28" s="1035"/>
      <c r="G28" s="1034"/>
      <c r="H28" s="1692"/>
    </row>
    <row r="29" spans="1:13">
      <c r="A29" s="759"/>
      <c r="B29" s="737"/>
      <c r="C29" s="737"/>
      <c r="D29" s="738"/>
      <c r="E29" s="739"/>
      <c r="F29" s="744"/>
      <c r="G29" s="745"/>
      <c r="H29" s="746"/>
      <c r="K29" s="1258"/>
    </row>
    <row r="30" spans="1:13">
      <c r="A30" s="759"/>
      <c r="B30" s="737"/>
      <c r="C30" s="737"/>
      <c r="D30" s="738"/>
      <c r="E30" s="739"/>
      <c r="F30" s="744"/>
      <c r="G30" s="745"/>
      <c r="H30" s="746"/>
      <c r="K30" s="1258"/>
    </row>
    <row r="31" spans="1:13">
      <c r="A31" s="759"/>
      <c r="B31" s="737"/>
      <c r="C31" s="737"/>
      <c r="D31" s="738"/>
      <c r="E31" s="739"/>
      <c r="F31" s="744"/>
      <c r="G31" s="745"/>
      <c r="H31" s="746"/>
    </row>
    <row r="32" spans="1:13" ht="13.5" thickBot="1">
      <c r="A32" s="761"/>
      <c r="B32" s="762"/>
      <c r="C32" s="749"/>
      <c r="D32" s="749"/>
      <c r="E32" s="750"/>
      <c r="F32" s="763"/>
      <c r="G32" s="764" t="str">
        <f>IF(A32="","",VLOOKUP(A32,MAT,5,FALSE))</f>
        <v/>
      </c>
      <c r="H32" s="746" t="str">
        <f>IF(A32="","",ROUND((G32*F32),0))</f>
        <v/>
      </c>
    </row>
    <row r="33" spans="1:8" ht="13.5" thickBot="1">
      <c r="A33" s="712"/>
      <c r="B33" s="712"/>
      <c r="C33" s="712"/>
      <c r="D33" s="712"/>
      <c r="E33" s="713"/>
      <c r="F33" s="712"/>
      <c r="G33" s="765" t="s">
        <v>529</v>
      </c>
      <c r="H33" s="766">
        <f>ROUND(SUM(H22:H32),0)</f>
        <v>507045</v>
      </c>
    </row>
    <row r="34" spans="1:8">
      <c r="A34" s="712"/>
      <c r="B34" s="712"/>
      <c r="C34" s="712"/>
      <c r="D34" s="712"/>
      <c r="E34" s="713"/>
      <c r="F34" s="712"/>
      <c r="G34" s="713"/>
      <c r="H34" s="767"/>
    </row>
    <row r="35" spans="1:8" ht="13.5" thickBot="1">
      <c r="A35" s="726" t="s">
        <v>531</v>
      </c>
      <c r="B35" s="712"/>
      <c r="C35" s="712"/>
      <c r="D35" s="712"/>
      <c r="E35" s="713"/>
      <c r="F35" s="712"/>
      <c r="G35" s="713"/>
      <c r="H35" s="768"/>
    </row>
    <row r="36" spans="1:8" ht="13.5" thickBot="1">
      <c r="A36" s="728" t="s">
        <v>527</v>
      </c>
      <c r="B36" s="2230" t="s">
        <v>532</v>
      </c>
      <c r="C36" s="2231"/>
      <c r="D36" s="769" t="s">
        <v>821</v>
      </c>
      <c r="E36" s="769" t="s">
        <v>820</v>
      </c>
      <c r="F36" s="769" t="s">
        <v>823</v>
      </c>
      <c r="G36" s="769" t="s">
        <v>1706</v>
      </c>
      <c r="H36" s="770" t="s">
        <v>831</v>
      </c>
    </row>
    <row r="37" spans="1:8">
      <c r="A37" s="771"/>
      <c r="B37" s="737"/>
      <c r="C37" s="772"/>
      <c r="D37" s="773"/>
      <c r="E37" s="774"/>
      <c r="F37" s="775"/>
      <c r="G37" s="776"/>
      <c r="H37" s="746"/>
    </row>
    <row r="38" spans="1:8">
      <c r="A38" s="771"/>
      <c r="B38" s="737" t="str">
        <f>IF(A38="","",VLOOKUP(A38,MAT,2,FALSE))</f>
        <v/>
      </c>
      <c r="C38" s="772"/>
      <c r="D38" s="773" t="str">
        <f>IF(A38="","",VLOOKUP(A38,MAT,3,FALSE))</f>
        <v/>
      </c>
      <c r="E38" s="774" t="str">
        <f>IF(A38="","",VLOOKUP(A38,MAT,6,FALSE))</f>
        <v/>
      </c>
      <c r="F38" s="777" t="str">
        <f>IF(A38="","",VLOOKUP(A38,$A$22:$H$32,6,FALSE))</f>
        <v/>
      </c>
      <c r="G38" s="776" t="str">
        <f>IF(A38="","",VLOOKUP(A38,MAT,7,FALSE))</f>
        <v/>
      </c>
      <c r="H38" s="746" t="str">
        <f>IF(A38="","",ROUND((G38*F38*E38),0))</f>
        <v/>
      </c>
    </row>
    <row r="39" spans="1:8">
      <c r="A39" s="771"/>
      <c r="B39" s="737" t="str">
        <f>IF(A39="","",VLOOKUP(A39,MAT,2,FALSE))</f>
        <v/>
      </c>
      <c r="C39" s="772"/>
      <c r="D39" s="773" t="str">
        <f>IF(A39="","",VLOOKUP(A39,MAT,3,FALSE))</f>
        <v/>
      </c>
      <c r="E39" s="774" t="str">
        <f>IF(A39="","",VLOOKUP(A39,MAT,6,FALSE))</f>
        <v/>
      </c>
      <c r="F39" s="777" t="str">
        <f>IF(A39="","",VLOOKUP(A39,$A$22:$H$32,6,FALSE))</f>
        <v/>
      </c>
      <c r="G39" s="776" t="str">
        <f>IF(A39="","",VLOOKUP(A39,MAT,7,FALSE))</f>
        <v/>
      </c>
      <c r="H39" s="746" t="str">
        <f>IF(A39="","",ROUND((G39*F39*E39),0))</f>
        <v/>
      </c>
    </row>
    <row r="40" spans="1:8">
      <c r="A40" s="778"/>
      <c r="B40" s="737" t="str">
        <f>IF(A40="","",VLOOKUP(A40,MAT,2,FALSE))</f>
        <v/>
      </c>
      <c r="D40" s="779" t="str">
        <f>IF(A40="","",VLOOKUP(A40,MAT,3,FALSE))</f>
        <v/>
      </c>
      <c r="E40" s="774" t="str">
        <f>IF(A40="","",VLOOKUP(A40,MAT,6,FALSE))</f>
        <v/>
      </c>
      <c r="F40" s="777" t="str">
        <f>IF(A40="","",VLOOKUP(A40,$A$22:$H$32,6,FALSE))</f>
        <v/>
      </c>
      <c r="G40" s="780" t="str">
        <f>IF(A40="","",VLOOKUP(A40,MAT,7,FALSE))</f>
        <v/>
      </c>
      <c r="H40" s="746" t="str">
        <f>IF(A40="","",ROUND((G40*F40*E40),0))</f>
        <v/>
      </c>
    </row>
    <row r="41" spans="1:8" ht="13.5" thickBot="1">
      <c r="A41" s="781"/>
      <c r="B41" s="710" t="str">
        <f>IF(A41="","",VLOOKUP(A41,MAT,2,FALSE))</f>
        <v/>
      </c>
      <c r="C41" s="710"/>
      <c r="D41" s="782" t="str">
        <f>IF(A41="","",VLOOKUP(A41,MAT,3,FALSE))</f>
        <v/>
      </c>
      <c r="E41" s="783" t="str">
        <f>IF(A41="","",VLOOKUP(A41,MAT,6,FALSE))</f>
        <v/>
      </c>
      <c r="F41" s="784" t="str">
        <f>IF(A41="","",VLOOKUP(A41,$A$22:$H$32,6,FALSE))</f>
        <v/>
      </c>
      <c r="G41" s="785" t="str">
        <f>IF(A41="","",VLOOKUP(A41,MAT,7,FALSE))</f>
        <v/>
      </c>
      <c r="H41" s="786" t="str">
        <f>IF(A41="","",ROUND((G41*F41*E41),0))</f>
        <v/>
      </c>
    </row>
    <row r="42" spans="1:8" ht="13.5" thickBot="1">
      <c r="E42" s="787"/>
      <c r="F42" s="788"/>
      <c r="G42" s="789" t="s">
        <v>529</v>
      </c>
      <c r="H42" s="790">
        <f>ROUND(SUM(H37:H41),0)</f>
        <v>0</v>
      </c>
    </row>
    <row r="43" spans="1:8">
      <c r="E43" s="787"/>
      <c r="F43" s="788"/>
      <c r="G43" s="713"/>
      <c r="H43" s="791"/>
    </row>
    <row r="44" spans="1:8" ht="13.5" thickBot="1">
      <c r="A44" s="726" t="s">
        <v>534</v>
      </c>
      <c r="B44" s="726"/>
      <c r="C44" s="726"/>
      <c r="D44" s="712"/>
      <c r="E44" s="713"/>
      <c r="F44" s="712"/>
      <c r="G44" s="712"/>
      <c r="H44" s="749"/>
    </row>
    <row r="45" spans="1:8" ht="13.5" thickBot="1">
      <c r="A45" s="728" t="s">
        <v>527</v>
      </c>
      <c r="B45" s="2232" t="s">
        <v>514</v>
      </c>
      <c r="C45" s="2233"/>
      <c r="D45" s="2234"/>
      <c r="E45" s="792" t="s">
        <v>515</v>
      </c>
      <c r="F45" s="792" t="s">
        <v>535</v>
      </c>
      <c r="G45" s="793" t="s">
        <v>944</v>
      </c>
      <c r="H45" s="770" t="s">
        <v>831</v>
      </c>
    </row>
    <row r="46" spans="1:8">
      <c r="A46" s="1693" t="s">
        <v>907</v>
      </c>
      <c r="B46" s="2269" t="str">
        <f>IF(A46="","",VLOOKUP(A46,MO,2,FALSE))</f>
        <v>Cuadrilla HH: Metálicas. (1 Sold. + 1 Of. + 1 Ayud.).</v>
      </c>
      <c r="C46" s="2270"/>
      <c r="D46" s="2271"/>
      <c r="E46" s="1694" t="str">
        <f>IF(A46="","",VLOOKUP(A46,MO,13,FALSE))</f>
        <v>HC</v>
      </c>
      <c r="F46" s="796">
        <v>0.25</v>
      </c>
      <c r="G46" s="1695">
        <f>+CUADRILLAS!O26</f>
        <v>54464</v>
      </c>
      <c r="H46" s="1696">
        <f>IF(A46="","",ROUND((G46/F46),0))</f>
        <v>217856</v>
      </c>
    </row>
    <row r="47" spans="1:8">
      <c r="A47" s="794"/>
      <c r="B47" s="2221" t="str">
        <f>IF(A47="","",VLOOKUP(A47,MO,2,FALSE))</f>
        <v/>
      </c>
      <c r="C47" s="2222"/>
      <c r="D47" s="2223"/>
      <c r="E47" s="795" t="str">
        <f>IF(A47="","",VLOOKUP(A47,MO,13,FALSE))</f>
        <v/>
      </c>
      <c r="F47" s="796"/>
      <c r="G47" s="797" t="str">
        <f>IF(A47="","",VLOOKUP(A47,MO,15,FALSE))</f>
        <v/>
      </c>
      <c r="H47" s="798" t="str">
        <f>IF(A47="","",ROUND((G47/F47),0))</f>
        <v/>
      </c>
    </row>
    <row r="48" spans="1:8">
      <c r="A48" s="794"/>
      <c r="B48" s="2221" t="str">
        <f>IF(A48="","",VLOOKUP(A48,MO,2,FALSE))</f>
        <v/>
      </c>
      <c r="C48" s="2222"/>
      <c r="D48" s="2223"/>
      <c r="E48" s="795" t="str">
        <f>IF(A48="","",VLOOKUP(A48,MO,13,FALSE))</f>
        <v/>
      </c>
      <c r="F48" s="796"/>
      <c r="G48" s="799" t="str">
        <f>IF(A48="","",VLOOKUP(A48,MO,15,FALSE))</f>
        <v/>
      </c>
      <c r="H48" s="798" t="str">
        <f>IF(A48="","",ROUND((G48/F48),0))</f>
        <v/>
      </c>
    </row>
    <row r="49" spans="1:8" ht="13.5" thickBot="1">
      <c r="A49" s="800"/>
      <c r="B49" s="2224" t="str">
        <f>IF(A49="","",VLOOKUP(A49,MO,2,FALSE))</f>
        <v/>
      </c>
      <c r="C49" s="2225"/>
      <c r="D49" s="2226"/>
      <c r="E49" s="801" t="str">
        <f>IF(A49="","",VLOOKUP(A49,MO,13,FALSE))</f>
        <v/>
      </c>
      <c r="F49" s="802"/>
      <c r="G49" s="803" t="str">
        <f>IF(A49="","",VLOOKUP(A49,MO,15,FALSE))</f>
        <v/>
      </c>
      <c r="H49" s="804" t="str">
        <f>IF(A49="","",ROUND((G49/F49),0))</f>
        <v/>
      </c>
    </row>
    <row r="50" spans="1:8" ht="13.5" thickBot="1">
      <c r="A50" s="712"/>
      <c r="B50" s="712"/>
      <c r="C50" s="712"/>
      <c r="D50" s="712"/>
      <c r="E50" s="713"/>
      <c r="F50" s="712"/>
      <c r="G50" s="753" t="s">
        <v>529</v>
      </c>
      <c r="H50" s="805">
        <f>ROUND(SUM(H46:H49),0)</f>
        <v>217856</v>
      </c>
    </row>
    <row r="51" spans="1:8" ht="13.5" thickBot="1">
      <c r="A51" s="712"/>
      <c r="B51" s="712"/>
      <c r="C51" s="712"/>
      <c r="D51" s="712"/>
      <c r="E51" s="713"/>
      <c r="F51" s="712"/>
      <c r="G51" s="712"/>
      <c r="H51" s="712"/>
    </row>
    <row r="52" spans="1:8" ht="13.5" thickBot="1">
      <c r="A52" s="712"/>
      <c r="B52" s="712"/>
      <c r="C52" s="712"/>
      <c r="D52" s="712"/>
      <c r="E52" s="806" t="s">
        <v>536</v>
      </c>
      <c r="F52" s="807"/>
      <c r="G52" s="807"/>
      <c r="H52" s="808">
        <f>+ROUND(H18+H33+H42+H50,0)</f>
        <v>801437</v>
      </c>
    </row>
    <row r="53" spans="1:8">
      <c r="A53" s="712"/>
      <c r="B53" s="712"/>
      <c r="C53" s="712"/>
      <c r="D53" s="712"/>
      <c r="E53" s="346" t="s">
        <v>2697</v>
      </c>
      <c r="F53" s="347"/>
      <c r="G53" s="347">
        <v>0.3</v>
      </c>
      <c r="H53" s="349">
        <f>H52*G53</f>
        <v>240431.09999999998</v>
      </c>
    </row>
    <row r="54" spans="1:8">
      <c r="A54" s="712"/>
      <c r="B54" s="712"/>
      <c r="C54" s="712"/>
      <c r="D54" s="712"/>
      <c r="E54" s="346"/>
      <c r="F54" s="347"/>
      <c r="G54" s="347"/>
      <c r="H54" s="349">
        <f>SUM(H52:H53)</f>
        <v>1041868.1</v>
      </c>
    </row>
    <row r="55" spans="1:8">
      <c r="A55" s="712"/>
      <c r="B55" s="712"/>
      <c r="C55" s="712"/>
      <c r="D55" s="712"/>
      <c r="E55" s="806"/>
      <c r="F55" s="807"/>
      <c r="G55" s="807"/>
      <c r="H55" s="809"/>
    </row>
    <row r="56" spans="1:8">
      <c r="A56" s="712"/>
      <c r="B56" s="712"/>
      <c r="C56" s="712"/>
      <c r="D56" s="712"/>
      <c r="E56" s="806"/>
      <c r="F56" s="807"/>
      <c r="G56" s="807"/>
      <c r="H56" s="809"/>
    </row>
    <row r="57" spans="1:8">
      <c r="A57" s="712"/>
      <c r="B57" s="712"/>
      <c r="C57" s="712"/>
      <c r="D57" s="712"/>
      <c r="E57" s="806"/>
      <c r="F57" s="807"/>
      <c r="G57" s="807"/>
      <c r="H57" s="809"/>
    </row>
    <row r="59" spans="1:8" ht="15">
      <c r="A59" s="1243" t="str">
        <f>+[27]PRESUPUESTO!$A$113</f>
        <v>__________________________________________</v>
      </c>
      <c r="B59" s="1243"/>
      <c r="C59" s="1243"/>
    </row>
    <row r="60" spans="1:8" ht="15.75">
      <c r="A60" s="1245" t="str">
        <f>+[27]PRESUPUESTO!$A$114</f>
        <v>Ing. JHON FREDY GARCIA MENDEZ</v>
      </c>
      <c r="B60" s="1243"/>
      <c r="C60" s="1243"/>
    </row>
    <row r="61" spans="1:8" ht="15.75">
      <c r="A61" s="1246" t="str">
        <f>+[27]PRESUPUESTO!$A$115</f>
        <v>M.P.  70268-326294 TLM.</v>
      </c>
      <c r="B61" s="1243"/>
      <c r="C61" s="1243"/>
    </row>
    <row r="62" spans="1:8" ht="15.75">
      <c r="A62" s="1246" t="str">
        <f>+[27]PRESUPUESTO!$A$116</f>
        <v>CONSULTOR</v>
      </c>
      <c r="B62" s="1243"/>
      <c r="C62" s="1243"/>
    </row>
  </sheetData>
  <mergeCells count="15">
    <mergeCell ref="B47:D47"/>
    <mergeCell ref="B48:D48"/>
    <mergeCell ref="B49:D49"/>
    <mergeCell ref="B6:D6"/>
    <mergeCell ref="B7:E7"/>
    <mergeCell ref="B8:E8"/>
    <mergeCell ref="B36:C36"/>
    <mergeCell ref="B45:D45"/>
    <mergeCell ref="B46:D46"/>
    <mergeCell ref="D2:E4"/>
    <mergeCell ref="F2:H2"/>
    <mergeCell ref="F3:H3"/>
    <mergeCell ref="F4:H4"/>
    <mergeCell ref="A5:E5"/>
    <mergeCell ref="F5:H5"/>
  </mergeCells>
  <pageMargins left="0.75" right="0.75" top="1" bottom="1" header="0" footer="0"/>
  <pageSetup scale="70" orientation="portrait" r:id="rId1"/>
  <headerFooter alignWithMargins="0"/>
  <drawing r:id="rId2"/>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tabColor theme="6" tint="0.79998168889431442"/>
  </sheetPr>
  <dimension ref="A1:L62"/>
  <sheetViews>
    <sheetView view="pageBreakPreview" topLeftCell="A30" zoomScale="90" zoomScaleNormal="100" zoomScaleSheetLayoutView="90" workbookViewId="0">
      <selection activeCell="E53" sqref="E53:H54"/>
    </sheetView>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4.5703125" style="247" customWidth="1"/>
    <col min="9" max="9" width="11.42578125" style="247"/>
    <col min="10" max="10" width="12.85546875" style="247" bestFit="1" customWidth="1"/>
    <col min="11" max="11" width="11.42578125" style="247"/>
    <col min="12" max="12" width="11.7109375" style="247" bestFit="1" customWidth="1"/>
    <col min="13"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f>PRESUPUESTO!A71</f>
        <v>1.9</v>
      </c>
      <c r="B7" s="2185" t="str">
        <f>PRESUPUESTO!B71</f>
        <v>PASOS ELEVADOS</v>
      </c>
      <c r="C7" s="2185"/>
      <c r="D7" s="2185"/>
      <c r="E7" s="2185"/>
      <c r="F7" s="289"/>
      <c r="G7" s="290" t="s">
        <v>525</v>
      </c>
      <c r="H7" s="97" t="str">
        <f>+PRESUPUESTO!C73</f>
        <v>m</v>
      </c>
    </row>
    <row r="8" spans="1:9" ht="78" customHeight="1">
      <c r="A8" s="97" t="str">
        <f>+PRESUPUESTO!A73</f>
        <v>1.9.2</v>
      </c>
      <c r="B8" s="2258" t="str">
        <f>+PRESUPUESTO!B73</f>
        <v>Encofrado a todo costo en concreto reforzado en hierro de 1/2" para varilla principal y flejes de 3/8" separados cada 0.17 m. de 3000 PSI impermeabilizado, sección de 0.45 x 0.45 m. , para proteger tuberías en pasos de zanjones y demás, para diámetro de tubería PVC Ø 6", Ø 8" y Ø 10" según los planos.  Incluye: materiales, mano de obra, formaleta, vaciado y todo lo relacionado para la correcta ejecución de la obra.</v>
      </c>
      <c r="C8" s="2257"/>
      <c r="D8" s="2257"/>
      <c r="E8" s="225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967</v>
      </c>
      <c r="B13" s="305" t="str">
        <f t="shared" ref="B13:B18" si="0">IF(A13="","",VLOOKUP(A13,EQUI,2,FALSE))</f>
        <v>Herramienta Menor (10% de la mano de obra).</v>
      </c>
      <c r="C13" s="306"/>
      <c r="D13" s="306"/>
      <c r="E13" s="276" t="str">
        <f t="shared" ref="E13:E18" si="1">IF(A13="","",VLOOKUP(A13,EQUI,3,FALSE))</f>
        <v>%</v>
      </c>
      <c r="F13" s="433">
        <f>IF(A13="","",VLOOKUP(A13,EQUI,4,FALSE))</f>
        <v>0.1</v>
      </c>
      <c r="G13" s="307">
        <f>ROUND(F13*H50,0)</f>
        <v>5646</v>
      </c>
      <c r="H13" s="308">
        <f>+G13</f>
        <v>5646</v>
      </c>
      <c r="I13" s="309"/>
    </row>
    <row r="14" spans="1:9">
      <c r="A14" s="536"/>
      <c r="B14" s="305"/>
      <c r="C14" s="306"/>
      <c r="D14" s="306"/>
      <c r="E14" s="276" t="str">
        <f t="shared" si="1"/>
        <v/>
      </c>
      <c r="F14" s="405"/>
      <c r="G14" s="310" t="str">
        <f>IF(A14="","",VLOOKUP(A14,EQUI,4,FALSE))</f>
        <v/>
      </c>
      <c r="H14" s="311" t="str">
        <f>IF(A14="","",ROUND((G14/F14),0))</f>
        <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10">
      <c r="A17" s="536"/>
      <c r="B17" s="305" t="str">
        <f t="shared" si="0"/>
        <v/>
      </c>
      <c r="C17" s="306"/>
      <c r="D17" s="306"/>
      <c r="E17" s="276" t="str">
        <f t="shared" si="1"/>
        <v/>
      </c>
      <c r="F17" s="405"/>
      <c r="G17" s="310" t="str">
        <f>IF(A17="","",VLOOKUP(A17,EQUI,4,FALSE))</f>
        <v/>
      </c>
      <c r="H17" s="311" t="str">
        <f>IF(A17="","",ROUND((G17/F17),0))</f>
        <v/>
      </c>
    </row>
    <row r="18" spans="1:10" ht="13.5" thickBot="1">
      <c r="A18" s="537"/>
      <c r="B18" s="313" t="str">
        <f t="shared" si="0"/>
        <v/>
      </c>
      <c r="C18" s="313"/>
      <c r="D18" s="314"/>
      <c r="E18" s="315" t="str">
        <f t="shared" si="1"/>
        <v/>
      </c>
      <c r="F18" s="408"/>
      <c r="G18" s="316" t="str">
        <f>IF(A18="","",VLOOKUP(A18,EQUI,4,FALSE))</f>
        <v/>
      </c>
      <c r="H18" s="311" t="str">
        <f>IF(A18="","",ROUND((G18/F18),0))</f>
        <v/>
      </c>
    </row>
    <row r="19" spans="1:10" ht="13.5" thickBot="1">
      <c r="A19" s="285"/>
      <c r="B19" s="285"/>
      <c r="C19" s="285"/>
      <c r="D19" s="285"/>
      <c r="E19" s="286"/>
      <c r="F19" s="285"/>
      <c r="G19" s="317" t="s">
        <v>529</v>
      </c>
      <c r="H19" s="318">
        <f>ROUND(SUM(H13:H18),0)</f>
        <v>5646</v>
      </c>
    </row>
    <row r="20" spans="1:10">
      <c r="A20" s="285"/>
      <c r="B20" s="285"/>
      <c r="C20" s="285"/>
      <c r="D20" s="285"/>
      <c r="E20" s="286"/>
      <c r="F20" s="285"/>
      <c r="G20" s="286"/>
      <c r="H20" s="319"/>
    </row>
    <row r="21" spans="1:10" ht="13.5" thickBot="1">
      <c r="A21" s="295" t="s">
        <v>530</v>
      </c>
      <c r="B21" s="295"/>
      <c r="C21" s="295"/>
      <c r="D21" s="295"/>
      <c r="E21" s="320"/>
      <c r="F21" s="314"/>
      <c r="G21" s="314"/>
      <c r="H21" s="314"/>
    </row>
    <row r="22" spans="1:10" ht="13.5" thickBot="1">
      <c r="A22" s="297" t="s">
        <v>527</v>
      </c>
      <c r="B22" s="298"/>
      <c r="C22" s="299" t="s">
        <v>521</v>
      </c>
      <c r="D22" s="299"/>
      <c r="E22" s="321" t="s">
        <v>515</v>
      </c>
      <c r="F22" s="322" t="s">
        <v>7</v>
      </c>
      <c r="G22" s="303" t="s">
        <v>832</v>
      </c>
      <c r="H22" s="278" t="s">
        <v>831</v>
      </c>
    </row>
    <row r="23" spans="1:10">
      <c r="A23" s="533" t="s">
        <v>2448</v>
      </c>
      <c r="B23" s="353" t="str">
        <f>IF(A23="","",VLOOKUP(A23,MAT,2,FALSE))</f>
        <v xml:space="preserve">Concreto de 210 Kg/cm2 (3000 PSI) Impermeabilizado </v>
      </c>
      <c r="C23" s="305"/>
      <c r="D23" s="306"/>
      <c r="E23" s="276" t="str">
        <f>IF(A23="","",VLOOKUP(A23,MAT,3,FALSE))</f>
        <v>m3</v>
      </c>
      <c r="F23" s="405">
        <v>0.18</v>
      </c>
      <c r="G23" s="310">
        <f>IF(A23="","",VLOOKUP(A23,MAT,5,FALSE))</f>
        <v>762896</v>
      </c>
      <c r="H23" s="311">
        <f>IF(A23="","",ROUND((G23*F23),0))</f>
        <v>137321</v>
      </c>
    </row>
    <row r="24" spans="1:10">
      <c r="A24" s="534" t="s">
        <v>565</v>
      </c>
      <c r="B24" s="353" t="str">
        <f>IF(A24="","",VLOOKUP(A24,MAT,2,FALSE))</f>
        <v>Acero de refuerzo de 60.000psi</v>
      </c>
      <c r="C24" s="305"/>
      <c r="D24" s="306"/>
      <c r="E24" s="276" t="str">
        <f>IF(A24="","",VLOOKUP(A24,MAT,3,FALSE))</f>
        <v>Kg.</v>
      </c>
      <c r="F24" s="405">
        <v>12.5</v>
      </c>
      <c r="G24" s="310">
        <f>IF(A24="","",VLOOKUP(A24,MAT,5,FALSE))</f>
        <v>5200</v>
      </c>
      <c r="H24" s="311">
        <f>IF(A24="","",ROUND((G24*F24),0))</f>
        <v>65000</v>
      </c>
      <c r="J24" s="1260"/>
    </row>
    <row r="25" spans="1:10">
      <c r="A25" s="534" t="s">
        <v>2492</v>
      </c>
      <c r="B25" s="353" t="str">
        <f>IF(A25="","",VLOOKUP(A25,MAT,2,FALSE))</f>
        <v>Madera para formaleta</v>
      </c>
      <c r="C25" s="305"/>
      <c r="D25" s="306"/>
      <c r="E25" s="815" t="s">
        <v>205</v>
      </c>
      <c r="F25" s="405">
        <f>(1*1.05)/4</f>
        <v>0.26250000000000001</v>
      </c>
      <c r="G25" s="310">
        <f>IF(A25="","",VLOOKUP(A25,MAT,5,FALSE))</f>
        <v>29750</v>
      </c>
      <c r="H25" s="311">
        <f>IF(A25="","",ROUND((G25*F25),0))</f>
        <v>7809</v>
      </c>
    </row>
    <row r="26" spans="1:10">
      <c r="A26" s="534"/>
      <c r="B26" s="305" t="str">
        <f t="shared" ref="B26:B32" si="2">IF(A26="","",VLOOKUP(A26,MAT,2,FALSE))</f>
        <v/>
      </c>
      <c r="C26" s="305"/>
      <c r="D26" s="306"/>
      <c r="E26" s="276" t="str">
        <f t="shared" ref="E26:E32" si="3">IF(A26="","",VLOOKUP(A26,MAT,3,FALSE))</f>
        <v/>
      </c>
      <c r="F26" s="405"/>
      <c r="G26" s="310" t="str">
        <f t="shared" ref="G26:G32" si="4">IF(A26="","",VLOOKUP(A26,MAT,5,FALSE))</f>
        <v/>
      </c>
      <c r="H26" s="311" t="str">
        <f t="shared" ref="H26:H32" si="5">IF(A26="","",ROUND((G26*F26),0))</f>
        <v/>
      </c>
      <c r="J26" s="1261"/>
    </row>
    <row r="27" spans="1:10">
      <c r="A27" s="534"/>
      <c r="B27" s="305" t="str">
        <f t="shared" si="2"/>
        <v/>
      </c>
      <c r="C27" s="305"/>
      <c r="D27" s="306"/>
      <c r="E27" s="276" t="str">
        <f t="shared" si="3"/>
        <v/>
      </c>
      <c r="F27" s="405"/>
      <c r="G27" s="310" t="str">
        <f t="shared" si="4"/>
        <v/>
      </c>
      <c r="H27" s="311" t="str">
        <f t="shared" si="5"/>
        <v/>
      </c>
    </row>
    <row r="28" spans="1:10">
      <c r="A28" s="534"/>
      <c r="B28" s="305" t="str">
        <f t="shared" si="2"/>
        <v/>
      </c>
      <c r="C28" s="305"/>
      <c r="D28" s="306"/>
      <c r="E28" s="276" t="str">
        <f t="shared" si="3"/>
        <v/>
      </c>
      <c r="F28" s="405"/>
      <c r="G28" s="310" t="str">
        <f t="shared" si="4"/>
        <v/>
      </c>
      <c r="H28" s="311" t="str">
        <f t="shared" si="5"/>
        <v/>
      </c>
    </row>
    <row r="29" spans="1:10">
      <c r="A29" s="534"/>
      <c r="B29" s="305" t="str">
        <f t="shared" si="2"/>
        <v/>
      </c>
      <c r="C29" s="305"/>
      <c r="D29" s="306"/>
      <c r="E29" s="276" t="str">
        <f t="shared" si="3"/>
        <v/>
      </c>
      <c r="F29" s="405"/>
      <c r="G29" s="310" t="str">
        <f t="shared" si="4"/>
        <v/>
      </c>
      <c r="H29" s="311" t="str">
        <f t="shared" si="5"/>
        <v/>
      </c>
    </row>
    <row r="30" spans="1:10">
      <c r="A30" s="534"/>
      <c r="B30" s="305" t="str">
        <f t="shared" si="2"/>
        <v/>
      </c>
      <c r="C30" s="305"/>
      <c r="D30" s="306"/>
      <c r="E30" s="276" t="str">
        <f t="shared" si="3"/>
        <v/>
      </c>
      <c r="F30" s="405"/>
      <c r="G30" s="310" t="str">
        <f t="shared" si="4"/>
        <v/>
      </c>
      <c r="H30" s="311" t="str">
        <f t="shared" si="5"/>
        <v/>
      </c>
    </row>
    <row r="31" spans="1:10">
      <c r="A31" s="534"/>
      <c r="B31" s="305" t="str">
        <f t="shared" si="2"/>
        <v/>
      </c>
      <c r="C31" s="305"/>
      <c r="D31" s="306"/>
      <c r="E31" s="276" t="str">
        <f t="shared" si="3"/>
        <v/>
      </c>
      <c r="F31" s="405"/>
      <c r="G31" s="310" t="str">
        <f t="shared" si="4"/>
        <v/>
      </c>
      <c r="H31" s="311" t="str">
        <f t="shared" si="5"/>
        <v/>
      </c>
    </row>
    <row r="32" spans="1:10" ht="13.5" thickBot="1">
      <c r="A32" s="535"/>
      <c r="B32" s="326" t="str">
        <f t="shared" si="2"/>
        <v/>
      </c>
      <c r="C32" s="314"/>
      <c r="D32" s="314"/>
      <c r="E32" s="315" t="str">
        <f t="shared" si="3"/>
        <v/>
      </c>
      <c r="F32" s="406"/>
      <c r="G32" s="327" t="str">
        <f t="shared" si="4"/>
        <v/>
      </c>
      <c r="H32" s="311" t="str">
        <f t="shared" si="5"/>
        <v/>
      </c>
    </row>
    <row r="33" spans="1:12" ht="13.5" thickBot="1">
      <c r="A33" s="285"/>
      <c r="B33" s="285"/>
      <c r="C33" s="285"/>
      <c r="D33" s="285"/>
      <c r="E33" s="286"/>
      <c r="F33" s="285"/>
      <c r="G33" s="210" t="s">
        <v>529</v>
      </c>
      <c r="H33" s="328">
        <f>ROUND(SUM(H23:H32),0)</f>
        <v>210130</v>
      </c>
    </row>
    <row r="34" spans="1:12">
      <c r="A34" s="285"/>
      <c r="B34" s="285"/>
      <c r="C34" s="285"/>
      <c r="D34" s="285"/>
      <c r="E34" s="286"/>
      <c r="F34" s="285"/>
      <c r="G34" s="286"/>
      <c r="H34" s="329"/>
    </row>
    <row r="35" spans="1:12" ht="13.5" thickBot="1">
      <c r="A35" s="295" t="s">
        <v>531</v>
      </c>
      <c r="B35" s="285"/>
      <c r="C35" s="285"/>
      <c r="D35" s="285"/>
      <c r="E35" s="286"/>
      <c r="F35" s="285"/>
      <c r="G35" s="286"/>
      <c r="H35" s="330"/>
    </row>
    <row r="36" spans="1:12" ht="13.5" thickBot="1">
      <c r="A36" s="297" t="s">
        <v>527</v>
      </c>
      <c r="B36" s="2187" t="s">
        <v>532</v>
      </c>
      <c r="C36" s="2188"/>
      <c r="D36" s="331" t="s">
        <v>821</v>
      </c>
      <c r="E36" s="331" t="s">
        <v>820</v>
      </c>
      <c r="F36" s="331" t="s">
        <v>823</v>
      </c>
      <c r="G36" s="331" t="s">
        <v>822</v>
      </c>
      <c r="H36" s="416" t="s">
        <v>831</v>
      </c>
    </row>
    <row r="37" spans="1:12">
      <c r="A37" s="771"/>
      <c r="B37" s="737"/>
      <c r="C37" s="772"/>
      <c r="D37" s="773"/>
      <c r="E37" s="774"/>
      <c r="F37" s="775"/>
      <c r="G37" s="776"/>
      <c r="H37" s="746"/>
    </row>
    <row r="38" spans="1:12">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12">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row>
    <row r="40" spans="1:12">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12"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12" ht="13.5" thickBot="1">
      <c r="E42" s="340"/>
      <c r="F42" s="341"/>
      <c r="G42" s="414" t="s">
        <v>529</v>
      </c>
      <c r="H42" s="415">
        <f>ROUND(SUM(H37:H41),0)</f>
        <v>0</v>
      </c>
    </row>
    <row r="43" spans="1:12">
      <c r="E43" s="340"/>
      <c r="F43" s="341"/>
      <c r="G43" s="286"/>
      <c r="H43" s="343"/>
    </row>
    <row r="44" spans="1:12" ht="13.5" thickBot="1">
      <c r="A44" s="295" t="s">
        <v>534</v>
      </c>
      <c r="B44" s="295"/>
      <c r="C44" s="295"/>
      <c r="D44" s="285"/>
      <c r="E44" s="286"/>
      <c r="F44" s="285"/>
      <c r="G44" s="285"/>
      <c r="H44" s="314"/>
    </row>
    <row r="45" spans="1:12" ht="13.5" thickBot="1">
      <c r="A45" s="297" t="s">
        <v>527</v>
      </c>
      <c r="B45" s="2189" t="s">
        <v>514</v>
      </c>
      <c r="C45" s="2190"/>
      <c r="D45" s="2191"/>
      <c r="E45" s="277" t="s">
        <v>515</v>
      </c>
      <c r="F45" s="277" t="s">
        <v>535</v>
      </c>
      <c r="G45" s="531" t="s">
        <v>944</v>
      </c>
      <c r="H45" s="416" t="s">
        <v>831</v>
      </c>
      <c r="J45" s="1218"/>
      <c r="K45" s="1218"/>
    </row>
    <row r="46" spans="1:12">
      <c r="A46" s="563" t="s">
        <v>883</v>
      </c>
      <c r="B46" s="2192" t="str">
        <f>IF(A46="","",VLOOKUP(A46,MO,2,FALSE))</f>
        <v>Cuadrilla AA: Albañilería. (1 Of. + 1 Ayud.).</v>
      </c>
      <c r="C46" s="2193"/>
      <c r="D46" s="2194"/>
      <c r="E46" s="538" t="str">
        <f>IF(A46="","",VLOOKUP(A46,MO,13,FALSE))</f>
        <v>HC</v>
      </c>
      <c r="F46" s="1687">
        <v>1</v>
      </c>
      <c r="G46" s="540">
        <f>IF(A46="","",VLOOKUP(A46,MO,15,FALSE))</f>
        <v>38949</v>
      </c>
      <c r="H46" s="542">
        <f>IF(A46="","",ROUND((G46/F46),0))</f>
        <v>38949</v>
      </c>
      <c r="J46" s="1218"/>
      <c r="K46" s="1218"/>
    </row>
    <row r="47" spans="1:12">
      <c r="A47" s="563" t="s">
        <v>882</v>
      </c>
      <c r="B47" s="2179" t="str">
        <f>IF(A47="","",VLOOKUP(A47,MO,2,FALSE))</f>
        <v>Ayudante</v>
      </c>
      <c r="C47" s="2180"/>
      <c r="D47" s="2181"/>
      <c r="E47" s="538" t="str">
        <f>IF(A47="","",VLOOKUP(A47,MO,13,FALSE))</f>
        <v>HC</v>
      </c>
      <c r="F47" s="544">
        <f>+F46</f>
        <v>1</v>
      </c>
      <c r="G47" s="540">
        <f>IF(A47="","",VLOOKUP(A47,MO,15,FALSE))</f>
        <v>17510</v>
      </c>
      <c r="H47" s="542">
        <f>IF(A47="","",ROUND((G47/F47),0))</f>
        <v>17510</v>
      </c>
      <c r="J47" s="1218"/>
      <c r="K47" s="1218"/>
    </row>
    <row r="48" spans="1:12">
      <c r="A48" s="563"/>
      <c r="B48" s="2179" t="str">
        <f>IF(A48="","",VLOOKUP(A48,MO,2,FALSE))</f>
        <v/>
      </c>
      <c r="C48" s="2180"/>
      <c r="D48" s="2181"/>
      <c r="E48" s="538" t="str">
        <f>IF(A48="","",VLOOKUP(A48,MO,13,FALSE))</f>
        <v/>
      </c>
      <c r="F48" s="544"/>
      <c r="G48" s="541" t="str">
        <f>IF(A48="","",VLOOKUP(A48,MO,15,FALSE))</f>
        <v/>
      </c>
      <c r="H48" s="542" t="str">
        <f>IF(A48="","",ROUND((G48/F48),0))</f>
        <v/>
      </c>
      <c r="J48" s="1218"/>
      <c r="K48" s="1218"/>
      <c r="L48" s="1262"/>
    </row>
    <row r="49" spans="1:11" ht="13.5" thickBot="1">
      <c r="A49" s="564"/>
      <c r="B49" s="2182" t="str">
        <f>IF(A49="","",VLOOKUP(A49,MO,2,FALSE))</f>
        <v/>
      </c>
      <c r="C49" s="2183"/>
      <c r="D49" s="2184"/>
      <c r="E49" s="539" t="str">
        <f>IF(A49="","",VLOOKUP(A49,MO,13,FALSE))</f>
        <v/>
      </c>
      <c r="F49" s="545"/>
      <c r="G49" s="377" t="str">
        <f>IF(A49="","",VLOOKUP(A49,MO,15,FALSE))</f>
        <v/>
      </c>
      <c r="H49" s="543" t="str">
        <f>IF(A49="","",ROUND((G49/F49),0))</f>
        <v/>
      </c>
      <c r="J49" s="1263"/>
      <c r="K49" s="1218"/>
    </row>
    <row r="50" spans="1:11" ht="13.5" thickBot="1">
      <c r="A50" s="285"/>
      <c r="B50" s="285"/>
      <c r="C50" s="285"/>
      <c r="D50" s="285"/>
      <c r="E50" s="286"/>
      <c r="F50" s="285"/>
      <c r="G50" s="317" t="s">
        <v>529</v>
      </c>
      <c r="H50" s="342">
        <f>ROUND(SUM(H46:H49),0)</f>
        <v>56459</v>
      </c>
      <c r="J50" s="1218"/>
    </row>
    <row r="51" spans="1:11" ht="13.5" thickBot="1">
      <c r="A51" s="285"/>
      <c r="B51" s="285"/>
      <c r="C51" s="285"/>
      <c r="D51" s="285"/>
      <c r="E51" s="286"/>
      <c r="F51" s="285"/>
      <c r="G51" s="285"/>
      <c r="H51" s="285"/>
    </row>
    <row r="52" spans="1:11" ht="13.5" thickBot="1">
      <c r="A52" s="285"/>
      <c r="B52" s="285"/>
      <c r="C52" s="285"/>
      <c r="D52" s="285"/>
      <c r="E52" s="346" t="s">
        <v>536</v>
      </c>
      <c r="F52" s="347"/>
      <c r="G52" s="347"/>
      <c r="H52" s="348">
        <f>+ROUND(H19+H33+H42+H50,0)</f>
        <v>272235</v>
      </c>
    </row>
    <row r="53" spans="1:11">
      <c r="A53" s="285"/>
      <c r="B53" s="285"/>
      <c r="C53" s="285"/>
      <c r="D53" s="285"/>
      <c r="E53" s="346" t="s">
        <v>2697</v>
      </c>
      <c r="F53" s="347"/>
      <c r="G53" s="347">
        <v>0.3</v>
      </c>
      <c r="H53" s="349">
        <f>H52*G53</f>
        <v>81670.5</v>
      </c>
    </row>
    <row r="54" spans="1:11">
      <c r="A54" s="285"/>
      <c r="B54" s="285"/>
      <c r="C54" s="285"/>
      <c r="D54" s="285"/>
      <c r="E54" s="346"/>
      <c r="F54" s="347"/>
      <c r="G54" s="347"/>
      <c r="H54" s="349">
        <f>SUM(H52:H53)</f>
        <v>353905.5</v>
      </c>
    </row>
    <row r="55" spans="1:11">
      <c r="A55" s="285"/>
      <c r="B55" s="285"/>
      <c r="C55" s="285"/>
      <c r="D55" s="285"/>
      <c r="E55" s="346"/>
      <c r="F55" s="347"/>
      <c r="G55" s="347"/>
      <c r="H55" s="349"/>
    </row>
    <row r="56" spans="1:11">
      <c r="A56" s="285"/>
      <c r="B56" s="285"/>
      <c r="C56" s="285"/>
      <c r="D56" s="285"/>
      <c r="E56" s="346"/>
      <c r="F56" s="347"/>
      <c r="G56" s="347"/>
      <c r="H56" s="349"/>
    </row>
    <row r="57" spans="1:11">
      <c r="A57" s="285"/>
      <c r="B57" s="285"/>
      <c r="C57" s="285"/>
      <c r="D57" s="285"/>
      <c r="E57" s="346"/>
      <c r="F57" s="347"/>
      <c r="G57" s="347"/>
      <c r="H57" s="349"/>
    </row>
    <row r="59" spans="1:11" ht="15">
      <c r="A59" s="1243" t="str">
        <f>+[14]PRESUPUESTO!$A$113</f>
        <v>__________________________________________</v>
      </c>
      <c r="B59" s="1243"/>
      <c r="C59" s="1244"/>
    </row>
    <row r="60" spans="1:11" ht="15.75">
      <c r="A60" s="1245" t="str">
        <f>+[14]PRESUPUESTO!$A$114</f>
        <v>Ing. JHON FREDY GARCIA MENDEZ</v>
      </c>
      <c r="B60" s="1243"/>
      <c r="C60" s="1244"/>
    </row>
    <row r="61" spans="1:11" ht="15.75">
      <c r="A61" s="1246" t="str">
        <f>+[14]PRESUPUESTO!$A$115</f>
        <v>M.P.  70268-326294 TLM.</v>
      </c>
      <c r="B61" s="1243"/>
      <c r="C61" s="1244"/>
    </row>
    <row r="62" spans="1:11" ht="15.75">
      <c r="A62" s="1246" t="str">
        <f>+[14]PRESUPUESTO!$A$116</f>
        <v>CONSULTOR</v>
      </c>
      <c r="B62" s="1243"/>
      <c r="C62" s="1244"/>
    </row>
  </sheetData>
  <mergeCells count="15">
    <mergeCell ref="D2:E4"/>
    <mergeCell ref="F2:H2"/>
    <mergeCell ref="F3:H3"/>
    <mergeCell ref="F4:H4"/>
    <mergeCell ref="A5:E5"/>
    <mergeCell ref="F5:H5"/>
    <mergeCell ref="B47:D47"/>
    <mergeCell ref="B48:D48"/>
    <mergeCell ref="B49:D49"/>
    <mergeCell ref="B6:D6"/>
    <mergeCell ref="B7:E7"/>
    <mergeCell ref="B8:E8"/>
    <mergeCell ref="B36:C36"/>
    <mergeCell ref="B45:D45"/>
    <mergeCell ref="B46:D46"/>
  </mergeCells>
  <phoneticPr fontId="22" type="noConversion"/>
  <pageMargins left="0.75" right="0.75" top="1" bottom="1" header="0" footer="0"/>
  <pageSetup scale="70" orientation="portrait" r:id="rId1"/>
  <headerFooter alignWithMargins="0"/>
  <drawing r:id="rId2"/>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tabColor theme="6" tint="0.79998168889431442"/>
  </sheetPr>
  <dimension ref="A1:I62"/>
  <sheetViews>
    <sheetView view="pageBreakPreview" topLeftCell="A32" zoomScale="90" zoomScaleNormal="100" zoomScaleSheetLayoutView="90" workbookViewId="0">
      <selection activeCell="H54" sqref="H54"/>
    </sheetView>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4.570312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f>PRESUPUESTO!A71</f>
        <v>1.9</v>
      </c>
      <c r="B7" s="2185" t="str">
        <f>PRESUPUESTO!B71</f>
        <v>PASOS ELEVADOS</v>
      </c>
      <c r="C7" s="2185"/>
      <c r="D7" s="2185"/>
      <c r="E7" s="2185"/>
      <c r="F7" s="289"/>
      <c r="G7" s="290" t="s">
        <v>525</v>
      </c>
      <c r="H7" s="97" t="str">
        <f>+PRESUPUESTO!C74</f>
        <v>m</v>
      </c>
    </row>
    <row r="8" spans="1:9" ht="78" customHeight="1">
      <c r="A8" s="97" t="str">
        <f>+PRESUPUESTO!A74</f>
        <v>1.9.3</v>
      </c>
      <c r="B8" s="2258" t="str">
        <f>+PRESUPUESTO!B74</f>
        <v>Encofrado a todo costo en concreto reforzado en hierro de 1/2" para varilla principal y flejes de 3/8" separados cada 0.17 m. de 3000 PSI impermeabilizado, sección de 0.55 x 0.55 m. , para proteger tuberías en pasos de zanjones y demás, para diámetro de tubería PVC Ø 12" y  Ø 14" según los planos.  Incluye: materiales, mano de obra, formaleta, vaciado y todo lo relacionado para la correcta ejecución de la obra.</v>
      </c>
      <c r="C8" s="2257"/>
      <c r="D8" s="2257"/>
      <c r="E8" s="225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967</v>
      </c>
      <c r="B13" s="305" t="str">
        <f t="shared" ref="B13:B18" si="0">IF(A13="","",VLOOKUP(A13,EQUI,2,FALSE))</f>
        <v>Herramienta Menor (10% de la mano de obra).</v>
      </c>
      <c r="C13" s="306"/>
      <c r="D13" s="306"/>
      <c r="E13" s="276" t="str">
        <f t="shared" ref="E13:E18" si="1">IF(A13="","",VLOOKUP(A13,EQUI,3,FALSE))</f>
        <v>%</v>
      </c>
      <c r="F13" s="433">
        <f>IF(A13="","",VLOOKUP(A13,EQUI,4,FALSE))</f>
        <v>0.1</v>
      </c>
      <c r="G13" s="307">
        <f>ROUND(F13*H50,0)</f>
        <v>5943</v>
      </c>
      <c r="H13" s="308">
        <f>+G13</f>
        <v>5943</v>
      </c>
      <c r="I13" s="309"/>
    </row>
    <row r="14" spans="1:9">
      <c r="A14" s="536"/>
      <c r="B14" s="305"/>
      <c r="C14" s="306"/>
      <c r="D14" s="306"/>
      <c r="E14" s="276" t="str">
        <f t="shared" si="1"/>
        <v/>
      </c>
      <c r="F14" s="405"/>
      <c r="G14" s="310" t="str">
        <f>IF(A14="","",VLOOKUP(A14,EQUI,4,FALSE))</f>
        <v/>
      </c>
      <c r="H14" s="311" t="str">
        <f>IF(A14="","",ROUND((G14/F14),0))</f>
        <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5943</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t="s">
        <v>2448</v>
      </c>
      <c r="B23" s="353" t="str">
        <f>IF(A23="","",VLOOKUP(A23,MAT,2,FALSE))</f>
        <v xml:space="preserve">Concreto de 210 Kg/cm2 (3000 PSI) Impermeabilizado </v>
      </c>
      <c r="C23" s="305"/>
      <c r="D23" s="306"/>
      <c r="E23" s="276" t="str">
        <f>IF(A23="","",VLOOKUP(A23,MAT,3,FALSE))</f>
        <v>m3</v>
      </c>
      <c r="F23" s="405">
        <f>0.55*0.55</f>
        <v>0.30250000000000005</v>
      </c>
      <c r="G23" s="310">
        <f>IF(A23="","",VLOOKUP(A23,MAT,5,FALSE))</f>
        <v>762896</v>
      </c>
      <c r="H23" s="311">
        <f>IF(A23="","",ROUND((G23*F23),0))</f>
        <v>230776</v>
      </c>
    </row>
    <row r="24" spans="1:8">
      <c r="A24" s="534" t="s">
        <v>565</v>
      </c>
      <c r="B24" s="353" t="str">
        <f>IF(A24="","",VLOOKUP(A24,MAT,2,FALSE))</f>
        <v>Acero de refuerzo de 60.000psi</v>
      </c>
      <c r="C24" s="305"/>
      <c r="D24" s="306"/>
      <c r="E24" s="276" t="str">
        <f>IF(A24="","",VLOOKUP(A24,MAT,3,FALSE))</f>
        <v>Kg.</v>
      </c>
      <c r="F24" s="405">
        <v>16.5</v>
      </c>
      <c r="G24" s="310">
        <f>IF(A24="","",VLOOKUP(A24,MAT,5,FALSE))</f>
        <v>5200</v>
      </c>
      <c r="H24" s="311">
        <f>IF(A24="","",ROUND((G24*F24),0))</f>
        <v>85800</v>
      </c>
    </row>
    <row r="25" spans="1:8">
      <c r="A25" s="534" t="s">
        <v>2492</v>
      </c>
      <c r="B25" s="353" t="str">
        <f>IF(A25="","",VLOOKUP(A25,MAT,2,FALSE))</f>
        <v>Madera para formaleta</v>
      </c>
      <c r="C25" s="305"/>
      <c r="D25" s="306"/>
      <c r="E25" s="815" t="s">
        <v>205</v>
      </c>
      <c r="F25" s="405">
        <f>+(0.6+0.6)/4</f>
        <v>0.3</v>
      </c>
      <c r="G25" s="310">
        <f>IF(A25="","",VLOOKUP(A25,MAT,5,FALSE))</f>
        <v>29750</v>
      </c>
      <c r="H25" s="311">
        <f>IF(A25="","",ROUND((G25*F25),0))</f>
        <v>8925</v>
      </c>
    </row>
    <row r="26" spans="1:8">
      <c r="A26" s="534"/>
      <c r="B26" s="305" t="str">
        <f t="shared" ref="B26:B32" si="2">IF(A26="","",VLOOKUP(A26,MAT,2,FALSE))</f>
        <v/>
      </c>
      <c r="C26" s="305"/>
      <c r="D26" s="306"/>
      <c r="E26" s="276" t="str">
        <f t="shared" ref="E26:E32" si="3">IF(A26="","",VLOOKUP(A26,MAT,3,FALSE))</f>
        <v/>
      </c>
      <c r="F26" s="405"/>
      <c r="G26" s="310" t="str">
        <f t="shared" ref="G26:G32" si="4">IF(A26="","",VLOOKUP(A26,MAT,5,FALSE))</f>
        <v/>
      </c>
      <c r="H26" s="311" t="str">
        <f t="shared" ref="H26:H32" si="5">IF(A26="","",ROUND((G26*F26),0))</f>
        <v/>
      </c>
    </row>
    <row r="27" spans="1:8">
      <c r="A27" s="534"/>
      <c r="B27" s="305" t="str">
        <f t="shared" si="2"/>
        <v/>
      </c>
      <c r="C27" s="305"/>
      <c r="D27" s="306"/>
      <c r="E27" s="276" t="str">
        <f t="shared" si="3"/>
        <v/>
      </c>
      <c r="F27" s="405"/>
      <c r="G27" s="310" t="str">
        <f t="shared" si="4"/>
        <v/>
      </c>
      <c r="H27" s="311" t="str">
        <f t="shared" si="5"/>
        <v/>
      </c>
    </row>
    <row r="28" spans="1:8">
      <c r="A28" s="534"/>
      <c r="B28" s="305" t="str">
        <f t="shared" si="2"/>
        <v/>
      </c>
      <c r="C28" s="305"/>
      <c r="D28" s="306"/>
      <c r="E28" s="276" t="str">
        <f t="shared" si="3"/>
        <v/>
      </c>
      <c r="F28" s="405"/>
      <c r="G28" s="310" t="str">
        <f t="shared" si="4"/>
        <v/>
      </c>
      <c r="H28" s="311" t="str">
        <f t="shared" si="5"/>
        <v/>
      </c>
    </row>
    <row r="29" spans="1:8">
      <c r="A29" s="534"/>
      <c r="B29" s="305" t="str">
        <f t="shared" si="2"/>
        <v/>
      </c>
      <c r="C29" s="305"/>
      <c r="D29" s="306"/>
      <c r="E29" s="276" t="str">
        <f t="shared" si="3"/>
        <v/>
      </c>
      <c r="F29" s="405"/>
      <c r="G29" s="310" t="str">
        <f t="shared" si="4"/>
        <v/>
      </c>
      <c r="H29" s="311" t="str">
        <f t="shared" si="5"/>
        <v/>
      </c>
    </row>
    <row r="30" spans="1:8">
      <c r="A30" s="534"/>
      <c r="B30" s="305" t="str">
        <f t="shared" si="2"/>
        <v/>
      </c>
      <c r="C30" s="305"/>
      <c r="D30" s="306"/>
      <c r="E30" s="276" t="str">
        <f t="shared" si="3"/>
        <v/>
      </c>
      <c r="F30" s="405"/>
      <c r="G30" s="310" t="str">
        <f t="shared" si="4"/>
        <v/>
      </c>
      <c r="H30" s="311" t="str">
        <f t="shared" si="5"/>
        <v/>
      </c>
    </row>
    <row r="31" spans="1:8">
      <c r="A31" s="534"/>
      <c r="B31" s="305" t="str">
        <f t="shared" si="2"/>
        <v/>
      </c>
      <c r="C31" s="305"/>
      <c r="D31" s="306"/>
      <c r="E31" s="276" t="str">
        <f t="shared" si="3"/>
        <v/>
      </c>
      <c r="F31" s="405"/>
      <c r="G31" s="310" t="str">
        <f t="shared" si="4"/>
        <v/>
      </c>
      <c r="H31" s="311" t="str">
        <f t="shared" si="5"/>
        <v/>
      </c>
    </row>
    <row r="32" spans="1:8" ht="13.5" thickBot="1">
      <c r="A32" s="535"/>
      <c r="B32" s="326" t="str">
        <f t="shared" si="2"/>
        <v/>
      </c>
      <c r="C32" s="314"/>
      <c r="D32" s="314"/>
      <c r="E32" s="315" t="str">
        <f t="shared" si="3"/>
        <v/>
      </c>
      <c r="F32" s="406"/>
      <c r="G32" s="327" t="str">
        <f t="shared" si="4"/>
        <v/>
      </c>
      <c r="H32" s="311" t="str">
        <f t="shared" si="5"/>
        <v/>
      </c>
    </row>
    <row r="33" spans="1:8" ht="13.5" thickBot="1">
      <c r="A33" s="285"/>
      <c r="B33" s="285"/>
      <c r="C33" s="285"/>
      <c r="D33" s="285"/>
      <c r="E33" s="286"/>
      <c r="F33" s="285"/>
      <c r="G33" s="210" t="s">
        <v>529</v>
      </c>
      <c r="H33" s="328">
        <f>ROUND(SUM(H23:H32),0)</f>
        <v>325501</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771"/>
      <c r="B37" s="737"/>
      <c r="C37" s="772"/>
      <c r="D37" s="773"/>
      <c r="E37" s="774"/>
      <c r="F37" s="775"/>
      <c r="G37" s="776"/>
      <c r="H37" s="746"/>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0</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883</v>
      </c>
      <c r="B46" s="2192" t="str">
        <f>IF(A46="","",VLOOKUP(A46,MO,2,FALSE))</f>
        <v>Cuadrilla AA: Albañilería. (1 Of. + 1 Ayud.).</v>
      </c>
      <c r="C46" s="2193"/>
      <c r="D46" s="2194"/>
      <c r="E46" s="538" t="str">
        <f>IF(A46="","",VLOOKUP(A46,MO,13,FALSE))</f>
        <v>HC</v>
      </c>
      <c r="F46" s="544">
        <v>0.95</v>
      </c>
      <c r="G46" s="540">
        <f>IF(A46="","",VLOOKUP(A46,MO,15,FALSE))</f>
        <v>38949</v>
      </c>
      <c r="H46" s="542">
        <f>IF(A46="","",ROUND((G46/F46),0))</f>
        <v>40999</v>
      </c>
    </row>
    <row r="47" spans="1:8">
      <c r="A47" s="563" t="s">
        <v>882</v>
      </c>
      <c r="B47" s="2179" t="str">
        <f>IF(A47="","",VLOOKUP(A47,MO,2,FALSE))</f>
        <v>Ayudante</v>
      </c>
      <c r="C47" s="2180"/>
      <c r="D47" s="2181"/>
      <c r="E47" s="538" t="str">
        <f>IF(A47="","",VLOOKUP(A47,MO,13,FALSE))</f>
        <v>HC</v>
      </c>
      <c r="F47" s="544">
        <f>+F46</f>
        <v>0.95</v>
      </c>
      <c r="G47" s="540">
        <f>IF(A47="","",VLOOKUP(A47,MO,15,FALSE))</f>
        <v>17510</v>
      </c>
      <c r="H47" s="542">
        <f>IF(A47="","",ROUND((G47/F47),0))</f>
        <v>18432</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59431</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390875</v>
      </c>
    </row>
    <row r="53" spans="1:8">
      <c r="A53" s="285"/>
      <c r="B53" s="285"/>
      <c r="C53" s="285"/>
      <c r="D53" s="285"/>
      <c r="E53" s="346" t="s">
        <v>2697</v>
      </c>
      <c r="F53" s="347"/>
      <c r="G53" s="347">
        <v>0.3</v>
      </c>
      <c r="H53" s="349">
        <f>H52*G53</f>
        <v>117262.5</v>
      </c>
    </row>
    <row r="54" spans="1:8">
      <c r="A54" s="285"/>
      <c r="B54" s="285"/>
      <c r="C54" s="285"/>
      <c r="D54" s="285"/>
      <c r="E54" s="346"/>
      <c r="F54" s="347"/>
      <c r="G54" s="347"/>
      <c r="H54" s="349">
        <f>SUM(H52:H53)</f>
        <v>508137.5</v>
      </c>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ht="15">
      <c r="A59" s="1243" t="str">
        <f>+[14]PRESUPUESTO!$A$113</f>
        <v>__________________________________________</v>
      </c>
      <c r="B59" s="1243"/>
      <c r="C59" s="1244"/>
    </row>
    <row r="60" spans="1:8" ht="15.75">
      <c r="A60" s="1245" t="str">
        <f>+[14]PRESUPUESTO!$A$114</f>
        <v>Ing. JHON FREDY GARCIA MENDEZ</v>
      </c>
      <c r="B60" s="1243"/>
      <c r="C60" s="1244"/>
    </row>
    <row r="61" spans="1:8" ht="15.75">
      <c r="A61" s="1246" t="str">
        <f>+[14]PRESUPUESTO!$A$115</f>
        <v>M.P.  70268-326294 TLM.</v>
      </c>
      <c r="B61" s="1243"/>
      <c r="C61" s="1244"/>
    </row>
    <row r="62" spans="1:8" ht="15.75">
      <c r="A62" s="1246" t="str">
        <f>+[14]PRESUPUESTO!$A$116</f>
        <v>CONSULTOR</v>
      </c>
      <c r="B62" s="1243"/>
      <c r="C62" s="1244"/>
    </row>
  </sheetData>
  <mergeCells count="15">
    <mergeCell ref="D2:E4"/>
    <mergeCell ref="F2:H2"/>
    <mergeCell ref="F3:H3"/>
    <mergeCell ref="F4:H4"/>
    <mergeCell ref="A5:E5"/>
    <mergeCell ref="F5:H5"/>
    <mergeCell ref="B47:D47"/>
    <mergeCell ref="B48:D48"/>
    <mergeCell ref="B49:D49"/>
    <mergeCell ref="B6:D6"/>
    <mergeCell ref="B7:E7"/>
    <mergeCell ref="B8:E8"/>
    <mergeCell ref="B36:C36"/>
    <mergeCell ref="B45:D45"/>
    <mergeCell ref="B46:D46"/>
  </mergeCells>
  <pageMargins left="0.75" right="0.75" top="1.55" bottom="1" header="0" footer="0"/>
  <pageSetup paperSize="9" scale="66" orientation="portrait" r:id="rId1"/>
  <headerFooter alignWithMargins="0"/>
  <drawing r:id="rId2"/>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tabColor theme="6" tint="0.79998168889431442"/>
  </sheetPr>
  <dimension ref="A1:I62"/>
  <sheetViews>
    <sheetView workbookViewId="0"/>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2.710937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t="e">
        <f>PRESUPUESTO!#REF!</f>
        <v>#REF!</v>
      </c>
      <c r="B7" s="2185" t="e">
        <f>PRESUPUESTO!#REF!</f>
        <v>#REF!</v>
      </c>
      <c r="C7" s="2185"/>
      <c r="D7" s="2185"/>
      <c r="E7" s="2185"/>
      <c r="F7" s="289"/>
      <c r="G7" s="290" t="s">
        <v>525</v>
      </c>
      <c r="H7" s="97" t="e">
        <f>+PRESUPUESTO!#REF!</f>
        <v>#REF!</v>
      </c>
    </row>
    <row r="8" spans="1:9">
      <c r="A8" s="97" t="e">
        <f>+PRESUPUESTO!#REF!</f>
        <v>#REF!</v>
      </c>
      <c r="B8" s="2229" t="e">
        <f>+PRESUPUESTO!#REF!</f>
        <v>#REF!</v>
      </c>
      <c r="C8" s="2217"/>
      <c r="D8" s="2217"/>
      <c r="E8" s="221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v>3</v>
      </c>
      <c r="H12" s="278" t="s">
        <v>831</v>
      </c>
    </row>
    <row r="13" spans="1:9">
      <c r="A13" s="536" t="s">
        <v>966</v>
      </c>
      <c r="B13" s="305" t="str">
        <f t="shared" ref="B13:B18" si="0">IF(A13="","",VLOOKUP(A13,EQUI,2,FALSE))</f>
        <v>Herramienta Menor (5% de la mano de obra).</v>
      </c>
      <c r="C13" s="306"/>
      <c r="D13" s="306"/>
      <c r="E13" s="276" t="str">
        <f t="shared" ref="E13:E18" si="1">IF(A13="","",VLOOKUP(A13,EQUI,3,FALSE))</f>
        <v>%</v>
      </c>
      <c r="F13" s="433">
        <f>IF(A13="","",VLOOKUP(A13,EQUI,4,FALSE))</f>
        <v>0.05</v>
      </c>
      <c r="G13" s="307">
        <f>ROUND(F13*H50,0)</f>
        <v>3895</v>
      </c>
      <c r="H13" s="308">
        <f>+G13</f>
        <v>3895</v>
      </c>
      <c r="I13" s="309"/>
    </row>
    <row r="14" spans="1:9">
      <c r="A14" s="536"/>
      <c r="B14" s="305" t="str">
        <f t="shared" si="0"/>
        <v/>
      </c>
      <c r="C14" s="306"/>
      <c r="D14" s="306"/>
      <c r="E14" s="276" t="str">
        <f t="shared" si="1"/>
        <v/>
      </c>
      <c r="F14" s="405"/>
      <c r="G14" s="310" t="str">
        <f>IF(A14="","",VLOOKUP(A14,EQUI,4,FALSE))</f>
        <v/>
      </c>
      <c r="H14" s="311" t="str">
        <f>IF(A14="","",ROUND((G14/F14),0))</f>
        <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3895</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c r="B23" s="353" t="str">
        <f t="shared" ref="B23:B32" si="2">IF(A23="","",VLOOKUP(A23,MAT,2,FALSE))</f>
        <v/>
      </c>
      <c r="C23" s="305"/>
      <c r="D23" s="306"/>
      <c r="E23" s="276" t="str">
        <f t="shared" ref="E23:E32" si="3">IF(A23="","",VLOOKUP(A23,MAT,3,FALSE))</f>
        <v/>
      </c>
      <c r="F23" s="405"/>
      <c r="G23" s="310" t="str">
        <f t="shared" ref="G23:G32" si="4">IF(A23="","",VLOOKUP(A23,MAT,5,FALSE))</f>
        <v/>
      </c>
      <c r="H23" s="311" t="str">
        <f t="shared" ref="H23:H32" si="5">IF(A23="","",ROUND((G23*F23),0))</f>
        <v/>
      </c>
    </row>
    <row r="24" spans="1:8">
      <c r="A24" s="534"/>
      <c r="B24" s="353" t="str">
        <f t="shared" si="2"/>
        <v/>
      </c>
      <c r="C24" s="305"/>
      <c r="D24" s="306"/>
      <c r="E24" s="276" t="str">
        <f t="shared" si="3"/>
        <v/>
      </c>
      <c r="F24" s="405"/>
      <c r="G24" s="310" t="str">
        <f t="shared" si="4"/>
        <v/>
      </c>
      <c r="H24" s="311" t="str">
        <f t="shared" si="5"/>
        <v/>
      </c>
    </row>
    <row r="25" spans="1:8">
      <c r="A25" s="534"/>
      <c r="B25" s="353" t="str">
        <f t="shared" si="2"/>
        <v/>
      </c>
      <c r="C25" s="305"/>
      <c r="D25" s="306"/>
      <c r="E25" s="276" t="str">
        <f t="shared" si="3"/>
        <v/>
      </c>
      <c r="F25" s="405"/>
      <c r="G25" s="310" t="str">
        <f t="shared" si="4"/>
        <v/>
      </c>
      <c r="H25" s="311" t="str">
        <f t="shared" si="5"/>
        <v/>
      </c>
    </row>
    <row r="26" spans="1:8">
      <c r="A26" s="534"/>
      <c r="B26" s="305" t="str">
        <f t="shared" si="2"/>
        <v/>
      </c>
      <c r="C26" s="305"/>
      <c r="D26" s="306"/>
      <c r="E26" s="276" t="str">
        <f t="shared" si="3"/>
        <v/>
      </c>
      <c r="F26" s="405"/>
      <c r="G26" s="310" t="str">
        <f t="shared" si="4"/>
        <v/>
      </c>
      <c r="H26" s="311" t="str">
        <f t="shared" si="5"/>
        <v/>
      </c>
    </row>
    <row r="27" spans="1:8">
      <c r="A27" s="534"/>
      <c r="B27" s="305" t="str">
        <f t="shared" si="2"/>
        <v/>
      </c>
      <c r="C27" s="305"/>
      <c r="D27" s="306"/>
      <c r="E27" s="276" t="str">
        <f t="shared" si="3"/>
        <v/>
      </c>
      <c r="F27" s="405"/>
      <c r="G27" s="310" t="str">
        <f t="shared" si="4"/>
        <v/>
      </c>
      <c r="H27" s="311" t="str">
        <f t="shared" si="5"/>
        <v/>
      </c>
    </row>
    <row r="28" spans="1:8">
      <c r="A28" s="534"/>
      <c r="B28" s="305" t="str">
        <f t="shared" si="2"/>
        <v/>
      </c>
      <c r="C28" s="305"/>
      <c r="D28" s="306"/>
      <c r="E28" s="276" t="str">
        <f t="shared" si="3"/>
        <v/>
      </c>
      <c r="F28" s="405"/>
      <c r="G28" s="310" t="str">
        <f t="shared" si="4"/>
        <v/>
      </c>
      <c r="H28" s="311" t="str">
        <f t="shared" si="5"/>
        <v/>
      </c>
    </row>
    <row r="29" spans="1:8">
      <c r="A29" s="534"/>
      <c r="B29" s="305" t="str">
        <f t="shared" si="2"/>
        <v/>
      </c>
      <c r="C29" s="305"/>
      <c r="D29" s="306"/>
      <c r="E29" s="276" t="str">
        <f t="shared" si="3"/>
        <v/>
      </c>
      <c r="F29" s="405"/>
      <c r="G29" s="310" t="str">
        <f t="shared" si="4"/>
        <v/>
      </c>
      <c r="H29" s="311" t="str">
        <f t="shared" si="5"/>
        <v/>
      </c>
    </row>
    <row r="30" spans="1:8">
      <c r="A30" s="534"/>
      <c r="B30" s="305" t="str">
        <f t="shared" si="2"/>
        <v/>
      </c>
      <c r="C30" s="305"/>
      <c r="D30" s="306"/>
      <c r="E30" s="276" t="str">
        <f t="shared" si="3"/>
        <v/>
      </c>
      <c r="F30" s="405"/>
      <c r="G30" s="310" t="str">
        <f t="shared" si="4"/>
        <v/>
      </c>
      <c r="H30" s="311" t="str">
        <f t="shared" si="5"/>
        <v/>
      </c>
    </row>
    <row r="31" spans="1:8">
      <c r="A31" s="534"/>
      <c r="B31" s="305" t="str">
        <f t="shared" si="2"/>
        <v/>
      </c>
      <c r="C31" s="305"/>
      <c r="D31" s="306"/>
      <c r="E31" s="276" t="str">
        <f t="shared" si="3"/>
        <v/>
      </c>
      <c r="F31" s="405"/>
      <c r="G31" s="310" t="str">
        <f t="shared" si="4"/>
        <v/>
      </c>
      <c r="H31" s="311" t="str">
        <f t="shared" si="5"/>
        <v/>
      </c>
    </row>
    <row r="32" spans="1:8" ht="13.5" thickBot="1">
      <c r="A32" s="535"/>
      <c r="B32" s="326" t="str">
        <f t="shared" si="2"/>
        <v/>
      </c>
      <c r="C32" s="314"/>
      <c r="D32" s="314"/>
      <c r="E32" s="315" t="str">
        <f t="shared" si="3"/>
        <v/>
      </c>
      <c r="F32" s="406"/>
      <c r="G32" s="327" t="str">
        <f t="shared" si="4"/>
        <v/>
      </c>
      <c r="H32" s="311" t="str">
        <f t="shared" si="5"/>
        <v/>
      </c>
    </row>
    <row r="33" spans="1:8" ht="13.5" thickBot="1">
      <c r="A33" s="285"/>
      <c r="B33" s="285"/>
      <c r="C33" s="285"/>
      <c r="D33" s="285"/>
      <c r="E33" s="286"/>
      <c r="F33" s="285"/>
      <c r="G33" s="210" t="s">
        <v>529</v>
      </c>
      <c r="H33" s="328">
        <f>ROUND(SUM(H23:H32),0)</f>
        <v>0</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546"/>
      <c r="B37" s="305" t="str">
        <f>IF(A37="","",VLOOKUP(A37,MAT,2,FALSE))</f>
        <v/>
      </c>
      <c r="C37" s="333"/>
      <c r="D37" s="409" t="str">
        <f>IF(A37="","",VLOOKUP(A37,MAT,3,FALSE))</f>
        <v/>
      </c>
      <c r="E37" s="419" t="str">
        <f>IF(A37="","",VLOOKUP(A37,MAT,6,FALSE))</f>
        <v/>
      </c>
      <c r="F37" s="413"/>
      <c r="G37" s="334" t="str">
        <f>IF(A37="","",VLOOKUP(A37,MAT,7,FALSE))</f>
        <v/>
      </c>
      <c r="H37" s="311" t="str">
        <f>IF(A37="","",ROUND((G37*F37*E37),0))</f>
        <v/>
      </c>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t="str">
        <f>IF(A39="","",ROUND((G39*F39*E39),0))</f>
        <v/>
      </c>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0</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883</v>
      </c>
      <c r="B46" s="2192" t="str">
        <f>IF(A46="","",VLOOKUP(A46,MO,2,FALSE))</f>
        <v>Cuadrilla AA: Albañilería. (1 Of. + 1 Ayud.).</v>
      </c>
      <c r="C46" s="2193"/>
      <c r="D46" s="2194"/>
      <c r="E46" s="538" t="str">
        <f>IF(A46="","",VLOOKUP(A46,MO,13,FALSE))</f>
        <v>HC</v>
      </c>
      <c r="F46" s="544">
        <v>0.5</v>
      </c>
      <c r="G46" s="540">
        <f>IF(A46="","",VLOOKUP(A46,MO,15,FALSE))</f>
        <v>38949</v>
      </c>
      <c r="H46" s="542">
        <f>IF(A46="","",ROUND((G46/F46),0))</f>
        <v>77898</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77898</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81793</v>
      </c>
    </row>
    <row r="53" spans="1:8">
      <c r="A53" s="285"/>
      <c r="B53" s="285"/>
      <c r="C53" s="285"/>
      <c r="D53" s="285"/>
      <c r="E53" s="346"/>
      <c r="F53" s="347"/>
      <c r="G53" s="347"/>
      <c r="H53" s="349"/>
    </row>
    <row r="54" spans="1:8">
      <c r="A54" s="285"/>
      <c r="B54" s="285"/>
      <c r="C54" s="285"/>
      <c r="D54" s="285"/>
      <c r="E54" s="346"/>
      <c r="F54" s="347"/>
      <c r="G54" s="347"/>
      <c r="H54" s="349"/>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c r="A59" s="703" t="str">
        <f>+[14]PRESUPUESTO!$A$113</f>
        <v>__________________________________________</v>
      </c>
      <c r="B59" s="703"/>
    </row>
    <row r="60" spans="1:8">
      <c r="A60" s="810" t="str">
        <f>+[14]PRESUPUESTO!$A$114</f>
        <v>Ing. JHON FREDY GARCIA MENDEZ</v>
      </c>
      <c r="B60" s="703"/>
    </row>
    <row r="61" spans="1:8">
      <c r="A61" s="811" t="str">
        <f>+[14]PRESUPUESTO!$A$115</f>
        <v>M.P.  70268-326294 TLM.</v>
      </c>
      <c r="B61" s="703"/>
    </row>
    <row r="62" spans="1:8">
      <c r="A62" s="811" t="str">
        <f>+[14]PRESUPUESTO!$A$116</f>
        <v>CONSULTOR</v>
      </c>
      <c r="B62" s="703"/>
    </row>
  </sheetData>
  <mergeCells count="15">
    <mergeCell ref="D2:E4"/>
    <mergeCell ref="F2:H2"/>
    <mergeCell ref="F3:H3"/>
    <mergeCell ref="F4:H4"/>
    <mergeCell ref="A5:E5"/>
    <mergeCell ref="F5:H5"/>
    <mergeCell ref="B47:D47"/>
    <mergeCell ref="B48:D48"/>
    <mergeCell ref="B49:D49"/>
    <mergeCell ref="B6:D6"/>
    <mergeCell ref="B7:E7"/>
    <mergeCell ref="B8:E8"/>
    <mergeCell ref="B36:C36"/>
    <mergeCell ref="B45:D45"/>
    <mergeCell ref="B46:D46"/>
  </mergeCells>
  <pageMargins left="0.75" right="0.75" top="1" bottom="1" header="0" footer="0"/>
  <pageSetup paperSize="9" scale="70" orientation="portrait" r:id="rId1"/>
  <headerFooter alignWithMargins="0"/>
  <drawing r:id="rId2"/>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sheetPr>
    <tabColor theme="6" tint="0.79998168889431442"/>
  </sheetPr>
  <dimension ref="A1:I62"/>
  <sheetViews>
    <sheetView workbookViewId="0"/>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2.710937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t="e">
        <f>PRESUPUESTO!#REF!</f>
        <v>#REF!</v>
      </c>
      <c r="B7" s="2185" t="e">
        <f>PRESUPUESTO!#REF!</f>
        <v>#REF!</v>
      </c>
      <c r="C7" s="2185"/>
      <c r="D7" s="2185"/>
      <c r="E7" s="2185"/>
      <c r="F7" s="289"/>
      <c r="G7" s="290" t="s">
        <v>525</v>
      </c>
      <c r="H7" s="97" t="e">
        <f>+PRESUPUESTO!#REF!</f>
        <v>#REF!</v>
      </c>
    </row>
    <row r="8" spans="1:9" ht="26.25" customHeight="1">
      <c r="A8" s="97" t="e">
        <f>+PRESUPUESTO!#REF!</f>
        <v>#REF!</v>
      </c>
      <c r="B8" s="2229" t="str">
        <f>+PRESUPUESTO!B68</f>
        <v>Relleno de la brecha con material recebo seleccionado, incluye transporte al sitio de la obra, extendido, humedecido y apisonado mecánicamente en capas de 0.20 m.</v>
      </c>
      <c r="C8" s="2217"/>
      <c r="D8" s="2217"/>
      <c r="E8" s="221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966</v>
      </c>
      <c r="B13" s="305" t="str">
        <f t="shared" ref="B13:B18" si="0">IF(A13="","",VLOOKUP(A13,EQUI,2,FALSE))</f>
        <v>Herramienta Menor (5% de la mano de obra).</v>
      </c>
      <c r="C13" s="306"/>
      <c r="D13" s="306"/>
      <c r="E13" s="276" t="str">
        <f t="shared" ref="E13:E18" si="1">IF(A13="","",VLOOKUP(A13,EQUI,3,FALSE))</f>
        <v>%</v>
      </c>
      <c r="F13" s="433">
        <f>IF(A13="","",VLOOKUP(A13,EQUI,4,FALSE))</f>
        <v>0.05</v>
      </c>
      <c r="G13" s="307">
        <f>ROUND(F13*H50,0)</f>
        <v>1146</v>
      </c>
      <c r="H13" s="308">
        <f>+G13</f>
        <v>1146</v>
      </c>
      <c r="I13" s="309"/>
    </row>
    <row r="14" spans="1:9">
      <c r="A14" s="536" t="s">
        <v>481</v>
      </c>
      <c r="B14" s="305" t="str">
        <f t="shared" si="0"/>
        <v>Apisonador tipo canguro</v>
      </c>
      <c r="C14" s="306"/>
      <c r="D14" s="306"/>
      <c r="E14" s="276" t="str">
        <f t="shared" si="1"/>
        <v>Dia</v>
      </c>
      <c r="F14" s="405">
        <v>20</v>
      </c>
      <c r="G14" s="310">
        <f>IF(A14="","",VLOOKUP(A14,EQUI,4,FALSE))</f>
        <v>95693</v>
      </c>
      <c r="H14" s="311">
        <f>IF(A14="","",ROUND((G14/F14),0))</f>
        <v>4785</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5931</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t="s">
        <v>563</v>
      </c>
      <c r="B23" s="353" t="str">
        <f t="shared" ref="B23:B32" si="2">IF(A23="","",VLOOKUP(A23,MAT,2,FALSE))</f>
        <v>Recebo granular seleccionado IP&lt;10%.</v>
      </c>
      <c r="C23" s="305"/>
      <c r="D23" s="306"/>
      <c r="E23" s="276" t="str">
        <f t="shared" ref="E23:E32" si="3">IF(A23="","",VLOOKUP(A23,MAT,3,FALSE))</f>
        <v>m3</v>
      </c>
      <c r="F23" s="405">
        <v>1.25</v>
      </c>
      <c r="G23" s="310">
        <f t="shared" ref="G23:G32" si="4">IF(A23="","",VLOOKUP(A23,MAT,5,FALSE))</f>
        <v>102340</v>
      </c>
      <c r="H23" s="311">
        <f t="shared" ref="H23:H32" si="5">IF(A23="","",ROUND((G23*F23),0))</f>
        <v>127925</v>
      </c>
    </row>
    <row r="24" spans="1:8">
      <c r="A24" s="534"/>
      <c r="B24" s="353" t="str">
        <f t="shared" si="2"/>
        <v/>
      </c>
      <c r="C24" s="305"/>
      <c r="D24" s="306"/>
      <c r="E24" s="276" t="str">
        <f t="shared" si="3"/>
        <v/>
      </c>
      <c r="F24" s="405"/>
      <c r="G24" s="310" t="str">
        <f t="shared" si="4"/>
        <v/>
      </c>
      <c r="H24" s="311" t="str">
        <f t="shared" si="5"/>
        <v/>
      </c>
    </row>
    <row r="25" spans="1:8">
      <c r="A25" s="534"/>
      <c r="B25" s="353" t="str">
        <f t="shared" si="2"/>
        <v/>
      </c>
      <c r="C25" s="305"/>
      <c r="D25" s="306"/>
      <c r="E25" s="276" t="str">
        <f t="shared" si="3"/>
        <v/>
      </c>
      <c r="F25" s="405"/>
      <c r="G25" s="310" t="str">
        <f t="shared" si="4"/>
        <v/>
      </c>
      <c r="H25" s="311" t="str">
        <f t="shared" si="5"/>
        <v/>
      </c>
    </row>
    <row r="26" spans="1:8">
      <c r="A26" s="534"/>
      <c r="B26" s="305" t="str">
        <f t="shared" si="2"/>
        <v/>
      </c>
      <c r="C26" s="305"/>
      <c r="D26" s="306"/>
      <c r="E26" s="276" t="str">
        <f t="shared" si="3"/>
        <v/>
      </c>
      <c r="F26" s="405"/>
      <c r="G26" s="310" t="str">
        <f t="shared" si="4"/>
        <v/>
      </c>
      <c r="H26" s="311" t="str">
        <f t="shared" si="5"/>
        <v/>
      </c>
    </row>
    <row r="27" spans="1:8">
      <c r="A27" s="534"/>
      <c r="B27" s="305" t="str">
        <f t="shared" si="2"/>
        <v/>
      </c>
      <c r="C27" s="305"/>
      <c r="D27" s="306"/>
      <c r="E27" s="276" t="str">
        <f t="shared" si="3"/>
        <v/>
      </c>
      <c r="F27" s="405"/>
      <c r="G27" s="310" t="str">
        <f t="shared" si="4"/>
        <v/>
      </c>
      <c r="H27" s="311" t="str">
        <f t="shared" si="5"/>
        <v/>
      </c>
    </row>
    <row r="28" spans="1:8">
      <c r="A28" s="534"/>
      <c r="B28" s="305" t="str">
        <f t="shared" si="2"/>
        <v/>
      </c>
      <c r="C28" s="305"/>
      <c r="D28" s="306"/>
      <c r="E28" s="276" t="str">
        <f t="shared" si="3"/>
        <v/>
      </c>
      <c r="F28" s="405"/>
      <c r="G28" s="310" t="str">
        <f t="shared" si="4"/>
        <v/>
      </c>
      <c r="H28" s="311" t="str">
        <f t="shared" si="5"/>
        <v/>
      </c>
    </row>
    <row r="29" spans="1:8">
      <c r="A29" s="534"/>
      <c r="B29" s="305" t="str">
        <f t="shared" si="2"/>
        <v/>
      </c>
      <c r="C29" s="305"/>
      <c r="D29" s="306"/>
      <c r="E29" s="276" t="str">
        <f t="shared" si="3"/>
        <v/>
      </c>
      <c r="F29" s="405"/>
      <c r="G29" s="310" t="str">
        <f t="shared" si="4"/>
        <v/>
      </c>
      <c r="H29" s="311" t="str">
        <f t="shared" si="5"/>
        <v/>
      </c>
    </row>
    <row r="30" spans="1:8">
      <c r="A30" s="534"/>
      <c r="B30" s="305" t="str">
        <f t="shared" si="2"/>
        <v/>
      </c>
      <c r="C30" s="305"/>
      <c r="D30" s="306"/>
      <c r="E30" s="276" t="str">
        <f t="shared" si="3"/>
        <v/>
      </c>
      <c r="F30" s="405"/>
      <c r="G30" s="310" t="str">
        <f t="shared" si="4"/>
        <v/>
      </c>
      <c r="H30" s="311" t="str">
        <f t="shared" si="5"/>
        <v/>
      </c>
    </row>
    <row r="31" spans="1:8">
      <c r="A31" s="534"/>
      <c r="B31" s="305" t="str">
        <f t="shared" si="2"/>
        <v/>
      </c>
      <c r="C31" s="305"/>
      <c r="D31" s="306"/>
      <c r="E31" s="276" t="str">
        <f t="shared" si="3"/>
        <v/>
      </c>
      <c r="F31" s="405"/>
      <c r="G31" s="310" t="str">
        <f t="shared" si="4"/>
        <v/>
      </c>
      <c r="H31" s="311" t="str">
        <f t="shared" si="5"/>
        <v/>
      </c>
    </row>
    <row r="32" spans="1:8" ht="13.5" thickBot="1">
      <c r="A32" s="535"/>
      <c r="B32" s="326" t="str">
        <f t="shared" si="2"/>
        <v/>
      </c>
      <c r="C32" s="314"/>
      <c r="D32" s="314"/>
      <c r="E32" s="315" t="str">
        <f t="shared" si="3"/>
        <v/>
      </c>
      <c r="F32" s="406"/>
      <c r="G32" s="327" t="str">
        <f t="shared" si="4"/>
        <v/>
      </c>
      <c r="H32" s="311" t="str">
        <f t="shared" si="5"/>
        <v/>
      </c>
    </row>
    <row r="33" spans="1:8" ht="13.5" thickBot="1">
      <c r="A33" s="285"/>
      <c r="B33" s="285"/>
      <c r="C33" s="285"/>
      <c r="D33" s="285"/>
      <c r="E33" s="286"/>
      <c r="F33" s="285"/>
      <c r="G33" s="210" t="s">
        <v>529</v>
      </c>
      <c r="H33" s="328">
        <f>ROUND(SUM(H23:H32),0)</f>
        <v>127925</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546" t="str">
        <f>+A23</f>
        <v>REC</v>
      </c>
      <c r="B37" s="305" t="str">
        <f>IF(A37="","",VLOOKUP(A37,MAT,2,FALSE))</f>
        <v>Recebo granular seleccionado IP&lt;10%.</v>
      </c>
      <c r="C37" s="333"/>
      <c r="D37" s="409" t="str">
        <f>IF(A37="","",VLOOKUP(A37,MAT,3,FALSE))</f>
        <v>m3</v>
      </c>
      <c r="E37" s="419">
        <f>IF(A37="","",VLOOKUP(A37,MAT,6,FALSE))</f>
        <v>60.5</v>
      </c>
      <c r="F37" s="413">
        <v>1.03</v>
      </c>
      <c r="G37" s="334">
        <f>IF(A37="","",VLOOKUP(A37,MAT,7,FALSE))</f>
        <v>1500</v>
      </c>
      <c r="H37" s="311">
        <f>IF(A37="","",ROUND((G37*F37*E37),0))</f>
        <v>93473</v>
      </c>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t="str">
        <f>IF(A39="","",ROUND((G39*F39*E39),0))</f>
        <v/>
      </c>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93473</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883</v>
      </c>
      <c r="B46" s="2192" t="str">
        <f>IF(A46="","",VLOOKUP(A46,MO,2,FALSE))</f>
        <v>Cuadrilla AA: Albañilería. (1 Of. + 1 Ayud.).</v>
      </c>
      <c r="C46" s="2193"/>
      <c r="D46" s="2194"/>
      <c r="E46" s="538" t="str">
        <f>IF(A46="","",VLOOKUP(A46,MO,13,FALSE))</f>
        <v>HC</v>
      </c>
      <c r="F46" s="544">
        <v>1.7</v>
      </c>
      <c r="G46" s="540">
        <f>IF(A46="","",VLOOKUP(A46,MO,15,FALSE))</f>
        <v>38949</v>
      </c>
      <c r="H46" s="542">
        <f>IF(A46="","",ROUND((G46/F46),0))</f>
        <v>22911</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22911</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250240</v>
      </c>
    </row>
    <row r="53" spans="1:8">
      <c r="A53" s="285"/>
      <c r="B53" s="285"/>
      <c r="C53" s="285"/>
      <c r="D53" s="285"/>
      <c r="E53" s="346"/>
      <c r="F53" s="347"/>
      <c r="G53" s="347"/>
      <c r="H53" s="349"/>
    </row>
    <row r="54" spans="1:8">
      <c r="A54" s="285"/>
      <c r="B54" s="285"/>
      <c r="C54" s="285"/>
      <c r="D54" s="285"/>
      <c r="E54" s="346"/>
      <c r="F54" s="347"/>
      <c r="G54" s="347"/>
      <c r="H54" s="349"/>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c r="A59" s="703" t="str">
        <f>+[14]PRESUPUESTO!$A$113</f>
        <v>__________________________________________</v>
      </c>
      <c r="B59" s="703"/>
    </row>
    <row r="60" spans="1:8">
      <c r="A60" s="810" t="str">
        <f>+[14]PRESUPUESTO!$A$114</f>
        <v>Ing. JHON FREDY GARCIA MENDEZ</v>
      </c>
      <c r="B60" s="703"/>
    </row>
    <row r="61" spans="1:8">
      <c r="A61" s="811" t="str">
        <f>+[14]PRESUPUESTO!$A$115</f>
        <v>M.P.  70268-326294 TLM.</v>
      </c>
      <c r="B61" s="703"/>
    </row>
    <row r="62" spans="1:8">
      <c r="A62" s="811" t="str">
        <f>+[14]PRESUPUESTO!$A$116</f>
        <v>CONSULTOR</v>
      </c>
      <c r="B62" s="703"/>
    </row>
  </sheetData>
  <mergeCells count="15">
    <mergeCell ref="D2:E4"/>
    <mergeCell ref="F2:H2"/>
    <mergeCell ref="F3:H3"/>
    <mergeCell ref="F4:H4"/>
    <mergeCell ref="A5:E5"/>
    <mergeCell ref="F5:H5"/>
    <mergeCell ref="B47:D47"/>
    <mergeCell ref="B48:D48"/>
    <mergeCell ref="B49:D49"/>
    <mergeCell ref="B6:D6"/>
    <mergeCell ref="B7:E7"/>
    <mergeCell ref="B8:E8"/>
    <mergeCell ref="B36:C36"/>
    <mergeCell ref="B45:D45"/>
    <mergeCell ref="B46:D46"/>
  </mergeCells>
  <pageMargins left="0.75" right="0.75" top="1" bottom="1" header="0" footer="0"/>
  <pageSetup paperSize="9" scale="70" orientation="portrait" r:id="rId1"/>
  <headerFooter alignWithMargins="0"/>
  <drawing r:id="rId2"/>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sheetPr>
    <tabColor theme="6" tint="0.79998168889431442"/>
  </sheetPr>
  <dimension ref="A1:I62"/>
  <sheetViews>
    <sheetView workbookViewId="0"/>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4.570312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t="e">
        <f>PRESUPUESTO!#REF!</f>
        <v>#REF!</v>
      </c>
      <c r="B7" s="2185" t="e">
        <f>PRESUPUESTO!#REF!</f>
        <v>#REF!</v>
      </c>
      <c r="C7" s="2185"/>
      <c r="D7" s="2185"/>
      <c r="E7" s="2185"/>
      <c r="F7" s="289"/>
      <c r="G7" s="290" t="s">
        <v>525</v>
      </c>
      <c r="H7" s="97" t="e">
        <f>+PRESUPUESTO!#REF!</f>
        <v>#REF!</v>
      </c>
    </row>
    <row r="8" spans="1:9">
      <c r="A8" s="97" t="e">
        <f>+PRESUPUESTO!#REF!</f>
        <v>#REF!</v>
      </c>
      <c r="B8" s="2272" t="e">
        <f>+PRESUPUESTO!#REF!</f>
        <v>#REF!</v>
      </c>
      <c r="C8" s="2257"/>
      <c r="D8" s="2257"/>
      <c r="E8" s="225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967</v>
      </c>
      <c r="B13" s="305" t="str">
        <f t="shared" ref="B13:B18" si="0">IF(A13="","",VLOOKUP(A13,EQUI,2,FALSE))</f>
        <v>Herramienta Menor (10% de la mano de obra).</v>
      </c>
      <c r="C13" s="306"/>
      <c r="D13" s="306"/>
      <c r="E13" s="276" t="str">
        <f t="shared" ref="E13:E18" si="1">IF(A13="","",VLOOKUP(A13,EQUI,3,FALSE))</f>
        <v>%</v>
      </c>
      <c r="F13" s="433">
        <f>IF(A13="","",VLOOKUP(A13,EQUI,4,FALSE))</f>
        <v>0.1</v>
      </c>
      <c r="G13" s="307">
        <f>ROUND(F13*H50,0)</f>
        <v>4750</v>
      </c>
      <c r="H13" s="308">
        <f>+G13</f>
        <v>4750</v>
      </c>
      <c r="I13" s="309"/>
    </row>
    <row r="14" spans="1:9">
      <c r="A14" s="536"/>
      <c r="B14" s="305"/>
      <c r="C14" s="306"/>
      <c r="D14" s="306"/>
      <c r="E14" s="276" t="str">
        <f t="shared" si="1"/>
        <v/>
      </c>
      <c r="F14" s="405"/>
      <c r="G14" s="310" t="str">
        <f>IF(A14="","",VLOOKUP(A14,EQUI,4,FALSE))</f>
        <v/>
      </c>
      <c r="H14" s="311" t="str">
        <f>IF(A14="","",ROUND((G14/F14),0))</f>
        <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4750</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t="s">
        <v>553</v>
      </c>
      <c r="B23" s="353" t="str">
        <f>IF(A23="","",VLOOKUP(A23,MAT,2,FALSE))</f>
        <v>Concreto de 140 Kg/cm2 (2000 PSI)</v>
      </c>
      <c r="C23" s="305"/>
      <c r="D23" s="306"/>
      <c r="E23" s="276" t="str">
        <f>IF(A23="","",VLOOKUP(A23,MAT,3,FALSE))</f>
        <v>m3</v>
      </c>
      <c r="F23" s="405">
        <v>1.05</v>
      </c>
      <c r="G23" s="310">
        <f>IF(A23="","",VLOOKUP(A23,MAT,5,FALSE))</f>
        <v>670945</v>
      </c>
      <c r="H23" s="311">
        <f>IF(A23="","",ROUND((G23*F23),0))</f>
        <v>704492</v>
      </c>
    </row>
    <row r="24" spans="1:8">
      <c r="A24" s="534"/>
      <c r="B24" s="353"/>
      <c r="C24" s="305"/>
      <c r="D24" s="306"/>
      <c r="E24" s="276"/>
      <c r="F24" s="405"/>
      <c r="G24" s="310"/>
      <c r="H24" s="311"/>
    </row>
    <row r="25" spans="1:8">
      <c r="A25" s="534"/>
      <c r="B25" s="353"/>
      <c r="C25" s="305"/>
      <c r="D25" s="306"/>
      <c r="E25" s="276"/>
      <c r="F25" s="405"/>
      <c r="G25" s="310"/>
      <c r="H25" s="311"/>
    </row>
    <row r="26" spans="1:8">
      <c r="A26" s="534"/>
      <c r="B26" s="305" t="str">
        <f t="shared" ref="B26:B32" si="2">IF(A26="","",VLOOKUP(A26,MAT,2,FALSE))</f>
        <v/>
      </c>
      <c r="C26" s="305"/>
      <c r="D26" s="306"/>
      <c r="E26" s="276" t="str">
        <f t="shared" ref="E26:E32" si="3">IF(A26="","",VLOOKUP(A26,MAT,3,FALSE))</f>
        <v/>
      </c>
      <c r="F26" s="405"/>
      <c r="G26" s="310" t="str">
        <f t="shared" ref="G26:G32" si="4">IF(A26="","",VLOOKUP(A26,MAT,5,FALSE))</f>
        <v/>
      </c>
      <c r="H26" s="311" t="str">
        <f t="shared" ref="H26:H32" si="5">IF(A26="","",ROUND((G26*F26),0))</f>
        <v/>
      </c>
    </row>
    <row r="27" spans="1:8">
      <c r="A27" s="534"/>
      <c r="B27" s="305" t="str">
        <f t="shared" si="2"/>
        <v/>
      </c>
      <c r="C27" s="305"/>
      <c r="D27" s="306"/>
      <c r="E27" s="276" t="str">
        <f t="shared" si="3"/>
        <v/>
      </c>
      <c r="F27" s="405"/>
      <c r="G27" s="310" t="str">
        <f t="shared" si="4"/>
        <v/>
      </c>
      <c r="H27" s="311" t="str">
        <f t="shared" si="5"/>
        <v/>
      </c>
    </row>
    <row r="28" spans="1:8">
      <c r="A28" s="534"/>
      <c r="B28" s="305" t="str">
        <f t="shared" si="2"/>
        <v/>
      </c>
      <c r="C28" s="305"/>
      <c r="D28" s="306"/>
      <c r="E28" s="276" t="str">
        <f t="shared" si="3"/>
        <v/>
      </c>
      <c r="F28" s="405"/>
      <c r="G28" s="310" t="str">
        <f t="shared" si="4"/>
        <v/>
      </c>
      <c r="H28" s="311" t="str">
        <f t="shared" si="5"/>
        <v/>
      </c>
    </row>
    <row r="29" spans="1:8">
      <c r="A29" s="534"/>
      <c r="B29" s="305" t="str">
        <f t="shared" si="2"/>
        <v/>
      </c>
      <c r="C29" s="305"/>
      <c r="D29" s="306"/>
      <c r="E29" s="276" t="str">
        <f t="shared" si="3"/>
        <v/>
      </c>
      <c r="F29" s="405"/>
      <c r="G29" s="310" t="str">
        <f t="shared" si="4"/>
        <v/>
      </c>
      <c r="H29" s="311" t="str">
        <f t="shared" si="5"/>
        <v/>
      </c>
    </row>
    <row r="30" spans="1:8">
      <c r="A30" s="534"/>
      <c r="B30" s="305" t="str">
        <f t="shared" si="2"/>
        <v/>
      </c>
      <c r="C30" s="305"/>
      <c r="D30" s="306"/>
      <c r="E30" s="276" t="str">
        <f t="shared" si="3"/>
        <v/>
      </c>
      <c r="F30" s="405"/>
      <c r="G30" s="310" t="str">
        <f t="shared" si="4"/>
        <v/>
      </c>
      <c r="H30" s="311" t="str">
        <f t="shared" si="5"/>
        <v/>
      </c>
    </row>
    <row r="31" spans="1:8">
      <c r="A31" s="534"/>
      <c r="B31" s="305" t="str">
        <f t="shared" si="2"/>
        <v/>
      </c>
      <c r="C31" s="305"/>
      <c r="D31" s="306"/>
      <c r="E31" s="276" t="str">
        <f t="shared" si="3"/>
        <v/>
      </c>
      <c r="F31" s="405"/>
      <c r="G31" s="310" t="str">
        <f t="shared" si="4"/>
        <v/>
      </c>
      <c r="H31" s="311" t="str">
        <f t="shared" si="5"/>
        <v/>
      </c>
    </row>
    <row r="32" spans="1:8" ht="13.5" thickBot="1">
      <c r="A32" s="535"/>
      <c r="B32" s="326" t="str">
        <f t="shared" si="2"/>
        <v/>
      </c>
      <c r="C32" s="314"/>
      <c r="D32" s="314"/>
      <c r="E32" s="315" t="str">
        <f t="shared" si="3"/>
        <v/>
      </c>
      <c r="F32" s="406"/>
      <c r="G32" s="327" t="str">
        <f t="shared" si="4"/>
        <v/>
      </c>
      <c r="H32" s="311" t="str">
        <f t="shared" si="5"/>
        <v/>
      </c>
    </row>
    <row r="33" spans="1:8" ht="13.5" thickBot="1">
      <c r="A33" s="285"/>
      <c r="B33" s="285"/>
      <c r="C33" s="285"/>
      <c r="D33" s="285"/>
      <c r="E33" s="286"/>
      <c r="F33" s="285"/>
      <c r="G33" s="210" t="s">
        <v>529</v>
      </c>
      <c r="H33" s="328">
        <f>ROUND(SUM(H23:H32),0)</f>
        <v>704492</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546"/>
      <c r="B37" s="305" t="str">
        <f>IF(A37="","",VLOOKUP(A37,MAT,2,FALSE))</f>
        <v/>
      </c>
      <c r="C37" s="333"/>
      <c r="D37" s="409" t="str">
        <f>IF(A37="","",VLOOKUP(A37,MAT,3,FALSE))</f>
        <v/>
      </c>
      <c r="E37" s="419" t="str">
        <f>IF(A37="","",VLOOKUP(A37,MAT,6,FALSE))</f>
        <v/>
      </c>
      <c r="F37" s="413" t="str">
        <f>IF(A37="","",VLOOKUP(A37,$A$23:$H$32,6,FALSE))</f>
        <v/>
      </c>
      <c r="G37" s="334" t="str">
        <f>IF(A37="","",VLOOKUP(A37,MAT,7,FALSE))</f>
        <v/>
      </c>
      <c r="H37" s="311" t="str">
        <f>IF(A37="","",ROUND((G37*F37*E37),0))</f>
        <v/>
      </c>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0</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883</v>
      </c>
      <c r="B46" s="2192" t="str">
        <f>IF(A46="","",VLOOKUP(A46,MO,2,FALSE))</f>
        <v>Cuadrilla AA: Albañilería. (1 Of. + 1 Ayud.).</v>
      </c>
      <c r="C46" s="2193"/>
      <c r="D46" s="2194"/>
      <c r="E46" s="538" t="str">
        <f>IF(A46="","",VLOOKUP(A46,MO,13,FALSE))</f>
        <v>HC</v>
      </c>
      <c r="F46" s="544">
        <v>0.82</v>
      </c>
      <c r="G46" s="540">
        <f>IF(A46="","",VLOOKUP(A46,MO,15,FALSE))</f>
        <v>38949</v>
      </c>
      <c r="H46" s="542">
        <f>IF(A46="","",ROUND((G46/F46),0))</f>
        <v>47499</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47499</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756741</v>
      </c>
    </row>
    <row r="53" spans="1:8">
      <c r="A53" s="285"/>
      <c r="B53" s="285"/>
      <c r="C53" s="285"/>
      <c r="D53" s="285"/>
      <c r="E53" s="346"/>
      <c r="F53" s="347"/>
      <c r="G53" s="347"/>
      <c r="H53" s="349"/>
    </row>
    <row r="54" spans="1:8">
      <c r="A54" s="285"/>
      <c r="B54" s="285"/>
      <c r="C54" s="285"/>
      <c r="D54" s="285"/>
      <c r="E54" s="346"/>
      <c r="F54" s="347"/>
      <c r="G54" s="347"/>
      <c r="H54" s="349"/>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c r="A59" s="703" t="str">
        <f>+[14]PRESUPUESTO!$A$113</f>
        <v>__________________________________________</v>
      </c>
      <c r="B59" s="703"/>
    </row>
    <row r="60" spans="1:8">
      <c r="A60" s="810" t="str">
        <f>+[14]PRESUPUESTO!$A$114</f>
        <v>Ing. JHON FREDY GARCIA MENDEZ</v>
      </c>
      <c r="B60" s="703"/>
    </row>
    <row r="61" spans="1:8">
      <c r="A61" s="811" t="str">
        <f>+[14]PRESUPUESTO!$A$115</f>
        <v>M.P.  70268-326294 TLM.</v>
      </c>
      <c r="B61" s="703"/>
    </row>
    <row r="62" spans="1:8">
      <c r="A62" s="811" t="str">
        <f>+[14]PRESUPUESTO!$A$116</f>
        <v>CONSULTOR</v>
      </c>
      <c r="B62" s="703"/>
    </row>
  </sheetData>
  <mergeCells count="15">
    <mergeCell ref="D2:E4"/>
    <mergeCell ref="F2:H2"/>
    <mergeCell ref="F3:H3"/>
    <mergeCell ref="F4:H4"/>
    <mergeCell ref="A5:E5"/>
    <mergeCell ref="F5:H5"/>
    <mergeCell ref="B47:D47"/>
    <mergeCell ref="B48:D48"/>
    <mergeCell ref="B49:D49"/>
    <mergeCell ref="B6:D6"/>
    <mergeCell ref="B7:E7"/>
    <mergeCell ref="B8:E8"/>
    <mergeCell ref="B36:C36"/>
    <mergeCell ref="B45:D45"/>
    <mergeCell ref="B46:D46"/>
  </mergeCells>
  <pageMargins left="0.75" right="0.75" top="1" bottom="1" header="0" footer="0"/>
  <pageSetup paperSize="9" scale="70" orientation="portrait" r:id="rId1"/>
  <headerFooter alignWithMargins="0"/>
  <drawing r:id="rId2"/>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sheetPr>
    <tabColor theme="6" tint="0.79998168889431442"/>
  </sheetPr>
  <dimension ref="A1:I62"/>
  <sheetViews>
    <sheetView workbookViewId="0"/>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4.570312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t="e">
        <f>PRESUPUESTO!#REF!</f>
        <v>#REF!</v>
      </c>
      <c r="B7" s="2185" t="e">
        <f>PRESUPUESTO!#REF!</f>
        <v>#REF!</v>
      </c>
      <c r="C7" s="2185"/>
      <c r="D7" s="2185"/>
      <c r="E7" s="2185"/>
      <c r="F7" s="289"/>
      <c r="G7" s="290" t="s">
        <v>525</v>
      </c>
      <c r="H7" s="97" t="e">
        <f>+PRESUPUESTO!#REF!</f>
        <v>#REF!</v>
      </c>
    </row>
    <row r="8" spans="1:9" ht="26.25" customHeight="1">
      <c r="A8" s="97" t="e">
        <f>+PRESUPUESTO!#REF!</f>
        <v>#REF!</v>
      </c>
      <c r="B8" s="2272" t="e">
        <f>+PRESUPUESTO!#REF!</f>
        <v>#REF!</v>
      </c>
      <c r="C8" s="2257"/>
      <c r="D8" s="2257"/>
      <c r="E8" s="225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967</v>
      </c>
      <c r="B13" s="305" t="str">
        <f t="shared" ref="B13:B18" si="0">IF(A13="","",VLOOKUP(A13,EQUI,2,FALSE))</f>
        <v>Herramienta Menor (10% de la mano de obra).</v>
      </c>
      <c r="C13" s="306"/>
      <c r="D13" s="306"/>
      <c r="E13" s="276" t="str">
        <f t="shared" ref="E13:E18" si="1">IF(A13="","",VLOOKUP(A13,EQUI,3,FALSE))</f>
        <v>%</v>
      </c>
      <c r="F13" s="433">
        <f>IF(A13="","",VLOOKUP(A13,EQUI,4,FALSE))</f>
        <v>0.1</v>
      </c>
      <c r="G13" s="307">
        <f>ROUND(F13*H50,0)</f>
        <v>48085</v>
      </c>
      <c r="H13" s="308">
        <f>+G13</f>
        <v>48085</v>
      </c>
      <c r="I13" s="309"/>
    </row>
    <row r="14" spans="1:9">
      <c r="A14" s="536"/>
      <c r="B14" s="305"/>
      <c r="C14" s="306"/>
      <c r="D14" s="306"/>
      <c r="E14" s="276" t="str">
        <f t="shared" si="1"/>
        <v/>
      </c>
      <c r="F14" s="405"/>
      <c r="G14" s="310" t="str">
        <f>IF(A14="","",VLOOKUP(A14,EQUI,4,FALSE))</f>
        <v/>
      </c>
      <c r="H14" s="311" t="str">
        <f>IF(A14="","",ROUND((G14/F14),0))</f>
        <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48085</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t="s">
        <v>2420</v>
      </c>
      <c r="B23" s="353" t="str">
        <f>IF(A23="","",VLOOKUP(A23,MAT,2,FALSE))</f>
        <v>Concreto de 280 Kg/cm2 (4000 PSI) Impermeabilizado</v>
      </c>
      <c r="C23" s="305"/>
      <c r="D23" s="306"/>
      <c r="E23" s="276" t="str">
        <f>IF(A23="","",VLOOKUP(A23,MAT,3,FALSE))</f>
        <v>m3</v>
      </c>
      <c r="F23" s="405">
        <v>0.42</v>
      </c>
      <c r="G23" s="310">
        <f>IF(A23="","",VLOOKUP(A23,MAT,5,FALSE))</f>
        <v>837338</v>
      </c>
      <c r="H23" s="311">
        <f>IF(A23="","",ROUND((G23*F23),0))</f>
        <v>351682</v>
      </c>
    </row>
    <row r="24" spans="1:8">
      <c r="A24" s="534" t="s">
        <v>565</v>
      </c>
      <c r="B24" s="353" t="str">
        <f>IF(A24="","",VLOOKUP(A24,MAT,2,FALSE))</f>
        <v>Acero de refuerzo de 60.000psi</v>
      </c>
      <c r="C24" s="305"/>
      <c r="D24" s="306"/>
      <c r="E24" s="276" t="str">
        <f>IF(A24="","",VLOOKUP(A24,MAT,3,FALSE))</f>
        <v>Kg.</v>
      </c>
      <c r="F24" s="405">
        <v>52</v>
      </c>
      <c r="G24" s="310">
        <f>IF(A24="","",VLOOKUP(A24,MAT,5,FALSE))</f>
        <v>5200</v>
      </c>
      <c r="H24" s="311">
        <f>IF(A24="","",ROUND((G24*F24),0))</f>
        <v>270400</v>
      </c>
    </row>
    <row r="25" spans="1:8">
      <c r="A25" s="534"/>
      <c r="B25" s="353"/>
      <c r="C25" s="305"/>
      <c r="D25" s="306"/>
      <c r="E25" s="276"/>
      <c r="F25" s="405"/>
      <c r="G25" s="310"/>
      <c r="H25" s="311"/>
    </row>
    <row r="26" spans="1:8">
      <c r="A26" s="534"/>
      <c r="B26" s="305" t="str">
        <f t="shared" ref="B26:B32" si="2">IF(A26="","",VLOOKUP(A26,MAT,2,FALSE))</f>
        <v/>
      </c>
      <c r="C26" s="305"/>
      <c r="D26" s="306"/>
      <c r="E26" s="276" t="str">
        <f t="shared" ref="E26:E32" si="3">IF(A26="","",VLOOKUP(A26,MAT,3,FALSE))</f>
        <v/>
      </c>
      <c r="F26" s="405"/>
      <c r="G26" s="310" t="str">
        <f t="shared" ref="G26:G32" si="4">IF(A26="","",VLOOKUP(A26,MAT,5,FALSE))</f>
        <v/>
      </c>
      <c r="H26" s="311" t="str">
        <f t="shared" ref="H26:H32" si="5">IF(A26="","",ROUND((G26*F26),0))</f>
        <v/>
      </c>
    </row>
    <row r="27" spans="1:8">
      <c r="A27" s="534"/>
      <c r="B27" s="305" t="str">
        <f t="shared" si="2"/>
        <v/>
      </c>
      <c r="C27" s="305"/>
      <c r="D27" s="306"/>
      <c r="E27" s="276" t="str">
        <f t="shared" si="3"/>
        <v/>
      </c>
      <c r="F27" s="405"/>
      <c r="G27" s="310" t="str">
        <f t="shared" si="4"/>
        <v/>
      </c>
      <c r="H27" s="311" t="str">
        <f t="shared" si="5"/>
        <v/>
      </c>
    </row>
    <row r="28" spans="1:8">
      <c r="A28" s="534"/>
      <c r="B28" s="305" t="str">
        <f t="shared" si="2"/>
        <v/>
      </c>
      <c r="C28" s="305"/>
      <c r="D28" s="306"/>
      <c r="E28" s="276" t="str">
        <f t="shared" si="3"/>
        <v/>
      </c>
      <c r="F28" s="405"/>
      <c r="G28" s="310" t="str">
        <f t="shared" si="4"/>
        <v/>
      </c>
      <c r="H28" s="311" t="str">
        <f t="shared" si="5"/>
        <v/>
      </c>
    </row>
    <row r="29" spans="1:8">
      <c r="A29" s="534"/>
      <c r="B29" s="305" t="str">
        <f t="shared" si="2"/>
        <v/>
      </c>
      <c r="C29" s="305"/>
      <c r="D29" s="306"/>
      <c r="E29" s="276" t="str">
        <f t="shared" si="3"/>
        <v/>
      </c>
      <c r="F29" s="405"/>
      <c r="G29" s="310" t="str">
        <f t="shared" si="4"/>
        <v/>
      </c>
      <c r="H29" s="311" t="str">
        <f t="shared" si="5"/>
        <v/>
      </c>
    </row>
    <row r="30" spans="1:8">
      <c r="A30" s="534"/>
      <c r="B30" s="305" t="str">
        <f t="shared" si="2"/>
        <v/>
      </c>
      <c r="C30" s="305"/>
      <c r="D30" s="306"/>
      <c r="E30" s="276" t="str">
        <f t="shared" si="3"/>
        <v/>
      </c>
      <c r="F30" s="405"/>
      <c r="G30" s="310" t="str">
        <f t="shared" si="4"/>
        <v/>
      </c>
      <c r="H30" s="311" t="str">
        <f t="shared" si="5"/>
        <v/>
      </c>
    </row>
    <row r="31" spans="1:8">
      <c r="A31" s="534"/>
      <c r="B31" s="305" t="str">
        <f t="shared" si="2"/>
        <v/>
      </c>
      <c r="C31" s="305"/>
      <c r="D31" s="306"/>
      <c r="E31" s="276" t="str">
        <f t="shared" si="3"/>
        <v/>
      </c>
      <c r="F31" s="405"/>
      <c r="G31" s="310" t="str">
        <f t="shared" si="4"/>
        <v/>
      </c>
      <c r="H31" s="311" t="str">
        <f t="shared" si="5"/>
        <v/>
      </c>
    </row>
    <row r="32" spans="1:8" ht="13.5" thickBot="1">
      <c r="A32" s="535"/>
      <c r="B32" s="326" t="str">
        <f t="shared" si="2"/>
        <v/>
      </c>
      <c r="C32" s="314"/>
      <c r="D32" s="314"/>
      <c r="E32" s="315" t="str">
        <f t="shared" si="3"/>
        <v/>
      </c>
      <c r="F32" s="406"/>
      <c r="G32" s="327" t="str">
        <f t="shared" si="4"/>
        <v/>
      </c>
      <c r="H32" s="311" t="str">
        <f t="shared" si="5"/>
        <v/>
      </c>
    </row>
    <row r="33" spans="1:8" ht="13.5" thickBot="1">
      <c r="A33" s="285"/>
      <c r="B33" s="285"/>
      <c r="C33" s="285"/>
      <c r="D33" s="285"/>
      <c r="E33" s="286"/>
      <c r="F33" s="285"/>
      <c r="G33" s="210" t="s">
        <v>529</v>
      </c>
      <c r="H33" s="328">
        <f>ROUND(SUM(H23:H32),0)</f>
        <v>622082</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771"/>
      <c r="B37" s="737"/>
      <c r="C37" s="772"/>
      <c r="D37" s="773"/>
      <c r="E37" s="774"/>
      <c r="F37" s="775"/>
      <c r="G37" s="776"/>
      <c r="H37" s="746"/>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0</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883</v>
      </c>
      <c r="B46" s="2192" t="str">
        <f>IF(A46="","",VLOOKUP(A46,MO,2,FALSE))</f>
        <v>Cuadrilla AA: Albañilería. (1 Of. + 1 Ayud.).</v>
      </c>
      <c r="C46" s="2193"/>
      <c r="D46" s="2194"/>
      <c r="E46" s="538" t="str">
        <f>IF(A46="","",VLOOKUP(A46,MO,13,FALSE))</f>
        <v>HC</v>
      </c>
      <c r="F46" s="544">
        <v>8.1000000000000003E-2</v>
      </c>
      <c r="G46" s="540">
        <f>IF(A46="","",VLOOKUP(A46,MO,15,FALSE))</f>
        <v>38949</v>
      </c>
      <c r="H46" s="542">
        <f>IF(A46="","",ROUND((G46/F46),0))</f>
        <v>480852</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480852</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1151019</v>
      </c>
    </row>
    <row r="53" spans="1:8">
      <c r="A53" s="285"/>
      <c r="B53" s="285"/>
      <c r="C53" s="285"/>
      <c r="D53" s="285"/>
      <c r="E53" s="346"/>
      <c r="F53" s="347"/>
      <c r="G53" s="347"/>
      <c r="H53" s="349"/>
    </row>
    <row r="54" spans="1:8">
      <c r="A54" s="285"/>
      <c r="B54" s="285"/>
      <c r="C54" s="285"/>
      <c r="D54" s="285"/>
      <c r="E54" s="346"/>
      <c r="F54" s="347"/>
      <c r="G54" s="347"/>
      <c r="H54" s="349"/>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c r="A59" s="703" t="str">
        <f>+[14]PRESUPUESTO!$A$113</f>
        <v>__________________________________________</v>
      </c>
      <c r="B59" s="703"/>
    </row>
    <row r="60" spans="1:8">
      <c r="A60" s="810" t="str">
        <f>+[14]PRESUPUESTO!$A$114</f>
        <v>Ing. JHON FREDY GARCIA MENDEZ</v>
      </c>
      <c r="B60" s="703"/>
    </row>
    <row r="61" spans="1:8">
      <c r="A61" s="811" t="str">
        <f>+[14]PRESUPUESTO!$A$115</f>
        <v>M.P.  70268-326294 TLM.</v>
      </c>
      <c r="B61" s="703"/>
    </row>
    <row r="62" spans="1:8">
      <c r="A62" s="811" t="str">
        <f>+[14]PRESUPUESTO!$A$116</f>
        <v>CONSULTOR</v>
      </c>
      <c r="B62" s="703"/>
    </row>
  </sheetData>
  <mergeCells count="15">
    <mergeCell ref="D2:E4"/>
    <mergeCell ref="F2:H2"/>
    <mergeCell ref="F3:H3"/>
    <mergeCell ref="F4:H4"/>
    <mergeCell ref="A5:E5"/>
    <mergeCell ref="F5:H5"/>
    <mergeCell ref="B47:D47"/>
    <mergeCell ref="B48:D48"/>
    <mergeCell ref="B49:D49"/>
    <mergeCell ref="B6:D6"/>
    <mergeCell ref="B7:E7"/>
    <mergeCell ref="B8:E8"/>
    <mergeCell ref="B36:C36"/>
    <mergeCell ref="B45:D45"/>
    <mergeCell ref="B46:D46"/>
  </mergeCells>
  <pageMargins left="0.75" right="0.75" top="1" bottom="1" header="0" footer="0"/>
  <pageSetup paperSize="9" scale="70" orientation="portrait" r:id="rId1"/>
  <headerFooter alignWithMargins="0"/>
  <drawing r:id="rId2"/>
</worksheet>
</file>

<file path=xl/worksheets/sheet5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sheetPr>
    <tabColor theme="6" tint="0.79998168889431442"/>
  </sheetPr>
  <dimension ref="A1:I62"/>
  <sheetViews>
    <sheetView workbookViewId="0"/>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7"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t="e">
        <f>PRESUPUESTO!#REF!</f>
        <v>#REF!</v>
      </c>
      <c r="B7" s="2185" t="e">
        <f>PRESUPUESTO!#REF!</f>
        <v>#REF!</v>
      </c>
      <c r="C7" s="2185"/>
      <c r="D7" s="2185"/>
      <c r="E7" s="2185"/>
      <c r="F7" s="289"/>
      <c r="G7" s="290" t="s">
        <v>525</v>
      </c>
      <c r="H7" s="97" t="e">
        <f>+PRESUPUESTO!#REF!</f>
        <v>#REF!</v>
      </c>
    </row>
    <row r="8" spans="1:9" ht="100.5" customHeight="1">
      <c r="A8" s="97" t="e">
        <f>+PRESUPUESTO!#REF!</f>
        <v>#REF!</v>
      </c>
      <c r="B8" s="2272" t="e">
        <f>+PRESUPUESTO!#REF!</f>
        <v>#REF!</v>
      </c>
      <c r="C8" s="2257"/>
      <c r="D8" s="2257"/>
      <c r="E8" s="225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966</v>
      </c>
      <c r="B13" s="305" t="str">
        <f t="shared" ref="B13:B18" si="0">IF(A13="","",VLOOKUP(A13,EQUI,2,FALSE))</f>
        <v>Herramienta Menor (5% de la mano de obra).</v>
      </c>
      <c r="C13" s="306"/>
      <c r="D13" s="306"/>
      <c r="E13" s="276" t="str">
        <f t="shared" ref="E13:E18" si="1">IF(A13="","",VLOOKUP(A13,EQUI,3,FALSE))</f>
        <v>%</v>
      </c>
      <c r="F13" s="433">
        <f>IF(A13="","",VLOOKUP(A13,EQUI,4,FALSE))</f>
        <v>0.05</v>
      </c>
      <c r="G13" s="307">
        <f>ROUND(F13*H50,0)</f>
        <v>48686</v>
      </c>
      <c r="H13" s="308">
        <f>+G13</f>
        <v>48686</v>
      </c>
      <c r="I13" s="309"/>
    </row>
    <row r="14" spans="1:9">
      <c r="A14" s="536" t="s">
        <v>1623</v>
      </c>
      <c r="B14" s="305" t="str">
        <f t="shared" si="0"/>
        <v>Formaleta metálica para pozo</v>
      </c>
      <c r="C14" s="306"/>
      <c r="D14" s="306"/>
      <c r="E14" s="276" t="str">
        <f t="shared" si="1"/>
        <v>Día</v>
      </c>
      <c r="F14" s="405">
        <v>0.5</v>
      </c>
      <c r="G14" s="310">
        <f>IF(A14="","",VLOOKUP(A14,EQUI,4,FALSE))</f>
        <v>115000</v>
      </c>
      <c r="H14" s="311">
        <f>IF(A14="","",ROUND((G14/F14),0))</f>
        <v>230000</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278686</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t="s">
        <v>550</v>
      </c>
      <c r="B23" s="353" t="str">
        <f>IF(A23="","",VLOOKUP(A23,MAT,2,FALSE))</f>
        <v>Concreto de 280 Kg/cm2 (4000 PSI)</v>
      </c>
      <c r="C23" s="305"/>
      <c r="D23" s="306"/>
      <c r="E23" s="276" t="str">
        <f>IF(A23="","",VLOOKUP(A23,MAT,3,FALSE))</f>
        <v>m3</v>
      </c>
      <c r="F23" s="405">
        <f>((1.728*0.2)+(0.88*1.6)+(2.011*0.2)+0.23)*1.05</f>
        <v>2.50509</v>
      </c>
      <c r="G23" s="310">
        <f>IF(A23="","",VLOOKUP(A23,MAT,5,FALSE))</f>
        <v>773984</v>
      </c>
      <c r="H23" s="311">
        <f>IF(A23="","",ROUND((G23*F23),0))</f>
        <v>1938900</v>
      </c>
    </row>
    <row r="24" spans="1:8">
      <c r="A24" s="534" t="s">
        <v>617</v>
      </c>
      <c r="B24" s="353" t="str">
        <f>IF(A24="","",VLOOKUP(A24,MAT,2,FALSE))</f>
        <v>Tapa en HD tipo D400</v>
      </c>
      <c r="C24" s="305"/>
      <c r="D24" s="306"/>
      <c r="E24" s="276" t="str">
        <f>IF(A24="","",VLOOKUP(A24,MAT,3,FALSE))</f>
        <v>UND</v>
      </c>
      <c r="F24" s="405">
        <v>1</v>
      </c>
      <c r="G24" s="310">
        <f>IF(A24="","",VLOOKUP(A24,MAT,5,FALSE))</f>
        <v>950000</v>
      </c>
      <c r="H24" s="311">
        <f>IF(A24="","",ROUND((G24*F24),0))</f>
        <v>950000</v>
      </c>
    </row>
    <row r="25" spans="1:8">
      <c r="A25" s="534" t="s">
        <v>1703</v>
      </c>
      <c r="B25" s="353" t="str">
        <f>IF(A25="","",VLOOKUP(A25,MAT,2,FALSE))</f>
        <v>Acero  de refuerzo de 60000 psi.</v>
      </c>
      <c r="C25" s="305"/>
      <c r="D25" s="306"/>
      <c r="E25" s="276" t="str">
        <f>IF(A25="","",VLOOKUP(A25,MAT,3,FALSE))</f>
        <v>kg</v>
      </c>
      <c r="F25" s="405">
        <f>65+70+(34*2)</f>
        <v>203</v>
      </c>
      <c r="G25" s="310">
        <f>IF(A25="","",VLOOKUP(A25,MAT,5,FALSE))</f>
        <v>5200</v>
      </c>
      <c r="H25" s="311">
        <f>IF(A25="","",ROUND((G25*F25),0))</f>
        <v>1055600</v>
      </c>
    </row>
    <row r="26" spans="1:8">
      <c r="A26" s="534"/>
      <c r="B26" s="305" t="str">
        <f t="shared" ref="B26:B32" si="2">IF(A26="","",VLOOKUP(A26,MAT,2,FALSE))</f>
        <v/>
      </c>
      <c r="C26" s="305"/>
      <c r="D26" s="306"/>
      <c r="E26" s="276" t="str">
        <f t="shared" ref="E26:E32" si="3">IF(A26="","",VLOOKUP(A26,MAT,3,FALSE))</f>
        <v/>
      </c>
      <c r="F26" s="405"/>
      <c r="G26" s="310" t="str">
        <f t="shared" ref="G26:G32" si="4">IF(A26="","",VLOOKUP(A26,MAT,5,FALSE))</f>
        <v/>
      </c>
      <c r="H26" s="311" t="str">
        <f t="shared" ref="H26:H32" si="5">IF(A26="","",ROUND((G26*F26),0))</f>
        <v/>
      </c>
    </row>
    <row r="27" spans="1:8">
      <c r="A27" s="534"/>
      <c r="B27" s="305" t="str">
        <f t="shared" si="2"/>
        <v/>
      </c>
      <c r="C27" s="305"/>
      <c r="D27" s="306"/>
      <c r="E27" s="276" t="str">
        <f t="shared" si="3"/>
        <v/>
      </c>
      <c r="F27" s="405"/>
      <c r="G27" s="310" t="str">
        <f t="shared" si="4"/>
        <v/>
      </c>
      <c r="H27" s="311" t="str">
        <f t="shared" si="5"/>
        <v/>
      </c>
    </row>
    <row r="28" spans="1:8">
      <c r="A28" s="534"/>
      <c r="B28" s="305" t="str">
        <f t="shared" si="2"/>
        <v/>
      </c>
      <c r="C28" s="305"/>
      <c r="D28" s="306"/>
      <c r="E28" s="276" t="str">
        <f t="shared" si="3"/>
        <v/>
      </c>
      <c r="F28" s="405"/>
      <c r="G28" s="310" t="str">
        <f t="shared" si="4"/>
        <v/>
      </c>
      <c r="H28" s="311" t="str">
        <f t="shared" si="5"/>
        <v/>
      </c>
    </row>
    <row r="29" spans="1:8">
      <c r="A29" s="534"/>
      <c r="B29" s="305" t="str">
        <f t="shared" si="2"/>
        <v/>
      </c>
      <c r="C29" s="305"/>
      <c r="D29" s="306"/>
      <c r="E29" s="276" t="str">
        <f t="shared" si="3"/>
        <v/>
      </c>
      <c r="F29" s="405"/>
      <c r="G29" s="310" t="str">
        <f t="shared" si="4"/>
        <v/>
      </c>
      <c r="H29" s="311" t="str">
        <f t="shared" si="5"/>
        <v/>
      </c>
    </row>
    <row r="30" spans="1:8">
      <c r="A30" s="534"/>
      <c r="B30" s="305" t="str">
        <f t="shared" si="2"/>
        <v/>
      </c>
      <c r="C30" s="305"/>
      <c r="D30" s="306"/>
      <c r="E30" s="276" t="str">
        <f t="shared" si="3"/>
        <v/>
      </c>
      <c r="F30" s="405"/>
      <c r="G30" s="310" t="str">
        <f t="shared" si="4"/>
        <v/>
      </c>
      <c r="H30" s="311" t="str">
        <f t="shared" si="5"/>
        <v/>
      </c>
    </row>
    <row r="31" spans="1:8">
      <c r="A31" s="534"/>
      <c r="B31" s="305" t="str">
        <f t="shared" si="2"/>
        <v/>
      </c>
      <c r="C31" s="305"/>
      <c r="D31" s="306"/>
      <c r="E31" s="276" t="str">
        <f t="shared" si="3"/>
        <v/>
      </c>
      <c r="F31" s="405"/>
      <c r="G31" s="310" t="str">
        <f t="shared" si="4"/>
        <v/>
      </c>
      <c r="H31" s="311" t="str">
        <f t="shared" si="5"/>
        <v/>
      </c>
    </row>
    <row r="32" spans="1:8" ht="13.5" thickBot="1">
      <c r="A32" s="535"/>
      <c r="B32" s="326" t="str">
        <f t="shared" si="2"/>
        <v/>
      </c>
      <c r="C32" s="314"/>
      <c r="D32" s="314"/>
      <c r="E32" s="315" t="str">
        <f t="shared" si="3"/>
        <v/>
      </c>
      <c r="F32" s="406"/>
      <c r="G32" s="327" t="str">
        <f t="shared" si="4"/>
        <v/>
      </c>
      <c r="H32" s="311" t="str">
        <f t="shared" si="5"/>
        <v/>
      </c>
    </row>
    <row r="33" spans="1:8" ht="13.5" thickBot="1">
      <c r="A33" s="285"/>
      <c r="B33" s="285"/>
      <c r="C33" s="285"/>
      <c r="D33" s="285"/>
      <c r="E33" s="286"/>
      <c r="F33" s="285"/>
      <c r="G33" s="210" t="s">
        <v>529</v>
      </c>
      <c r="H33" s="328">
        <f>ROUND(SUM(H23:H32),0)</f>
        <v>3944500</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546"/>
      <c r="B37" s="305"/>
      <c r="C37" s="333"/>
      <c r="D37" s="409"/>
      <c r="E37" s="419"/>
      <c r="F37" s="413"/>
      <c r="G37" s="334"/>
      <c r="H37" s="311"/>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t="str">
        <f>IF(A39="","",ROUND((G39*F39*E39),0))</f>
        <v/>
      </c>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0</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883</v>
      </c>
      <c r="B46" s="2192" t="str">
        <f>IF(A46="","",VLOOKUP(A46,MO,2,FALSE))</f>
        <v>Cuadrilla AA: Albañilería. (1 Of. + 1 Ayud.).</v>
      </c>
      <c r="C46" s="2193"/>
      <c r="D46" s="2194"/>
      <c r="E46" s="538" t="str">
        <f>IF(A46="","",VLOOKUP(A46,MO,13,FALSE))</f>
        <v>HC</v>
      </c>
      <c r="F46" s="544">
        <v>0.04</v>
      </c>
      <c r="G46" s="540">
        <f>IF(A46="","",VLOOKUP(A46,MO,15,FALSE))</f>
        <v>38949</v>
      </c>
      <c r="H46" s="542">
        <f>IF(A46="","",ROUND((G46/F46),0))</f>
        <v>973725</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973725</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5196911</v>
      </c>
    </row>
    <row r="53" spans="1:8">
      <c r="A53" s="285"/>
      <c r="B53" s="285"/>
      <c r="C53" s="285"/>
      <c r="D53" s="285"/>
      <c r="E53" s="346"/>
      <c r="F53" s="347"/>
      <c r="G53" s="347"/>
      <c r="H53" s="349"/>
    </row>
    <row r="54" spans="1:8">
      <c r="A54" s="285"/>
      <c r="B54" s="285"/>
      <c r="C54" s="285"/>
      <c r="D54" s="285"/>
      <c r="E54" s="346"/>
      <c r="F54" s="347"/>
      <c r="G54" s="347"/>
      <c r="H54" s="349"/>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c r="A59" s="703" t="str">
        <f>+[14]PRESUPUESTO!$A$113</f>
        <v>__________________________________________</v>
      </c>
      <c r="B59" s="703"/>
    </row>
    <row r="60" spans="1:8">
      <c r="A60" s="810" t="str">
        <f>+[14]PRESUPUESTO!$A$114</f>
        <v>Ing. JHON FREDY GARCIA MENDEZ</v>
      </c>
      <c r="B60" s="703"/>
    </row>
    <row r="61" spans="1:8">
      <c r="A61" s="811" t="str">
        <f>+[14]PRESUPUESTO!$A$115</f>
        <v>M.P.  70268-326294 TLM.</v>
      </c>
      <c r="B61" s="703"/>
    </row>
    <row r="62" spans="1:8">
      <c r="A62" s="811" t="str">
        <f>+[14]PRESUPUESTO!$A$116</f>
        <v>CONSULTOR</v>
      </c>
      <c r="B62" s="703"/>
    </row>
  </sheetData>
  <mergeCells count="15">
    <mergeCell ref="D2:E4"/>
    <mergeCell ref="F2:H2"/>
    <mergeCell ref="F3:H3"/>
    <mergeCell ref="F4:H4"/>
    <mergeCell ref="A5:E5"/>
    <mergeCell ref="F5:H5"/>
    <mergeCell ref="B47:D47"/>
    <mergeCell ref="B48:D48"/>
    <mergeCell ref="B49:D49"/>
    <mergeCell ref="B6:D6"/>
    <mergeCell ref="B7:E7"/>
    <mergeCell ref="B8:E8"/>
    <mergeCell ref="B36:C36"/>
    <mergeCell ref="B45:D45"/>
    <mergeCell ref="B46:D46"/>
  </mergeCells>
  <pageMargins left="0.75" right="0.75" top="1" bottom="1" header="0" footer="0"/>
  <pageSetup paperSize="9" scale="70" orientation="portrait" r:id="rId1"/>
  <headerFooter alignWithMargins="0"/>
  <drawing r:id="rId2"/>
  <legacyDrawing r:id="rId3"/>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sheetPr>
    <tabColor theme="6" tint="0.79998168889431442"/>
  </sheetPr>
  <dimension ref="A1:I62"/>
  <sheetViews>
    <sheetView workbookViewId="0"/>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4.570312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t="e">
        <f>PRESUPUESTO!#REF!</f>
        <v>#REF!</v>
      </c>
      <c r="B7" s="2185" t="e">
        <f>PRESUPUESTO!#REF!</f>
        <v>#REF!</v>
      </c>
      <c r="C7" s="2185"/>
      <c r="D7" s="2185"/>
      <c r="E7" s="2185"/>
      <c r="F7" s="289"/>
      <c r="G7" s="290" t="s">
        <v>525</v>
      </c>
      <c r="H7" s="97" t="e">
        <f>+PRESUPUESTO!#REF!</f>
        <v>#REF!</v>
      </c>
    </row>
    <row r="8" spans="1:9" ht="63.75" customHeight="1">
      <c r="A8" s="97" t="e">
        <f>+PRESUPUESTO!#REF!</f>
        <v>#REF!</v>
      </c>
      <c r="B8" s="2257" t="e">
        <f>+PRESUPUESTO!#REF!</f>
        <v>#REF!</v>
      </c>
      <c r="C8" s="2257"/>
      <c r="D8" s="2257"/>
      <c r="E8" s="225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966</v>
      </c>
      <c r="B13" s="305" t="str">
        <f t="shared" ref="B13:B18" si="0">IF(A13="","",VLOOKUP(A13,EQUI,2,FALSE))</f>
        <v>Herramienta Menor (5% de la mano de obra).</v>
      </c>
      <c r="C13" s="306"/>
      <c r="D13" s="306"/>
      <c r="E13" s="276" t="str">
        <f t="shared" ref="E13:E18" si="1">IF(A13="","",VLOOKUP(A13,EQUI,3,FALSE))</f>
        <v>%</v>
      </c>
      <c r="F13" s="433">
        <f>IF(A13="","",VLOOKUP(A13,EQUI,4,FALSE))</f>
        <v>0.05</v>
      </c>
      <c r="G13" s="307">
        <f>ROUND(F13*H50,0)</f>
        <v>2562</v>
      </c>
      <c r="H13" s="308">
        <f>+G13</f>
        <v>2562</v>
      </c>
      <c r="I13" s="309"/>
    </row>
    <row r="14" spans="1:9">
      <c r="A14" s="536"/>
      <c r="B14" s="305" t="str">
        <f t="shared" si="0"/>
        <v/>
      </c>
      <c r="C14" s="306"/>
      <c r="D14" s="306"/>
      <c r="E14" s="276" t="str">
        <f t="shared" si="1"/>
        <v/>
      </c>
      <c r="F14" s="405"/>
      <c r="G14" s="310" t="str">
        <f>IF(A14="","",VLOOKUP(A14,EQUI,4,FALSE))</f>
        <v/>
      </c>
      <c r="H14" s="311" t="str">
        <f>IF(A14="","",ROUND((G14/F14),0))</f>
        <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2562</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t="s">
        <v>1735</v>
      </c>
      <c r="B23" s="353" t="str">
        <f>IF(A23="","",VLOOKUP(A23,MAT,2,FALSE))</f>
        <v xml:space="preserve">Tubería Corrugada Alcantarillado RS8 de 315 mm </v>
      </c>
      <c r="C23" s="305"/>
      <c r="D23" s="306"/>
      <c r="E23" s="276" t="str">
        <f>IF(A23="","",VLOOKUP(A23,MAT,3,FALSE))</f>
        <v>m.</v>
      </c>
      <c r="F23" s="405">
        <v>1.03</v>
      </c>
      <c r="G23" s="310">
        <f>IF(A23="","",VLOOKUP(A23,MAT,5,FALSE))</f>
        <v>157926.33333333334</v>
      </c>
      <c r="H23" s="311">
        <f>IF(A23="","",ROUND((G23*F23),0))</f>
        <v>162664</v>
      </c>
    </row>
    <row r="24" spans="1:8">
      <c r="A24" s="534" t="s">
        <v>1387</v>
      </c>
      <c r="B24" s="353" t="str">
        <f>IF(A24="","",VLOOKUP(A24,MAT,2,FALSE))</f>
        <v>Lubricante PVC x 500 gr.</v>
      </c>
      <c r="C24" s="305"/>
      <c r="D24" s="306"/>
      <c r="E24" s="276" t="str">
        <f>IF(A24="","",VLOOKUP(A24,MAT,3,FALSE))</f>
        <v>Lb.</v>
      </c>
      <c r="F24" s="405">
        <v>7.0000000000000007E-2</v>
      </c>
      <c r="G24" s="310">
        <f>IF(A24="","",VLOOKUP(A24,MAT,5,FALSE))</f>
        <v>34081</v>
      </c>
      <c r="H24" s="311">
        <f>IF(A24="","",ROUND((G24*F24),0))</f>
        <v>2386</v>
      </c>
    </row>
    <row r="25" spans="1:8">
      <c r="A25" s="534" t="s">
        <v>1388</v>
      </c>
      <c r="B25" s="353" t="str">
        <f>IF(A25="","",VLOOKUP(A25,MAT,2,FALSE))</f>
        <v>Limpiador PVC x 1/4.</v>
      </c>
      <c r="C25" s="305"/>
      <c r="D25" s="306"/>
      <c r="E25" s="276" t="str">
        <f>IF(A25="","",VLOOKUP(A25,MAT,3,FALSE))</f>
        <v>1/4 Gal</v>
      </c>
      <c r="F25" s="405">
        <v>2.8000000000000001E-2</v>
      </c>
      <c r="G25" s="310">
        <f>IF(A25="","",VLOOKUP(A25,MAT,5,FALSE))</f>
        <v>72505</v>
      </c>
      <c r="H25" s="311">
        <f>IF(A25="","",ROUND((G25*F25),0))</f>
        <v>2030</v>
      </c>
    </row>
    <row r="26" spans="1:8">
      <c r="A26" s="534"/>
      <c r="B26" s="305" t="str">
        <f t="shared" ref="B26:B32" si="2">IF(A26="","",VLOOKUP(A26,MAT,2,FALSE))</f>
        <v/>
      </c>
      <c r="C26" s="305"/>
      <c r="D26" s="306"/>
      <c r="E26" s="276" t="str">
        <f t="shared" ref="E26:E32" si="3">IF(A26="","",VLOOKUP(A26,MAT,3,FALSE))</f>
        <v/>
      </c>
      <c r="F26" s="405"/>
      <c r="G26" s="310" t="str">
        <f t="shared" ref="G26:G32" si="4">IF(A26="","",VLOOKUP(A26,MAT,5,FALSE))</f>
        <v/>
      </c>
      <c r="H26" s="311" t="str">
        <f t="shared" ref="H26:H32" si="5">IF(A26="","",ROUND((G26*F26),0))</f>
        <v/>
      </c>
    </row>
    <row r="27" spans="1:8">
      <c r="A27" s="534"/>
      <c r="B27" s="305" t="str">
        <f t="shared" si="2"/>
        <v/>
      </c>
      <c r="C27" s="305"/>
      <c r="D27" s="306"/>
      <c r="E27" s="276" t="str">
        <f t="shared" si="3"/>
        <v/>
      </c>
      <c r="F27" s="405"/>
      <c r="G27" s="310" t="str">
        <f t="shared" si="4"/>
        <v/>
      </c>
      <c r="H27" s="311" t="str">
        <f t="shared" si="5"/>
        <v/>
      </c>
    </row>
    <row r="28" spans="1:8">
      <c r="A28" s="534"/>
      <c r="B28" s="305" t="str">
        <f t="shared" si="2"/>
        <v/>
      </c>
      <c r="C28" s="305"/>
      <c r="D28" s="306"/>
      <c r="E28" s="276" t="str">
        <f t="shared" si="3"/>
        <v/>
      </c>
      <c r="F28" s="405"/>
      <c r="G28" s="310" t="str">
        <f t="shared" si="4"/>
        <v/>
      </c>
      <c r="H28" s="311" t="str">
        <f t="shared" si="5"/>
        <v/>
      </c>
    </row>
    <row r="29" spans="1:8">
      <c r="A29" s="534"/>
      <c r="B29" s="305" t="str">
        <f t="shared" si="2"/>
        <v/>
      </c>
      <c r="C29" s="305"/>
      <c r="D29" s="306"/>
      <c r="E29" s="276" t="str">
        <f t="shared" si="3"/>
        <v/>
      </c>
      <c r="F29" s="405"/>
      <c r="G29" s="310" t="str">
        <f t="shared" si="4"/>
        <v/>
      </c>
      <c r="H29" s="311" t="str">
        <f t="shared" si="5"/>
        <v/>
      </c>
    </row>
    <row r="30" spans="1:8">
      <c r="A30" s="534"/>
      <c r="B30" s="305" t="str">
        <f t="shared" si="2"/>
        <v/>
      </c>
      <c r="C30" s="305"/>
      <c r="D30" s="306"/>
      <c r="E30" s="276" t="str">
        <f t="shared" si="3"/>
        <v/>
      </c>
      <c r="F30" s="405"/>
      <c r="G30" s="310" t="str">
        <f t="shared" si="4"/>
        <v/>
      </c>
      <c r="H30" s="311" t="str">
        <f t="shared" si="5"/>
        <v/>
      </c>
    </row>
    <row r="31" spans="1:8">
      <c r="A31" s="534"/>
      <c r="B31" s="305" t="str">
        <f t="shared" si="2"/>
        <v/>
      </c>
      <c r="C31" s="305"/>
      <c r="D31" s="306"/>
      <c r="E31" s="276" t="str">
        <f t="shared" si="3"/>
        <v/>
      </c>
      <c r="F31" s="405"/>
      <c r="G31" s="310" t="str">
        <f t="shared" si="4"/>
        <v/>
      </c>
      <c r="H31" s="311" t="str">
        <f t="shared" si="5"/>
        <v/>
      </c>
    </row>
    <row r="32" spans="1:8" ht="13.5" thickBot="1">
      <c r="A32" s="535"/>
      <c r="B32" s="326" t="str">
        <f t="shared" si="2"/>
        <v/>
      </c>
      <c r="C32" s="314"/>
      <c r="D32" s="314"/>
      <c r="E32" s="315" t="str">
        <f t="shared" si="3"/>
        <v/>
      </c>
      <c r="F32" s="406"/>
      <c r="G32" s="327" t="str">
        <f t="shared" si="4"/>
        <v/>
      </c>
      <c r="H32" s="311" t="str">
        <f t="shared" si="5"/>
        <v/>
      </c>
    </row>
    <row r="33" spans="1:8" ht="13.5" thickBot="1">
      <c r="A33" s="285"/>
      <c r="B33" s="285"/>
      <c r="C33" s="285"/>
      <c r="D33" s="285"/>
      <c r="E33" s="286"/>
      <c r="F33" s="285"/>
      <c r="G33" s="210" t="s">
        <v>529</v>
      </c>
      <c r="H33" s="328">
        <f>ROUND(SUM(H23:H32),0)</f>
        <v>167080</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546" t="str">
        <f>A23</f>
        <v>TA12</v>
      </c>
      <c r="B37" s="305" t="str">
        <f>IF(A37="","",VLOOKUP(A37,MAT,2,FALSE))</f>
        <v xml:space="preserve">Tubería Corrugada Alcantarillado RS8 de 315 mm </v>
      </c>
      <c r="C37" s="333"/>
      <c r="D37" s="409" t="str">
        <f>IF(A37="","",VLOOKUP(A37,MAT,3,FALSE))</f>
        <v>m.</v>
      </c>
      <c r="E37" s="419">
        <f>IF(A37="","",VLOOKUP(A37,MAT,6,FALSE))</f>
        <v>160</v>
      </c>
      <c r="F37" s="413">
        <f>IF(A37="","",VLOOKUP(A37,$A$23:$H$32,6,FALSE))</f>
        <v>1.03</v>
      </c>
      <c r="G37" s="334">
        <f>IF(A37="","",VLOOKUP(A37,MAT,7,FALSE))</f>
        <v>15</v>
      </c>
      <c r="H37" s="311">
        <f>(ROUND((G37*F37*E37),0))</f>
        <v>2472</v>
      </c>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t="str">
        <f>IF(A39="","",ROUND((G39*F39*E39),0))</f>
        <v/>
      </c>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2472</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940</v>
      </c>
      <c r="B46" s="2192" t="str">
        <f>IF(A46="","",VLOOKUP(A46,MO,2,FALSE))</f>
        <v>Cuadrilla NN: Instalaciones hidrosanitarias. (1 Of.Insta.+ 2 Ayud.).</v>
      </c>
      <c r="C46" s="2193"/>
      <c r="D46" s="2194"/>
      <c r="E46" s="538" t="str">
        <f>IF(A46="","",VLOOKUP(A46,MO,13,FALSE))</f>
        <v>HC</v>
      </c>
      <c r="F46" s="544">
        <v>1.9</v>
      </c>
      <c r="G46" s="540">
        <f>IF(A46="","",VLOOKUP(A46,MO,15,FALSE))</f>
        <v>97342</v>
      </c>
      <c r="H46" s="542">
        <f>IF(A46="","",ROUND((G46/F46),0))</f>
        <v>51233</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51233</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223347</v>
      </c>
    </row>
    <row r="53" spans="1:8">
      <c r="A53" s="285"/>
      <c r="B53" s="285"/>
      <c r="C53" s="285"/>
      <c r="D53" s="285"/>
      <c r="E53" s="346"/>
      <c r="F53" s="347"/>
      <c r="G53" s="347"/>
      <c r="H53" s="349"/>
    </row>
    <row r="54" spans="1:8">
      <c r="A54" s="285"/>
      <c r="B54" s="285"/>
      <c r="C54" s="285"/>
      <c r="D54" s="285"/>
      <c r="E54" s="346"/>
      <c r="F54" s="347"/>
      <c r="G54" s="347"/>
      <c r="H54" s="349"/>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c r="A59" s="703" t="str">
        <f>+[14]PRESUPUESTO!$A$113</f>
        <v>__________________________________________</v>
      </c>
      <c r="B59" s="703"/>
    </row>
    <row r="60" spans="1:8">
      <c r="A60" s="810" t="str">
        <f>+[14]PRESUPUESTO!$A$114</f>
        <v>Ing. JHON FREDY GARCIA MENDEZ</v>
      </c>
      <c r="B60" s="703"/>
    </row>
    <row r="61" spans="1:8">
      <c r="A61" s="811" t="str">
        <f>+[14]PRESUPUESTO!$A$115</f>
        <v>M.P.  70268-326294 TLM.</v>
      </c>
      <c r="B61" s="703"/>
    </row>
    <row r="62" spans="1:8">
      <c r="A62" s="811" t="str">
        <f>+[14]PRESUPUESTO!$A$116</f>
        <v>CONSULTOR</v>
      </c>
      <c r="B62" s="703"/>
    </row>
  </sheetData>
  <mergeCells count="15">
    <mergeCell ref="D2:E4"/>
    <mergeCell ref="F2:H2"/>
    <mergeCell ref="F3:H3"/>
    <mergeCell ref="F4:H4"/>
    <mergeCell ref="A5:E5"/>
    <mergeCell ref="F5:H5"/>
    <mergeCell ref="B47:D47"/>
    <mergeCell ref="B48:D48"/>
    <mergeCell ref="B49:D49"/>
    <mergeCell ref="B6:D6"/>
    <mergeCell ref="B7:E7"/>
    <mergeCell ref="B8:E8"/>
    <mergeCell ref="B36:C36"/>
    <mergeCell ref="B45:D45"/>
    <mergeCell ref="B46:D46"/>
  </mergeCells>
  <pageMargins left="0.75" right="0.75" top="1" bottom="1" header="0" footer="0"/>
  <pageSetup paperSize="9" scale="70" orientation="portrait" r:id="rId1"/>
  <headerFooter alignWithMargins="0"/>
  <drawing r:id="rId2"/>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F00-000000000000}">
  <sheetPr>
    <tabColor theme="6" tint="0.79998168889431442"/>
  </sheetPr>
  <dimension ref="A1:I62"/>
  <sheetViews>
    <sheetView workbookViewId="0"/>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4.570312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t="e">
        <f>PRESUPUESTO!#REF!</f>
        <v>#REF!</v>
      </c>
      <c r="B7" s="2185" t="e">
        <f>PRESUPUESTO!#REF!</f>
        <v>#REF!</v>
      </c>
      <c r="C7" s="2185"/>
      <c r="D7" s="2185"/>
      <c r="E7" s="2185"/>
      <c r="F7" s="289"/>
      <c r="G7" s="290" t="s">
        <v>525</v>
      </c>
      <c r="H7" s="97" t="e">
        <f>+PRESUPUESTO!#REF!</f>
        <v>#REF!</v>
      </c>
    </row>
    <row r="8" spans="1:9" ht="27.75" customHeight="1">
      <c r="A8" s="97" t="e">
        <f>+PRESUPUESTO!#REF!</f>
        <v>#REF!</v>
      </c>
      <c r="B8" s="2272" t="e">
        <f>+PRESUPUESTO!#REF!</f>
        <v>#REF!</v>
      </c>
      <c r="C8" s="2257"/>
      <c r="D8" s="2257"/>
      <c r="E8" s="225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967</v>
      </c>
      <c r="B13" s="305" t="str">
        <f t="shared" ref="B13:B18" si="0">IF(A13="","",VLOOKUP(A13,EQUI,2,FALSE))</f>
        <v>Herramienta Menor (10% de la mano de obra).</v>
      </c>
      <c r="C13" s="306"/>
      <c r="D13" s="306"/>
      <c r="E13" s="276" t="str">
        <f t="shared" ref="E13:E18" si="1">IF(A13="","",VLOOKUP(A13,EQUI,3,FALSE))</f>
        <v>%</v>
      </c>
      <c r="F13" s="433">
        <f>IF(A13="","",VLOOKUP(A13,EQUI,4,FALSE))</f>
        <v>0.1</v>
      </c>
      <c r="G13" s="307">
        <f>ROUND(F13*H50,0)</f>
        <v>111283</v>
      </c>
      <c r="H13" s="308">
        <f>+G13</f>
        <v>111283</v>
      </c>
      <c r="I13" s="309"/>
    </row>
    <row r="14" spans="1:9">
      <c r="A14" s="536"/>
      <c r="B14" s="305"/>
      <c r="C14" s="306"/>
      <c r="D14" s="306"/>
      <c r="E14" s="276" t="str">
        <f t="shared" si="1"/>
        <v/>
      </c>
      <c r="F14" s="405"/>
      <c r="G14" s="310" t="str">
        <f>IF(A14="","",VLOOKUP(A14,EQUI,4,FALSE))</f>
        <v/>
      </c>
      <c r="H14" s="311" t="str">
        <f>IF(A14="","",ROUND((G14/F14),0))</f>
        <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111283</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t="s">
        <v>2496</v>
      </c>
      <c r="B23" s="353" t="str">
        <f>IF(A23="","",VLOOKUP(A23,MAT,2,FALSE))</f>
        <v>Concreto de 175 Kg/cm2 (2500 PSI) Ciclopeo</v>
      </c>
      <c r="C23" s="305"/>
      <c r="D23" s="306"/>
      <c r="E23" s="276" t="str">
        <f>IF(A23="","",VLOOKUP(A23,MAT,3,FALSE))</f>
        <v>m3</v>
      </c>
      <c r="F23" s="405">
        <v>3</v>
      </c>
      <c r="G23" s="310">
        <f>IF(A23="","",VLOOKUP(A23,MAT,5,FALSE))</f>
        <v>707993</v>
      </c>
      <c r="H23" s="311">
        <f>IF(A23="","",ROUND((G23*F23),0))</f>
        <v>2123979</v>
      </c>
    </row>
    <row r="24" spans="1:8">
      <c r="A24" s="534" t="s">
        <v>565</v>
      </c>
      <c r="B24" s="353" t="str">
        <f>IF(A24="","",VLOOKUP(A24,MAT,2,FALSE))</f>
        <v>Acero de refuerzo de 60.000psi</v>
      </c>
      <c r="C24" s="305"/>
      <c r="D24" s="306"/>
      <c r="E24" s="276" t="str">
        <f>IF(A24="","",VLOOKUP(A24,MAT,3,FALSE))</f>
        <v>Kg.</v>
      </c>
      <c r="F24" s="405">
        <v>100</v>
      </c>
      <c r="G24" s="310">
        <f>IF(A24="","",VLOOKUP(A24,MAT,5,FALSE))</f>
        <v>5200</v>
      </c>
      <c r="H24" s="311">
        <f>IF(A24="","",ROUND((G24*F24),0))</f>
        <v>520000</v>
      </c>
    </row>
    <row r="25" spans="1:8">
      <c r="A25" s="534"/>
      <c r="B25" s="1033"/>
      <c r="C25" s="305"/>
      <c r="D25" s="306"/>
      <c r="E25" s="815"/>
      <c r="F25" s="405"/>
      <c r="G25" s="310"/>
      <c r="H25" s="311"/>
    </row>
    <row r="26" spans="1:8">
      <c r="A26" s="534"/>
      <c r="B26" s="305" t="str">
        <f t="shared" ref="B26:B32" si="2">IF(A26="","",VLOOKUP(A26,MAT,2,FALSE))</f>
        <v/>
      </c>
      <c r="C26" s="305"/>
      <c r="D26" s="306"/>
      <c r="E26" s="276" t="str">
        <f t="shared" ref="E26:E32" si="3">IF(A26="","",VLOOKUP(A26,MAT,3,FALSE))</f>
        <v/>
      </c>
      <c r="F26" s="405"/>
      <c r="G26" s="310" t="str">
        <f t="shared" ref="G26:G32" si="4">IF(A26="","",VLOOKUP(A26,MAT,5,FALSE))</f>
        <v/>
      </c>
      <c r="H26" s="311" t="str">
        <f t="shared" ref="H26:H32" si="5">IF(A26="","",ROUND((G26*F26),0))</f>
        <v/>
      </c>
    </row>
    <row r="27" spans="1:8">
      <c r="A27" s="534"/>
      <c r="B27" s="305" t="str">
        <f t="shared" si="2"/>
        <v/>
      </c>
      <c r="C27" s="305"/>
      <c r="D27" s="306"/>
      <c r="E27" s="276" t="str">
        <f t="shared" si="3"/>
        <v/>
      </c>
      <c r="F27" s="405"/>
      <c r="G27" s="310" t="str">
        <f t="shared" si="4"/>
        <v/>
      </c>
      <c r="H27" s="311" t="str">
        <f t="shared" si="5"/>
        <v/>
      </c>
    </row>
    <row r="28" spans="1:8">
      <c r="A28" s="534"/>
      <c r="B28" s="305" t="str">
        <f t="shared" si="2"/>
        <v/>
      </c>
      <c r="C28" s="305"/>
      <c r="D28" s="306"/>
      <c r="E28" s="276" t="str">
        <f t="shared" si="3"/>
        <v/>
      </c>
      <c r="F28" s="405"/>
      <c r="G28" s="310" t="str">
        <f t="shared" si="4"/>
        <v/>
      </c>
      <c r="H28" s="311" t="str">
        <f t="shared" si="5"/>
        <v/>
      </c>
    </row>
    <row r="29" spans="1:8">
      <c r="A29" s="534"/>
      <c r="B29" s="305" t="str">
        <f t="shared" si="2"/>
        <v/>
      </c>
      <c r="C29" s="305"/>
      <c r="D29" s="306"/>
      <c r="E29" s="276" t="str">
        <f t="shared" si="3"/>
        <v/>
      </c>
      <c r="F29" s="405"/>
      <c r="G29" s="310" t="str">
        <f t="shared" si="4"/>
        <v/>
      </c>
      <c r="H29" s="311" t="str">
        <f t="shared" si="5"/>
        <v/>
      </c>
    </row>
    <row r="30" spans="1:8">
      <c r="A30" s="534"/>
      <c r="B30" s="305" t="str">
        <f t="shared" si="2"/>
        <v/>
      </c>
      <c r="C30" s="305"/>
      <c r="D30" s="306"/>
      <c r="E30" s="276" t="str">
        <f t="shared" si="3"/>
        <v/>
      </c>
      <c r="F30" s="405"/>
      <c r="G30" s="310" t="str">
        <f t="shared" si="4"/>
        <v/>
      </c>
      <c r="H30" s="311" t="str">
        <f t="shared" si="5"/>
        <v/>
      </c>
    </row>
    <row r="31" spans="1:8">
      <c r="A31" s="534"/>
      <c r="B31" s="305" t="str">
        <f t="shared" si="2"/>
        <v/>
      </c>
      <c r="C31" s="305"/>
      <c r="D31" s="306"/>
      <c r="E31" s="276" t="str">
        <f t="shared" si="3"/>
        <v/>
      </c>
      <c r="F31" s="405"/>
      <c r="G31" s="310" t="str">
        <f t="shared" si="4"/>
        <v/>
      </c>
      <c r="H31" s="311" t="str">
        <f t="shared" si="5"/>
        <v/>
      </c>
    </row>
    <row r="32" spans="1:8" ht="13.5" thickBot="1">
      <c r="A32" s="535"/>
      <c r="B32" s="326" t="str">
        <f t="shared" si="2"/>
        <v/>
      </c>
      <c r="C32" s="314"/>
      <c r="D32" s="314"/>
      <c r="E32" s="315" t="str">
        <f t="shared" si="3"/>
        <v/>
      </c>
      <c r="F32" s="406"/>
      <c r="G32" s="327" t="str">
        <f t="shared" si="4"/>
        <v/>
      </c>
      <c r="H32" s="311" t="str">
        <f t="shared" si="5"/>
        <v/>
      </c>
    </row>
    <row r="33" spans="1:8" ht="13.5" thickBot="1">
      <c r="A33" s="285"/>
      <c r="B33" s="285"/>
      <c r="C33" s="285"/>
      <c r="D33" s="285"/>
      <c r="E33" s="286"/>
      <c r="F33" s="285"/>
      <c r="G33" s="210" t="s">
        <v>529</v>
      </c>
      <c r="H33" s="328">
        <f>ROUND(SUM(H23:H32),0)</f>
        <v>2643979</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771" t="s">
        <v>565</v>
      </c>
      <c r="B37" s="737"/>
      <c r="C37" s="772"/>
      <c r="D37" s="773"/>
      <c r="E37" s="774"/>
      <c r="F37" s="775"/>
      <c r="G37" s="776"/>
      <c r="H37" s="746"/>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0</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883</v>
      </c>
      <c r="B46" s="2192" t="str">
        <f>IF(A46="","",VLOOKUP(A46,MO,2,FALSE))</f>
        <v>Cuadrilla AA: Albañilería. (1 Of. + 1 Ayud.).</v>
      </c>
      <c r="C46" s="2193"/>
      <c r="D46" s="2194"/>
      <c r="E46" s="538" t="str">
        <f>IF(A46="","",VLOOKUP(A46,MO,13,FALSE))</f>
        <v>HC</v>
      </c>
      <c r="F46" s="544">
        <v>3.5000000000000003E-2</v>
      </c>
      <c r="G46" s="540">
        <f>IF(A46="","",VLOOKUP(A46,MO,15,FALSE))</f>
        <v>38949</v>
      </c>
      <c r="H46" s="542">
        <f>IF(A46="","",ROUND((G46/F46),0))</f>
        <v>1112829</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1112829</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3868091</v>
      </c>
    </row>
    <row r="53" spans="1:8">
      <c r="A53" s="285"/>
      <c r="B53" s="285"/>
      <c r="C53" s="285"/>
      <c r="D53" s="285"/>
      <c r="E53" s="346"/>
      <c r="F53" s="347"/>
      <c r="G53" s="347"/>
      <c r="H53" s="349"/>
    </row>
    <row r="54" spans="1:8">
      <c r="A54" s="285"/>
      <c r="B54" s="285"/>
      <c r="C54" s="285"/>
      <c r="D54" s="285"/>
      <c r="E54" s="346"/>
      <c r="F54" s="347"/>
      <c r="G54" s="347"/>
      <c r="H54" s="349"/>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c r="A59" s="703" t="str">
        <f>+[14]PRESUPUESTO!$A$113</f>
        <v>__________________________________________</v>
      </c>
      <c r="B59" s="703"/>
    </row>
    <row r="60" spans="1:8">
      <c r="A60" s="810" t="str">
        <f>+[14]PRESUPUESTO!$A$114</f>
        <v>Ing. JHON FREDY GARCIA MENDEZ</v>
      </c>
      <c r="B60" s="703"/>
    </row>
    <row r="61" spans="1:8">
      <c r="A61" s="811" t="str">
        <f>+[14]PRESUPUESTO!$A$115</f>
        <v>M.P.  70268-326294 TLM.</v>
      </c>
      <c r="B61" s="703"/>
    </row>
    <row r="62" spans="1:8">
      <c r="A62" s="811" t="str">
        <f>+[14]PRESUPUESTO!$A$116</f>
        <v>CONSULTOR</v>
      </c>
      <c r="B62" s="703"/>
    </row>
  </sheetData>
  <mergeCells count="15">
    <mergeCell ref="D2:E4"/>
    <mergeCell ref="F2:H2"/>
    <mergeCell ref="F3:H3"/>
    <mergeCell ref="F4:H4"/>
    <mergeCell ref="A5:E5"/>
    <mergeCell ref="F5:H5"/>
    <mergeCell ref="B47:D47"/>
    <mergeCell ref="B48:D48"/>
    <mergeCell ref="B49:D49"/>
    <mergeCell ref="B6:D6"/>
    <mergeCell ref="B7:E7"/>
    <mergeCell ref="B8:E8"/>
    <mergeCell ref="B36:C36"/>
    <mergeCell ref="B45:D45"/>
    <mergeCell ref="B46:D46"/>
  </mergeCells>
  <phoneticPr fontId="139" type="noConversion"/>
  <pageMargins left="0.75" right="0.75" top="1" bottom="1" header="0" footer="0"/>
  <pageSetup paperSize="9" scale="70" orientation="portrait" r:id="rId1"/>
  <headerFooter alignWithMargins="0"/>
  <drawing r:id="rId2"/>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sheetPr>
    <tabColor theme="6" tint="0.79998168889431442"/>
  </sheetPr>
  <dimension ref="A1:I62"/>
  <sheetViews>
    <sheetView workbookViewId="0"/>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4.570312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t="e">
        <f>PRESUPUESTO!#REF!</f>
        <v>#REF!</v>
      </c>
      <c r="B7" s="2185" t="e">
        <f>PRESUPUESTO!#REF!</f>
        <v>#REF!</v>
      </c>
      <c r="C7" s="2185"/>
      <c r="D7" s="2185"/>
      <c r="E7" s="2185"/>
      <c r="F7" s="289"/>
      <c r="G7" s="290" t="s">
        <v>525</v>
      </c>
      <c r="H7" s="97" t="e">
        <f>+PRESUPUESTO!#REF!</f>
        <v>#REF!</v>
      </c>
    </row>
    <row r="8" spans="1:9">
      <c r="A8" s="97" t="e">
        <f>+PRESUPUESTO!#REF!</f>
        <v>#REF!</v>
      </c>
      <c r="B8" s="2272" t="e">
        <f>+PRESUPUESTO!#REF!</f>
        <v>#REF!</v>
      </c>
      <c r="C8" s="2257"/>
      <c r="D8" s="2257"/>
      <c r="E8" s="225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967</v>
      </c>
      <c r="B13" s="305" t="str">
        <f t="shared" ref="B13:B18" si="0">IF(A13="","",VLOOKUP(A13,EQUI,2,FALSE))</f>
        <v>Herramienta Menor (10% de la mano de obra).</v>
      </c>
      <c r="C13" s="306"/>
      <c r="D13" s="306"/>
      <c r="E13" s="276" t="str">
        <f t="shared" ref="E13:E18" si="1">IF(A13="","",VLOOKUP(A13,EQUI,3,FALSE))</f>
        <v>%</v>
      </c>
      <c r="F13" s="433">
        <f>IF(A13="","",VLOOKUP(A13,EQUI,4,FALSE))</f>
        <v>0.1</v>
      </c>
      <c r="G13" s="307">
        <f>ROUND(F13*H50,0)</f>
        <v>21638</v>
      </c>
      <c r="H13" s="308">
        <f>+G13</f>
        <v>21638</v>
      </c>
      <c r="I13" s="309"/>
    </row>
    <row r="14" spans="1:9">
      <c r="A14" s="536"/>
      <c r="B14" s="305"/>
      <c r="C14" s="306"/>
      <c r="D14" s="306"/>
      <c r="E14" s="276" t="str">
        <f t="shared" si="1"/>
        <v/>
      </c>
      <c r="F14" s="405"/>
      <c r="G14" s="310" t="str">
        <f>IF(A14="","",VLOOKUP(A14,EQUI,4,FALSE))</f>
        <v/>
      </c>
      <c r="H14" s="311" t="str">
        <f>IF(A14="","",ROUND((G14/F14),0))</f>
        <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21638</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c r="B23" s="1033" t="s">
        <v>2422</v>
      </c>
      <c r="C23" s="305"/>
      <c r="D23" s="306"/>
      <c r="E23" s="815" t="s">
        <v>1681</v>
      </c>
      <c r="F23" s="405">
        <v>1</v>
      </c>
      <c r="G23" s="310">
        <v>850091</v>
      </c>
      <c r="H23" s="311">
        <f>ROUND(F23*G23,0)</f>
        <v>850091</v>
      </c>
    </row>
    <row r="24" spans="1:8">
      <c r="A24" s="534"/>
      <c r="B24" s="353" t="str">
        <f>IF(A24="","",VLOOKUP(A24,MAT,2,FALSE))</f>
        <v/>
      </c>
      <c r="C24" s="305"/>
      <c r="D24" s="306"/>
      <c r="E24" s="276" t="str">
        <f>IF(A24="","",VLOOKUP(A24,MAT,3,FALSE))</f>
        <v/>
      </c>
      <c r="F24" s="405"/>
      <c r="G24" s="310" t="str">
        <f>IF(A24="","",VLOOKUP(A24,MAT,5,FALSE))</f>
        <v/>
      </c>
      <c r="H24" s="311" t="str">
        <f>IF(A24="","",ROUND((G24*F24),0))</f>
        <v/>
      </c>
    </row>
    <row r="25" spans="1:8">
      <c r="A25" s="534"/>
      <c r="B25" s="353"/>
      <c r="C25" s="305"/>
      <c r="D25" s="306"/>
      <c r="E25" s="276"/>
      <c r="F25" s="405"/>
      <c r="G25" s="310"/>
      <c r="H25" s="311"/>
    </row>
    <row r="26" spans="1:8">
      <c r="A26" s="534"/>
      <c r="B26" s="305" t="str">
        <f t="shared" ref="B26:B32" si="2">IF(A26="","",VLOOKUP(A26,MAT,2,FALSE))</f>
        <v/>
      </c>
      <c r="C26" s="305"/>
      <c r="D26" s="306"/>
      <c r="E26" s="276" t="str">
        <f t="shared" ref="E26:E32" si="3">IF(A26="","",VLOOKUP(A26,MAT,3,FALSE))</f>
        <v/>
      </c>
      <c r="F26" s="405"/>
      <c r="G26" s="310" t="str">
        <f t="shared" ref="G26:G32" si="4">IF(A26="","",VLOOKUP(A26,MAT,5,FALSE))</f>
        <v/>
      </c>
      <c r="H26" s="311" t="str">
        <f t="shared" ref="H26:H32" si="5">IF(A26="","",ROUND((G26*F26),0))</f>
        <v/>
      </c>
    </row>
    <row r="27" spans="1:8">
      <c r="A27" s="534"/>
      <c r="B27" s="305" t="str">
        <f t="shared" si="2"/>
        <v/>
      </c>
      <c r="C27" s="305"/>
      <c r="D27" s="306"/>
      <c r="E27" s="276" t="str">
        <f t="shared" si="3"/>
        <v/>
      </c>
      <c r="F27" s="405"/>
      <c r="G27" s="310" t="str">
        <f t="shared" si="4"/>
        <v/>
      </c>
      <c r="H27" s="311" t="str">
        <f t="shared" si="5"/>
        <v/>
      </c>
    </row>
    <row r="28" spans="1:8">
      <c r="A28" s="534"/>
      <c r="B28" s="305" t="str">
        <f t="shared" si="2"/>
        <v/>
      </c>
      <c r="C28" s="305"/>
      <c r="D28" s="306"/>
      <c r="E28" s="276" t="str">
        <f t="shared" si="3"/>
        <v/>
      </c>
      <c r="F28" s="405"/>
      <c r="G28" s="310" t="str">
        <f t="shared" si="4"/>
        <v/>
      </c>
      <c r="H28" s="311" t="str">
        <f t="shared" si="5"/>
        <v/>
      </c>
    </row>
    <row r="29" spans="1:8">
      <c r="A29" s="534"/>
      <c r="B29" s="305" t="str">
        <f t="shared" si="2"/>
        <v/>
      </c>
      <c r="C29" s="305"/>
      <c r="D29" s="306"/>
      <c r="E29" s="276" t="str">
        <f t="shared" si="3"/>
        <v/>
      </c>
      <c r="F29" s="405"/>
      <c r="G29" s="310" t="str">
        <f t="shared" si="4"/>
        <v/>
      </c>
      <c r="H29" s="311" t="str">
        <f t="shared" si="5"/>
        <v/>
      </c>
    </row>
    <row r="30" spans="1:8">
      <c r="A30" s="534"/>
      <c r="B30" s="305" t="str">
        <f t="shared" si="2"/>
        <v/>
      </c>
      <c r="C30" s="305"/>
      <c r="D30" s="306"/>
      <c r="E30" s="276" t="str">
        <f t="shared" si="3"/>
        <v/>
      </c>
      <c r="F30" s="405"/>
      <c r="G30" s="310" t="str">
        <f t="shared" si="4"/>
        <v/>
      </c>
      <c r="H30" s="311" t="str">
        <f t="shared" si="5"/>
        <v/>
      </c>
    </row>
    <row r="31" spans="1:8">
      <c r="A31" s="534"/>
      <c r="B31" s="305" t="str">
        <f t="shared" si="2"/>
        <v/>
      </c>
      <c r="C31" s="305"/>
      <c r="D31" s="306"/>
      <c r="E31" s="276" t="str">
        <f t="shared" si="3"/>
        <v/>
      </c>
      <c r="F31" s="405"/>
      <c r="G31" s="310" t="str">
        <f t="shared" si="4"/>
        <v/>
      </c>
      <c r="H31" s="311" t="str">
        <f t="shared" si="5"/>
        <v/>
      </c>
    </row>
    <row r="32" spans="1:8" ht="13.5" thickBot="1">
      <c r="A32" s="535"/>
      <c r="B32" s="326" t="str">
        <f t="shared" si="2"/>
        <v/>
      </c>
      <c r="C32" s="314"/>
      <c r="D32" s="314"/>
      <c r="E32" s="315" t="str">
        <f t="shared" si="3"/>
        <v/>
      </c>
      <c r="F32" s="406"/>
      <c r="G32" s="327" t="str">
        <f t="shared" si="4"/>
        <v/>
      </c>
      <c r="H32" s="311" t="str">
        <f t="shared" si="5"/>
        <v/>
      </c>
    </row>
    <row r="33" spans="1:8" ht="13.5" thickBot="1">
      <c r="A33" s="285"/>
      <c r="B33" s="285"/>
      <c r="C33" s="285"/>
      <c r="D33" s="285"/>
      <c r="E33" s="286"/>
      <c r="F33" s="285"/>
      <c r="G33" s="210" t="s">
        <v>529</v>
      </c>
      <c r="H33" s="328">
        <f>ROUND(SUM(H23:H32),0)</f>
        <v>850091</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771"/>
      <c r="B37" s="737" t="str">
        <f>IF(A37="","",VLOOKUP(A37,MAT,2,FALSE))</f>
        <v/>
      </c>
      <c r="C37" s="772"/>
      <c r="D37" s="773" t="str">
        <f>IF(A37="","",VLOOKUP(A37,MAT,3,FALSE))</f>
        <v/>
      </c>
      <c r="E37" s="774" t="str">
        <f>IF(A37="","",VLOOKUP(A37,MAT,6,FALSE))</f>
        <v/>
      </c>
      <c r="F37" s="775">
        <f>+F23/1000</f>
        <v>1E-3</v>
      </c>
      <c r="G37" s="776">
        <v>1350</v>
      </c>
      <c r="H37" s="746" t="str">
        <f>IF(A37="","",ROUND((G37*F37*E37),0))</f>
        <v/>
      </c>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0</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883</v>
      </c>
      <c r="B46" s="2192" t="str">
        <f>IF(A46="","",VLOOKUP(A46,MO,2,FALSE))</f>
        <v>Cuadrilla AA: Albañilería. (1 Of. + 1 Ayud.).</v>
      </c>
      <c r="C46" s="2193"/>
      <c r="D46" s="2194"/>
      <c r="E46" s="538" t="str">
        <f>IF(A46="","",VLOOKUP(A46,MO,13,FALSE))</f>
        <v>HC</v>
      </c>
      <c r="F46" s="544">
        <v>0.18</v>
      </c>
      <c r="G46" s="540">
        <f>IF(A46="","",VLOOKUP(A46,MO,15,FALSE))</f>
        <v>38949</v>
      </c>
      <c r="H46" s="542">
        <f>IF(A46="","",ROUND((G46/F46),0))</f>
        <v>216383</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216383</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1088112</v>
      </c>
    </row>
    <row r="53" spans="1:8">
      <c r="A53" s="285"/>
      <c r="B53" s="285"/>
      <c r="C53" s="285"/>
      <c r="D53" s="285"/>
      <c r="E53" s="346"/>
      <c r="F53" s="347"/>
      <c r="G53" s="347"/>
      <c r="H53" s="349"/>
    </row>
    <row r="54" spans="1:8">
      <c r="A54" s="285"/>
      <c r="B54" s="285"/>
      <c r="C54" s="285"/>
      <c r="D54" s="285"/>
      <c r="E54" s="346"/>
      <c r="F54" s="347"/>
      <c r="G54" s="347"/>
      <c r="H54" s="349"/>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c r="A59" s="703" t="str">
        <f>+[14]PRESUPUESTO!$A$113</f>
        <v>__________________________________________</v>
      </c>
      <c r="B59" s="703"/>
    </row>
    <row r="60" spans="1:8">
      <c r="A60" s="810" t="str">
        <f>+[14]PRESUPUESTO!$A$114</f>
        <v>Ing. JHON FREDY GARCIA MENDEZ</v>
      </c>
      <c r="B60" s="703"/>
    </row>
    <row r="61" spans="1:8">
      <c r="A61" s="811" t="str">
        <f>+[14]PRESUPUESTO!$A$115</f>
        <v>M.P.  70268-326294 TLM.</v>
      </c>
      <c r="B61" s="703"/>
    </row>
    <row r="62" spans="1:8">
      <c r="A62" s="811" t="str">
        <f>+[14]PRESUPUESTO!$A$116</f>
        <v>CONSULTOR</v>
      </c>
      <c r="B62" s="703"/>
    </row>
  </sheetData>
  <mergeCells count="15">
    <mergeCell ref="D2:E4"/>
    <mergeCell ref="F2:H2"/>
    <mergeCell ref="F3:H3"/>
    <mergeCell ref="F4:H4"/>
    <mergeCell ref="A5:E5"/>
    <mergeCell ref="F5:H5"/>
    <mergeCell ref="B47:D47"/>
    <mergeCell ref="B48:D48"/>
    <mergeCell ref="B49:D49"/>
    <mergeCell ref="B6:D6"/>
    <mergeCell ref="B7:E7"/>
    <mergeCell ref="B8:E8"/>
    <mergeCell ref="B36:C36"/>
    <mergeCell ref="B45:D45"/>
    <mergeCell ref="B46:D46"/>
  </mergeCells>
  <pageMargins left="0.75" right="0.75" top="1" bottom="1" header="0" footer="0"/>
  <pageSetup paperSize="9" scale="70" orientation="portrait" r:id="rId1"/>
  <headerFooter alignWithMargins="0"/>
  <drawing r:id="rId2"/>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100-000000000000}">
  <sheetPr>
    <tabColor theme="6" tint="0.79998168889431442"/>
  </sheetPr>
  <dimension ref="A1:I62"/>
  <sheetViews>
    <sheetView workbookViewId="0"/>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2.710937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t="e">
        <f>PRESUPUESTO!#REF!</f>
        <v>#REF!</v>
      </c>
      <c r="B7" s="2185" t="e">
        <f>PRESUPUESTO!#REF!</f>
        <v>#REF!</v>
      </c>
      <c r="C7" s="2185"/>
      <c r="D7" s="2185"/>
      <c r="E7" s="2185"/>
      <c r="F7" s="289"/>
      <c r="G7" s="290" t="s">
        <v>525</v>
      </c>
      <c r="H7" s="97" t="e">
        <f>+PRESUPUESTO!#REF!</f>
        <v>#REF!</v>
      </c>
    </row>
    <row r="8" spans="1:9">
      <c r="A8" s="97" t="e">
        <f>+PRESUPUESTO!#REF!</f>
        <v>#REF!</v>
      </c>
      <c r="B8" s="2273" t="e">
        <f>+PRESUPUESTO!#REF!</f>
        <v>#REF!</v>
      </c>
      <c r="C8" s="2217"/>
      <c r="D8" s="2217"/>
      <c r="E8" s="221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v>3</v>
      </c>
      <c r="H12" s="278" t="s">
        <v>831</v>
      </c>
    </row>
    <row r="13" spans="1:9">
      <c r="A13" s="536" t="s">
        <v>966</v>
      </c>
      <c r="B13" s="305" t="str">
        <f t="shared" ref="B13:B18" si="0">IF(A13="","",VLOOKUP(A13,EQUI,2,FALSE))</f>
        <v>Herramienta Menor (5% de la mano de obra).</v>
      </c>
      <c r="C13" s="306"/>
      <c r="D13" s="306"/>
      <c r="E13" s="276" t="str">
        <f t="shared" ref="E13:E18" si="1">IF(A13="","",VLOOKUP(A13,EQUI,3,FALSE))</f>
        <v>%</v>
      </c>
      <c r="F13" s="433">
        <f>IF(A13="","",VLOOKUP(A13,EQUI,4,FALSE))</f>
        <v>0.05</v>
      </c>
      <c r="G13" s="307">
        <f>ROUND(F13*H50,0)</f>
        <v>3895</v>
      </c>
      <c r="H13" s="308">
        <f>+G13</f>
        <v>3895</v>
      </c>
      <c r="I13" s="309"/>
    </row>
    <row r="14" spans="1:9">
      <c r="A14" s="536"/>
      <c r="B14" s="305" t="str">
        <f t="shared" si="0"/>
        <v/>
      </c>
      <c r="C14" s="306"/>
      <c r="D14" s="306"/>
      <c r="E14" s="276" t="str">
        <f t="shared" si="1"/>
        <v/>
      </c>
      <c r="F14" s="405"/>
      <c r="G14" s="310" t="str">
        <f>IF(A14="","",VLOOKUP(A14,EQUI,4,FALSE))</f>
        <v/>
      </c>
      <c r="H14" s="311" t="str">
        <f>IF(A14="","",ROUND((G14/F14),0))</f>
        <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3895</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c r="B23" s="353" t="str">
        <f t="shared" ref="B23:B32" si="2">IF(A23="","",VLOOKUP(A23,MAT,2,FALSE))</f>
        <v/>
      </c>
      <c r="C23" s="305"/>
      <c r="D23" s="306"/>
      <c r="E23" s="276" t="str">
        <f t="shared" ref="E23:E32" si="3">IF(A23="","",VLOOKUP(A23,MAT,3,FALSE))</f>
        <v/>
      </c>
      <c r="F23" s="405"/>
      <c r="G23" s="310" t="str">
        <f t="shared" ref="G23:G32" si="4">IF(A23="","",VLOOKUP(A23,MAT,5,FALSE))</f>
        <v/>
      </c>
      <c r="H23" s="311" t="str">
        <f t="shared" ref="H23:H32" si="5">IF(A23="","",ROUND((G23*F23),0))</f>
        <v/>
      </c>
    </row>
    <row r="24" spans="1:8">
      <c r="A24" s="534"/>
      <c r="B24" s="353" t="str">
        <f t="shared" si="2"/>
        <v/>
      </c>
      <c r="C24" s="305"/>
      <c r="D24" s="306"/>
      <c r="E24" s="276" t="str">
        <f t="shared" si="3"/>
        <v/>
      </c>
      <c r="F24" s="405"/>
      <c r="G24" s="310" t="str">
        <f t="shared" si="4"/>
        <v/>
      </c>
      <c r="H24" s="311" t="str">
        <f t="shared" si="5"/>
        <v/>
      </c>
    </row>
    <row r="25" spans="1:8">
      <c r="A25" s="534"/>
      <c r="B25" s="353" t="str">
        <f t="shared" si="2"/>
        <v/>
      </c>
      <c r="C25" s="305"/>
      <c r="D25" s="306"/>
      <c r="E25" s="276" t="str">
        <f t="shared" si="3"/>
        <v/>
      </c>
      <c r="F25" s="405"/>
      <c r="G25" s="310" t="str">
        <f t="shared" si="4"/>
        <v/>
      </c>
      <c r="H25" s="311" t="str">
        <f t="shared" si="5"/>
        <v/>
      </c>
    </row>
    <row r="26" spans="1:8">
      <c r="A26" s="534"/>
      <c r="B26" s="305" t="str">
        <f t="shared" si="2"/>
        <v/>
      </c>
      <c r="C26" s="305"/>
      <c r="D26" s="306"/>
      <c r="E26" s="276" t="str">
        <f t="shared" si="3"/>
        <v/>
      </c>
      <c r="F26" s="405"/>
      <c r="G26" s="310" t="str">
        <f t="shared" si="4"/>
        <v/>
      </c>
      <c r="H26" s="311" t="str">
        <f t="shared" si="5"/>
        <v/>
      </c>
    </row>
    <row r="27" spans="1:8">
      <c r="A27" s="534"/>
      <c r="B27" s="305" t="str">
        <f t="shared" si="2"/>
        <v/>
      </c>
      <c r="C27" s="305"/>
      <c r="D27" s="306"/>
      <c r="E27" s="276" t="str">
        <f t="shared" si="3"/>
        <v/>
      </c>
      <c r="F27" s="405"/>
      <c r="G27" s="310" t="str">
        <f t="shared" si="4"/>
        <v/>
      </c>
      <c r="H27" s="311" t="str">
        <f t="shared" si="5"/>
        <v/>
      </c>
    </row>
    <row r="28" spans="1:8">
      <c r="A28" s="534"/>
      <c r="B28" s="305" t="str">
        <f t="shared" si="2"/>
        <v/>
      </c>
      <c r="C28" s="305"/>
      <c r="D28" s="306"/>
      <c r="E28" s="276" t="str">
        <f t="shared" si="3"/>
        <v/>
      </c>
      <c r="F28" s="405"/>
      <c r="G28" s="310" t="str">
        <f t="shared" si="4"/>
        <v/>
      </c>
      <c r="H28" s="311" t="str">
        <f t="shared" si="5"/>
        <v/>
      </c>
    </row>
    <row r="29" spans="1:8">
      <c r="A29" s="534"/>
      <c r="B29" s="305" t="str">
        <f t="shared" si="2"/>
        <v/>
      </c>
      <c r="C29" s="305"/>
      <c r="D29" s="306"/>
      <c r="E29" s="276" t="str">
        <f t="shared" si="3"/>
        <v/>
      </c>
      <c r="F29" s="405"/>
      <c r="G29" s="310" t="str">
        <f t="shared" si="4"/>
        <v/>
      </c>
      <c r="H29" s="311" t="str">
        <f t="shared" si="5"/>
        <v/>
      </c>
    </row>
    <row r="30" spans="1:8">
      <c r="A30" s="534"/>
      <c r="B30" s="305" t="str">
        <f t="shared" si="2"/>
        <v/>
      </c>
      <c r="C30" s="305"/>
      <c r="D30" s="306"/>
      <c r="E30" s="276" t="str">
        <f t="shared" si="3"/>
        <v/>
      </c>
      <c r="F30" s="405"/>
      <c r="G30" s="310" t="str">
        <f t="shared" si="4"/>
        <v/>
      </c>
      <c r="H30" s="311" t="str">
        <f t="shared" si="5"/>
        <v/>
      </c>
    </row>
    <row r="31" spans="1:8">
      <c r="A31" s="534"/>
      <c r="B31" s="305" t="str">
        <f t="shared" si="2"/>
        <v/>
      </c>
      <c r="C31" s="305"/>
      <c r="D31" s="306"/>
      <c r="E31" s="276" t="str">
        <f t="shared" si="3"/>
        <v/>
      </c>
      <c r="F31" s="405"/>
      <c r="G31" s="310" t="str">
        <f t="shared" si="4"/>
        <v/>
      </c>
      <c r="H31" s="311" t="str">
        <f t="shared" si="5"/>
        <v/>
      </c>
    </row>
    <row r="32" spans="1:8" ht="13.5" thickBot="1">
      <c r="A32" s="535"/>
      <c r="B32" s="326" t="str">
        <f t="shared" si="2"/>
        <v/>
      </c>
      <c r="C32" s="314"/>
      <c r="D32" s="314"/>
      <c r="E32" s="315" t="str">
        <f t="shared" si="3"/>
        <v/>
      </c>
      <c r="F32" s="406"/>
      <c r="G32" s="327" t="str">
        <f t="shared" si="4"/>
        <v/>
      </c>
      <c r="H32" s="311" t="str">
        <f t="shared" si="5"/>
        <v/>
      </c>
    </row>
    <row r="33" spans="1:8" ht="13.5" thickBot="1">
      <c r="A33" s="285"/>
      <c r="B33" s="285"/>
      <c r="C33" s="285"/>
      <c r="D33" s="285"/>
      <c r="E33" s="286"/>
      <c r="F33" s="285"/>
      <c r="G33" s="210" t="s">
        <v>529</v>
      </c>
      <c r="H33" s="328">
        <f>ROUND(SUM(H23:H32),0)</f>
        <v>0</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546"/>
      <c r="B37" s="305" t="str">
        <f>IF(A37="","",VLOOKUP(A37,MAT,2,FALSE))</f>
        <v/>
      </c>
      <c r="C37" s="333"/>
      <c r="D37" s="409" t="str">
        <f>IF(A37="","",VLOOKUP(A37,MAT,3,FALSE))</f>
        <v/>
      </c>
      <c r="E37" s="419" t="str">
        <f>IF(A37="","",VLOOKUP(A37,MAT,6,FALSE))</f>
        <v/>
      </c>
      <c r="F37" s="413"/>
      <c r="G37" s="334" t="str">
        <f>IF(A37="","",VLOOKUP(A37,MAT,7,FALSE))</f>
        <v/>
      </c>
      <c r="H37" s="311" t="str">
        <f>IF(A37="","",ROUND((G37*F37*E37),0))</f>
        <v/>
      </c>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t="str">
        <f>IF(A39="","",ROUND((G39*F39*E39),0))</f>
        <v/>
      </c>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0</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883</v>
      </c>
      <c r="B46" s="2192" t="str">
        <f>IF(A46="","",VLOOKUP(A46,MO,2,FALSE))</f>
        <v>Cuadrilla AA: Albañilería. (1 Of. + 1 Ayud.).</v>
      </c>
      <c r="C46" s="2193"/>
      <c r="D46" s="2194"/>
      <c r="E46" s="538" t="str">
        <f>IF(A46="","",VLOOKUP(A46,MO,13,FALSE))</f>
        <v>HC</v>
      </c>
      <c r="F46" s="544">
        <v>0.5</v>
      </c>
      <c r="G46" s="540">
        <f>IF(A46="","",VLOOKUP(A46,MO,15,FALSE))</f>
        <v>38949</v>
      </c>
      <c r="H46" s="542">
        <f>IF(A46="","",ROUND((G46/F46),0))</f>
        <v>77898</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77898</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81793</v>
      </c>
    </row>
    <row r="53" spans="1:8">
      <c r="A53" s="285"/>
      <c r="B53" s="285"/>
      <c r="C53" s="285"/>
      <c r="D53" s="285"/>
      <c r="E53" s="346"/>
      <c r="F53" s="347"/>
      <c r="G53" s="347"/>
      <c r="H53" s="349"/>
    </row>
    <row r="54" spans="1:8">
      <c r="A54" s="285"/>
      <c r="B54" s="285"/>
      <c r="C54" s="285"/>
      <c r="D54" s="285"/>
      <c r="E54" s="346"/>
      <c r="F54" s="347"/>
      <c r="G54" s="347"/>
      <c r="H54" s="349"/>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c r="A59" s="703" t="str">
        <f>+[14]PRESUPUESTO!$A$113</f>
        <v>__________________________________________</v>
      </c>
      <c r="B59" s="703"/>
    </row>
    <row r="60" spans="1:8">
      <c r="A60" s="810" t="str">
        <f>+[14]PRESUPUESTO!$A$114</f>
        <v>Ing. JHON FREDY GARCIA MENDEZ</v>
      </c>
      <c r="B60" s="703"/>
    </row>
    <row r="61" spans="1:8">
      <c r="A61" s="811" t="str">
        <f>+[14]PRESUPUESTO!$A$115</f>
        <v>M.P.  70268-326294 TLM.</v>
      </c>
      <c r="B61" s="703"/>
    </row>
    <row r="62" spans="1:8">
      <c r="A62" s="811" t="str">
        <f>+[14]PRESUPUESTO!$A$116</f>
        <v>CONSULTOR</v>
      </c>
      <c r="B62" s="703"/>
    </row>
  </sheetData>
  <mergeCells count="15">
    <mergeCell ref="D2:E4"/>
    <mergeCell ref="F2:H2"/>
    <mergeCell ref="F3:H3"/>
    <mergeCell ref="F4:H4"/>
    <mergeCell ref="A5:E5"/>
    <mergeCell ref="F5:H5"/>
    <mergeCell ref="B47:D47"/>
    <mergeCell ref="B48:D48"/>
    <mergeCell ref="B49:D49"/>
    <mergeCell ref="B6:D6"/>
    <mergeCell ref="B7:E7"/>
    <mergeCell ref="B8:E8"/>
    <mergeCell ref="B36:C36"/>
    <mergeCell ref="B45:D45"/>
    <mergeCell ref="B46:D46"/>
  </mergeCells>
  <pageMargins left="0.75" right="0.75" top="1" bottom="1" header="0" footer="0"/>
  <pageSetup paperSize="9" scale="70" orientation="portrait" r:id="rId1"/>
  <headerFooter alignWithMargins="0"/>
  <drawing r:id="rId2"/>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sheetPr>
    <tabColor theme="6" tint="0.79998168889431442"/>
  </sheetPr>
  <dimension ref="A1:I62"/>
  <sheetViews>
    <sheetView workbookViewId="0"/>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2.710937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t="e">
        <f>PRESUPUESTO!#REF!</f>
        <v>#REF!</v>
      </c>
      <c r="B7" s="2185" t="e">
        <f>PRESUPUESTO!#REF!</f>
        <v>#REF!</v>
      </c>
      <c r="C7" s="2185"/>
      <c r="D7" s="2185"/>
      <c r="E7" s="2185"/>
      <c r="F7" s="289"/>
      <c r="G7" s="290" t="s">
        <v>525</v>
      </c>
      <c r="H7" s="97" t="e">
        <f>+PRESUPUESTO!#REF!</f>
        <v>#REF!</v>
      </c>
    </row>
    <row r="8" spans="1:9" ht="26.25" customHeight="1">
      <c r="A8" s="97" t="e">
        <f>+PRESUPUESTO!#REF!</f>
        <v>#REF!</v>
      </c>
      <c r="B8" s="2273" t="e">
        <f>+PRESUPUESTO!#REF!</f>
        <v>#REF!</v>
      </c>
      <c r="C8" s="2217"/>
      <c r="D8" s="2217"/>
      <c r="E8" s="221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966</v>
      </c>
      <c r="B13" s="305" t="str">
        <f t="shared" ref="B13:B18" si="0">IF(A13="","",VLOOKUP(A13,EQUI,2,FALSE))</f>
        <v>Herramienta Menor (5% de la mano de obra).</v>
      </c>
      <c r="C13" s="306"/>
      <c r="D13" s="306"/>
      <c r="E13" s="276" t="str">
        <f t="shared" ref="E13:E18" si="1">IF(A13="","",VLOOKUP(A13,EQUI,3,FALSE))</f>
        <v>%</v>
      </c>
      <c r="F13" s="433">
        <f>IF(A13="","",VLOOKUP(A13,EQUI,4,FALSE))</f>
        <v>0.05</v>
      </c>
      <c r="G13" s="307">
        <f>ROUND(F13*H50,0)</f>
        <v>1146</v>
      </c>
      <c r="H13" s="308">
        <f>+G13</f>
        <v>1146</v>
      </c>
      <c r="I13" s="309"/>
    </row>
    <row r="14" spans="1:9">
      <c r="A14" s="536" t="s">
        <v>481</v>
      </c>
      <c r="B14" s="305" t="str">
        <f t="shared" si="0"/>
        <v>Apisonador tipo canguro</v>
      </c>
      <c r="C14" s="306"/>
      <c r="D14" s="306"/>
      <c r="E14" s="276" t="str">
        <f t="shared" si="1"/>
        <v>Dia</v>
      </c>
      <c r="F14" s="405">
        <v>20</v>
      </c>
      <c r="G14" s="310">
        <f>IF(A14="","",VLOOKUP(A14,EQUI,4,FALSE))</f>
        <v>95693</v>
      </c>
      <c r="H14" s="311">
        <f>IF(A14="","",ROUND((G14/F14),0))</f>
        <v>4785</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5931</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t="s">
        <v>563</v>
      </c>
      <c r="B23" s="353" t="str">
        <f t="shared" ref="B23:B32" si="2">IF(A23="","",VLOOKUP(A23,MAT,2,FALSE))</f>
        <v>Recebo granular seleccionado IP&lt;10%.</v>
      </c>
      <c r="C23" s="305"/>
      <c r="D23" s="306"/>
      <c r="E23" s="276" t="str">
        <f t="shared" ref="E23:E32" si="3">IF(A23="","",VLOOKUP(A23,MAT,3,FALSE))</f>
        <v>m3</v>
      </c>
      <c r="F23" s="405">
        <v>1.25</v>
      </c>
      <c r="G23" s="310">
        <f t="shared" ref="G23:G32" si="4">IF(A23="","",VLOOKUP(A23,MAT,5,FALSE))</f>
        <v>102340</v>
      </c>
      <c r="H23" s="311">
        <f t="shared" ref="H23:H32" si="5">IF(A23="","",ROUND((G23*F23),0))</f>
        <v>127925</v>
      </c>
    </row>
    <row r="24" spans="1:8">
      <c r="A24" s="534"/>
      <c r="B24" s="353" t="str">
        <f t="shared" si="2"/>
        <v/>
      </c>
      <c r="C24" s="305"/>
      <c r="D24" s="306"/>
      <c r="E24" s="276" t="str">
        <f t="shared" si="3"/>
        <v/>
      </c>
      <c r="F24" s="405"/>
      <c r="G24" s="310" t="str">
        <f t="shared" si="4"/>
        <v/>
      </c>
      <c r="H24" s="311" t="str">
        <f t="shared" si="5"/>
        <v/>
      </c>
    </row>
    <row r="25" spans="1:8">
      <c r="A25" s="534"/>
      <c r="B25" s="353" t="str">
        <f t="shared" si="2"/>
        <v/>
      </c>
      <c r="C25" s="305"/>
      <c r="D25" s="306"/>
      <c r="E25" s="276" t="str">
        <f t="shared" si="3"/>
        <v/>
      </c>
      <c r="F25" s="405"/>
      <c r="G25" s="310" t="str">
        <f t="shared" si="4"/>
        <v/>
      </c>
      <c r="H25" s="311" t="str">
        <f t="shared" si="5"/>
        <v/>
      </c>
    </row>
    <row r="26" spans="1:8">
      <c r="A26" s="534"/>
      <c r="B26" s="305" t="str">
        <f t="shared" si="2"/>
        <v/>
      </c>
      <c r="C26" s="305"/>
      <c r="D26" s="306"/>
      <c r="E26" s="276" t="str">
        <f t="shared" si="3"/>
        <v/>
      </c>
      <c r="F26" s="405"/>
      <c r="G26" s="310" t="str">
        <f t="shared" si="4"/>
        <v/>
      </c>
      <c r="H26" s="311" t="str">
        <f t="shared" si="5"/>
        <v/>
      </c>
    </row>
    <row r="27" spans="1:8">
      <c r="A27" s="534"/>
      <c r="B27" s="305" t="str">
        <f t="shared" si="2"/>
        <v/>
      </c>
      <c r="C27" s="305"/>
      <c r="D27" s="306"/>
      <c r="E27" s="276" t="str">
        <f t="shared" si="3"/>
        <v/>
      </c>
      <c r="F27" s="405"/>
      <c r="G27" s="310" t="str">
        <f t="shared" si="4"/>
        <v/>
      </c>
      <c r="H27" s="311" t="str">
        <f t="shared" si="5"/>
        <v/>
      </c>
    </row>
    <row r="28" spans="1:8">
      <c r="A28" s="534"/>
      <c r="B28" s="305" t="str">
        <f t="shared" si="2"/>
        <v/>
      </c>
      <c r="C28" s="305"/>
      <c r="D28" s="306"/>
      <c r="E28" s="276" t="str">
        <f t="shared" si="3"/>
        <v/>
      </c>
      <c r="F28" s="405"/>
      <c r="G28" s="310" t="str">
        <f t="shared" si="4"/>
        <v/>
      </c>
      <c r="H28" s="311" t="str">
        <f t="shared" si="5"/>
        <v/>
      </c>
    </row>
    <row r="29" spans="1:8">
      <c r="A29" s="534"/>
      <c r="B29" s="305" t="str">
        <f t="shared" si="2"/>
        <v/>
      </c>
      <c r="C29" s="305"/>
      <c r="D29" s="306"/>
      <c r="E29" s="276" t="str">
        <f t="shared" si="3"/>
        <v/>
      </c>
      <c r="F29" s="405"/>
      <c r="G29" s="310" t="str">
        <f t="shared" si="4"/>
        <v/>
      </c>
      <c r="H29" s="311" t="str">
        <f t="shared" si="5"/>
        <v/>
      </c>
    </row>
    <row r="30" spans="1:8">
      <c r="A30" s="534"/>
      <c r="B30" s="305" t="str">
        <f t="shared" si="2"/>
        <v/>
      </c>
      <c r="C30" s="305"/>
      <c r="D30" s="306"/>
      <c r="E30" s="276" t="str">
        <f t="shared" si="3"/>
        <v/>
      </c>
      <c r="F30" s="405"/>
      <c r="G30" s="310" t="str">
        <f t="shared" si="4"/>
        <v/>
      </c>
      <c r="H30" s="311" t="str">
        <f t="shared" si="5"/>
        <v/>
      </c>
    </row>
    <row r="31" spans="1:8">
      <c r="A31" s="534"/>
      <c r="B31" s="305" t="str">
        <f t="shared" si="2"/>
        <v/>
      </c>
      <c r="C31" s="305"/>
      <c r="D31" s="306"/>
      <c r="E31" s="276" t="str">
        <f t="shared" si="3"/>
        <v/>
      </c>
      <c r="F31" s="405"/>
      <c r="G31" s="310" t="str">
        <f t="shared" si="4"/>
        <v/>
      </c>
      <c r="H31" s="311" t="str">
        <f t="shared" si="5"/>
        <v/>
      </c>
    </row>
    <row r="32" spans="1:8" ht="13.5" thickBot="1">
      <c r="A32" s="535"/>
      <c r="B32" s="326" t="str">
        <f t="shared" si="2"/>
        <v/>
      </c>
      <c r="C32" s="314"/>
      <c r="D32" s="314"/>
      <c r="E32" s="315" t="str">
        <f t="shared" si="3"/>
        <v/>
      </c>
      <c r="F32" s="406"/>
      <c r="G32" s="327" t="str">
        <f t="shared" si="4"/>
        <v/>
      </c>
      <c r="H32" s="311" t="str">
        <f t="shared" si="5"/>
        <v/>
      </c>
    </row>
    <row r="33" spans="1:8" ht="13.5" thickBot="1">
      <c r="A33" s="285"/>
      <c r="B33" s="285"/>
      <c r="C33" s="285"/>
      <c r="D33" s="285"/>
      <c r="E33" s="286"/>
      <c r="F33" s="285"/>
      <c r="G33" s="210" t="s">
        <v>529</v>
      </c>
      <c r="H33" s="328">
        <f>ROUND(SUM(H23:H32),0)</f>
        <v>127925</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546" t="str">
        <f>+A23</f>
        <v>REC</v>
      </c>
      <c r="B37" s="305" t="str">
        <f>IF(A37="","",VLOOKUP(A37,MAT,2,FALSE))</f>
        <v>Recebo granular seleccionado IP&lt;10%.</v>
      </c>
      <c r="C37" s="333"/>
      <c r="D37" s="409" t="str">
        <f>IF(A37="","",VLOOKUP(A37,MAT,3,FALSE))</f>
        <v>m3</v>
      </c>
      <c r="E37" s="419">
        <f>IF(A37="","",VLOOKUP(A37,MAT,6,FALSE))</f>
        <v>60.5</v>
      </c>
      <c r="F37" s="413">
        <v>1.03</v>
      </c>
      <c r="G37" s="334">
        <f>IF(A37="","",VLOOKUP(A37,MAT,7,FALSE))</f>
        <v>1500</v>
      </c>
      <c r="H37" s="311">
        <f>IF(A37="","",ROUND((G37*F37*E37),0))</f>
        <v>93473</v>
      </c>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t="str">
        <f>IF(A39="","",ROUND((G39*F39*E39),0))</f>
        <v/>
      </c>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93473</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883</v>
      </c>
      <c r="B46" s="2192" t="str">
        <f>IF(A46="","",VLOOKUP(A46,MO,2,FALSE))</f>
        <v>Cuadrilla AA: Albañilería. (1 Of. + 1 Ayud.).</v>
      </c>
      <c r="C46" s="2193"/>
      <c r="D46" s="2194"/>
      <c r="E46" s="538" t="str">
        <f>IF(A46="","",VLOOKUP(A46,MO,13,FALSE))</f>
        <v>HC</v>
      </c>
      <c r="F46" s="544">
        <v>1.7</v>
      </c>
      <c r="G46" s="540">
        <f>IF(A46="","",VLOOKUP(A46,MO,15,FALSE))</f>
        <v>38949</v>
      </c>
      <c r="H46" s="542">
        <f>IF(A46="","",ROUND((G46/F46),0))</f>
        <v>22911</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22911</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250240</v>
      </c>
    </row>
    <row r="53" spans="1:8">
      <c r="A53" s="285"/>
      <c r="B53" s="285"/>
      <c r="C53" s="285"/>
      <c r="D53" s="285"/>
      <c r="E53" s="346"/>
      <c r="F53" s="347"/>
      <c r="G53" s="347"/>
      <c r="H53" s="349"/>
    </row>
    <row r="54" spans="1:8">
      <c r="A54" s="285"/>
      <c r="B54" s="285"/>
      <c r="C54" s="285"/>
      <c r="D54" s="285"/>
      <c r="E54" s="346"/>
      <c r="F54" s="347"/>
      <c r="G54" s="347"/>
      <c r="H54" s="349"/>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c r="A59" s="703" t="str">
        <f>+[14]PRESUPUESTO!$A$113</f>
        <v>__________________________________________</v>
      </c>
      <c r="B59" s="703"/>
    </row>
    <row r="60" spans="1:8">
      <c r="A60" s="810" t="str">
        <f>+[14]PRESUPUESTO!$A$114</f>
        <v>Ing. JHON FREDY GARCIA MENDEZ</v>
      </c>
      <c r="B60" s="703"/>
    </row>
    <row r="61" spans="1:8">
      <c r="A61" s="811" t="str">
        <f>+[14]PRESUPUESTO!$A$115</f>
        <v>M.P.  70268-326294 TLM.</v>
      </c>
      <c r="B61" s="703"/>
    </row>
    <row r="62" spans="1:8">
      <c r="A62" s="811" t="str">
        <f>+[14]PRESUPUESTO!$A$116</f>
        <v>CONSULTOR</v>
      </c>
      <c r="B62" s="703"/>
    </row>
  </sheetData>
  <mergeCells count="15">
    <mergeCell ref="D2:E4"/>
    <mergeCell ref="F2:H2"/>
    <mergeCell ref="F3:H3"/>
    <mergeCell ref="F4:H4"/>
    <mergeCell ref="A5:E5"/>
    <mergeCell ref="F5:H5"/>
    <mergeCell ref="B47:D47"/>
    <mergeCell ref="B48:D48"/>
    <mergeCell ref="B49:D49"/>
    <mergeCell ref="B6:D6"/>
    <mergeCell ref="B7:E7"/>
    <mergeCell ref="B8:E8"/>
    <mergeCell ref="B36:C36"/>
    <mergeCell ref="B45:D45"/>
    <mergeCell ref="B46:D46"/>
  </mergeCells>
  <pageMargins left="0.75" right="0.75" top="1" bottom="1" header="0" footer="0"/>
  <pageSetup paperSize="9" scale="70" orientation="portrait" r:id="rId1"/>
  <headerFooter alignWithMargins="0"/>
  <drawing r:id="rId2"/>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300-000000000000}">
  <sheetPr>
    <tabColor theme="6" tint="0.79998168889431442"/>
  </sheetPr>
  <dimension ref="A1:I62"/>
  <sheetViews>
    <sheetView workbookViewId="0"/>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4.570312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t="e">
        <f>PRESUPUESTO!#REF!</f>
        <v>#REF!</v>
      </c>
      <c r="B7" s="2185" t="e">
        <f>PRESUPUESTO!#REF!</f>
        <v>#REF!</v>
      </c>
      <c r="C7" s="2185"/>
      <c r="D7" s="2185"/>
      <c r="E7" s="2185"/>
      <c r="F7" s="289"/>
      <c r="G7" s="290" t="s">
        <v>525</v>
      </c>
      <c r="H7" s="97" t="e">
        <f>+PRESUPUESTO!#REF!</f>
        <v>#REF!</v>
      </c>
    </row>
    <row r="8" spans="1:9">
      <c r="A8" s="97" t="e">
        <f>+PRESUPUESTO!#REF!</f>
        <v>#REF!</v>
      </c>
      <c r="B8" s="2272" t="e">
        <f>+PRESUPUESTO!#REF!</f>
        <v>#REF!</v>
      </c>
      <c r="C8" s="2257"/>
      <c r="D8" s="2257"/>
      <c r="E8" s="225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967</v>
      </c>
      <c r="B13" s="305" t="str">
        <f t="shared" ref="B13:B18" si="0">IF(A13="","",VLOOKUP(A13,EQUI,2,FALSE))</f>
        <v>Herramienta Menor (10% de la mano de obra).</v>
      </c>
      <c r="C13" s="306"/>
      <c r="D13" s="306"/>
      <c r="E13" s="276" t="str">
        <f t="shared" ref="E13:E18" si="1">IF(A13="","",VLOOKUP(A13,EQUI,3,FALSE))</f>
        <v>%</v>
      </c>
      <c r="F13" s="433">
        <f>IF(A13="","",VLOOKUP(A13,EQUI,4,FALSE))</f>
        <v>0.1</v>
      </c>
      <c r="G13" s="307">
        <f>ROUND(F13*H50,0)</f>
        <v>4750</v>
      </c>
      <c r="H13" s="308">
        <f>+G13</f>
        <v>4750</v>
      </c>
      <c r="I13" s="309"/>
    </row>
    <row r="14" spans="1:9">
      <c r="A14" s="536"/>
      <c r="B14" s="305"/>
      <c r="C14" s="306"/>
      <c r="D14" s="306"/>
      <c r="E14" s="276" t="str">
        <f t="shared" si="1"/>
        <v/>
      </c>
      <c r="F14" s="405"/>
      <c r="G14" s="310" t="str">
        <f>IF(A14="","",VLOOKUP(A14,EQUI,4,FALSE))</f>
        <v/>
      </c>
      <c r="H14" s="311" t="str">
        <f>IF(A14="","",ROUND((G14/F14),0))</f>
        <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4750</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t="s">
        <v>553</v>
      </c>
      <c r="B23" s="353" t="str">
        <f>IF(A23="","",VLOOKUP(A23,MAT,2,FALSE))</f>
        <v>Concreto de 140 Kg/cm2 (2000 PSI)</v>
      </c>
      <c r="C23" s="305"/>
      <c r="D23" s="306"/>
      <c r="E23" s="276" t="str">
        <f>IF(A23="","",VLOOKUP(A23,MAT,3,FALSE))</f>
        <v>m3</v>
      </c>
      <c r="F23" s="405">
        <v>1.05</v>
      </c>
      <c r="G23" s="310">
        <f>IF(A23="","",VLOOKUP(A23,MAT,5,FALSE))</f>
        <v>670945</v>
      </c>
      <c r="H23" s="311">
        <f>IF(A23="","",ROUND((G23*F23),0))</f>
        <v>704492</v>
      </c>
    </row>
    <row r="24" spans="1:8">
      <c r="A24" s="534"/>
      <c r="B24" s="353"/>
      <c r="C24" s="305"/>
      <c r="D24" s="306"/>
      <c r="E24" s="276"/>
      <c r="F24" s="405"/>
      <c r="G24" s="310"/>
      <c r="H24" s="311"/>
    </row>
    <row r="25" spans="1:8">
      <c r="A25" s="534"/>
      <c r="B25" s="353"/>
      <c r="C25" s="305"/>
      <c r="D25" s="306"/>
      <c r="E25" s="276"/>
      <c r="F25" s="405"/>
      <c r="G25" s="310"/>
      <c r="H25" s="311"/>
    </row>
    <row r="26" spans="1:8">
      <c r="A26" s="534"/>
      <c r="B26" s="305" t="str">
        <f t="shared" ref="B26:B32" si="2">IF(A26="","",VLOOKUP(A26,MAT,2,FALSE))</f>
        <v/>
      </c>
      <c r="C26" s="305"/>
      <c r="D26" s="306"/>
      <c r="E26" s="276" t="str">
        <f t="shared" ref="E26:E32" si="3">IF(A26="","",VLOOKUP(A26,MAT,3,FALSE))</f>
        <v/>
      </c>
      <c r="F26" s="405"/>
      <c r="G26" s="310" t="str">
        <f t="shared" ref="G26:G32" si="4">IF(A26="","",VLOOKUP(A26,MAT,5,FALSE))</f>
        <v/>
      </c>
      <c r="H26" s="311" t="str">
        <f t="shared" ref="H26:H32" si="5">IF(A26="","",ROUND((G26*F26),0))</f>
        <v/>
      </c>
    </row>
    <row r="27" spans="1:8">
      <c r="A27" s="534"/>
      <c r="B27" s="305" t="str">
        <f t="shared" si="2"/>
        <v/>
      </c>
      <c r="C27" s="305"/>
      <c r="D27" s="306"/>
      <c r="E27" s="276" t="str">
        <f t="shared" si="3"/>
        <v/>
      </c>
      <c r="F27" s="405"/>
      <c r="G27" s="310" t="str">
        <f t="shared" si="4"/>
        <v/>
      </c>
      <c r="H27" s="311" t="str">
        <f t="shared" si="5"/>
        <v/>
      </c>
    </row>
    <row r="28" spans="1:8">
      <c r="A28" s="534"/>
      <c r="B28" s="305" t="str">
        <f t="shared" si="2"/>
        <v/>
      </c>
      <c r="C28" s="305"/>
      <c r="D28" s="306"/>
      <c r="E28" s="276" t="str">
        <f t="shared" si="3"/>
        <v/>
      </c>
      <c r="F28" s="405"/>
      <c r="G28" s="310" t="str">
        <f t="shared" si="4"/>
        <v/>
      </c>
      <c r="H28" s="311" t="str">
        <f t="shared" si="5"/>
        <v/>
      </c>
    </row>
    <row r="29" spans="1:8">
      <c r="A29" s="534"/>
      <c r="B29" s="305" t="str">
        <f t="shared" si="2"/>
        <v/>
      </c>
      <c r="C29" s="305"/>
      <c r="D29" s="306"/>
      <c r="E29" s="276" t="str">
        <f t="shared" si="3"/>
        <v/>
      </c>
      <c r="F29" s="405"/>
      <c r="G29" s="310" t="str">
        <f t="shared" si="4"/>
        <v/>
      </c>
      <c r="H29" s="311" t="str">
        <f t="shared" si="5"/>
        <v/>
      </c>
    </row>
    <row r="30" spans="1:8">
      <c r="A30" s="534"/>
      <c r="B30" s="305" t="str">
        <f t="shared" si="2"/>
        <v/>
      </c>
      <c r="C30" s="305"/>
      <c r="D30" s="306"/>
      <c r="E30" s="276" t="str">
        <f t="shared" si="3"/>
        <v/>
      </c>
      <c r="F30" s="405"/>
      <c r="G30" s="310" t="str">
        <f t="shared" si="4"/>
        <v/>
      </c>
      <c r="H30" s="311" t="str">
        <f t="shared" si="5"/>
        <v/>
      </c>
    </row>
    <row r="31" spans="1:8">
      <c r="A31" s="534"/>
      <c r="B31" s="305" t="str">
        <f t="shared" si="2"/>
        <v/>
      </c>
      <c r="C31" s="305"/>
      <c r="D31" s="306"/>
      <c r="E31" s="276" t="str">
        <f t="shared" si="3"/>
        <v/>
      </c>
      <c r="F31" s="405"/>
      <c r="G31" s="310" t="str">
        <f t="shared" si="4"/>
        <v/>
      </c>
      <c r="H31" s="311" t="str">
        <f t="shared" si="5"/>
        <v/>
      </c>
    </row>
    <row r="32" spans="1:8" ht="13.5" thickBot="1">
      <c r="A32" s="535"/>
      <c r="B32" s="326" t="str">
        <f t="shared" si="2"/>
        <v/>
      </c>
      <c r="C32" s="314"/>
      <c r="D32" s="314"/>
      <c r="E32" s="315" t="str">
        <f t="shared" si="3"/>
        <v/>
      </c>
      <c r="F32" s="406"/>
      <c r="G32" s="327" t="str">
        <f t="shared" si="4"/>
        <v/>
      </c>
      <c r="H32" s="311" t="str">
        <f t="shared" si="5"/>
        <v/>
      </c>
    </row>
    <row r="33" spans="1:8" ht="13.5" thickBot="1">
      <c r="A33" s="285"/>
      <c r="B33" s="285"/>
      <c r="C33" s="285"/>
      <c r="D33" s="285"/>
      <c r="E33" s="286"/>
      <c r="F33" s="285"/>
      <c r="G33" s="210" t="s">
        <v>529</v>
      </c>
      <c r="H33" s="328">
        <f>ROUND(SUM(H23:H32),0)</f>
        <v>704492</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546"/>
      <c r="B37" s="305" t="str">
        <f>IF(A37="","",VLOOKUP(A37,MAT,2,FALSE))</f>
        <v/>
      </c>
      <c r="C37" s="333"/>
      <c r="D37" s="409" t="str">
        <f>IF(A37="","",VLOOKUP(A37,MAT,3,FALSE))</f>
        <v/>
      </c>
      <c r="E37" s="419" t="str">
        <f>IF(A37="","",VLOOKUP(A37,MAT,6,FALSE))</f>
        <v/>
      </c>
      <c r="F37" s="413" t="str">
        <f>IF(A37="","",VLOOKUP(A37,$A$23:$H$32,6,FALSE))</f>
        <v/>
      </c>
      <c r="G37" s="334" t="str">
        <f>IF(A37="","",VLOOKUP(A37,MAT,7,FALSE))</f>
        <v/>
      </c>
      <c r="H37" s="311" t="str">
        <f>IF(A37="","",ROUND((G37*F37*E37),0))</f>
        <v/>
      </c>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0</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883</v>
      </c>
      <c r="B46" s="2192" t="str">
        <f>IF(A46="","",VLOOKUP(A46,MO,2,FALSE))</f>
        <v>Cuadrilla AA: Albañilería. (1 Of. + 1 Ayud.).</v>
      </c>
      <c r="C46" s="2193"/>
      <c r="D46" s="2194"/>
      <c r="E46" s="538" t="str">
        <f>IF(A46="","",VLOOKUP(A46,MO,13,FALSE))</f>
        <v>HC</v>
      </c>
      <c r="F46" s="544">
        <v>0.82</v>
      </c>
      <c r="G46" s="540">
        <f>IF(A46="","",VLOOKUP(A46,MO,15,FALSE))</f>
        <v>38949</v>
      </c>
      <c r="H46" s="542">
        <f>IF(A46="","",ROUND((G46/F46),0))</f>
        <v>47499</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47499</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756741</v>
      </c>
    </row>
    <row r="53" spans="1:8">
      <c r="A53" s="285"/>
      <c r="B53" s="285"/>
      <c r="C53" s="285"/>
      <c r="D53" s="285"/>
      <c r="E53" s="346"/>
      <c r="F53" s="347"/>
      <c r="G53" s="347"/>
      <c r="H53" s="349"/>
    </row>
    <row r="54" spans="1:8">
      <c r="A54" s="285"/>
      <c r="B54" s="285"/>
      <c r="C54" s="285"/>
      <c r="D54" s="285"/>
      <c r="E54" s="346"/>
      <c r="F54" s="347"/>
      <c r="G54" s="347"/>
      <c r="H54" s="349"/>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c r="A59" s="703" t="str">
        <f>+[14]PRESUPUESTO!$A$113</f>
        <v>__________________________________________</v>
      </c>
      <c r="B59" s="703"/>
    </row>
    <row r="60" spans="1:8">
      <c r="A60" s="810" t="str">
        <f>+[14]PRESUPUESTO!$A$114</f>
        <v>Ing. JHON FREDY GARCIA MENDEZ</v>
      </c>
      <c r="B60" s="703"/>
    </row>
    <row r="61" spans="1:8">
      <c r="A61" s="811" t="str">
        <f>+[14]PRESUPUESTO!$A$115</f>
        <v>M.P.  70268-326294 TLM.</v>
      </c>
      <c r="B61" s="703"/>
    </row>
    <row r="62" spans="1:8">
      <c r="A62" s="811" t="str">
        <f>+[14]PRESUPUESTO!$A$116</f>
        <v>CONSULTOR</v>
      </c>
      <c r="B62" s="703"/>
    </row>
  </sheetData>
  <mergeCells count="15">
    <mergeCell ref="D2:E4"/>
    <mergeCell ref="F2:H2"/>
    <mergeCell ref="F3:H3"/>
    <mergeCell ref="F4:H4"/>
    <mergeCell ref="A5:E5"/>
    <mergeCell ref="F5:H5"/>
    <mergeCell ref="B47:D47"/>
    <mergeCell ref="B48:D48"/>
    <mergeCell ref="B49:D49"/>
    <mergeCell ref="B6:D6"/>
    <mergeCell ref="B7:E7"/>
    <mergeCell ref="B8:E8"/>
    <mergeCell ref="B36:C36"/>
    <mergeCell ref="B45:D45"/>
    <mergeCell ref="B46:D46"/>
  </mergeCells>
  <pageMargins left="0.75" right="0.75" top="1" bottom="1" header="0" footer="0"/>
  <pageSetup paperSize="9" scale="70" orientation="portrait" r:id="rId1"/>
  <headerFooter alignWithMargins="0"/>
  <drawing r:id="rId2"/>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400-000000000000}">
  <sheetPr>
    <tabColor theme="6" tint="0.79998168889431442"/>
  </sheetPr>
  <dimension ref="A1:I62"/>
  <sheetViews>
    <sheetView workbookViewId="0"/>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4.570312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t="e">
        <f>PRESUPUESTO!#REF!</f>
        <v>#REF!</v>
      </c>
      <c r="B7" s="2185" t="e">
        <f>PRESUPUESTO!#REF!</f>
        <v>#REF!</v>
      </c>
      <c r="C7" s="2185"/>
      <c r="D7" s="2185"/>
      <c r="E7" s="2185"/>
      <c r="F7" s="289"/>
      <c r="G7" s="290" t="s">
        <v>525</v>
      </c>
      <c r="H7" s="97" t="e">
        <f>+PRESUPUESTO!#REF!</f>
        <v>#REF!</v>
      </c>
    </row>
    <row r="8" spans="1:9" ht="26.25" customHeight="1">
      <c r="A8" s="97" t="e">
        <f>+PRESUPUESTO!#REF!</f>
        <v>#REF!</v>
      </c>
      <c r="B8" s="2272" t="e">
        <f>+PRESUPUESTO!#REF!</f>
        <v>#REF!</v>
      </c>
      <c r="C8" s="2257"/>
      <c r="D8" s="2257"/>
      <c r="E8" s="225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967</v>
      </c>
      <c r="B13" s="305" t="str">
        <f t="shared" ref="B13:B18" si="0">IF(A13="","",VLOOKUP(A13,EQUI,2,FALSE))</f>
        <v>Herramienta Menor (10% de la mano de obra).</v>
      </c>
      <c r="C13" s="306"/>
      <c r="D13" s="306"/>
      <c r="E13" s="276" t="str">
        <f t="shared" ref="E13:E18" si="1">IF(A13="","",VLOOKUP(A13,EQUI,3,FALSE))</f>
        <v>%</v>
      </c>
      <c r="F13" s="433">
        <f>IF(A13="","",VLOOKUP(A13,EQUI,4,FALSE))</f>
        <v>0.1</v>
      </c>
      <c r="G13" s="307">
        <f>ROUND(F13*H50,0)</f>
        <v>40999</v>
      </c>
      <c r="H13" s="308">
        <f>+G13</f>
        <v>40999</v>
      </c>
      <c r="I13" s="309"/>
    </row>
    <row r="14" spans="1:9">
      <c r="A14" s="536"/>
      <c r="B14" s="305"/>
      <c r="C14" s="306"/>
      <c r="D14" s="306"/>
      <c r="E14" s="276" t="str">
        <f t="shared" si="1"/>
        <v/>
      </c>
      <c r="F14" s="405"/>
      <c r="G14" s="310" t="str">
        <f>IF(A14="","",VLOOKUP(A14,EQUI,4,FALSE))</f>
        <v/>
      </c>
      <c r="H14" s="311" t="str">
        <f>IF(A14="","",ROUND((G14/F14),0))</f>
        <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40999</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t="s">
        <v>2420</v>
      </c>
      <c r="B23" s="353" t="str">
        <f>IF(A23="","",VLOOKUP(A23,MAT,2,FALSE))</f>
        <v>Concreto de 280 Kg/cm2 (4000 PSI) Impermeabilizado</v>
      </c>
      <c r="C23" s="305"/>
      <c r="D23" s="306"/>
      <c r="E23" s="276" t="str">
        <f>IF(A23="","",VLOOKUP(A23,MAT,3,FALSE))</f>
        <v>m3</v>
      </c>
      <c r="F23" s="405">
        <v>1.03</v>
      </c>
      <c r="G23" s="310">
        <f>IF(A23="","",VLOOKUP(A23,MAT,5,FALSE))</f>
        <v>837338</v>
      </c>
      <c r="H23" s="311">
        <f>IF(A23="","",ROUND((G23*F23),0))</f>
        <v>862458</v>
      </c>
    </row>
    <row r="24" spans="1:8">
      <c r="A24" s="534"/>
      <c r="B24" s="305" t="s">
        <v>1768</v>
      </c>
      <c r="C24" s="305"/>
      <c r="D24" s="306"/>
      <c r="E24" s="276" t="s">
        <v>1654</v>
      </c>
      <c r="F24" s="585">
        <v>0.6</v>
      </c>
      <c r="G24" s="310">
        <v>24000</v>
      </c>
      <c r="H24" s="311">
        <f>ROUND(G24*F24,0)</f>
        <v>14400</v>
      </c>
    </row>
    <row r="25" spans="1:8">
      <c r="A25" s="534"/>
      <c r="B25" s="305" t="s">
        <v>1767</v>
      </c>
      <c r="C25" s="305"/>
      <c r="D25" s="306"/>
      <c r="E25" s="276" t="s">
        <v>293</v>
      </c>
      <c r="F25" s="585">
        <v>0.4</v>
      </c>
      <c r="G25" s="310">
        <v>2900</v>
      </c>
      <c r="H25" s="311">
        <f t="shared" ref="H25" si="2">ROUND(G25*F25,0)</f>
        <v>1160</v>
      </c>
    </row>
    <row r="26" spans="1:8">
      <c r="A26" s="534"/>
      <c r="B26" s="305" t="str">
        <f t="shared" ref="B26:B32" si="3">IF(A26="","",VLOOKUP(A26,MAT,2,FALSE))</f>
        <v/>
      </c>
      <c r="C26" s="305"/>
      <c r="D26" s="306"/>
      <c r="E26" s="276" t="str">
        <f t="shared" ref="E26:E32" si="4">IF(A26="","",VLOOKUP(A26,MAT,3,FALSE))</f>
        <v/>
      </c>
      <c r="F26" s="405"/>
      <c r="G26" s="310" t="str">
        <f t="shared" ref="G26:G32" si="5">IF(A26="","",VLOOKUP(A26,MAT,5,FALSE))</f>
        <v/>
      </c>
      <c r="H26" s="311" t="str">
        <f t="shared" ref="H26:H32" si="6">IF(A26="","",ROUND((G26*F26),0))</f>
        <v/>
      </c>
    </row>
    <row r="27" spans="1:8">
      <c r="A27" s="534"/>
      <c r="B27" s="305" t="str">
        <f t="shared" si="3"/>
        <v/>
      </c>
      <c r="C27" s="305"/>
      <c r="D27" s="306"/>
      <c r="E27" s="276" t="str">
        <f t="shared" si="4"/>
        <v/>
      </c>
      <c r="F27" s="405"/>
      <c r="G27" s="310" t="str">
        <f t="shared" si="5"/>
        <v/>
      </c>
      <c r="H27" s="311" t="str">
        <f t="shared" si="6"/>
        <v/>
      </c>
    </row>
    <row r="28" spans="1:8">
      <c r="A28" s="534"/>
      <c r="B28" s="305" t="str">
        <f t="shared" si="3"/>
        <v/>
      </c>
      <c r="C28" s="305"/>
      <c r="D28" s="306"/>
      <c r="E28" s="276" t="str">
        <f t="shared" si="4"/>
        <v/>
      </c>
      <c r="F28" s="405"/>
      <c r="G28" s="310" t="str">
        <f t="shared" si="5"/>
        <v/>
      </c>
      <c r="H28" s="311" t="str">
        <f t="shared" si="6"/>
        <v/>
      </c>
    </row>
    <row r="29" spans="1:8">
      <c r="A29" s="534"/>
      <c r="B29" s="305" t="str">
        <f t="shared" si="3"/>
        <v/>
      </c>
      <c r="C29" s="305"/>
      <c r="D29" s="306"/>
      <c r="E29" s="276" t="str">
        <f t="shared" si="4"/>
        <v/>
      </c>
      <c r="F29" s="405"/>
      <c r="G29" s="310" t="str">
        <f t="shared" si="5"/>
        <v/>
      </c>
      <c r="H29" s="311" t="str">
        <f t="shared" si="6"/>
        <v/>
      </c>
    </row>
    <row r="30" spans="1:8">
      <c r="A30" s="534"/>
      <c r="B30" s="305" t="str">
        <f t="shared" si="3"/>
        <v/>
      </c>
      <c r="C30" s="305"/>
      <c r="D30" s="306"/>
      <c r="E30" s="276" t="str">
        <f t="shared" si="4"/>
        <v/>
      </c>
      <c r="F30" s="405"/>
      <c r="G30" s="310" t="str">
        <f t="shared" si="5"/>
        <v/>
      </c>
      <c r="H30" s="311" t="str">
        <f t="shared" si="6"/>
        <v/>
      </c>
    </row>
    <row r="31" spans="1:8">
      <c r="A31" s="534"/>
      <c r="B31" s="305" t="str">
        <f t="shared" si="3"/>
        <v/>
      </c>
      <c r="C31" s="305"/>
      <c r="D31" s="306"/>
      <c r="E31" s="276" t="str">
        <f t="shared" si="4"/>
        <v/>
      </c>
      <c r="F31" s="405"/>
      <c r="G31" s="310" t="str">
        <f t="shared" si="5"/>
        <v/>
      </c>
      <c r="H31" s="311" t="str">
        <f t="shared" si="6"/>
        <v/>
      </c>
    </row>
    <row r="32" spans="1:8" ht="13.5" thickBot="1">
      <c r="A32" s="535"/>
      <c r="B32" s="326" t="str">
        <f t="shared" si="3"/>
        <v/>
      </c>
      <c r="C32" s="314"/>
      <c r="D32" s="314"/>
      <c r="E32" s="315" t="str">
        <f t="shared" si="4"/>
        <v/>
      </c>
      <c r="F32" s="406"/>
      <c r="G32" s="327" t="str">
        <f t="shared" si="5"/>
        <v/>
      </c>
      <c r="H32" s="311" t="str">
        <f t="shared" si="6"/>
        <v/>
      </c>
    </row>
    <row r="33" spans="1:8" ht="13.5" thickBot="1">
      <c r="A33" s="285"/>
      <c r="B33" s="285"/>
      <c r="C33" s="285"/>
      <c r="D33" s="285"/>
      <c r="E33" s="286"/>
      <c r="F33" s="285"/>
      <c r="G33" s="210" t="s">
        <v>529</v>
      </c>
      <c r="H33" s="328">
        <f>ROUND(SUM(H23:H32),0)</f>
        <v>878018</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771"/>
      <c r="B37" s="737" t="str">
        <f>IF(A37="","",VLOOKUP(A37,MAT,2,FALSE))</f>
        <v/>
      </c>
      <c r="C37" s="772"/>
      <c r="D37" s="773" t="str">
        <f>IF(A37="","",VLOOKUP(A37,MAT,3,FALSE))</f>
        <v/>
      </c>
      <c r="E37" s="774" t="str">
        <f>IF(A37="","",VLOOKUP(A37,MAT,6,FALSE))</f>
        <v/>
      </c>
      <c r="F37" s="775"/>
      <c r="G37" s="776"/>
      <c r="H37" s="746" t="str">
        <f>IF(A37="","",ROUND((G37*F37*E37),0))</f>
        <v/>
      </c>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0</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883</v>
      </c>
      <c r="B46" s="2192" t="str">
        <f>IF(A46="","",VLOOKUP(A46,MO,2,FALSE))</f>
        <v>Cuadrilla AA: Albañilería. (1 Of. + 1 Ayud.).</v>
      </c>
      <c r="C46" s="2193"/>
      <c r="D46" s="2194"/>
      <c r="E46" s="538" t="str">
        <f>IF(A46="","",VLOOKUP(A46,MO,13,FALSE))</f>
        <v>HC</v>
      </c>
      <c r="F46" s="544">
        <v>9.5000000000000001E-2</v>
      </c>
      <c r="G46" s="540">
        <f>IF(A46="","",VLOOKUP(A46,MO,15,FALSE))</f>
        <v>38949</v>
      </c>
      <c r="H46" s="542">
        <f>IF(A46="","",ROUND((G46/F46),0))</f>
        <v>409989</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409989</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1329006</v>
      </c>
    </row>
    <row r="53" spans="1:8">
      <c r="A53" s="285"/>
      <c r="B53" s="285"/>
      <c r="C53" s="285"/>
      <c r="D53" s="285"/>
      <c r="E53" s="346"/>
      <c r="F53" s="347"/>
      <c r="G53" s="347"/>
      <c r="H53" s="349"/>
    </row>
    <row r="54" spans="1:8">
      <c r="A54" s="285"/>
      <c r="B54" s="285"/>
      <c r="C54" s="285"/>
      <c r="D54" s="285"/>
      <c r="E54" s="346"/>
      <c r="F54" s="347"/>
      <c r="G54" s="347"/>
      <c r="H54" s="349"/>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c r="A59" s="703" t="str">
        <f>+[14]PRESUPUESTO!$A$113</f>
        <v>__________________________________________</v>
      </c>
      <c r="B59" s="703"/>
    </row>
    <row r="60" spans="1:8">
      <c r="A60" s="810" t="str">
        <f>+[14]PRESUPUESTO!$A$114</f>
        <v>Ing. JHON FREDY GARCIA MENDEZ</v>
      </c>
      <c r="B60" s="703"/>
    </row>
    <row r="61" spans="1:8">
      <c r="A61" s="811" t="str">
        <f>+[14]PRESUPUESTO!$A$115</f>
        <v>M.P.  70268-326294 TLM.</v>
      </c>
      <c r="B61" s="703"/>
    </row>
    <row r="62" spans="1:8">
      <c r="A62" s="811" t="str">
        <f>+[14]PRESUPUESTO!$A$116</f>
        <v>CONSULTOR</v>
      </c>
      <c r="B62" s="703"/>
    </row>
  </sheetData>
  <mergeCells count="15">
    <mergeCell ref="D2:E4"/>
    <mergeCell ref="F2:H2"/>
    <mergeCell ref="F3:H3"/>
    <mergeCell ref="F4:H4"/>
    <mergeCell ref="A5:E5"/>
    <mergeCell ref="F5:H5"/>
    <mergeCell ref="B47:D47"/>
    <mergeCell ref="B48:D48"/>
    <mergeCell ref="B49:D49"/>
    <mergeCell ref="B6:D6"/>
    <mergeCell ref="B7:E7"/>
    <mergeCell ref="B8:E8"/>
    <mergeCell ref="B36:C36"/>
    <mergeCell ref="B45:D45"/>
    <mergeCell ref="B46:D46"/>
  </mergeCells>
  <pageMargins left="0.75" right="0.75" top="1" bottom="1" header="0" footer="0"/>
  <pageSetup paperSize="9" scale="70" orientation="portrait" r:id="rId1"/>
  <headerFooter alignWithMargins="0"/>
  <drawing r:id="rId2"/>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500-000000000000}">
  <sheetPr>
    <tabColor theme="6" tint="0.79998168889431442"/>
  </sheetPr>
  <dimension ref="A1:I62"/>
  <sheetViews>
    <sheetView workbookViewId="0"/>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4.570312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t="e">
        <f>PRESUPUESTO!#REF!</f>
        <v>#REF!</v>
      </c>
      <c r="B7" s="2185" t="e">
        <f>PRESUPUESTO!#REF!</f>
        <v>#REF!</v>
      </c>
      <c r="C7" s="2185"/>
      <c r="D7" s="2185"/>
      <c r="E7" s="2185"/>
      <c r="F7" s="289"/>
      <c r="G7" s="290" t="s">
        <v>525</v>
      </c>
      <c r="H7" s="97" t="e">
        <f>+PRESUPUESTO!#REF!</f>
        <v>#REF!</v>
      </c>
    </row>
    <row r="8" spans="1:9">
      <c r="A8" s="97" t="e">
        <f>+PRESUPUESTO!#REF!</f>
        <v>#REF!</v>
      </c>
      <c r="B8" s="2272" t="e">
        <f>+PRESUPUESTO!#REF!</f>
        <v>#REF!</v>
      </c>
      <c r="C8" s="2257"/>
      <c r="D8" s="2257"/>
      <c r="E8" s="225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967</v>
      </c>
      <c r="B13" s="305" t="str">
        <f t="shared" ref="B13:B18" si="0">IF(A13="","",VLOOKUP(A13,EQUI,2,FALSE))</f>
        <v>Herramienta Menor (10% de la mano de obra).</v>
      </c>
      <c r="C13" s="306"/>
      <c r="D13" s="306"/>
      <c r="E13" s="276" t="str">
        <f t="shared" ref="E13:E18" si="1">IF(A13="","",VLOOKUP(A13,EQUI,3,FALSE))</f>
        <v>%</v>
      </c>
      <c r="F13" s="433">
        <f>IF(A13="","",VLOOKUP(A13,EQUI,4,FALSE))</f>
        <v>0.1</v>
      </c>
      <c r="G13" s="307">
        <f>ROUND(F13*H50,0)</f>
        <v>25966</v>
      </c>
      <c r="H13" s="308">
        <f>+G13</f>
        <v>25966</v>
      </c>
      <c r="I13" s="309"/>
    </row>
    <row r="14" spans="1:9">
      <c r="A14" s="536"/>
      <c r="B14" s="305"/>
      <c r="C14" s="306"/>
      <c r="D14" s="306"/>
      <c r="E14" s="276" t="str">
        <f t="shared" si="1"/>
        <v/>
      </c>
      <c r="F14" s="405"/>
      <c r="G14" s="310" t="str">
        <f>IF(A14="","",VLOOKUP(A14,EQUI,4,FALSE))</f>
        <v/>
      </c>
      <c r="H14" s="311" t="str">
        <f>IF(A14="","",ROUND((G14/F14),0))</f>
        <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25966</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c r="B23" s="1033" t="s">
        <v>2423</v>
      </c>
      <c r="C23" s="305"/>
      <c r="D23" s="306"/>
      <c r="E23" s="815" t="s">
        <v>1681</v>
      </c>
      <c r="F23" s="405">
        <v>1</v>
      </c>
      <c r="G23" s="310">
        <v>374969</v>
      </c>
      <c r="H23" s="311">
        <f>ROUND(F23*G23,0)</f>
        <v>374969</v>
      </c>
    </row>
    <row r="24" spans="1:8">
      <c r="A24" s="534"/>
      <c r="B24" s="353" t="str">
        <f>IF(A24="","",VLOOKUP(A24,MAT,2,FALSE))</f>
        <v/>
      </c>
      <c r="C24" s="305"/>
      <c r="D24" s="306"/>
      <c r="E24" s="276" t="str">
        <f>IF(A24="","",VLOOKUP(A24,MAT,3,FALSE))</f>
        <v/>
      </c>
      <c r="F24" s="405"/>
      <c r="G24" s="310" t="str">
        <f>IF(A24="","",VLOOKUP(A24,MAT,5,FALSE))</f>
        <v/>
      </c>
      <c r="H24" s="311" t="str">
        <f>IF(A24="","",ROUND((G24*F24),0))</f>
        <v/>
      </c>
    </row>
    <row r="25" spans="1:8">
      <c r="A25" s="534"/>
      <c r="B25" s="353"/>
      <c r="C25" s="305"/>
      <c r="D25" s="306"/>
      <c r="E25" s="276"/>
      <c r="F25" s="405"/>
      <c r="G25" s="310"/>
      <c r="H25" s="311"/>
    </row>
    <row r="26" spans="1:8">
      <c r="A26" s="534"/>
      <c r="B26" s="305" t="str">
        <f t="shared" ref="B26:B32" si="2">IF(A26="","",VLOOKUP(A26,MAT,2,FALSE))</f>
        <v/>
      </c>
      <c r="C26" s="305"/>
      <c r="D26" s="306"/>
      <c r="E26" s="276" t="str">
        <f t="shared" ref="E26:E32" si="3">IF(A26="","",VLOOKUP(A26,MAT,3,FALSE))</f>
        <v/>
      </c>
      <c r="F26" s="405"/>
      <c r="G26" s="310" t="str">
        <f t="shared" ref="G26:G32" si="4">IF(A26="","",VLOOKUP(A26,MAT,5,FALSE))</f>
        <v/>
      </c>
      <c r="H26" s="311" t="str">
        <f t="shared" ref="H26:H32" si="5">IF(A26="","",ROUND((G26*F26),0))</f>
        <v/>
      </c>
    </row>
    <row r="27" spans="1:8">
      <c r="A27" s="534"/>
      <c r="B27" s="305" t="str">
        <f t="shared" si="2"/>
        <v/>
      </c>
      <c r="C27" s="305"/>
      <c r="D27" s="306"/>
      <c r="E27" s="276" t="str">
        <f t="shared" si="3"/>
        <v/>
      </c>
      <c r="F27" s="405"/>
      <c r="G27" s="310" t="str">
        <f t="shared" si="4"/>
        <v/>
      </c>
      <c r="H27" s="311" t="str">
        <f t="shared" si="5"/>
        <v/>
      </c>
    </row>
    <row r="28" spans="1:8">
      <c r="A28" s="534"/>
      <c r="B28" s="305" t="str">
        <f t="shared" si="2"/>
        <v/>
      </c>
      <c r="C28" s="305"/>
      <c r="D28" s="306"/>
      <c r="E28" s="276" t="str">
        <f t="shared" si="3"/>
        <v/>
      </c>
      <c r="F28" s="405"/>
      <c r="G28" s="310" t="str">
        <f t="shared" si="4"/>
        <v/>
      </c>
      <c r="H28" s="311" t="str">
        <f t="shared" si="5"/>
        <v/>
      </c>
    </row>
    <row r="29" spans="1:8">
      <c r="A29" s="534"/>
      <c r="B29" s="305" t="str">
        <f t="shared" si="2"/>
        <v/>
      </c>
      <c r="C29" s="305"/>
      <c r="D29" s="306"/>
      <c r="E29" s="276" t="str">
        <f t="shared" si="3"/>
        <v/>
      </c>
      <c r="F29" s="405"/>
      <c r="G29" s="310" t="str">
        <f t="shared" si="4"/>
        <v/>
      </c>
      <c r="H29" s="311" t="str">
        <f t="shared" si="5"/>
        <v/>
      </c>
    </row>
    <row r="30" spans="1:8">
      <c r="A30" s="534"/>
      <c r="B30" s="305" t="str">
        <f t="shared" si="2"/>
        <v/>
      </c>
      <c r="C30" s="305"/>
      <c r="D30" s="306"/>
      <c r="E30" s="276" t="str">
        <f t="shared" si="3"/>
        <v/>
      </c>
      <c r="F30" s="405"/>
      <c r="G30" s="310" t="str">
        <f t="shared" si="4"/>
        <v/>
      </c>
      <c r="H30" s="311" t="str">
        <f t="shared" si="5"/>
        <v/>
      </c>
    </row>
    <row r="31" spans="1:8">
      <c r="A31" s="534"/>
      <c r="B31" s="305" t="str">
        <f t="shared" si="2"/>
        <v/>
      </c>
      <c r="C31" s="305"/>
      <c r="D31" s="306"/>
      <c r="E31" s="276" t="str">
        <f t="shared" si="3"/>
        <v/>
      </c>
      <c r="F31" s="405"/>
      <c r="G31" s="310" t="str">
        <f t="shared" si="4"/>
        <v/>
      </c>
      <c r="H31" s="311" t="str">
        <f t="shared" si="5"/>
        <v/>
      </c>
    </row>
    <row r="32" spans="1:8" ht="13.5" thickBot="1">
      <c r="A32" s="535"/>
      <c r="B32" s="326" t="str">
        <f t="shared" si="2"/>
        <v/>
      </c>
      <c r="C32" s="314"/>
      <c r="D32" s="314"/>
      <c r="E32" s="315" t="str">
        <f t="shared" si="3"/>
        <v/>
      </c>
      <c r="F32" s="406"/>
      <c r="G32" s="327" t="str">
        <f t="shared" si="4"/>
        <v/>
      </c>
      <c r="H32" s="311" t="str">
        <f t="shared" si="5"/>
        <v/>
      </c>
    </row>
    <row r="33" spans="1:8" ht="13.5" thickBot="1">
      <c r="A33" s="285"/>
      <c r="B33" s="285"/>
      <c r="C33" s="285"/>
      <c r="D33" s="285"/>
      <c r="E33" s="286"/>
      <c r="F33" s="285"/>
      <c r="G33" s="210" t="s">
        <v>529</v>
      </c>
      <c r="H33" s="328">
        <f>ROUND(SUM(H23:H32),0)</f>
        <v>374969</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771"/>
      <c r="B37" s="737"/>
      <c r="C37" s="772"/>
      <c r="D37" s="773"/>
      <c r="E37" s="774"/>
      <c r="F37" s="775"/>
      <c r="G37" s="776"/>
      <c r="H37" s="746"/>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0</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883</v>
      </c>
      <c r="B46" s="2192" t="str">
        <f>IF(A46="","",VLOOKUP(A46,MO,2,FALSE))</f>
        <v>Cuadrilla AA: Albañilería. (1 Of. + 1 Ayud.).</v>
      </c>
      <c r="C46" s="2193"/>
      <c r="D46" s="2194"/>
      <c r="E46" s="538" t="str">
        <f>IF(A46="","",VLOOKUP(A46,MO,13,FALSE))</f>
        <v>HC</v>
      </c>
      <c r="F46" s="544">
        <v>0.15</v>
      </c>
      <c r="G46" s="540">
        <f>IF(A46="","",VLOOKUP(A46,MO,15,FALSE))</f>
        <v>38949</v>
      </c>
      <c r="H46" s="542">
        <f>IF(A46="","",ROUND((G46/F46),0))</f>
        <v>259660</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259660</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660595</v>
      </c>
    </row>
    <row r="53" spans="1:8">
      <c r="A53" s="285"/>
      <c r="B53" s="285"/>
      <c r="C53" s="285"/>
      <c r="D53" s="285"/>
      <c r="E53" s="346"/>
      <c r="F53" s="347"/>
      <c r="G53" s="347"/>
      <c r="H53" s="349"/>
    </row>
    <row r="54" spans="1:8">
      <c r="A54" s="285"/>
      <c r="B54" s="285"/>
      <c r="C54" s="285"/>
      <c r="D54" s="285"/>
      <c r="E54" s="346"/>
      <c r="F54" s="347"/>
      <c r="G54" s="347"/>
      <c r="H54" s="349"/>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c r="A59" s="703" t="str">
        <f>+[14]PRESUPUESTO!$A$113</f>
        <v>__________________________________________</v>
      </c>
      <c r="B59" s="703"/>
    </row>
    <row r="60" spans="1:8">
      <c r="A60" s="810" t="str">
        <f>+[14]PRESUPUESTO!$A$114</f>
        <v>Ing. JHON FREDY GARCIA MENDEZ</v>
      </c>
      <c r="B60" s="703"/>
    </row>
    <row r="61" spans="1:8">
      <c r="A61" s="811" t="str">
        <f>+[14]PRESUPUESTO!$A$115</f>
        <v>M.P.  70268-326294 TLM.</v>
      </c>
      <c r="B61" s="703"/>
    </row>
    <row r="62" spans="1:8">
      <c r="A62" s="811" t="str">
        <f>+[14]PRESUPUESTO!$A$116</f>
        <v>CONSULTOR</v>
      </c>
      <c r="B62" s="703"/>
    </row>
  </sheetData>
  <mergeCells count="15">
    <mergeCell ref="D2:E4"/>
    <mergeCell ref="F2:H2"/>
    <mergeCell ref="F3:H3"/>
    <mergeCell ref="F4:H4"/>
    <mergeCell ref="A5:E5"/>
    <mergeCell ref="F5:H5"/>
    <mergeCell ref="B47:D47"/>
    <mergeCell ref="B48:D48"/>
    <mergeCell ref="B49:D49"/>
    <mergeCell ref="B6:D6"/>
    <mergeCell ref="B7:E7"/>
    <mergeCell ref="B8:E8"/>
    <mergeCell ref="B36:C36"/>
    <mergeCell ref="B45:D45"/>
    <mergeCell ref="B46:D46"/>
  </mergeCells>
  <pageMargins left="0.75" right="0.75" top="1" bottom="1" header="0" footer="0"/>
  <pageSetup paperSize="9" scale="70" orientation="portrait" r:id="rId1"/>
  <headerFooter alignWithMargins="0"/>
  <drawing r:id="rId2"/>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600-000000000000}">
  <sheetPr>
    <tabColor theme="6" tint="0.79998168889431442"/>
  </sheetPr>
  <dimension ref="A1:I62"/>
  <sheetViews>
    <sheetView workbookViewId="0"/>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4.570312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t="e">
        <f>PRESUPUESTO!#REF!</f>
        <v>#REF!</v>
      </c>
      <c r="B7" s="2185" t="e">
        <f>PRESUPUESTO!#REF!</f>
        <v>#REF!</v>
      </c>
      <c r="C7" s="2185"/>
      <c r="D7" s="2185"/>
      <c r="E7" s="2185"/>
      <c r="F7" s="289"/>
      <c r="G7" s="290" t="s">
        <v>525</v>
      </c>
      <c r="H7" s="97" t="e">
        <f>+PRESUPUESTO!#REF!</f>
        <v>#REF!</v>
      </c>
    </row>
    <row r="8" spans="1:9">
      <c r="A8" s="97" t="e">
        <f>+PRESUPUESTO!#REF!</f>
        <v>#REF!</v>
      </c>
      <c r="B8" s="2272" t="e">
        <f>+PRESUPUESTO!#REF!</f>
        <v>#REF!</v>
      </c>
      <c r="C8" s="2257"/>
      <c r="D8" s="2257"/>
      <c r="E8" s="225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967</v>
      </c>
      <c r="B13" s="305" t="str">
        <f t="shared" ref="B13:B18" si="0">IF(A13="","",VLOOKUP(A13,EQUI,2,FALSE))</f>
        <v>Herramienta Menor (10% de la mano de obra).</v>
      </c>
      <c r="C13" s="306"/>
      <c r="D13" s="306"/>
      <c r="E13" s="276" t="str">
        <f t="shared" ref="E13:E18" si="1">IF(A13="","",VLOOKUP(A13,EQUI,3,FALSE))</f>
        <v>%</v>
      </c>
      <c r="F13" s="433">
        <f>IF(A13="","",VLOOKUP(A13,EQUI,4,FALSE))</f>
        <v>0.1</v>
      </c>
      <c r="G13" s="307">
        <f>ROUND(F13*H50,0)</f>
        <v>27821</v>
      </c>
      <c r="H13" s="308">
        <f>+G13</f>
        <v>27821</v>
      </c>
      <c r="I13" s="309"/>
    </row>
    <row r="14" spans="1:9">
      <c r="A14" s="536"/>
      <c r="B14" s="305"/>
      <c r="C14" s="306"/>
      <c r="D14" s="306"/>
      <c r="E14" s="276" t="str">
        <f t="shared" si="1"/>
        <v/>
      </c>
      <c r="F14" s="405"/>
      <c r="G14" s="310" t="str">
        <f>IF(A14="","",VLOOKUP(A14,EQUI,4,FALSE))</f>
        <v/>
      </c>
      <c r="H14" s="311" t="str">
        <f>IF(A14="","",ROUND((G14/F14),0))</f>
        <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27821</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c r="B23" s="1033" t="s">
        <v>2423</v>
      </c>
      <c r="C23" s="305"/>
      <c r="D23" s="306"/>
      <c r="E23" s="815" t="s">
        <v>1681</v>
      </c>
      <c r="F23" s="405">
        <v>1</v>
      </c>
      <c r="G23" s="310">
        <v>443394</v>
      </c>
      <c r="H23" s="311">
        <f>ROUND(F23*G23,0)</f>
        <v>443394</v>
      </c>
    </row>
    <row r="24" spans="1:8">
      <c r="A24" s="534"/>
      <c r="B24" s="353" t="str">
        <f>IF(A24="","",VLOOKUP(A24,MAT,2,FALSE))</f>
        <v/>
      </c>
      <c r="C24" s="305"/>
      <c r="D24" s="306"/>
      <c r="E24" s="276" t="str">
        <f>IF(A24="","",VLOOKUP(A24,MAT,3,FALSE))</f>
        <v/>
      </c>
      <c r="F24" s="405"/>
      <c r="G24" s="310" t="str">
        <f>IF(A24="","",VLOOKUP(A24,MAT,5,FALSE))</f>
        <v/>
      </c>
      <c r="H24" s="311" t="str">
        <f>IF(A24="","",ROUND((G24*F24),0))</f>
        <v/>
      </c>
    </row>
    <row r="25" spans="1:8">
      <c r="A25" s="534"/>
      <c r="B25" s="353"/>
      <c r="C25" s="305"/>
      <c r="D25" s="306"/>
      <c r="E25" s="276"/>
      <c r="F25" s="405"/>
      <c r="G25" s="310"/>
      <c r="H25" s="311"/>
    </row>
    <row r="26" spans="1:8">
      <c r="A26" s="534"/>
      <c r="B26" s="305" t="str">
        <f t="shared" ref="B26:B32" si="2">IF(A26="","",VLOOKUP(A26,MAT,2,FALSE))</f>
        <v/>
      </c>
      <c r="C26" s="305"/>
      <c r="D26" s="306"/>
      <c r="E26" s="276" t="str">
        <f t="shared" ref="E26:E32" si="3">IF(A26="","",VLOOKUP(A26,MAT,3,FALSE))</f>
        <v/>
      </c>
      <c r="F26" s="405"/>
      <c r="G26" s="310" t="str">
        <f t="shared" ref="G26:G32" si="4">IF(A26="","",VLOOKUP(A26,MAT,5,FALSE))</f>
        <v/>
      </c>
      <c r="H26" s="311" t="str">
        <f t="shared" ref="H26:H32" si="5">IF(A26="","",ROUND((G26*F26),0))</f>
        <v/>
      </c>
    </row>
    <row r="27" spans="1:8">
      <c r="A27" s="534"/>
      <c r="B27" s="305" t="str">
        <f t="shared" si="2"/>
        <v/>
      </c>
      <c r="C27" s="305"/>
      <c r="D27" s="306"/>
      <c r="E27" s="276" t="str">
        <f t="shared" si="3"/>
        <v/>
      </c>
      <c r="F27" s="405"/>
      <c r="G27" s="310" t="str">
        <f t="shared" si="4"/>
        <v/>
      </c>
      <c r="H27" s="311" t="str">
        <f t="shared" si="5"/>
        <v/>
      </c>
    </row>
    <row r="28" spans="1:8">
      <c r="A28" s="534"/>
      <c r="B28" s="305" t="str">
        <f t="shared" si="2"/>
        <v/>
      </c>
      <c r="C28" s="305"/>
      <c r="D28" s="306"/>
      <c r="E28" s="276" t="str">
        <f t="shared" si="3"/>
        <v/>
      </c>
      <c r="F28" s="405"/>
      <c r="G28" s="310" t="str">
        <f t="shared" si="4"/>
        <v/>
      </c>
      <c r="H28" s="311" t="str">
        <f t="shared" si="5"/>
        <v/>
      </c>
    </row>
    <row r="29" spans="1:8">
      <c r="A29" s="534"/>
      <c r="B29" s="305" t="str">
        <f t="shared" si="2"/>
        <v/>
      </c>
      <c r="C29" s="305"/>
      <c r="D29" s="306"/>
      <c r="E29" s="276" t="str">
        <f t="shared" si="3"/>
        <v/>
      </c>
      <c r="F29" s="405"/>
      <c r="G29" s="310" t="str">
        <f t="shared" si="4"/>
        <v/>
      </c>
      <c r="H29" s="311" t="str">
        <f t="shared" si="5"/>
        <v/>
      </c>
    </row>
    <row r="30" spans="1:8">
      <c r="A30" s="534"/>
      <c r="B30" s="305" t="str">
        <f t="shared" si="2"/>
        <v/>
      </c>
      <c r="C30" s="305"/>
      <c r="D30" s="306"/>
      <c r="E30" s="276" t="str">
        <f t="shared" si="3"/>
        <v/>
      </c>
      <c r="F30" s="405"/>
      <c r="G30" s="310" t="str">
        <f t="shared" si="4"/>
        <v/>
      </c>
      <c r="H30" s="311" t="str">
        <f t="shared" si="5"/>
        <v/>
      </c>
    </row>
    <row r="31" spans="1:8">
      <c r="A31" s="534"/>
      <c r="B31" s="305" t="str">
        <f t="shared" si="2"/>
        <v/>
      </c>
      <c r="C31" s="305"/>
      <c r="D31" s="306"/>
      <c r="E31" s="276" t="str">
        <f t="shared" si="3"/>
        <v/>
      </c>
      <c r="F31" s="405"/>
      <c r="G31" s="310" t="str">
        <f t="shared" si="4"/>
        <v/>
      </c>
      <c r="H31" s="311" t="str">
        <f t="shared" si="5"/>
        <v/>
      </c>
    </row>
    <row r="32" spans="1:8" ht="13.5" thickBot="1">
      <c r="A32" s="535"/>
      <c r="B32" s="326" t="str">
        <f t="shared" si="2"/>
        <v/>
      </c>
      <c r="C32" s="314"/>
      <c r="D32" s="314"/>
      <c r="E32" s="315" t="str">
        <f t="shared" si="3"/>
        <v/>
      </c>
      <c r="F32" s="406"/>
      <c r="G32" s="327" t="str">
        <f t="shared" si="4"/>
        <v/>
      </c>
      <c r="H32" s="311" t="str">
        <f t="shared" si="5"/>
        <v/>
      </c>
    </row>
    <row r="33" spans="1:8" ht="13.5" thickBot="1">
      <c r="A33" s="285"/>
      <c r="B33" s="285"/>
      <c r="C33" s="285"/>
      <c r="D33" s="285"/>
      <c r="E33" s="286"/>
      <c r="F33" s="285"/>
      <c r="G33" s="210" t="s">
        <v>529</v>
      </c>
      <c r="H33" s="328">
        <f>ROUND(SUM(H23:H32),0)</f>
        <v>443394</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771"/>
      <c r="B37" s="737"/>
      <c r="C37" s="772"/>
      <c r="D37" s="773"/>
      <c r="E37" s="774"/>
      <c r="F37" s="775"/>
      <c r="G37" s="776"/>
      <c r="H37" s="746"/>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0</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883</v>
      </c>
      <c r="B46" s="2192" t="str">
        <f>IF(A46="","",VLOOKUP(A46,MO,2,FALSE))</f>
        <v>Cuadrilla AA: Albañilería. (1 Of. + 1 Ayud.).</v>
      </c>
      <c r="C46" s="2193"/>
      <c r="D46" s="2194"/>
      <c r="E46" s="538" t="str">
        <f>IF(A46="","",VLOOKUP(A46,MO,13,FALSE))</f>
        <v>HC</v>
      </c>
      <c r="F46" s="544">
        <v>0.14000000000000001</v>
      </c>
      <c r="G46" s="540">
        <f>IF(A46="","",VLOOKUP(A46,MO,15,FALSE))</f>
        <v>38949</v>
      </c>
      <c r="H46" s="542">
        <f>IF(A46="","",ROUND((G46/F46),0))</f>
        <v>278207</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278207</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749422</v>
      </c>
    </row>
    <row r="53" spans="1:8">
      <c r="A53" s="285"/>
      <c r="B53" s="285"/>
      <c r="C53" s="285"/>
      <c r="D53" s="285"/>
      <c r="E53" s="346"/>
      <c r="F53" s="347"/>
      <c r="G53" s="347"/>
      <c r="H53" s="349"/>
    </row>
    <row r="54" spans="1:8">
      <c r="A54" s="285"/>
      <c r="B54" s="285"/>
      <c r="C54" s="285"/>
      <c r="D54" s="285"/>
      <c r="E54" s="346"/>
      <c r="F54" s="347"/>
      <c r="G54" s="347"/>
      <c r="H54" s="349"/>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c r="A59" s="703" t="str">
        <f>+[14]PRESUPUESTO!$A$113</f>
        <v>__________________________________________</v>
      </c>
      <c r="B59" s="703"/>
    </row>
    <row r="60" spans="1:8">
      <c r="A60" s="810" t="str">
        <f>+[14]PRESUPUESTO!$A$114</f>
        <v>Ing. JHON FREDY GARCIA MENDEZ</v>
      </c>
      <c r="B60" s="703"/>
    </row>
    <row r="61" spans="1:8">
      <c r="A61" s="811" t="str">
        <f>+[14]PRESUPUESTO!$A$115</f>
        <v>M.P.  70268-326294 TLM.</v>
      </c>
      <c r="B61" s="703"/>
    </row>
    <row r="62" spans="1:8">
      <c r="A62" s="811" t="str">
        <f>+[14]PRESUPUESTO!$A$116</f>
        <v>CONSULTOR</v>
      </c>
      <c r="B62" s="703"/>
    </row>
  </sheetData>
  <mergeCells count="15">
    <mergeCell ref="D2:E4"/>
    <mergeCell ref="F2:H2"/>
    <mergeCell ref="F3:H3"/>
    <mergeCell ref="F4:H4"/>
    <mergeCell ref="A5:E5"/>
    <mergeCell ref="F5:H5"/>
    <mergeCell ref="B47:D47"/>
    <mergeCell ref="B48:D48"/>
    <mergeCell ref="B49:D49"/>
    <mergeCell ref="B6:D6"/>
    <mergeCell ref="B7:E7"/>
    <mergeCell ref="B8:E8"/>
    <mergeCell ref="B36:C36"/>
    <mergeCell ref="B45:D45"/>
    <mergeCell ref="B46:D46"/>
  </mergeCells>
  <pageMargins left="0.75" right="0.75" top="1" bottom="1" header="0" footer="0"/>
  <pageSetup paperSize="9" scale="70" orientation="portrait" r:id="rId1"/>
  <headerFooter alignWithMargins="0"/>
  <drawing r:id="rId2"/>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700-000000000000}">
  <sheetPr>
    <tabColor theme="6" tint="0.79998168889431442"/>
  </sheetPr>
  <dimension ref="A1:I62"/>
  <sheetViews>
    <sheetView workbookViewId="0"/>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4.570312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t="e">
        <f>PRESUPUESTO!#REF!</f>
        <v>#REF!</v>
      </c>
      <c r="B7" s="2185" t="e">
        <f>PRESUPUESTO!#REF!</f>
        <v>#REF!</v>
      </c>
      <c r="C7" s="2185"/>
      <c r="D7" s="2185"/>
      <c r="E7" s="2185"/>
      <c r="F7" s="289"/>
      <c r="G7" s="290" t="s">
        <v>525</v>
      </c>
      <c r="H7" s="97" t="e">
        <f>+PRESUPUESTO!#REF!</f>
        <v>#REF!</v>
      </c>
    </row>
    <row r="8" spans="1:9">
      <c r="A8" s="97" t="e">
        <f>+PRESUPUESTO!#REF!</f>
        <v>#REF!</v>
      </c>
      <c r="B8" s="2272" t="e">
        <f>+PRESUPUESTO!#REF!</f>
        <v>#REF!</v>
      </c>
      <c r="C8" s="2257"/>
      <c r="D8" s="2257"/>
      <c r="E8" s="225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967</v>
      </c>
      <c r="B13" s="305" t="str">
        <f t="shared" ref="B13:B18" si="0">IF(A13="","",VLOOKUP(A13,EQUI,2,FALSE))</f>
        <v>Herramienta Menor (10% de la mano de obra).</v>
      </c>
      <c r="C13" s="306"/>
      <c r="D13" s="306"/>
      <c r="E13" s="276" t="str">
        <f t="shared" ref="E13:E18" si="1">IF(A13="","",VLOOKUP(A13,EQUI,3,FALSE))</f>
        <v>%</v>
      </c>
      <c r="F13" s="433">
        <f>IF(A13="","",VLOOKUP(A13,EQUI,4,FALSE))</f>
        <v>0.1</v>
      </c>
      <c r="G13" s="307">
        <f>ROUND(F13*H50,0)</f>
        <v>21638</v>
      </c>
      <c r="H13" s="308">
        <f>+G13</f>
        <v>21638</v>
      </c>
      <c r="I13" s="309"/>
    </row>
    <row r="14" spans="1:9">
      <c r="A14" s="536"/>
      <c r="B14" s="305"/>
      <c r="C14" s="306"/>
      <c r="D14" s="306"/>
      <c r="E14" s="276" t="str">
        <f t="shared" si="1"/>
        <v/>
      </c>
      <c r="F14" s="405"/>
      <c r="G14" s="310" t="str">
        <f>IF(A14="","",VLOOKUP(A14,EQUI,4,FALSE))</f>
        <v/>
      </c>
      <c r="H14" s="311" t="str">
        <f>IF(A14="","",ROUND((G14/F14),0))</f>
        <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21638</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ht="26.25" customHeight="1">
      <c r="A23" s="533"/>
      <c r="B23" s="2274" t="s">
        <v>2424</v>
      </c>
      <c r="C23" s="2275"/>
      <c r="D23" s="2276"/>
      <c r="E23" s="815" t="s">
        <v>1681</v>
      </c>
      <c r="F23" s="405">
        <v>1</v>
      </c>
      <c r="G23" s="310">
        <v>103732</v>
      </c>
      <c r="H23" s="311">
        <f>ROUND(F23*G23,0)</f>
        <v>103732</v>
      </c>
    </row>
    <row r="24" spans="1:8">
      <c r="A24" s="534"/>
      <c r="B24" s="353" t="str">
        <f>IF(A24="","",VLOOKUP(A24,MAT,2,FALSE))</f>
        <v/>
      </c>
      <c r="C24" s="305"/>
      <c r="D24" s="306"/>
      <c r="E24" s="276" t="str">
        <f>IF(A24="","",VLOOKUP(A24,MAT,3,FALSE))</f>
        <v/>
      </c>
      <c r="F24" s="405"/>
      <c r="G24" s="310" t="str">
        <f>IF(A24="","",VLOOKUP(A24,MAT,5,FALSE))</f>
        <v/>
      </c>
      <c r="H24" s="311" t="str">
        <f>IF(A24="","",ROUND((G24*F24),0))</f>
        <v/>
      </c>
    </row>
    <row r="25" spans="1:8">
      <c r="A25" s="534"/>
      <c r="B25" s="353"/>
      <c r="C25" s="305"/>
      <c r="D25" s="306"/>
      <c r="E25" s="276"/>
      <c r="F25" s="405"/>
      <c r="G25" s="310"/>
      <c r="H25" s="311"/>
    </row>
    <row r="26" spans="1:8">
      <c r="A26" s="534"/>
      <c r="B26" s="305" t="str">
        <f t="shared" ref="B26:B32" si="2">IF(A26="","",VLOOKUP(A26,MAT,2,FALSE))</f>
        <v/>
      </c>
      <c r="C26" s="305"/>
      <c r="D26" s="306"/>
      <c r="E26" s="276" t="str">
        <f t="shared" ref="E26:E32" si="3">IF(A26="","",VLOOKUP(A26,MAT,3,FALSE))</f>
        <v/>
      </c>
      <c r="F26" s="405"/>
      <c r="G26" s="310" t="str">
        <f t="shared" ref="G26:G32" si="4">IF(A26="","",VLOOKUP(A26,MAT,5,FALSE))</f>
        <v/>
      </c>
      <c r="H26" s="311" t="str">
        <f t="shared" ref="H26:H32" si="5">IF(A26="","",ROUND((G26*F26),0))</f>
        <v/>
      </c>
    </row>
    <row r="27" spans="1:8">
      <c r="A27" s="534"/>
      <c r="B27" s="305" t="str">
        <f t="shared" si="2"/>
        <v/>
      </c>
      <c r="C27" s="305"/>
      <c r="D27" s="306"/>
      <c r="E27" s="276" t="str">
        <f t="shared" si="3"/>
        <v/>
      </c>
      <c r="F27" s="405"/>
      <c r="G27" s="310" t="str">
        <f t="shared" si="4"/>
        <v/>
      </c>
      <c r="H27" s="311" t="str">
        <f t="shared" si="5"/>
        <v/>
      </c>
    </row>
    <row r="28" spans="1:8">
      <c r="A28" s="534"/>
      <c r="B28" s="305" t="str">
        <f t="shared" si="2"/>
        <v/>
      </c>
      <c r="C28" s="305"/>
      <c r="D28" s="306"/>
      <c r="E28" s="276" t="str">
        <f t="shared" si="3"/>
        <v/>
      </c>
      <c r="F28" s="405"/>
      <c r="G28" s="310" t="str">
        <f t="shared" si="4"/>
        <v/>
      </c>
      <c r="H28" s="311" t="str">
        <f t="shared" si="5"/>
        <v/>
      </c>
    </row>
    <row r="29" spans="1:8">
      <c r="A29" s="534"/>
      <c r="B29" s="305" t="str">
        <f t="shared" si="2"/>
        <v/>
      </c>
      <c r="C29" s="305"/>
      <c r="D29" s="306"/>
      <c r="E29" s="276" t="str">
        <f t="shared" si="3"/>
        <v/>
      </c>
      <c r="F29" s="405"/>
      <c r="G29" s="310" t="str">
        <f t="shared" si="4"/>
        <v/>
      </c>
      <c r="H29" s="311" t="str">
        <f t="shared" si="5"/>
        <v/>
      </c>
    </row>
    <row r="30" spans="1:8">
      <c r="A30" s="534"/>
      <c r="B30" s="305" t="str">
        <f t="shared" si="2"/>
        <v/>
      </c>
      <c r="C30" s="305"/>
      <c r="D30" s="306"/>
      <c r="E30" s="276" t="str">
        <f t="shared" si="3"/>
        <v/>
      </c>
      <c r="F30" s="405"/>
      <c r="G30" s="310" t="str">
        <f t="shared" si="4"/>
        <v/>
      </c>
      <c r="H30" s="311" t="str">
        <f t="shared" si="5"/>
        <v/>
      </c>
    </row>
    <row r="31" spans="1:8">
      <c r="A31" s="534"/>
      <c r="B31" s="305" t="str">
        <f t="shared" si="2"/>
        <v/>
      </c>
      <c r="C31" s="305"/>
      <c r="D31" s="306"/>
      <c r="E31" s="276" t="str">
        <f t="shared" si="3"/>
        <v/>
      </c>
      <c r="F31" s="405"/>
      <c r="G31" s="310" t="str">
        <f t="shared" si="4"/>
        <v/>
      </c>
      <c r="H31" s="311" t="str">
        <f t="shared" si="5"/>
        <v/>
      </c>
    </row>
    <row r="32" spans="1:8" ht="13.5" thickBot="1">
      <c r="A32" s="535"/>
      <c r="B32" s="326" t="str">
        <f t="shared" si="2"/>
        <v/>
      </c>
      <c r="C32" s="314"/>
      <c r="D32" s="314"/>
      <c r="E32" s="315" t="str">
        <f t="shared" si="3"/>
        <v/>
      </c>
      <c r="F32" s="406"/>
      <c r="G32" s="327" t="str">
        <f t="shared" si="4"/>
        <v/>
      </c>
      <c r="H32" s="311" t="str">
        <f t="shared" si="5"/>
        <v/>
      </c>
    </row>
    <row r="33" spans="1:8" ht="13.5" thickBot="1">
      <c r="A33" s="285"/>
      <c r="B33" s="285"/>
      <c r="C33" s="285"/>
      <c r="D33" s="285"/>
      <c r="E33" s="286"/>
      <c r="F33" s="285"/>
      <c r="G33" s="210" t="s">
        <v>529</v>
      </c>
      <c r="H33" s="328">
        <f>ROUND(SUM(H23:H32),0)</f>
        <v>103732</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771"/>
      <c r="B37" s="737"/>
      <c r="C37" s="772"/>
      <c r="D37" s="773"/>
      <c r="E37" s="774"/>
      <c r="F37" s="775"/>
      <c r="G37" s="776"/>
      <c r="H37" s="746"/>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0</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883</v>
      </c>
      <c r="B46" s="2192" t="str">
        <f>IF(A46="","",VLOOKUP(A46,MO,2,FALSE))</f>
        <v>Cuadrilla AA: Albañilería. (1 Of. + 1 Ayud.).</v>
      </c>
      <c r="C46" s="2193"/>
      <c r="D46" s="2194"/>
      <c r="E46" s="538" t="str">
        <f>IF(A46="","",VLOOKUP(A46,MO,13,FALSE))</f>
        <v>HC</v>
      </c>
      <c r="F46" s="544">
        <v>0.18</v>
      </c>
      <c r="G46" s="540">
        <f>IF(A46="","",VLOOKUP(A46,MO,15,FALSE))</f>
        <v>38949</v>
      </c>
      <c r="H46" s="542">
        <f>IF(A46="","",ROUND((G46/F46),0))</f>
        <v>216383</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216383</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341753</v>
      </c>
    </row>
    <row r="53" spans="1:8">
      <c r="A53" s="285"/>
      <c r="B53" s="285"/>
      <c r="C53" s="285"/>
      <c r="D53" s="285"/>
      <c r="E53" s="346"/>
      <c r="F53" s="347"/>
      <c r="G53" s="347"/>
      <c r="H53" s="349"/>
    </row>
    <row r="54" spans="1:8">
      <c r="A54" s="285"/>
      <c r="B54" s="285"/>
      <c r="C54" s="285"/>
      <c r="D54" s="285"/>
      <c r="E54" s="346"/>
      <c r="F54" s="347"/>
      <c r="G54" s="347"/>
      <c r="H54" s="349"/>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c r="A59" s="703" t="str">
        <f>+[14]PRESUPUESTO!$A$113</f>
        <v>__________________________________________</v>
      </c>
      <c r="B59" s="703"/>
    </row>
    <row r="60" spans="1:8">
      <c r="A60" s="810" t="str">
        <f>+[14]PRESUPUESTO!$A$114</f>
        <v>Ing. JHON FREDY GARCIA MENDEZ</v>
      </c>
      <c r="B60" s="703"/>
    </row>
    <row r="61" spans="1:8">
      <c r="A61" s="811" t="str">
        <f>+[14]PRESUPUESTO!$A$115</f>
        <v>M.P.  70268-326294 TLM.</v>
      </c>
      <c r="B61" s="703"/>
    </row>
    <row r="62" spans="1:8">
      <c r="A62" s="811" t="str">
        <f>+[14]PRESUPUESTO!$A$116</f>
        <v>CONSULTOR</v>
      </c>
      <c r="B62" s="703"/>
    </row>
  </sheetData>
  <mergeCells count="16">
    <mergeCell ref="D2:E4"/>
    <mergeCell ref="F2:H2"/>
    <mergeCell ref="F3:H3"/>
    <mergeCell ref="F4:H4"/>
    <mergeCell ref="A5:E5"/>
    <mergeCell ref="F5:H5"/>
    <mergeCell ref="B47:D47"/>
    <mergeCell ref="B48:D48"/>
    <mergeCell ref="B49:D49"/>
    <mergeCell ref="B23:D23"/>
    <mergeCell ref="B6:D6"/>
    <mergeCell ref="B7:E7"/>
    <mergeCell ref="B8:E8"/>
    <mergeCell ref="B36:C36"/>
    <mergeCell ref="B45:D45"/>
    <mergeCell ref="B46:D46"/>
  </mergeCells>
  <pageMargins left="0.75" right="0.75" top="1" bottom="1" header="0" footer="0"/>
  <pageSetup paperSize="9" scale="70" orientation="portrait" r:id="rId1"/>
  <headerFooter alignWithMargins="0"/>
  <drawing r:id="rId2"/>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800-000000000000}">
  <sheetPr>
    <tabColor theme="8" tint="0.79998168889431442"/>
  </sheetPr>
  <dimension ref="A1:I62"/>
  <sheetViews>
    <sheetView workbookViewId="0"/>
  </sheetViews>
  <sheetFormatPr baseColWidth="10" defaultColWidth="11.42578125" defaultRowHeight="12.75"/>
  <cols>
    <col min="1" max="1" width="9.140625" style="703" customWidth="1"/>
    <col min="2" max="2" width="12.28515625" style="703" bestFit="1" customWidth="1"/>
    <col min="3" max="3" width="25.85546875" style="703" customWidth="1"/>
    <col min="4" max="4" width="21" style="703" customWidth="1"/>
    <col min="5" max="5" width="13" style="703" customWidth="1"/>
    <col min="6" max="6" width="11.7109375" style="703" bestFit="1" customWidth="1"/>
    <col min="7" max="7" width="14" style="703" customWidth="1"/>
    <col min="8" max="8" width="12.7109375" style="703" customWidth="1"/>
    <col min="9" max="256" width="11.42578125" style="703"/>
    <col min="257" max="257" width="9.140625" style="703" customWidth="1"/>
    <col min="258" max="258" width="12.28515625" style="703" bestFit="1" customWidth="1"/>
    <col min="259" max="259" width="25.85546875" style="703" customWidth="1"/>
    <col min="260" max="260" width="21" style="703" customWidth="1"/>
    <col min="261" max="261" width="13" style="703" customWidth="1"/>
    <col min="262" max="262" width="11.7109375" style="703" bestFit="1" customWidth="1"/>
    <col min="263" max="263" width="14" style="703" customWidth="1"/>
    <col min="264" max="264" width="12.7109375" style="703" customWidth="1"/>
    <col min="265" max="512" width="11.42578125" style="703"/>
    <col min="513" max="513" width="9.140625" style="703" customWidth="1"/>
    <col min="514" max="514" width="12.28515625" style="703" bestFit="1" customWidth="1"/>
    <col min="515" max="515" width="25.85546875" style="703" customWidth="1"/>
    <col min="516" max="516" width="21" style="703" customWidth="1"/>
    <col min="517" max="517" width="13" style="703" customWidth="1"/>
    <col min="518" max="518" width="11.7109375" style="703" bestFit="1" customWidth="1"/>
    <col min="519" max="519" width="14" style="703" customWidth="1"/>
    <col min="520" max="520" width="12.7109375" style="703" customWidth="1"/>
    <col min="521" max="768" width="11.42578125" style="703"/>
    <col min="769" max="769" width="9.140625" style="703" customWidth="1"/>
    <col min="770" max="770" width="12.28515625" style="703" bestFit="1" customWidth="1"/>
    <col min="771" max="771" width="25.85546875" style="703" customWidth="1"/>
    <col min="772" max="772" width="21" style="703" customWidth="1"/>
    <col min="773" max="773" width="13" style="703" customWidth="1"/>
    <col min="774" max="774" width="11.7109375" style="703" bestFit="1" customWidth="1"/>
    <col min="775" max="775" width="14" style="703" customWidth="1"/>
    <col min="776" max="776" width="12.7109375" style="703" customWidth="1"/>
    <col min="777" max="1024" width="11.42578125" style="703"/>
    <col min="1025" max="1025" width="9.140625" style="703" customWidth="1"/>
    <col min="1026" max="1026" width="12.28515625" style="703" bestFit="1" customWidth="1"/>
    <col min="1027" max="1027" width="25.85546875" style="703" customWidth="1"/>
    <col min="1028" max="1028" width="21" style="703" customWidth="1"/>
    <col min="1029" max="1029" width="13" style="703" customWidth="1"/>
    <col min="1030" max="1030" width="11.7109375" style="703" bestFit="1" customWidth="1"/>
    <col min="1031" max="1031" width="14" style="703" customWidth="1"/>
    <col min="1032" max="1032" width="12.7109375" style="703" customWidth="1"/>
    <col min="1033" max="1280" width="11.42578125" style="703"/>
    <col min="1281" max="1281" width="9.140625" style="703" customWidth="1"/>
    <col min="1282" max="1282" width="12.28515625" style="703" bestFit="1" customWidth="1"/>
    <col min="1283" max="1283" width="25.85546875" style="703" customWidth="1"/>
    <col min="1284" max="1284" width="21" style="703" customWidth="1"/>
    <col min="1285" max="1285" width="13" style="703" customWidth="1"/>
    <col min="1286" max="1286" width="11.7109375" style="703" bestFit="1" customWidth="1"/>
    <col min="1287" max="1287" width="14" style="703" customWidth="1"/>
    <col min="1288" max="1288" width="12.7109375" style="703" customWidth="1"/>
    <col min="1289" max="1536" width="11.42578125" style="703"/>
    <col min="1537" max="1537" width="9.140625" style="703" customWidth="1"/>
    <col min="1538" max="1538" width="12.28515625" style="703" bestFit="1" customWidth="1"/>
    <col min="1539" max="1539" width="25.85546875" style="703" customWidth="1"/>
    <col min="1540" max="1540" width="21" style="703" customWidth="1"/>
    <col min="1541" max="1541" width="13" style="703" customWidth="1"/>
    <col min="1542" max="1542" width="11.7109375" style="703" bestFit="1" customWidth="1"/>
    <col min="1543" max="1543" width="14" style="703" customWidth="1"/>
    <col min="1544" max="1544" width="12.7109375" style="703" customWidth="1"/>
    <col min="1545" max="1792" width="11.42578125" style="703"/>
    <col min="1793" max="1793" width="9.140625" style="703" customWidth="1"/>
    <col min="1794" max="1794" width="12.28515625" style="703" bestFit="1" customWidth="1"/>
    <col min="1795" max="1795" width="25.85546875" style="703" customWidth="1"/>
    <col min="1796" max="1796" width="21" style="703" customWidth="1"/>
    <col min="1797" max="1797" width="13" style="703" customWidth="1"/>
    <col min="1798" max="1798" width="11.7109375" style="703" bestFit="1" customWidth="1"/>
    <col min="1799" max="1799" width="14" style="703" customWidth="1"/>
    <col min="1800" max="1800" width="12.7109375" style="703" customWidth="1"/>
    <col min="1801" max="2048" width="11.42578125" style="703"/>
    <col min="2049" max="2049" width="9.140625" style="703" customWidth="1"/>
    <col min="2050" max="2050" width="12.28515625" style="703" bestFit="1" customWidth="1"/>
    <col min="2051" max="2051" width="25.85546875" style="703" customWidth="1"/>
    <col min="2052" max="2052" width="21" style="703" customWidth="1"/>
    <col min="2053" max="2053" width="13" style="703" customWidth="1"/>
    <col min="2054" max="2054" width="11.7109375" style="703" bestFit="1" customWidth="1"/>
    <col min="2055" max="2055" width="14" style="703" customWidth="1"/>
    <col min="2056" max="2056" width="12.7109375" style="703" customWidth="1"/>
    <col min="2057" max="2304" width="11.42578125" style="703"/>
    <col min="2305" max="2305" width="9.140625" style="703" customWidth="1"/>
    <col min="2306" max="2306" width="12.28515625" style="703" bestFit="1" customWidth="1"/>
    <col min="2307" max="2307" width="25.85546875" style="703" customWidth="1"/>
    <col min="2308" max="2308" width="21" style="703" customWidth="1"/>
    <col min="2309" max="2309" width="13" style="703" customWidth="1"/>
    <col min="2310" max="2310" width="11.7109375" style="703" bestFit="1" customWidth="1"/>
    <col min="2311" max="2311" width="14" style="703" customWidth="1"/>
    <col min="2312" max="2312" width="12.7109375" style="703" customWidth="1"/>
    <col min="2313" max="2560" width="11.42578125" style="703"/>
    <col min="2561" max="2561" width="9.140625" style="703" customWidth="1"/>
    <col min="2562" max="2562" width="12.28515625" style="703" bestFit="1" customWidth="1"/>
    <col min="2563" max="2563" width="25.85546875" style="703" customWidth="1"/>
    <col min="2564" max="2564" width="21" style="703" customWidth="1"/>
    <col min="2565" max="2565" width="13" style="703" customWidth="1"/>
    <col min="2566" max="2566" width="11.7109375" style="703" bestFit="1" customWidth="1"/>
    <col min="2567" max="2567" width="14" style="703" customWidth="1"/>
    <col min="2568" max="2568" width="12.7109375" style="703" customWidth="1"/>
    <col min="2569" max="2816" width="11.42578125" style="703"/>
    <col min="2817" max="2817" width="9.140625" style="703" customWidth="1"/>
    <col min="2818" max="2818" width="12.28515625" style="703" bestFit="1" customWidth="1"/>
    <col min="2819" max="2819" width="25.85546875" style="703" customWidth="1"/>
    <col min="2820" max="2820" width="21" style="703" customWidth="1"/>
    <col min="2821" max="2821" width="13" style="703" customWidth="1"/>
    <col min="2822" max="2822" width="11.7109375" style="703" bestFit="1" customWidth="1"/>
    <col min="2823" max="2823" width="14" style="703" customWidth="1"/>
    <col min="2824" max="2824" width="12.7109375" style="703" customWidth="1"/>
    <col min="2825" max="3072" width="11.42578125" style="703"/>
    <col min="3073" max="3073" width="9.140625" style="703" customWidth="1"/>
    <col min="3074" max="3074" width="12.28515625" style="703" bestFit="1" customWidth="1"/>
    <col min="3075" max="3075" width="25.85546875" style="703" customWidth="1"/>
    <col min="3076" max="3076" width="21" style="703" customWidth="1"/>
    <col min="3077" max="3077" width="13" style="703" customWidth="1"/>
    <col min="3078" max="3078" width="11.7109375" style="703" bestFit="1" customWidth="1"/>
    <col min="3079" max="3079" width="14" style="703" customWidth="1"/>
    <col min="3080" max="3080" width="12.7109375" style="703" customWidth="1"/>
    <col min="3081" max="3328" width="11.42578125" style="703"/>
    <col min="3329" max="3329" width="9.140625" style="703" customWidth="1"/>
    <col min="3330" max="3330" width="12.28515625" style="703" bestFit="1" customWidth="1"/>
    <col min="3331" max="3331" width="25.85546875" style="703" customWidth="1"/>
    <col min="3332" max="3332" width="21" style="703" customWidth="1"/>
    <col min="3333" max="3333" width="13" style="703" customWidth="1"/>
    <col min="3334" max="3334" width="11.7109375" style="703" bestFit="1" customWidth="1"/>
    <col min="3335" max="3335" width="14" style="703" customWidth="1"/>
    <col min="3336" max="3336" width="12.7109375" style="703" customWidth="1"/>
    <col min="3337" max="3584" width="11.42578125" style="703"/>
    <col min="3585" max="3585" width="9.140625" style="703" customWidth="1"/>
    <col min="3586" max="3586" width="12.28515625" style="703" bestFit="1" customWidth="1"/>
    <col min="3587" max="3587" width="25.85546875" style="703" customWidth="1"/>
    <col min="3588" max="3588" width="21" style="703" customWidth="1"/>
    <col min="3589" max="3589" width="13" style="703" customWidth="1"/>
    <col min="3590" max="3590" width="11.7109375" style="703" bestFit="1" customWidth="1"/>
    <col min="3591" max="3591" width="14" style="703" customWidth="1"/>
    <col min="3592" max="3592" width="12.7109375" style="703" customWidth="1"/>
    <col min="3593" max="3840" width="11.42578125" style="703"/>
    <col min="3841" max="3841" width="9.140625" style="703" customWidth="1"/>
    <col min="3842" max="3842" width="12.28515625" style="703" bestFit="1" customWidth="1"/>
    <col min="3843" max="3843" width="25.85546875" style="703" customWidth="1"/>
    <col min="3844" max="3844" width="21" style="703" customWidth="1"/>
    <col min="3845" max="3845" width="13" style="703" customWidth="1"/>
    <col min="3846" max="3846" width="11.7109375" style="703" bestFit="1" customWidth="1"/>
    <col min="3847" max="3847" width="14" style="703" customWidth="1"/>
    <col min="3848" max="3848" width="12.7109375" style="703" customWidth="1"/>
    <col min="3849" max="4096" width="11.42578125" style="703"/>
    <col min="4097" max="4097" width="9.140625" style="703" customWidth="1"/>
    <col min="4098" max="4098" width="12.28515625" style="703" bestFit="1" customWidth="1"/>
    <col min="4099" max="4099" width="25.85546875" style="703" customWidth="1"/>
    <col min="4100" max="4100" width="21" style="703" customWidth="1"/>
    <col min="4101" max="4101" width="13" style="703" customWidth="1"/>
    <col min="4102" max="4102" width="11.7109375" style="703" bestFit="1" customWidth="1"/>
    <col min="4103" max="4103" width="14" style="703" customWidth="1"/>
    <col min="4104" max="4104" width="12.7109375" style="703" customWidth="1"/>
    <col min="4105" max="4352" width="11.42578125" style="703"/>
    <col min="4353" max="4353" width="9.140625" style="703" customWidth="1"/>
    <col min="4354" max="4354" width="12.28515625" style="703" bestFit="1" customWidth="1"/>
    <col min="4355" max="4355" width="25.85546875" style="703" customWidth="1"/>
    <col min="4356" max="4356" width="21" style="703" customWidth="1"/>
    <col min="4357" max="4357" width="13" style="703" customWidth="1"/>
    <col min="4358" max="4358" width="11.7109375" style="703" bestFit="1" customWidth="1"/>
    <col min="4359" max="4359" width="14" style="703" customWidth="1"/>
    <col min="4360" max="4360" width="12.7109375" style="703" customWidth="1"/>
    <col min="4361" max="4608" width="11.42578125" style="703"/>
    <col min="4609" max="4609" width="9.140625" style="703" customWidth="1"/>
    <col min="4610" max="4610" width="12.28515625" style="703" bestFit="1" customWidth="1"/>
    <col min="4611" max="4611" width="25.85546875" style="703" customWidth="1"/>
    <col min="4612" max="4612" width="21" style="703" customWidth="1"/>
    <col min="4613" max="4613" width="13" style="703" customWidth="1"/>
    <col min="4614" max="4614" width="11.7109375" style="703" bestFit="1" customWidth="1"/>
    <col min="4615" max="4615" width="14" style="703" customWidth="1"/>
    <col min="4616" max="4616" width="12.7109375" style="703" customWidth="1"/>
    <col min="4617" max="4864" width="11.42578125" style="703"/>
    <col min="4865" max="4865" width="9.140625" style="703" customWidth="1"/>
    <col min="4866" max="4866" width="12.28515625" style="703" bestFit="1" customWidth="1"/>
    <col min="4867" max="4867" width="25.85546875" style="703" customWidth="1"/>
    <col min="4868" max="4868" width="21" style="703" customWidth="1"/>
    <col min="4869" max="4869" width="13" style="703" customWidth="1"/>
    <col min="4870" max="4870" width="11.7109375" style="703" bestFit="1" customWidth="1"/>
    <col min="4871" max="4871" width="14" style="703" customWidth="1"/>
    <col min="4872" max="4872" width="12.7109375" style="703" customWidth="1"/>
    <col min="4873" max="5120" width="11.42578125" style="703"/>
    <col min="5121" max="5121" width="9.140625" style="703" customWidth="1"/>
    <col min="5122" max="5122" width="12.28515625" style="703" bestFit="1" customWidth="1"/>
    <col min="5123" max="5123" width="25.85546875" style="703" customWidth="1"/>
    <col min="5124" max="5124" width="21" style="703" customWidth="1"/>
    <col min="5125" max="5125" width="13" style="703" customWidth="1"/>
    <col min="5126" max="5126" width="11.7109375" style="703" bestFit="1" customWidth="1"/>
    <col min="5127" max="5127" width="14" style="703" customWidth="1"/>
    <col min="5128" max="5128" width="12.7109375" style="703" customWidth="1"/>
    <col min="5129" max="5376" width="11.42578125" style="703"/>
    <col min="5377" max="5377" width="9.140625" style="703" customWidth="1"/>
    <col min="5378" max="5378" width="12.28515625" style="703" bestFit="1" customWidth="1"/>
    <col min="5379" max="5379" width="25.85546875" style="703" customWidth="1"/>
    <col min="5380" max="5380" width="21" style="703" customWidth="1"/>
    <col min="5381" max="5381" width="13" style="703" customWidth="1"/>
    <col min="5382" max="5382" width="11.7109375" style="703" bestFit="1" customWidth="1"/>
    <col min="5383" max="5383" width="14" style="703" customWidth="1"/>
    <col min="5384" max="5384" width="12.7109375" style="703" customWidth="1"/>
    <col min="5385" max="5632" width="11.42578125" style="703"/>
    <col min="5633" max="5633" width="9.140625" style="703" customWidth="1"/>
    <col min="5634" max="5634" width="12.28515625" style="703" bestFit="1" customWidth="1"/>
    <col min="5635" max="5635" width="25.85546875" style="703" customWidth="1"/>
    <col min="5636" max="5636" width="21" style="703" customWidth="1"/>
    <col min="5637" max="5637" width="13" style="703" customWidth="1"/>
    <col min="5638" max="5638" width="11.7109375" style="703" bestFit="1" customWidth="1"/>
    <col min="5639" max="5639" width="14" style="703" customWidth="1"/>
    <col min="5640" max="5640" width="12.7109375" style="703" customWidth="1"/>
    <col min="5641" max="5888" width="11.42578125" style="703"/>
    <col min="5889" max="5889" width="9.140625" style="703" customWidth="1"/>
    <col min="5890" max="5890" width="12.28515625" style="703" bestFit="1" customWidth="1"/>
    <col min="5891" max="5891" width="25.85546875" style="703" customWidth="1"/>
    <col min="5892" max="5892" width="21" style="703" customWidth="1"/>
    <col min="5893" max="5893" width="13" style="703" customWidth="1"/>
    <col min="5894" max="5894" width="11.7109375" style="703" bestFit="1" customWidth="1"/>
    <col min="5895" max="5895" width="14" style="703" customWidth="1"/>
    <col min="5896" max="5896" width="12.7109375" style="703" customWidth="1"/>
    <col min="5897" max="6144" width="11.42578125" style="703"/>
    <col min="6145" max="6145" width="9.140625" style="703" customWidth="1"/>
    <col min="6146" max="6146" width="12.28515625" style="703" bestFit="1" customWidth="1"/>
    <col min="6147" max="6147" width="25.85546875" style="703" customWidth="1"/>
    <col min="6148" max="6148" width="21" style="703" customWidth="1"/>
    <col min="6149" max="6149" width="13" style="703" customWidth="1"/>
    <col min="6150" max="6150" width="11.7109375" style="703" bestFit="1" customWidth="1"/>
    <col min="6151" max="6151" width="14" style="703" customWidth="1"/>
    <col min="6152" max="6152" width="12.7109375" style="703" customWidth="1"/>
    <col min="6153" max="6400" width="11.42578125" style="703"/>
    <col min="6401" max="6401" width="9.140625" style="703" customWidth="1"/>
    <col min="6402" max="6402" width="12.28515625" style="703" bestFit="1" customWidth="1"/>
    <col min="6403" max="6403" width="25.85546875" style="703" customWidth="1"/>
    <col min="6404" max="6404" width="21" style="703" customWidth="1"/>
    <col min="6405" max="6405" width="13" style="703" customWidth="1"/>
    <col min="6406" max="6406" width="11.7109375" style="703" bestFit="1" customWidth="1"/>
    <col min="6407" max="6407" width="14" style="703" customWidth="1"/>
    <col min="6408" max="6408" width="12.7109375" style="703" customWidth="1"/>
    <col min="6409" max="6656" width="11.42578125" style="703"/>
    <col min="6657" max="6657" width="9.140625" style="703" customWidth="1"/>
    <col min="6658" max="6658" width="12.28515625" style="703" bestFit="1" customWidth="1"/>
    <col min="6659" max="6659" width="25.85546875" style="703" customWidth="1"/>
    <col min="6660" max="6660" width="21" style="703" customWidth="1"/>
    <col min="6661" max="6661" width="13" style="703" customWidth="1"/>
    <col min="6662" max="6662" width="11.7109375" style="703" bestFit="1" customWidth="1"/>
    <col min="6663" max="6663" width="14" style="703" customWidth="1"/>
    <col min="6664" max="6664" width="12.7109375" style="703" customWidth="1"/>
    <col min="6665" max="6912" width="11.42578125" style="703"/>
    <col min="6913" max="6913" width="9.140625" style="703" customWidth="1"/>
    <col min="6914" max="6914" width="12.28515625" style="703" bestFit="1" customWidth="1"/>
    <col min="6915" max="6915" width="25.85546875" style="703" customWidth="1"/>
    <col min="6916" max="6916" width="21" style="703" customWidth="1"/>
    <col min="6917" max="6917" width="13" style="703" customWidth="1"/>
    <col min="6918" max="6918" width="11.7109375" style="703" bestFit="1" customWidth="1"/>
    <col min="6919" max="6919" width="14" style="703" customWidth="1"/>
    <col min="6920" max="6920" width="12.7109375" style="703" customWidth="1"/>
    <col min="6921" max="7168" width="11.42578125" style="703"/>
    <col min="7169" max="7169" width="9.140625" style="703" customWidth="1"/>
    <col min="7170" max="7170" width="12.28515625" style="703" bestFit="1" customWidth="1"/>
    <col min="7171" max="7171" width="25.85546875" style="703" customWidth="1"/>
    <col min="7172" max="7172" width="21" style="703" customWidth="1"/>
    <col min="7173" max="7173" width="13" style="703" customWidth="1"/>
    <col min="7174" max="7174" width="11.7109375" style="703" bestFit="1" customWidth="1"/>
    <col min="7175" max="7175" width="14" style="703" customWidth="1"/>
    <col min="7176" max="7176" width="12.7109375" style="703" customWidth="1"/>
    <col min="7177" max="7424" width="11.42578125" style="703"/>
    <col min="7425" max="7425" width="9.140625" style="703" customWidth="1"/>
    <col min="7426" max="7426" width="12.28515625" style="703" bestFit="1" customWidth="1"/>
    <col min="7427" max="7427" width="25.85546875" style="703" customWidth="1"/>
    <col min="7428" max="7428" width="21" style="703" customWidth="1"/>
    <col min="7429" max="7429" width="13" style="703" customWidth="1"/>
    <col min="7430" max="7430" width="11.7109375" style="703" bestFit="1" customWidth="1"/>
    <col min="7431" max="7431" width="14" style="703" customWidth="1"/>
    <col min="7432" max="7432" width="12.7109375" style="703" customWidth="1"/>
    <col min="7433" max="7680" width="11.42578125" style="703"/>
    <col min="7681" max="7681" width="9.140625" style="703" customWidth="1"/>
    <col min="7682" max="7682" width="12.28515625" style="703" bestFit="1" customWidth="1"/>
    <col min="7683" max="7683" width="25.85546875" style="703" customWidth="1"/>
    <col min="7684" max="7684" width="21" style="703" customWidth="1"/>
    <col min="7685" max="7685" width="13" style="703" customWidth="1"/>
    <col min="7686" max="7686" width="11.7109375" style="703" bestFit="1" customWidth="1"/>
    <col min="7687" max="7687" width="14" style="703" customWidth="1"/>
    <col min="7688" max="7688" width="12.7109375" style="703" customWidth="1"/>
    <col min="7689" max="7936" width="11.42578125" style="703"/>
    <col min="7937" max="7937" width="9.140625" style="703" customWidth="1"/>
    <col min="7938" max="7938" width="12.28515625" style="703" bestFit="1" customWidth="1"/>
    <col min="7939" max="7939" width="25.85546875" style="703" customWidth="1"/>
    <col min="7940" max="7940" width="21" style="703" customWidth="1"/>
    <col min="7941" max="7941" width="13" style="703" customWidth="1"/>
    <col min="7942" max="7942" width="11.7109375" style="703" bestFit="1" customWidth="1"/>
    <col min="7943" max="7943" width="14" style="703" customWidth="1"/>
    <col min="7944" max="7944" width="12.7109375" style="703" customWidth="1"/>
    <col min="7945" max="8192" width="11.42578125" style="703"/>
    <col min="8193" max="8193" width="9.140625" style="703" customWidth="1"/>
    <col min="8194" max="8194" width="12.28515625" style="703" bestFit="1" customWidth="1"/>
    <col min="8195" max="8195" width="25.85546875" style="703" customWidth="1"/>
    <col min="8196" max="8196" width="21" style="703" customWidth="1"/>
    <col min="8197" max="8197" width="13" style="703" customWidth="1"/>
    <col min="8198" max="8198" width="11.7109375" style="703" bestFit="1" customWidth="1"/>
    <col min="8199" max="8199" width="14" style="703" customWidth="1"/>
    <col min="8200" max="8200" width="12.7109375" style="703" customWidth="1"/>
    <col min="8201" max="8448" width="11.42578125" style="703"/>
    <col min="8449" max="8449" width="9.140625" style="703" customWidth="1"/>
    <col min="8450" max="8450" width="12.28515625" style="703" bestFit="1" customWidth="1"/>
    <col min="8451" max="8451" width="25.85546875" style="703" customWidth="1"/>
    <col min="8452" max="8452" width="21" style="703" customWidth="1"/>
    <col min="8453" max="8453" width="13" style="703" customWidth="1"/>
    <col min="8454" max="8454" width="11.7109375" style="703" bestFit="1" customWidth="1"/>
    <col min="8455" max="8455" width="14" style="703" customWidth="1"/>
    <col min="8456" max="8456" width="12.7109375" style="703" customWidth="1"/>
    <col min="8457" max="8704" width="11.42578125" style="703"/>
    <col min="8705" max="8705" width="9.140625" style="703" customWidth="1"/>
    <col min="8706" max="8706" width="12.28515625" style="703" bestFit="1" customWidth="1"/>
    <col min="8707" max="8707" width="25.85546875" style="703" customWidth="1"/>
    <col min="8708" max="8708" width="21" style="703" customWidth="1"/>
    <col min="8709" max="8709" width="13" style="703" customWidth="1"/>
    <col min="8710" max="8710" width="11.7109375" style="703" bestFit="1" customWidth="1"/>
    <col min="8711" max="8711" width="14" style="703" customWidth="1"/>
    <col min="8712" max="8712" width="12.7109375" style="703" customWidth="1"/>
    <col min="8713" max="8960" width="11.42578125" style="703"/>
    <col min="8961" max="8961" width="9.140625" style="703" customWidth="1"/>
    <col min="8962" max="8962" width="12.28515625" style="703" bestFit="1" customWidth="1"/>
    <col min="8963" max="8963" width="25.85546875" style="703" customWidth="1"/>
    <col min="8964" max="8964" width="21" style="703" customWidth="1"/>
    <col min="8965" max="8965" width="13" style="703" customWidth="1"/>
    <col min="8966" max="8966" width="11.7109375" style="703" bestFit="1" customWidth="1"/>
    <col min="8967" max="8967" width="14" style="703" customWidth="1"/>
    <col min="8968" max="8968" width="12.7109375" style="703" customWidth="1"/>
    <col min="8969" max="9216" width="11.42578125" style="703"/>
    <col min="9217" max="9217" width="9.140625" style="703" customWidth="1"/>
    <col min="9218" max="9218" width="12.28515625" style="703" bestFit="1" customWidth="1"/>
    <col min="9219" max="9219" width="25.85546875" style="703" customWidth="1"/>
    <col min="9220" max="9220" width="21" style="703" customWidth="1"/>
    <col min="9221" max="9221" width="13" style="703" customWidth="1"/>
    <col min="9222" max="9222" width="11.7109375" style="703" bestFit="1" customWidth="1"/>
    <col min="9223" max="9223" width="14" style="703" customWidth="1"/>
    <col min="9224" max="9224" width="12.7109375" style="703" customWidth="1"/>
    <col min="9225" max="9472" width="11.42578125" style="703"/>
    <col min="9473" max="9473" width="9.140625" style="703" customWidth="1"/>
    <col min="9474" max="9474" width="12.28515625" style="703" bestFit="1" customWidth="1"/>
    <col min="9475" max="9475" width="25.85546875" style="703" customWidth="1"/>
    <col min="9476" max="9476" width="21" style="703" customWidth="1"/>
    <col min="9477" max="9477" width="13" style="703" customWidth="1"/>
    <col min="9478" max="9478" width="11.7109375" style="703" bestFit="1" customWidth="1"/>
    <col min="9479" max="9479" width="14" style="703" customWidth="1"/>
    <col min="9480" max="9480" width="12.7109375" style="703" customWidth="1"/>
    <col min="9481" max="9728" width="11.42578125" style="703"/>
    <col min="9729" max="9729" width="9.140625" style="703" customWidth="1"/>
    <col min="9730" max="9730" width="12.28515625" style="703" bestFit="1" customWidth="1"/>
    <col min="9731" max="9731" width="25.85546875" style="703" customWidth="1"/>
    <col min="9732" max="9732" width="21" style="703" customWidth="1"/>
    <col min="9733" max="9733" width="13" style="703" customWidth="1"/>
    <col min="9734" max="9734" width="11.7109375" style="703" bestFit="1" customWidth="1"/>
    <col min="9735" max="9735" width="14" style="703" customWidth="1"/>
    <col min="9736" max="9736" width="12.7109375" style="703" customWidth="1"/>
    <col min="9737" max="9984" width="11.42578125" style="703"/>
    <col min="9985" max="9985" width="9.140625" style="703" customWidth="1"/>
    <col min="9986" max="9986" width="12.28515625" style="703" bestFit="1" customWidth="1"/>
    <col min="9987" max="9987" width="25.85546875" style="703" customWidth="1"/>
    <col min="9988" max="9988" width="21" style="703" customWidth="1"/>
    <col min="9989" max="9989" width="13" style="703" customWidth="1"/>
    <col min="9990" max="9990" width="11.7109375" style="703" bestFit="1" customWidth="1"/>
    <col min="9991" max="9991" width="14" style="703" customWidth="1"/>
    <col min="9992" max="9992" width="12.7109375" style="703" customWidth="1"/>
    <col min="9993" max="10240" width="11.42578125" style="703"/>
    <col min="10241" max="10241" width="9.140625" style="703" customWidth="1"/>
    <col min="10242" max="10242" width="12.28515625" style="703" bestFit="1" customWidth="1"/>
    <col min="10243" max="10243" width="25.85546875" style="703" customWidth="1"/>
    <col min="10244" max="10244" width="21" style="703" customWidth="1"/>
    <col min="10245" max="10245" width="13" style="703" customWidth="1"/>
    <col min="10246" max="10246" width="11.7109375" style="703" bestFit="1" customWidth="1"/>
    <col min="10247" max="10247" width="14" style="703" customWidth="1"/>
    <col min="10248" max="10248" width="12.7109375" style="703" customWidth="1"/>
    <col min="10249" max="10496" width="11.42578125" style="703"/>
    <col min="10497" max="10497" width="9.140625" style="703" customWidth="1"/>
    <col min="10498" max="10498" width="12.28515625" style="703" bestFit="1" customWidth="1"/>
    <col min="10499" max="10499" width="25.85546875" style="703" customWidth="1"/>
    <col min="10500" max="10500" width="21" style="703" customWidth="1"/>
    <col min="10501" max="10501" width="13" style="703" customWidth="1"/>
    <col min="10502" max="10502" width="11.7109375" style="703" bestFit="1" customWidth="1"/>
    <col min="10503" max="10503" width="14" style="703" customWidth="1"/>
    <col min="10504" max="10504" width="12.7109375" style="703" customWidth="1"/>
    <col min="10505" max="10752" width="11.42578125" style="703"/>
    <col min="10753" max="10753" width="9.140625" style="703" customWidth="1"/>
    <col min="10754" max="10754" width="12.28515625" style="703" bestFit="1" customWidth="1"/>
    <col min="10755" max="10755" width="25.85546875" style="703" customWidth="1"/>
    <col min="10756" max="10756" width="21" style="703" customWidth="1"/>
    <col min="10757" max="10757" width="13" style="703" customWidth="1"/>
    <col min="10758" max="10758" width="11.7109375" style="703" bestFit="1" customWidth="1"/>
    <col min="10759" max="10759" width="14" style="703" customWidth="1"/>
    <col min="10760" max="10760" width="12.7109375" style="703" customWidth="1"/>
    <col min="10761" max="11008" width="11.42578125" style="703"/>
    <col min="11009" max="11009" width="9.140625" style="703" customWidth="1"/>
    <col min="11010" max="11010" width="12.28515625" style="703" bestFit="1" customWidth="1"/>
    <col min="11011" max="11011" width="25.85546875" style="703" customWidth="1"/>
    <col min="11012" max="11012" width="21" style="703" customWidth="1"/>
    <col min="11013" max="11013" width="13" style="703" customWidth="1"/>
    <col min="11014" max="11014" width="11.7109375" style="703" bestFit="1" customWidth="1"/>
    <col min="11015" max="11015" width="14" style="703" customWidth="1"/>
    <col min="11016" max="11016" width="12.7109375" style="703" customWidth="1"/>
    <col min="11017" max="11264" width="11.42578125" style="703"/>
    <col min="11265" max="11265" width="9.140625" style="703" customWidth="1"/>
    <col min="11266" max="11266" width="12.28515625" style="703" bestFit="1" customWidth="1"/>
    <col min="11267" max="11267" width="25.85546875" style="703" customWidth="1"/>
    <col min="11268" max="11268" width="21" style="703" customWidth="1"/>
    <col min="11269" max="11269" width="13" style="703" customWidth="1"/>
    <col min="11270" max="11270" width="11.7109375" style="703" bestFit="1" customWidth="1"/>
    <col min="11271" max="11271" width="14" style="703" customWidth="1"/>
    <col min="11272" max="11272" width="12.7109375" style="703" customWidth="1"/>
    <col min="11273" max="11520" width="11.42578125" style="703"/>
    <col min="11521" max="11521" width="9.140625" style="703" customWidth="1"/>
    <col min="11522" max="11522" width="12.28515625" style="703" bestFit="1" customWidth="1"/>
    <col min="11523" max="11523" width="25.85546875" style="703" customWidth="1"/>
    <col min="11524" max="11524" width="21" style="703" customWidth="1"/>
    <col min="11525" max="11525" width="13" style="703" customWidth="1"/>
    <col min="11526" max="11526" width="11.7109375" style="703" bestFit="1" customWidth="1"/>
    <col min="11527" max="11527" width="14" style="703" customWidth="1"/>
    <col min="11528" max="11528" width="12.7109375" style="703" customWidth="1"/>
    <col min="11529" max="11776" width="11.42578125" style="703"/>
    <col min="11777" max="11777" width="9.140625" style="703" customWidth="1"/>
    <col min="11778" max="11778" width="12.28515625" style="703" bestFit="1" customWidth="1"/>
    <col min="11779" max="11779" width="25.85546875" style="703" customWidth="1"/>
    <col min="11780" max="11780" width="21" style="703" customWidth="1"/>
    <col min="11781" max="11781" width="13" style="703" customWidth="1"/>
    <col min="11782" max="11782" width="11.7109375" style="703" bestFit="1" customWidth="1"/>
    <col min="11783" max="11783" width="14" style="703" customWidth="1"/>
    <col min="11784" max="11784" width="12.7109375" style="703" customWidth="1"/>
    <col min="11785" max="12032" width="11.42578125" style="703"/>
    <col min="12033" max="12033" width="9.140625" style="703" customWidth="1"/>
    <col min="12034" max="12034" width="12.28515625" style="703" bestFit="1" customWidth="1"/>
    <col min="12035" max="12035" width="25.85546875" style="703" customWidth="1"/>
    <col min="12036" max="12036" width="21" style="703" customWidth="1"/>
    <col min="12037" max="12037" width="13" style="703" customWidth="1"/>
    <col min="12038" max="12038" width="11.7109375" style="703" bestFit="1" customWidth="1"/>
    <col min="12039" max="12039" width="14" style="703" customWidth="1"/>
    <col min="12040" max="12040" width="12.7109375" style="703" customWidth="1"/>
    <col min="12041" max="12288" width="11.42578125" style="703"/>
    <col min="12289" max="12289" width="9.140625" style="703" customWidth="1"/>
    <col min="12290" max="12290" width="12.28515625" style="703" bestFit="1" customWidth="1"/>
    <col min="12291" max="12291" width="25.85546875" style="703" customWidth="1"/>
    <col min="12292" max="12292" width="21" style="703" customWidth="1"/>
    <col min="12293" max="12293" width="13" style="703" customWidth="1"/>
    <col min="12294" max="12294" width="11.7109375" style="703" bestFit="1" customWidth="1"/>
    <col min="12295" max="12295" width="14" style="703" customWidth="1"/>
    <col min="12296" max="12296" width="12.7109375" style="703" customWidth="1"/>
    <col min="12297" max="12544" width="11.42578125" style="703"/>
    <col min="12545" max="12545" width="9.140625" style="703" customWidth="1"/>
    <col min="12546" max="12546" width="12.28515625" style="703" bestFit="1" customWidth="1"/>
    <col min="12547" max="12547" width="25.85546875" style="703" customWidth="1"/>
    <col min="12548" max="12548" width="21" style="703" customWidth="1"/>
    <col min="12549" max="12549" width="13" style="703" customWidth="1"/>
    <col min="12550" max="12550" width="11.7109375" style="703" bestFit="1" customWidth="1"/>
    <col min="12551" max="12551" width="14" style="703" customWidth="1"/>
    <col min="12552" max="12552" width="12.7109375" style="703" customWidth="1"/>
    <col min="12553" max="12800" width="11.42578125" style="703"/>
    <col min="12801" max="12801" width="9.140625" style="703" customWidth="1"/>
    <col min="12802" max="12802" width="12.28515625" style="703" bestFit="1" customWidth="1"/>
    <col min="12803" max="12803" width="25.85546875" style="703" customWidth="1"/>
    <col min="12804" max="12804" width="21" style="703" customWidth="1"/>
    <col min="12805" max="12805" width="13" style="703" customWidth="1"/>
    <col min="12806" max="12806" width="11.7109375" style="703" bestFit="1" customWidth="1"/>
    <col min="12807" max="12807" width="14" style="703" customWidth="1"/>
    <col min="12808" max="12808" width="12.7109375" style="703" customWidth="1"/>
    <col min="12809" max="13056" width="11.42578125" style="703"/>
    <col min="13057" max="13057" width="9.140625" style="703" customWidth="1"/>
    <col min="13058" max="13058" width="12.28515625" style="703" bestFit="1" customWidth="1"/>
    <col min="13059" max="13059" width="25.85546875" style="703" customWidth="1"/>
    <col min="13060" max="13060" width="21" style="703" customWidth="1"/>
    <col min="13061" max="13061" width="13" style="703" customWidth="1"/>
    <col min="13062" max="13062" width="11.7109375" style="703" bestFit="1" customWidth="1"/>
    <col min="13063" max="13063" width="14" style="703" customWidth="1"/>
    <col min="13064" max="13064" width="12.7109375" style="703" customWidth="1"/>
    <col min="13065" max="13312" width="11.42578125" style="703"/>
    <col min="13313" max="13313" width="9.140625" style="703" customWidth="1"/>
    <col min="13314" max="13314" width="12.28515625" style="703" bestFit="1" customWidth="1"/>
    <col min="13315" max="13315" width="25.85546875" style="703" customWidth="1"/>
    <col min="13316" max="13316" width="21" style="703" customWidth="1"/>
    <col min="13317" max="13317" width="13" style="703" customWidth="1"/>
    <col min="13318" max="13318" width="11.7109375" style="703" bestFit="1" customWidth="1"/>
    <col min="13319" max="13319" width="14" style="703" customWidth="1"/>
    <col min="13320" max="13320" width="12.7109375" style="703" customWidth="1"/>
    <col min="13321" max="13568" width="11.42578125" style="703"/>
    <col min="13569" max="13569" width="9.140625" style="703" customWidth="1"/>
    <col min="13570" max="13570" width="12.28515625" style="703" bestFit="1" customWidth="1"/>
    <col min="13571" max="13571" width="25.85546875" style="703" customWidth="1"/>
    <col min="13572" max="13572" width="21" style="703" customWidth="1"/>
    <col min="13573" max="13573" width="13" style="703" customWidth="1"/>
    <col min="13574" max="13574" width="11.7109375" style="703" bestFit="1" customWidth="1"/>
    <col min="13575" max="13575" width="14" style="703" customWidth="1"/>
    <col min="13576" max="13576" width="12.7109375" style="703" customWidth="1"/>
    <col min="13577" max="13824" width="11.42578125" style="703"/>
    <col min="13825" max="13825" width="9.140625" style="703" customWidth="1"/>
    <col min="13826" max="13826" width="12.28515625" style="703" bestFit="1" customWidth="1"/>
    <col min="13827" max="13827" width="25.85546875" style="703" customWidth="1"/>
    <col min="13828" max="13828" width="21" style="703" customWidth="1"/>
    <col min="13829" max="13829" width="13" style="703" customWidth="1"/>
    <col min="13830" max="13830" width="11.7109375" style="703" bestFit="1" customWidth="1"/>
    <col min="13831" max="13831" width="14" style="703" customWidth="1"/>
    <col min="13832" max="13832" width="12.7109375" style="703" customWidth="1"/>
    <col min="13833" max="14080" width="11.42578125" style="703"/>
    <col min="14081" max="14081" width="9.140625" style="703" customWidth="1"/>
    <col min="14082" max="14082" width="12.28515625" style="703" bestFit="1" customWidth="1"/>
    <col min="14083" max="14083" width="25.85546875" style="703" customWidth="1"/>
    <col min="14084" max="14084" width="21" style="703" customWidth="1"/>
    <col min="14085" max="14085" width="13" style="703" customWidth="1"/>
    <col min="14086" max="14086" width="11.7109375" style="703" bestFit="1" customWidth="1"/>
    <col min="14087" max="14087" width="14" style="703" customWidth="1"/>
    <col min="14088" max="14088" width="12.7109375" style="703" customWidth="1"/>
    <col min="14089" max="14336" width="11.42578125" style="703"/>
    <col min="14337" max="14337" width="9.140625" style="703" customWidth="1"/>
    <col min="14338" max="14338" width="12.28515625" style="703" bestFit="1" customWidth="1"/>
    <col min="14339" max="14339" width="25.85546875" style="703" customWidth="1"/>
    <col min="14340" max="14340" width="21" style="703" customWidth="1"/>
    <col min="14341" max="14341" width="13" style="703" customWidth="1"/>
    <col min="14342" max="14342" width="11.7109375" style="703" bestFit="1" customWidth="1"/>
    <col min="14343" max="14343" width="14" style="703" customWidth="1"/>
    <col min="14344" max="14344" width="12.7109375" style="703" customWidth="1"/>
    <col min="14345" max="14592" width="11.42578125" style="703"/>
    <col min="14593" max="14593" width="9.140625" style="703" customWidth="1"/>
    <col min="14594" max="14594" width="12.28515625" style="703" bestFit="1" customWidth="1"/>
    <col min="14595" max="14595" width="25.85546875" style="703" customWidth="1"/>
    <col min="14596" max="14596" width="21" style="703" customWidth="1"/>
    <col min="14597" max="14597" width="13" style="703" customWidth="1"/>
    <col min="14598" max="14598" width="11.7109375" style="703" bestFit="1" customWidth="1"/>
    <col min="14599" max="14599" width="14" style="703" customWidth="1"/>
    <col min="14600" max="14600" width="12.7109375" style="703" customWidth="1"/>
    <col min="14601" max="14848" width="11.42578125" style="703"/>
    <col min="14849" max="14849" width="9.140625" style="703" customWidth="1"/>
    <col min="14850" max="14850" width="12.28515625" style="703" bestFit="1" customWidth="1"/>
    <col min="14851" max="14851" width="25.85546875" style="703" customWidth="1"/>
    <col min="14852" max="14852" width="21" style="703" customWidth="1"/>
    <col min="14853" max="14853" width="13" style="703" customWidth="1"/>
    <col min="14854" max="14854" width="11.7109375" style="703" bestFit="1" customWidth="1"/>
    <col min="14855" max="14855" width="14" style="703" customWidth="1"/>
    <col min="14856" max="14856" width="12.7109375" style="703" customWidth="1"/>
    <col min="14857" max="15104" width="11.42578125" style="703"/>
    <col min="15105" max="15105" width="9.140625" style="703" customWidth="1"/>
    <col min="15106" max="15106" width="12.28515625" style="703" bestFit="1" customWidth="1"/>
    <col min="15107" max="15107" width="25.85546875" style="703" customWidth="1"/>
    <col min="15108" max="15108" width="21" style="703" customWidth="1"/>
    <col min="15109" max="15109" width="13" style="703" customWidth="1"/>
    <col min="15110" max="15110" width="11.7109375" style="703" bestFit="1" customWidth="1"/>
    <col min="15111" max="15111" width="14" style="703" customWidth="1"/>
    <col min="15112" max="15112" width="12.7109375" style="703" customWidth="1"/>
    <col min="15113" max="15360" width="11.42578125" style="703"/>
    <col min="15361" max="15361" width="9.140625" style="703" customWidth="1"/>
    <col min="15362" max="15362" width="12.28515625" style="703" bestFit="1" customWidth="1"/>
    <col min="15363" max="15363" width="25.85546875" style="703" customWidth="1"/>
    <col min="15364" max="15364" width="21" style="703" customWidth="1"/>
    <col min="15365" max="15365" width="13" style="703" customWidth="1"/>
    <col min="15366" max="15366" width="11.7109375" style="703" bestFit="1" customWidth="1"/>
    <col min="15367" max="15367" width="14" style="703" customWidth="1"/>
    <col min="15368" max="15368" width="12.7109375" style="703" customWidth="1"/>
    <col min="15369" max="15616" width="11.42578125" style="703"/>
    <col min="15617" max="15617" width="9.140625" style="703" customWidth="1"/>
    <col min="15618" max="15618" width="12.28515625" style="703" bestFit="1" customWidth="1"/>
    <col min="15619" max="15619" width="25.85546875" style="703" customWidth="1"/>
    <col min="15620" max="15620" width="21" style="703" customWidth="1"/>
    <col min="15621" max="15621" width="13" style="703" customWidth="1"/>
    <col min="15622" max="15622" width="11.7109375" style="703" bestFit="1" customWidth="1"/>
    <col min="15623" max="15623" width="14" style="703" customWidth="1"/>
    <col min="15624" max="15624" width="12.7109375" style="703" customWidth="1"/>
    <col min="15625" max="15872" width="11.42578125" style="703"/>
    <col min="15873" max="15873" width="9.140625" style="703" customWidth="1"/>
    <col min="15874" max="15874" width="12.28515625" style="703" bestFit="1" customWidth="1"/>
    <col min="15875" max="15875" width="25.85546875" style="703" customWidth="1"/>
    <col min="15876" max="15876" width="21" style="703" customWidth="1"/>
    <col min="15877" max="15877" width="13" style="703" customWidth="1"/>
    <col min="15878" max="15878" width="11.7109375" style="703" bestFit="1" customWidth="1"/>
    <col min="15879" max="15879" width="14" style="703" customWidth="1"/>
    <col min="15880" max="15880" width="12.7109375" style="703" customWidth="1"/>
    <col min="15881" max="16128" width="11.42578125" style="703"/>
    <col min="16129" max="16129" width="9.140625" style="703" customWidth="1"/>
    <col min="16130" max="16130" width="12.28515625" style="703" bestFit="1" customWidth="1"/>
    <col min="16131" max="16131" width="25.85546875" style="703" customWidth="1"/>
    <col min="16132" max="16132" width="21" style="703" customWidth="1"/>
    <col min="16133" max="16133" width="13" style="703" customWidth="1"/>
    <col min="16134" max="16134" width="11.7109375" style="703" bestFit="1" customWidth="1"/>
    <col min="16135" max="16135" width="14" style="703" customWidth="1"/>
    <col min="16136" max="16136" width="12.7109375" style="703" customWidth="1"/>
    <col min="16137" max="16384" width="11.42578125" style="703"/>
  </cols>
  <sheetData>
    <row r="1" spans="1:9" ht="48.75" customHeight="1" thickBot="1"/>
    <row r="2" spans="1:9" ht="33.75"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3.25" customHeight="1" thickBot="1">
      <c r="A3" s="281"/>
      <c r="B3" s="282"/>
      <c r="C3" s="282"/>
      <c r="D3" s="2213"/>
      <c r="E3" s="2214"/>
      <c r="F3" s="2202" t="e">
        <f>+PRESUPUESTO!#REF!</f>
        <v>#REF!</v>
      </c>
      <c r="G3" s="2203"/>
      <c r="H3" s="2204"/>
    </row>
    <row r="4" spans="1:9" ht="24.75" customHeight="1" thickBot="1">
      <c r="A4" s="98"/>
      <c r="B4" s="99"/>
      <c r="C4" s="283"/>
      <c r="D4" s="2215"/>
      <c r="E4" s="2216"/>
      <c r="F4" s="2202" t="s">
        <v>524</v>
      </c>
      <c r="G4" s="2203"/>
      <c r="H4" s="2204"/>
    </row>
    <row r="5" spans="1:9" ht="13.5" thickBot="1">
      <c r="A5" s="2218" t="s">
        <v>558</v>
      </c>
      <c r="B5" s="2219"/>
      <c r="C5" s="2219"/>
      <c r="D5" s="2219"/>
      <c r="E5" s="2220"/>
      <c r="F5" s="2208" t="e">
        <f>+PRESUPUESTO!#REF!</f>
        <v>#REF!</v>
      </c>
      <c r="G5" s="2209"/>
      <c r="H5" s="2210"/>
    </row>
    <row r="6" spans="1:9">
      <c r="A6" s="711"/>
      <c r="B6" s="2227"/>
      <c r="C6" s="2228"/>
      <c r="D6" s="2228"/>
      <c r="E6" s="711"/>
      <c r="F6" s="712"/>
      <c r="G6" s="713"/>
      <c r="H6" s="714"/>
      <c r="I6" s="288"/>
    </row>
    <row r="7" spans="1:9" ht="12.75" customHeight="1">
      <c r="A7" s="96" t="e">
        <f>PRESUPUESTO!#REF!</f>
        <v>#REF!</v>
      </c>
      <c r="B7" s="2185" t="e">
        <f>PRESUPUESTO!#REF!</f>
        <v>#REF!</v>
      </c>
      <c r="C7" s="2185"/>
      <c r="D7" s="2185"/>
      <c r="E7" s="2185"/>
      <c r="F7" s="289"/>
      <c r="G7" s="290" t="s">
        <v>525</v>
      </c>
      <c r="H7" s="97" t="e">
        <f>+PRESUPUESTO!#REF!</f>
        <v>#REF!</v>
      </c>
    </row>
    <row r="8" spans="1:9">
      <c r="A8" s="97" t="e">
        <f>+PRESUPUESTO!#REF!</f>
        <v>#REF!</v>
      </c>
      <c r="B8" s="2217" t="e">
        <f>+PRESUPUESTO!#REF!</f>
        <v>#REF!</v>
      </c>
      <c r="C8" s="2217"/>
      <c r="D8" s="2217"/>
      <c r="E8" s="2217"/>
      <c r="F8" s="291"/>
      <c r="G8" s="290"/>
      <c r="H8" s="97"/>
    </row>
    <row r="9" spans="1:9">
      <c r="A9" s="715"/>
      <c r="B9" s="720"/>
      <c r="C9" s="721"/>
      <c r="D9" s="722"/>
      <c r="E9" s="721"/>
      <c r="F9" s="723"/>
      <c r="G9" s="713"/>
      <c r="H9" s="714"/>
    </row>
    <row r="10" spans="1:9">
      <c r="A10" s="718"/>
      <c r="B10" s="724"/>
      <c r="C10" s="724"/>
      <c r="D10" s="724"/>
      <c r="E10" s="724"/>
      <c r="F10" s="724"/>
      <c r="G10" s="725"/>
      <c r="H10" s="725"/>
    </row>
    <row r="11" spans="1:9" ht="13.5" thickBot="1">
      <c r="A11" s="726" t="s">
        <v>526</v>
      </c>
      <c r="B11" s="726"/>
      <c r="C11" s="712"/>
      <c r="D11" s="727"/>
      <c r="E11" s="727"/>
      <c r="F11" s="727"/>
      <c r="G11" s="727"/>
      <c r="H11" s="727"/>
    </row>
    <row r="12" spans="1:9" ht="13.5" thickBot="1">
      <c r="A12" s="728" t="s">
        <v>527</v>
      </c>
      <c r="B12" s="729"/>
      <c r="C12" s="730" t="s">
        <v>521</v>
      </c>
      <c r="D12" s="731"/>
      <c r="E12" s="732" t="s">
        <v>515</v>
      </c>
      <c r="F12" s="733" t="s">
        <v>528</v>
      </c>
      <c r="G12" s="734" t="s">
        <v>832</v>
      </c>
      <c r="H12" s="735" t="s">
        <v>831</v>
      </c>
    </row>
    <row r="13" spans="1:9">
      <c r="A13" s="736" t="s">
        <v>966</v>
      </c>
      <c r="B13" s="737" t="str">
        <f t="shared" ref="B13:B18" si="0">IF(A13="","",VLOOKUP(A13,EQUI,2,FALSE))</f>
        <v>Herramienta Menor (5% de la mano de obra).</v>
      </c>
      <c r="C13" s="738"/>
      <c r="D13" s="738"/>
      <c r="E13" s="739" t="str">
        <f t="shared" ref="E13:E18" si="1">IF(A13="","",VLOOKUP(A13,EQUI,3,FALSE))</f>
        <v>%</v>
      </c>
      <c r="F13" s="740">
        <f>IF(A13="","",VLOOKUP(A13,EQUI,4,FALSE))</f>
        <v>0.05</v>
      </c>
      <c r="G13" s="741">
        <f>ROUND(F13*H50,0)</f>
        <v>41</v>
      </c>
      <c r="H13" s="742">
        <f>+G13</f>
        <v>41</v>
      </c>
      <c r="I13" s="743"/>
    </row>
    <row r="14" spans="1:9">
      <c r="A14" s="736" t="s">
        <v>1622</v>
      </c>
      <c r="B14" s="737" t="str">
        <f t="shared" si="0"/>
        <v>Equipo de topografía.</v>
      </c>
      <c r="C14" s="738"/>
      <c r="D14" s="738"/>
      <c r="E14" s="739" t="str">
        <f t="shared" si="1"/>
        <v>Día</v>
      </c>
      <c r="F14" s="744">
        <v>80</v>
      </c>
      <c r="G14" s="745">
        <f>IF(A14="","",VLOOKUP(A14,EQUI,4,FALSE))</f>
        <v>160000</v>
      </c>
      <c r="H14" s="746">
        <f>IF(A14="","",ROUND((G14/F14),0))</f>
        <v>2000</v>
      </c>
    </row>
    <row r="15" spans="1:9">
      <c r="A15" s="736"/>
      <c r="B15" s="737" t="str">
        <f t="shared" si="0"/>
        <v/>
      </c>
      <c r="C15" s="738"/>
      <c r="D15" s="738"/>
      <c r="E15" s="739" t="str">
        <f t="shared" si="1"/>
        <v/>
      </c>
      <c r="F15" s="744"/>
      <c r="G15" s="745" t="str">
        <f>IF(A15="","",VLOOKUP(A15,EQUI,4,FALSE))</f>
        <v/>
      </c>
      <c r="H15" s="746" t="str">
        <f>IF(A15="","",ROUND((G15/F15),0))</f>
        <v/>
      </c>
    </row>
    <row r="16" spans="1:9">
      <c r="A16" s="736"/>
      <c r="B16" s="737" t="str">
        <f t="shared" si="0"/>
        <v/>
      </c>
      <c r="C16" s="738"/>
      <c r="D16" s="738"/>
      <c r="E16" s="739" t="str">
        <f t="shared" si="1"/>
        <v/>
      </c>
      <c r="F16" s="744"/>
      <c r="G16" s="745" t="str">
        <f>IF(A16="","",VLOOKUP(A16,EQUI,4,FALSE))</f>
        <v/>
      </c>
      <c r="H16" s="746" t="str">
        <f>IF(A16="","",ROUND((G16/F16),0))</f>
        <v/>
      </c>
    </row>
    <row r="17" spans="1:8">
      <c r="A17" s="736"/>
      <c r="B17" s="737" t="str">
        <f t="shared" si="0"/>
        <v/>
      </c>
      <c r="C17" s="738"/>
      <c r="D17" s="738"/>
      <c r="E17" s="739" t="str">
        <f t="shared" si="1"/>
        <v/>
      </c>
      <c r="F17" s="744"/>
      <c r="G17" s="745" t="str">
        <f>IF(A17="","",VLOOKUP(A17,EQUI,4,FALSE))</f>
        <v/>
      </c>
      <c r="H17" s="746" t="str">
        <f>IF(A17="","",ROUND((G17/F17),0))</f>
        <v/>
      </c>
    </row>
    <row r="18" spans="1:8" ht="13.5" thickBot="1">
      <c r="A18" s="747"/>
      <c r="B18" s="748" t="str">
        <f t="shared" si="0"/>
        <v/>
      </c>
      <c r="C18" s="748"/>
      <c r="D18" s="749"/>
      <c r="E18" s="750" t="str">
        <f t="shared" si="1"/>
        <v/>
      </c>
      <c r="F18" s="751"/>
      <c r="G18" s="752" t="str">
        <f>IF(A18="","",VLOOKUP(A18,EQUI,4,FALSE))</f>
        <v/>
      </c>
      <c r="H18" s="746" t="str">
        <f>IF(A18="","",ROUND((G18/F18),0))</f>
        <v/>
      </c>
    </row>
    <row r="19" spans="1:8" ht="13.5" thickBot="1">
      <c r="A19" s="712"/>
      <c r="B19" s="712"/>
      <c r="C19" s="712"/>
      <c r="D19" s="712"/>
      <c r="E19" s="713"/>
      <c r="F19" s="712"/>
      <c r="G19" s="753" t="s">
        <v>529</v>
      </c>
      <c r="H19" s="754">
        <f>ROUND(SUM(H13:H18),0)</f>
        <v>2041</v>
      </c>
    </row>
    <row r="20" spans="1:8">
      <c r="A20" s="712"/>
      <c r="B20" s="712"/>
      <c r="C20" s="712"/>
      <c r="D20" s="712"/>
      <c r="E20" s="713"/>
      <c r="F20" s="712"/>
      <c r="G20" s="713"/>
      <c r="H20" s="755"/>
    </row>
    <row r="21" spans="1:8" ht="13.5" thickBot="1">
      <c r="A21" s="726" t="s">
        <v>530</v>
      </c>
      <c r="B21" s="726"/>
      <c r="C21" s="726"/>
      <c r="D21" s="726"/>
      <c r="E21" s="756"/>
      <c r="F21" s="749"/>
      <c r="G21" s="749"/>
      <c r="H21" s="749"/>
    </row>
    <row r="22" spans="1:8" ht="13.5" thickBot="1">
      <c r="A22" s="728" t="s">
        <v>527</v>
      </c>
      <c r="B22" s="729"/>
      <c r="C22" s="730" t="s">
        <v>521</v>
      </c>
      <c r="D22" s="730"/>
      <c r="E22" s="757" t="s">
        <v>515</v>
      </c>
      <c r="F22" s="758" t="s">
        <v>7</v>
      </c>
      <c r="G22" s="734" t="s">
        <v>832</v>
      </c>
      <c r="H22" s="735" t="s">
        <v>831</v>
      </c>
    </row>
    <row r="23" spans="1:8">
      <c r="A23" s="812" t="s">
        <v>2280</v>
      </c>
      <c r="B23" s="760" t="str">
        <f t="shared" ref="B23:B32" si="2">IF(A23="","",VLOOKUP(A23,MAT,2,FALSE))</f>
        <v>Puntilla variada</v>
      </c>
      <c r="C23" s="737"/>
      <c r="D23" s="738"/>
      <c r="E23" s="739" t="str">
        <f t="shared" ref="E23:E32" si="3">IF(A23="","",VLOOKUP(A23,MAT,3,FALSE))</f>
        <v>Lb</v>
      </c>
      <c r="F23" s="744">
        <v>0.08</v>
      </c>
      <c r="G23" s="745">
        <f t="shared" ref="G23:G32" si="4">IF(A23="","",VLOOKUP(A23,MAT,5,FALSE))</f>
        <v>2380</v>
      </c>
      <c r="H23" s="746">
        <f t="shared" ref="H23:H32" si="5">IF(A23="","",ROUND((G23*F23),0))</f>
        <v>190</v>
      </c>
    </row>
    <row r="24" spans="1:8">
      <c r="A24" s="759" t="s">
        <v>2281</v>
      </c>
      <c r="B24" s="760" t="str">
        <f t="shared" si="2"/>
        <v>Madera medio cerco</v>
      </c>
      <c r="C24" s="737"/>
      <c r="D24" s="738"/>
      <c r="E24" s="739" t="str">
        <f t="shared" si="3"/>
        <v>m</v>
      </c>
      <c r="F24" s="744">
        <v>0.2</v>
      </c>
      <c r="G24" s="745">
        <f t="shared" si="4"/>
        <v>2883</v>
      </c>
      <c r="H24" s="746">
        <f t="shared" si="5"/>
        <v>577</v>
      </c>
    </row>
    <row r="25" spans="1:8">
      <c r="A25" s="759"/>
      <c r="B25" s="760" t="str">
        <f t="shared" si="2"/>
        <v/>
      </c>
      <c r="C25" s="737"/>
      <c r="D25" s="738"/>
      <c r="E25" s="739" t="str">
        <f t="shared" si="3"/>
        <v/>
      </c>
      <c r="F25" s="744"/>
      <c r="G25" s="745" t="str">
        <f t="shared" si="4"/>
        <v/>
      </c>
      <c r="H25" s="746" t="str">
        <f t="shared" si="5"/>
        <v/>
      </c>
    </row>
    <row r="26" spans="1:8">
      <c r="A26" s="759"/>
      <c r="B26" s="737" t="str">
        <f t="shared" si="2"/>
        <v/>
      </c>
      <c r="C26" s="737"/>
      <c r="D26" s="738"/>
      <c r="E26" s="739" t="str">
        <f t="shared" si="3"/>
        <v/>
      </c>
      <c r="F26" s="744"/>
      <c r="G26" s="745" t="str">
        <f t="shared" si="4"/>
        <v/>
      </c>
      <c r="H26" s="746" t="str">
        <f t="shared" si="5"/>
        <v/>
      </c>
    </row>
    <row r="27" spans="1:8">
      <c r="A27" s="759"/>
      <c r="B27" s="737" t="str">
        <f t="shared" si="2"/>
        <v/>
      </c>
      <c r="C27" s="737"/>
      <c r="D27" s="738"/>
      <c r="E27" s="739" t="str">
        <f t="shared" si="3"/>
        <v/>
      </c>
      <c r="F27" s="744"/>
      <c r="G27" s="745" t="str">
        <f t="shared" si="4"/>
        <v/>
      </c>
      <c r="H27" s="746" t="str">
        <f t="shared" si="5"/>
        <v/>
      </c>
    </row>
    <row r="28" spans="1:8">
      <c r="A28" s="759"/>
      <c r="B28" s="737" t="str">
        <f t="shared" si="2"/>
        <v/>
      </c>
      <c r="C28" s="737"/>
      <c r="D28" s="738"/>
      <c r="E28" s="739" t="str">
        <f t="shared" si="3"/>
        <v/>
      </c>
      <c r="F28" s="744"/>
      <c r="G28" s="745" t="str">
        <f t="shared" si="4"/>
        <v/>
      </c>
      <c r="H28" s="746" t="str">
        <f t="shared" si="5"/>
        <v/>
      </c>
    </row>
    <row r="29" spans="1:8">
      <c r="A29" s="759"/>
      <c r="B29" s="737" t="str">
        <f t="shared" si="2"/>
        <v/>
      </c>
      <c r="C29" s="737"/>
      <c r="D29" s="738"/>
      <c r="E29" s="739" t="str">
        <f t="shared" si="3"/>
        <v/>
      </c>
      <c r="F29" s="744"/>
      <c r="G29" s="745" t="str">
        <f t="shared" si="4"/>
        <v/>
      </c>
      <c r="H29" s="746" t="str">
        <f t="shared" si="5"/>
        <v/>
      </c>
    </row>
    <row r="30" spans="1:8">
      <c r="A30" s="759"/>
      <c r="B30" s="737" t="str">
        <f t="shared" si="2"/>
        <v/>
      </c>
      <c r="C30" s="737"/>
      <c r="D30" s="738"/>
      <c r="E30" s="739" t="str">
        <f t="shared" si="3"/>
        <v/>
      </c>
      <c r="F30" s="744"/>
      <c r="G30" s="745" t="str">
        <f t="shared" si="4"/>
        <v/>
      </c>
      <c r="H30" s="746" t="str">
        <f t="shared" si="5"/>
        <v/>
      </c>
    </row>
    <row r="31" spans="1:8">
      <c r="A31" s="759"/>
      <c r="B31" s="737" t="str">
        <f t="shared" si="2"/>
        <v/>
      </c>
      <c r="C31" s="737"/>
      <c r="D31" s="738"/>
      <c r="E31" s="739" t="str">
        <f t="shared" si="3"/>
        <v/>
      </c>
      <c r="F31" s="744"/>
      <c r="G31" s="745" t="str">
        <f t="shared" si="4"/>
        <v/>
      </c>
      <c r="H31" s="746" t="str">
        <f t="shared" si="5"/>
        <v/>
      </c>
    </row>
    <row r="32" spans="1:8" ht="13.5" thickBot="1">
      <c r="A32" s="761"/>
      <c r="B32" s="762" t="str">
        <f t="shared" si="2"/>
        <v/>
      </c>
      <c r="C32" s="749"/>
      <c r="D32" s="749"/>
      <c r="E32" s="750" t="str">
        <f t="shared" si="3"/>
        <v/>
      </c>
      <c r="F32" s="763"/>
      <c r="G32" s="764" t="str">
        <f t="shared" si="4"/>
        <v/>
      </c>
      <c r="H32" s="746" t="str">
        <f t="shared" si="5"/>
        <v/>
      </c>
    </row>
    <row r="33" spans="1:8" ht="13.5" thickBot="1">
      <c r="A33" s="712"/>
      <c r="B33" s="712"/>
      <c r="C33" s="712"/>
      <c r="D33" s="712"/>
      <c r="E33" s="713"/>
      <c r="F33" s="712"/>
      <c r="G33" s="765" t="s">
        <v>529</v>
      </c>
      <c r="H33" s="766">
        <f>ROUND(SUM(H23:H32),0)</f>
        <v>767</v>
      </c>
    </row>
    <row r="34" spans="1:8">
      <c r="A34" s="712"/>
      <c r="B34" s="712"/>
      <c r="C34" s="712"/>
      <c r="D34" s="712"/>
      <c r="E34" s="713"/>
      <c r="F34" s="712"/>
      <c r="G34" s="713"/>
      <c r="H34" s="767"/>
    </row>
    <row r="35" spans="1:8" ht="13.5" thickBot="1">
      <c r="A35" s="726" t="s">
        <v>531</v>
      </c>
      <c r="B35" s="712"/>
      <c r="C35" s="712"/>
      <c r="D35" s="712"/>
      <c r="E35" s="713"/>
      <c r="F35" s="712"/>
      <c r="G35" s="713"/>
      <c r="H35" s="768"/>
    </row>
    <row r="36" spans="1:8" ht="13.5" thickBot="1">
      <c r="A36" s="728" t="s">
        <v>527</v>
      </c>
      <c r="B36" s="2230" t="s">
        <v>532</v>
      </c>
      <c r="C36" s="2231"/>
      <c r="D36" s="769" t="s">
        <v>821</v>
      </c>
      <c r="E36" s="769" t="s">
        <v>820</v>
      </c>
      <c r="F36" s="769" t="s">
        <v>823</v>
      </c>
      <c r="G36" s="769" t="s">
        <v>822</v>
      </c>
      <c r="H36" s="770" t="s">
        <v>831</v>
      </c>
    </row>
    <row r="37" spans="1:8">
      <c r="A37" s="813"/>
      <c r="B37" s="737"/>
      <c r="C37" s="814"/>
      <c r="D37" s="773"/>
      <c r="E37" s="774"/>
      <c r="F37" s="777"/>
      <c r="G37" s="776"/>
      <c r="H37" s="746"/>
    </row>
    <row r="38" spans="1:8">
      <c r="A38" s="771"/>
      <c r="B38" s="737" t="str">
        <f>IF(A38="","",VLOOKUP(A38,MAT,2,FALSE))</f>
        <v/>
      </c>
      <c r="C38" s="772"/>
      <c r="D38" s="773" t="str">
        <f>IF(A38="","",VLOOKUP(A38,MAT,3,FALSE))</f>
        <v/>
      </c>
      <c r="E38" s="774" t="str">
        <f>IF(A38="","",VLOOKUP(A38,MAT,6,FALSE))</f>
        <v/>
      </c>
      <c r="F38" s="777" t="str">
        <f>IF(A38="","",VLOOKUP(A38,$A$23:$H$32,6,FALSE))</f>
        <v/>
      </c>
      <c r="G38" s="776" t="str">
        <f>IF(A38="","",VLOOKUP(A38,MAT,7,FALSE))</f>
        <v/>
      </c>
      <c r="H38" s="746" t="str">
        <f>IF(A38="","",ROUND((G38*F38*E38),0))</f>
        <v/>
      </c>
    </row>
    <row r="39" spans="1:8">
      <c r="A39" s="771"/>
      <c r="B39" s="737" t="str">
        <f>IF(A39="","",VLOOKUP(A39,MAT,2,FALSE))</f>
        <v/>
      </c>
      <c r="C39" s="772"/>
      <c r="D39" s="773" t="str">
        <f>IF(A39="","",VLOOKUP(A39,MAT,3,FALSE))</f>
        <v/>
      </c>
      <c r="E39" s="774" t="str">
        <f>IF(A39="","",VLOOKUP(A39,MAT,6,FALSE))</f>
        <v/>
      </c>
      <c r="F39" s="777" t="str">
        <f>IF(A39="","",VLOOKUP(A39,$A$23:$H$32,6,FALSE))</f>
        <v/>
      </c>
      <c r="G39" s="776" t="str">
        <f>IF(A39="","",VLOOKUP(A39,MAT,7,FALSE))</f>
        <v/>
      </c>
      <c r="H39" s="746" t="str">
        <f>IF(A39="","",ROUND((G39*F39*E39),0))</f>
        <v/>
      </c>
    </row>
    <row r="40" spans="1:8">
      <c r="A40" s="778"/>
      <c r="B40" s="737" t="str">
        <f>IF(A40="","",VLOOKUP(A40,MAT,2,FALSE))</f>
        <v/>
      </c>
      <c r="D40" s="779" t="str">
        <f>IF(A40="","",VLOOKUP(A40,MAT,3,FALSE))</f>
        <v/>
      </c>
      <c r="E40" s="774" t="str">
        <f>IF(A40="","",VLOOKUP(A40,MAT,6,FALSE))</f>
        <v/>
      </c>
      <c r="F40" s="777" t="str">
        <f>IF(A40="","",VLOOKUP(A40,$A$23:$H$32,6,FALSE))</f>
        <v/>
      </c>
      <c r="G40" s="780" t="str">
        <f>IF(A40="","",VLOOKUP(A40,MAT,7,FALSE))</f>
        <v/>
      </c>
      <c r="H40" s="746" t="str">
        <f>IF(A40="","",ROUND((G40*F40*E40),0))</f>
        <v/>
      </c>
    </row>
    <row r="41" spans="1:8" ht="13.5" thickBot="1">
      <c r="A41" s="781"/>
      <c r="B41" s="710" t="str">
        <f>IF(A41="","",VLOOKUP(A41,MAT,2,FALSE))</f>
        <v/>
      </c>
      <c r="C41" s="710"/>
      <c r="D41" s="782" t="str">
        <f>IF(A41="","",VLOOKUP(A41,MAT,3,FALSE))</f>
        <v/>
      </c>
      <c r="E41" s="783" t="str">
        <f>IF(A41="","",VLOOKUP(A41,MAT,6,FALSE))</f>
        <v/>
      </c>
      <c r="F41" s="784" t="str">
        <f>IF(A41="","",VLOOKUP(A41,$A$23:$H$32,6,FALSE))</f>
        <v/>
      </c>
      <c r="G41" s="785" t="str">
        <f>IF(A41="","",VLOOKUP(A41,MAT,7,FALSE))</f>
        <v/>
      </c>
      <c r="H41" s="786" t="str">
        <f>IF(A41="","",ROUND((G41*F41*E41),0))</f>
        <v/>
      </c>
    </row>
    <row r="42" spans="1:8" ht="13.5" thickBot="1">
      <c r="E42" s="787"/>
      <c r="F42" s="788"/>
      <c r="G42" s="789" t="s">
        <v>529</v>
      </c>
      <c r="H42" s="790">
        <f>ROUND(SUM(H37:H41),0)</f>
        <v>0</v>
      </c>
    </row>
    <row r="43" spans="1:8">
      <c r="E43" s="787"/>
      <c r="F43" s="788"/>
      <c r="G43" s="713"/>
      <c r="H43" s="791"/>
    </row>
    <row r="44" spans="1:8" ht="13.5" thickBot="1">
      <c r="A44" s="726" t="s">
        <v>534</v>
      </c>
      <c r="B44" s="726"/>
      <c r="C44" s="726"/>
      <c r="D44" s="712"/>
      <c r="E44" s="713"/>
      <c r="F44" s="712"/>
      <c r="G44" s="712"/>
      <c r="H44" s="749"/>
    </row>
    <row r="45" spans="1:8" ht="13.5" thickBot="1">
      <c r="A45" s="728" t="s">
        <v>527</v>
      </c>
      <c r="B45" s="2232" t="s">
        <v>514</v>
      </c>
      <c r="C45" s="2233"/>
      <c r="D45" s="2234"/>
      <c r="E45" s="792" t="s">
        <v>515</v>
      </c>
      <c r="F45" s="792" t="s">
        <v>535</v>
      </c>
      <c r="G45" s="793" t="s">
        <v>944</v>
      </c>
      <c r="H45" s="770" t="s">
        <v>831</v>
      </c>
    </row>
    <row r="46" spans="1:8">
      <c r="A46" s="794" t="s">
        <v>908</v>
      </c>
      <c r="B46" s="2235" t="str">
        <f>IF(A46="","",VLOOKUP(A46,MO,2,FALSE))</f>
        <v>Cuadrilla II: Topografía. (1 Top. + 1 Aux.Top.+ 1 Cade.).</v>
      </c>
      <c r="C46" s="2236"/>
      <c r="D46" s="2237"/>
      <c r="E46" s="795" t="str">
        <f>IF(A46="","",VLOOKUP(A46,MO,13,FALSE))</f>
        <v>HC</v>
      </c>
      <c r="F46" s="796">
        <f>+F14</f>
        <v>80</v>
      </c>
      <c r="G46" s="797">
        <f>IF(A46="","",VLOOKUP(A46,MO,15,FALSE))</f>
        <v>65003</v>
      </c>
      <c r="H46" s="798">
        <f>IF(A46="","",ROUND((G46/F46),0))</f>
        <v>813</v>
      </c>
    </row>
    <row r="47" spans="1:8">
      <c r="A47" s="794"/>
      <c r="B47" s="2221" t="str">
        <f>IF(A47="","",VLOOKUP(A47,MO,2,FALSE))</f>
        <v/>
      </c>
      <c r="C47" s="2222"/>
      <c r="D47" s="2223"/>
      <c r="E47" s="795" t="str">
        <f>IF(A47="","",VLOOKUP(A47,MO,13,FALSE))</f>
        <v/>
      </c>
      <c r="F47" s="796"/>
      <c r="G47" s="797" t="str">
        <f>IF(A47="","",VLOOKUP(A47,MO,15,FALSE))</f>
        <v/>
      </c>
      <c r="H47" s="798" t="str">
        <f>IF(A47="","",ROUND((G47/F47),0))</f>
        <v/>
      </c>
    </row>
    <row r="48" spans="1:8">
      <c r="A48" s="794"/>
      <c r="B48" s="2221" t="str">
        <f>IF(A48="","",VLOOKUP(A48,MO,2,FALSE))</f>
        <v/>
      </c>
      <c r="C48" s="2222"/>
      <c r="D48" s="2223"/>
      <c r="E48" s="795" t="str">
        <f>IF(A48="","",VLOOKUP(A48,MO,13,FALSE))</f>
        <v/>
      </c>
      <c r="F48" s="796"/>
      <c r="G48" s="799" t="str">
        <f>IF(A48="","",VLOOKUP(A48,MO,15,FALSE))</f>
        <v/>
      </c>
      <c r="H48" s="798" t="str">
        <f>IF(A48="","",ROUND((G48/F48),0))</f>
        <v/>
      </c>
    </row>
    <row r="49" spans="1:8" ht="13.5" thickBot="1">
      <c r="A49" s="800"/>
      <c r="B49" s="2224" t="str">
        <f>IF(A49="","",VLOOKUP(A49,MO,2,FALSE))</f>
        <v/>
      </c>
      <c r="C49" s="2225"/>
      <c r="D49" s="2226"/>
      <c r="E49" s="801" t="str">
        <f>IF(A49="","",VLOOKUP(A49,MO,13,FALSE))</f>
        <v/>
      </c>
      <c r="F49" s="802"/>
      <c r="G49" s="803" t="str">
        <f>IF(A49="","",VLOOKUP(A49,MO,15,FALSE))</f>
        <v/>
      </c>
      <c r="H49" s="804" t="str">
        <f>IF(A49="","",ROUND((G49/F49),0))</f>
        <v/>
      </c>
    </row>
    <row r="50" spans="1:8" ht="13.5" thickBot="1">
      <c r="A50" s="712"/>
      <c r="B50" s="712"/>
      <c r="C50" s="712"/>
      <c r="D50" s="712"/>
      <c r="E50" s="713"/>
      <c r="F50" s="712"/>
      <c r="G50" s="753" t="s">
        <v>529</v>
      </c>
      <c r="H50" s="805">
        <f>ROUND(SUM(H46:H49),0)</f>
        <v>813</v>
      </c>
    </row>
    <row r="51" spans="1:8" ht="13.5" thickBot="1">
      <c r="A51" s="712"/>
      <c r="B51" s="712"/>
      <c r="C51" s="712"/>
      <c r="D51" s="712"/>
      <c r="E51" s="713"/>
      <c r="F51" s="712"/>
      <c r="G51" s="712"/>
      <c r="H51" s="712"/>
    </row>
    <row r="52" spans="1:8" ht="13.5" thickBot="1">
      <c r="A52" s="712"/>
      <c r="B52" s="712"/>
      <c r="C52" s="712"/>
      <c r="D52" s="712"/>
      <c r="E52" s="806" t="s">
        <v>536</v>
      </c>
      <c r="F52" s="807"/>
      <c r="G52" s="807"/>
      <c r="H52" s="808">
        <f>+ROUND(H19+H33+H42+H50,0)</f>
        <v>3621</v>
      </c>
    </row>
    <row r="53" spans="1:8">
      <c r="A53" s="712"/>
      <c r="B53" s="712"/>
      <c r="C53" s="712"/>
      <c r="D53" s="712"/>
      <c r="E53" s="806"/>
      <c r="F53" s="807"/>
      <c r="G53" s="807"/>
      <c r="H53" s="809"/>
    </row>
    <row r="54" spans="1:8">
      <c r="A54" s="712"/>
      <c r="B54" s="712"/>
      <c r="C54" s="712"/>
      <c r="D54" s="712"/>
      <c r="E54" s="806"/>
      <c r="F54" s="807"/>
      <c r="G54" s="807"/>
      <c r="H54" s="809"/>
    </row>
    <row r="55" spans="1:8">
      <c r="A55" s="712"/>
      <c r="B55" s="712"/>
      <c r="C55" s="712"/>
      <c r="D55" s="712"/>
      <c r="E55" s="806"/>
      <c r="F55" s="807"/>
      <c r="G55" s="807"/>
      <c r="H55" s="809"/>
    </row>
    <row r="56" spans="1:8">
      <c r="A56" s="712"/>
      <c r="B56" s="712"/>
      <c r="C56" s="712"/>
      <c r="D56" s="712"/>
      <c r="E56" s="806"/>
      <c r="F56" s="807"/>
      <c r="G56" s="807"/>
      <c r="H56" s="809"/>
    </row>
    <row r="57" spans="1:8">
      <c r="A57" s="712"/>
      <c r="B57" s="712"/>
      <c r="C57" s="712"/>
      <c r="D57" s="712"/>
      <c r="E57" s="806"/>
      <c r="F57" s="807"/>
      <c r="G57" s="807"/>
      <c r="H57" s="809"/>
    </row>
    <row r="59" spans="1:8">
      <c r="A59" s="703" t="str">
        <f>+[14]PRESUPUESTO!$A$113</f>
        <v>__________________________________________</v>
      </c>
    </row>
    <row r="60" spans="1:8">
      <c r="A60" s="810" t="str">
        <f>+[14]PRESUPUESTO!$A$114</f>
        <v>Ing. JHON FREDY GARCIA MENDEZ</v>
      </c>
    </row>
    <row r="61" spans="1:8">
      <c r="A61" s="811" t="str">
        <f>+[14]PRESUPUESTO!$A$115</f>
        <v>M.P.  70268-326294 TLM.</v>
      </c>
    </row>
    <row r="62" spans="1:8">
      <c r="A62" s="811" t="str">
        <f>+[14]PRESUPUESTO!$A$116</f>
        <v>CONSULTOR</v>
      </c>
    </row>
  </sheetData>
  <mergeCells count="15">
    <mergeCell ref="D2:E4"/>
    <mergeCell ref="F2:H2"/>
    <mergeCell ref="F3:H3"/>
    <mergeCell ref="F4:H4"/>
    <mergeCell ref="A5:E5"/>
    <mergeCell ref="F5:H5"/>
    <mergeCell ref="B47:D47"/>
    <mergeCell ref="B48:D48"/>
    <mergeCell ref="B49:D49"/>
    <mergeCell ref="B6:D6"/>
    <mergeCell ref="B7:E7"/>
    <mergeCell ref="B8:E8"/>
    <mergeCell ref="B36:C36"/>
    <mergeCell ref="B45:D45"/>
    <mergeCell ref="B46:D46"/>
  </mergeCells>
  <pageMargins left="0.75" right="0.75" top="1" bottom="1" header="0" footer="0"/>
  <pageSetup paperSize="9" scale="70" orientation="portrait" r:id="rId1"/>
  <headerFooter alignWithMargins="0"/>
  <drawing r:id="rId2"/>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900-000000000000}">
  <sheetPr>
    <tabColor theme="6" tint="0.79998168889431442"/>
  </sheetPr>
  <dimension ref="A1:I62"/>
  <sheetViews>
    <sheetView workbookViewId="0"/>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2.710937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t="e">
        <f>PRESUPUESTO!#REF!</f>
        <v>#REF!</v>
      </c>
      <c r="B7" s="2185" t="e">
        <f>PRESUPUESTO!#REF!</f>
        <v>#REF!</v>
      </c>
      <c r="C7" s="2185"/>
      <c r="D7" s="2185"/>
      <c r="E7" s="2185"/>
      <c r="F7" s="289"/>
      <c r="G7" s="290" t="s">
        <v>525</v>
      </c>
      <c r="H7" s="97" t="e">
        <f>+PRESUPUESTO!#REF!</f>
        <v>#REF!</v>
      </c>
    </row>
    <row r="8" spans="1:9">
      <c r="A8" s="97" t="e">
        <f>+PRESUPUESTO!#REF!</f>
        <v>#REF!</v>
      </c>
      <c r="B8" s="2217" t="e">
        <f>+PRESUPUESTO!#REF!</f>
        <v>#REF!</v>
      </c>
      <c r="C8" s="2217"/>
      <c r="D8" s="2217"/>
      <c r="E8" s="221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v>3</v>
      </c>
      <c r="H12" s="278" t="s">
        <v>831</v>
      </c>
    </row>
    <row r="13" spans="1:9">
      <c r="A13" s="536" t="s">
        <v>966</v>
      </c>
      <c r="B13" s="305" t="str">
        <f t="shared" ref="B13:B18" si="0">IF(A13="","",VLOOKUP(A13,EQUI,2,FALSE))</f>
        <v>Herramienta Menor (5% de la mano de obra).</v>
      </c>
      <c r="C13" s="306"/>
      <c r="D13" s="306"/>
      <c r="E13" s="276" t="str">
        <f t="shared" ref="E13:E18" si="1">IF(A13="","",VLOOKUP(A13,EQUI,3,FALSE))</f>
        <v>%</v>
      </c>
      <c r="F13" s="433">
        <f>IF(A13="","",VLOOKUP(A13,EQUI,4,FALSE))</f>
        <v>0.05</v>
      </c>
      <c r="G13" s="307">
        <f>ROUND(F13*H50,0)</f>
        <v>3895</v>
      </c>
      <c r="H13" s="308">
        <f>+G13</f>
        <v>3895</v>
      </c>
      <c r="I13" s="309"/>
    </row>
    <row r="14" spans="1:9">
      <c r="A14" s="536"/>
      <c r="B14" s="305" t="str">
        <f t="shared" si="0"/>
        <v/>
      </c>
      <c r="C14" s="306"/>
      <c r="D14" s="306"/>
      <c r="E14" s="276" t="str">
        <f t="shared" si="1"/>
        <v/>
      </c>
      <c r="F14" s="405"/>
      <c r="G14" s="310" t="str">
        <f>IF(A14="","",VLOOKUP(A14,EQUI,4,FALSE))</f>
        <v/>
      </c>
      <c r="H14" s="311" t="str">
        <f>IF(A14="","",ROUND((G14/F14),0))</f>
        <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3895</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c r="B23" s="353" t="str">
        <f t="shared" ref="B23:B32" si="2">IF(A23="","",VLOOKUP(A23,MAT,2,FALSE))</f>
        <v/>
      </c>
      <c r="C23" s="305"/>
      <c r="D23" s="306"/>
      <c r="E23" s="276" t="str">
        <f t="shared" ref="E23:E32" si="3">IF(A23="","",VLOOKUP(A23,MAT,3,FALSE))</f>
        <v/>
      </c>
      <c r="F23" s="405"/>
      <c r="G23" s="310" t="str">
        <f t="shared" ref="G23:G32" si="4">IF(A23="","",VLOOKUP(A23,MAT,5,FALSE))</f>
        <v/>
      </c>
      <c r="H23" s="311" t="str">
        <f t="shared" ref="H23:H32" si="5">IF(A23="","",ROUND((G23*F23),0))</f>
        <v/>
      </c>
    </row>
    <row r="24" spans="1:8">
      <c r="A24" s="534"/>
      <c r="B24" s="353" t="str">
        <f t="shared" si="2"/>
        <v/>
      </c>
      <c r="C24" s="305"/>
      <c r="D24" s="306"/>
      <c r="E24" s="276" t="str">
        <f t="shared" si="3"/>
        <v/>
      </c>
      <c r="F24" s="405"/>
      <c r="G24" s="310" t="str">
        <f t="shared" si="4"/>
        <v/>
      </c>
      <c r="H24" s="311" t="str">
        <f t="shared" si="5"/>
        <v/>
      </c>
    </row>
    <row r="25" spans="1:8">
      <c r="A25" s="534"/>
      <c r="B25" s="353" t="str">
        <f t="shared" si="2"/>
        <v/>
      </c>
      <c r="C25" s="305"/>
      <c r="D25" s="306"/>
      <c r="E25" s="276" t="str">
        <f t="shared" si="3"/>
        <v/>
      </c>
      <c r="F25" s="405"/>
      <c r="G25" s="310" t="str">
        <f t="shared" si="4"/>
        <v/>
      </c>
      <c r="H25" s="311" t="str">
        <f t="shared" si="5"/>
        <v/>
      </c>
    </row>
    <row r="26" spans="1:8">
      <c r="A26" s="534"/>
      <c r="B26" s="305" t="str">
        <f t="shared" si="2"/>
        <v/>
      </c>
      <c r="C26" s="305"/>
      <c r="D26" s="306"/>
      <c r="E26" s="276" t="str">
        <f t="shared" si="3"/>
        <v/>
      </c>
      <c r="F26" s="405"/>
      <c r="G26" s="310" t="str">
        <f t="shared" si="4"/>
        <v/>
      </c>
      <c r="H26" s="311" t="str">
        <f t="shared" si="5"/>
        <v/>
      </c>
    </row>
    <row r="27" spans="1:8">
      <c r="A27" s="534"/>
      <c r="B27" s="305" t="str">
        <f t="shared" si="2"/>
        <v/>
      </c>
      <c r="C27" s="305"/>
      <c r="D27" s="306"/>
      <c r="E27" s="276" t="str">
        <f t="shared" si="3"/>
        <v/>
      </c>
      <c r="F27" s="405"/>
      <c r="G27" s="310" t="str">
        <f t="shared" si="4"/>
        <v/>
      </c>
      <c r="H27" s="311" t="str">
        <f t="shared" si="5"/>
        <v/>
      </c>
    </row>
    <row r="28" spans="1:8">
      <c r="A28" s="534"/>
      <c r="B28" s="305" t="str">
        <f t="shared" si="2"/>
        <v/>
      </c>
      <c r="C28" s="305"/>
      <c r="D28" s="306"/>
      <c r="E28" s="276" t="str">
        <f t="shared" si="3"/>
        <v/>
      </c>
      <c r="F28" s="405"/>
      <c r="G28" s="310" t="str">
        <f t="shared" si="4"/>
        <v/>
      </c>
      <c r="H28" s="311" t="str">
        <f t="shared" si="5"/>
        <v/>
      </c>
    </row>
    <row r="29" spans="1:8">
      <c r="A29" s="534"/>
      <c r="B29" s="305" t="str">
        <f t="shared" si="2"/>
        <v/>
      </c>
      <c r="C29" s="305"/>
      <c r="D29" s="306"/>
      <c r="E29" s="276" t="str">
        <f t="shared" si="3"/>
        <v/>
      </c>
      <c r="F29" s="405"/>
      <c r="G29" s="310" t="str">
        <f t="shared" si="4"/>
        <v/>
      </c>
      <c r="H29" s="311" t="str">
        <f t="shared" si="5"/>
        <v/>
      </c>
    </row>
    <row r="30" spans="1:8">
      <c r="A30" s="534"/>
      <c r="B30" s="305" t="str">
        <f t="shared" si="2"/>
        <v/>
      </c>
      <c r="C30" s="305"/>
      <c r="D30" s="306"/>
      <c r="E30" s="276" t="str">
        <f t="shared" si="3"/>
        <v/>
      </c>
      <c r="F30" s="405"/>
      <c r="G30" s="310" t="str">
        <f t="shared" si="4"/>
        <v/>
      </c>
      <c r="H30" s="311" t="str">
        <f t="shared" si="5"/>
        <v/>
      </c>
    </row>
    <row r="31" spans="1:8">
      <c r="A31" s="534"/>
      <c r="B31" s="305" t="str">
        <f t="shared" si="2"/>
        <v/>
      </c>
      <c r="C31" s="305"/>
      <c r="D31" s="306"/>
      <c r="E31" s="276" t="str">
        <f t="shared" si="3"/>
        <v/>
      </c>
      <c r="F31" s="405"/>
      <c r="G31" s="310" t="str">
        <f t="shared" si="4"/>
        <v/>
      </c>
      <c r="H31" s="311" t="str">
        <f t="shared" si="5"/>
        <v/>
      </c>
    </row>
    <row r="32" spans="1:8" ht="13.5" thickBot="1">
      <c r="A32" s="535"/>
      <c r="B32" s="326" t="str">
        <f t="shared" si="2"/>
        <v/>
      </c>
      <c r="C32" s="314"/>
      <c r="D32" s="314"/>
      <c r="E32" s="315" t="str">
        <f t="shared" si="3"/>
        <v/>
      </c>
      <c r="F32" s="406"/>
      <c r="G32" s="327" t="str">
        <f t="shared" si="4"/>
        <v/>
      </c>
      <c r="H32" s="311" t="str">
        <f t="shared" si="5"/>
        <v/>
      </c>
    </row>
    <row r="33" spans="1:8" ht="13.5" thickBot="1">
      <c r="A33" s="285"/>
      <c r="B33" s="285"/>
      <c r="C33" s="285"/>
      <c r="D33" s="285"/>
      <c r="E33" s="286"/>
      <c r="F33" s="285"/>
      <c r="G33" s="210" t="s">
        <v>529</v>
      </c>
      <c r="H33" s="328">
        <f>ROUND(SUM(H23:H32),0)</f>
        <v>0</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546"/>
      <c r="B37" s="305" t="str">
        <f>IF(A37="","",VLOOKUP(A37,MAT,2,FALSE))</f>
        <v/>
      </c>
      <c r="C37" s="333"/>
      <c r="D37" s="409" t="str">
        <f>IF(A37="","",VLOOKUP(A37,MAT,3,FALSE))</f>
        <v/>
      </c>
      <c r="E37" s="419" t="str">
        <f>IF(A37="","",VLOOKUP(A37,MAT,6,FALSE))</f>
        <v/>
      </c>
      <c r="F37" s="413"/>
      <c r="G37" s="334" t="str">
        <f>IF(A37="","",VLOOKUP(A37,MAT,7,FALSE))</f>
        <v/>
      </c>
      <c r="H37" s="311" t="str">
        <f>IF(A37="","",ROUND((G37*F37*E37),0))</f>
        <v/>
      </c>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t="str">
        <f>IF(A39="","",ROUND((G39*F39*E39),0))</f>
        <v/>
      </c>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0</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883</v>
      </c>
      <c r="B46" s="2192" t="str">
        <f>IF(A46="","",VLOOKUP(A46,MO,2,FALSE))</f>
        <v>Cuadrilla AA: Albañilería. (1 Of. + 1 Ayud.).</v>
      </c>
      <c r="C46" s="2193"/>
      <c r="D46" s="2194"/>
      <c r="E46" s="538" t="str">
        <f>IF(A46="","",VLOOKUP(A46,MO,13,FALSE))</f>
        <v>HC</v>
      </c>
      <c r="F46" s="544">
        <v>0.5</v>
      </c>
      <c r="G46" s="540">
        <f>IF(A46="","",VLOOKUP(A46,MO,15,FALSE))</f>
        <v>38949</v>
      </c>
      <c r="H46" s="542">
        <f>IF(A46="","",ROUND((G46/F46),0))</f>
        <v>77898</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77898</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81793</v>
      </c>
    </row>
    <row r="53" spans="1:8">
      <c r="A53" s="285"/>
      <c r="B53" s="285"/>
      <c r="C53" s="285"/>
      <c r="D53" s="285"/>
      <c r="E53" s="346"/>
      <c r="F53" s="347"/>
      <c r="G53" s="347"/>
      <c r="H53" s="349"/>
    </row>
    <row r="54" spans="1:8">
      <c r="A54" s="285"/>
      <c r="B54" s="285"/>
      <c r="C54" s="285"/>
      <c r="D54" s="285"/>
      <c r="E54" s="346"/>
      <c r="F54" s="347"/>
      <c r="G54" s="347"/>
      <c r="H54" s="349"/>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c r="A59" s="703" t="str">
        <f>+[14]PRESUPUESTO!$A$113</f>
        <v>__________________________________________</v>
      </c>
      <c r="B59" s="703"/>
    </row>
    <row r="60" spans="1:8">
      <c r="A60" s="810" t="str">
        <f>+[14]PRESUPUESTO!$A$114</f>
        <v>Ing. JHON FREDY GARCIA MENDEZ</v>
      </c>
      <c r="B60" s="703"/>
    </row>
    <row r="61" spans="1:8">
      <c r="A61" s="811" t="str">
        <f>+[14]PRESUPUESTO!$A$115</f>
        <v>M.P.  70268-326294 TLM.</v>
      </c>
      <c r="B61" s="703"/>
    </row>
    <row r="62" spans="1:8">
      <c r="A62" s="811" t="str">
        <f>+[14]PRESUPUESTO!$A$116</f>
        <v>CONSULTOR</v>
      </c>
      <c r="B62" s="703"/>
    </row>
  </sheetData>
  <mergeCells count="15">
    <mergeCell ref="D2:E4"/>
    <mergeCell ref="F2:H2"/>
    <mergeCell ref="F3:H3"/>
    <mergeCell ref="F4:H4"/>
    <mergeCell ref="A5:E5"/>
    <mergeCell ref="F5:H5"/>
    <mergeCell ref="B47:D47"/>
    <mergeCell ref="B48:D48"/>
    <mergeCell ref="B49:D49"/>
    <mergeCell ref="B6:D6"/>
    <mergeCell ref="B7:E7"/>
    <mergeCell ref="B8:E8"/>
    <mergeCell ref="B36:C36"/>
    <mergeCell ref="B45:D45"/>
    <mergeCell ref="B46:D46"/>
  </mergeCells>
  <pageMargins left="0.75" right="0.75" top="1" bottom="1" header="0" footer="0"/>
  <pageSetup paperSize="9" scale="70" orientation="portrait" r:id="rId1"/>
  <headerFooter alignWithMargins="0"/>
  <drawing r:id="rId2"/>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A00-000000000000}">
  <sheetPr>
    <tabColor theme="6" tint="0.79998168889431442"/>
  </sheetPr>
  <dimension ref="A1:I62"/>
  <sheetViews>
    <sheetView workbookViewId="0"/>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2.710937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t="e">
        <f>PRESUPUESTO!#REF!</f>
        <v>#REF!</v>
      </c>
      <c r="B7" s="2185" t="e">
        <f>PRESUPUESTO!#REF!</f>
        <v>#REF!</v>
      </c>
      <c r="C7" s="2185"/>
      <c r="D7" s="2185"/>
      <c r="E7" s="2185"/>
      <c r="F7" s="289"/>
      <c r="G7" s="290" t="s">
        <v>525</v>
      </c>
      <c r="H7" s="97" t="e">
        <f>+PRESUPUESTO!#REF!</f>
        <v>#REF!</v>
      </c>
    </row>
    <row r="8" spans="1:9" ht="26.25" customHeight="1">
      <c r="A8" s="97" t="e">
        <f>+PRESUPUESTO!#REF!</f>
        <v>#REF!</v>
      </c>
      <c r="B8" s="2273" t="e">
        <f>+PRESUPUESTO!#REF!</f>
        <v>#REF!</v>
      </c>
      <c r="C8" s="2217"/>
      <c r="D8" s="2217"/>
      <c r="E8" s="221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966</v>
      </c>
      <c r="B13" s="305" t="str">
        <f t="shared" ref="B13:B18" si="0">IF(A13="","",VLOOKUP(A13,EQUI,2,FALSE))</f>
        <v>Herramienta Menor (5% de la mano de obra).</v>
      </c>
      <c r="C13" s="306"/>
      <c r="D13" s="306"/>
      <c r="E13" s="276" t="str">
        <f t="shared" ref="E13:E18" si="1">IF(A13="","",VLOOKUP(A13,EQUI,3,FALSE))</f>
        <v>%</v>
      </c>
      <c r="F13" s="433">
        <f>IF(A13="","",VLOOKUP(A13,EQUI,4,FALSE))</f>
        <v>0.05</v>
      </c>
      <c r="G13" s="307">
        <f>ROUND(F13*H50,0)</f>
        <v>1146</v>
      </c>
      <c r="H13" s="308">
        <f>+G13</f>
        <v>1146</v>
      </c>
      <c r="I13" s="309"/>
    </row>
    <row r="14" spans="1:9">
      <c r="A14" s="536" t="s">
        <v>481</v>
      </c>
      <c r="B14" s="305" t="str">
        <f t="shared" si="0"/>
        <v>Apisonador tipo canguro</v>
      </c>
      <c r="C14" s="306"/>
      <c r="D14" s="306"/>
      <c r="E14" s="276" t="str">
        <f t="shared" si="1"/>
        <v>Dia</v>
      </c>
      <c r="F14" s="405">
        <v>20</v>
      </c>
      <c r="G14" s="310">
        <f>IF(A14="","",VLOOKUP(A14,EQUI,4,FALSE))</f>
        <v>95693</v>
      </c>
      <c r="H14" s="311">
        <f>IF(A14="","",ROUND((G14/F14),0))</f>
        <v>4785</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5931</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t="s">
        <v>563</v>
      </c>
      <c r="B23" s="353" t="str">
        <f t="shared" ref="B23:B32" si="2">IF(A23="","",VLOOKUP(A23,MAT,2,FALSE))</f>
        <v>Recebo granular seleccionado IP&lt;10%.</v>
      </c>
      <c r="C23" s="305"/>
      <c r="D23" s="306"/>
      <c r="E23" s="276" t="str">
        <f t="shared" ref="E23:E32" si="3">IF(A23="","",VLOOKUP(A23,MAT,3,FALSE))</f>
        <v>m3</v>
      </c>
      <c r="F23" s="405">
        <v>1.25</v>
      </c>
      <c r="G23" s="310">
        <f t="shared" ref="G23:G32" si="4">IF(A23="","",VLOOKUP(A23,MAT,5,FALSE))</f>
        <v>102340</v>
      </c>
      <c r="H23" s="311">
        <f t="shared" ref="H23:H32" si="5">IF(A23="","",ROUND((G23*F23),0))</f>
        <v>127925</v>
      </c>
    </row>
    <row r="24" spans="1:8">
      <c r="A24" s="534"/>
      <c r="B24" s="353" t="str">
        <f t="shared" si="2"/>
        <v/>
      </c>
      <c r="C24" s="305"/>
      <c r="D24" s="306"/>
      <c r="E24" s="276" t="str">
        <f t="shared" si="3"/>
        <v/>
      </c>
      <c r="F24" s="405"/>
      <c r="G24" s="310" t="str">
        <f t="shared" si="4"/>
        <v/>
      </c>
      <c r="H24" s="311" t="str">
        <f t="shared" si="5"/>
        <v/>
      </c>
    </row>
    <row r="25" spans="1:8">
      <c r="A25" s="534"/>
      <c r="B25" s="353" t="str">
        <f t="shared" si="2"/>
        <v/>
      </c>
      <c r="C25" s="305"/>
      <c r="D25" s="306"/>
      <c r="E25" s="276" t="str">
        <f t="shared" si="3"/>
        <v/>
      </c>
      <c r="F25" s="405"/>
      <c r="G25" s="310" t="str">
        <f t="shared" si="4"/>
        <v/>
      </c>
      <c r="H25" s="311" t="str">
        <f t="shared" si="5"/>
        <v/>
      </c>
    </row>
    <row r="26" spans="1:8">
      <c r="A26" s="534"/>
      <c r="B26" s="305" t="str">
        <f t="shared" si="2"/>
        <v/>
      </c>
      <c r="C26" s="305"/>
      <c r="D26" s="306"/>
      <c r="E26" s="276" t="str">
        <f t="shared" si="3"/>
        <v/>
      </c>
      <c r="F26" s="405"/>
      <c r="G26" s="310" t="str">
        <f t="shared" si="4"/>
        <v/>
      </c>
      <c r="H26" s="311" t="str">
        <f t="shared" si="5"/>
        <v/>
      </c>
    </row>
    <row r="27" spans="1:8">
      <c r="A27" s="534"/>
      <c r="B27" s="305" t="str">
        <f t="shared" si="2"/>
        <v/>
      </c>
      <c r="C27" s="305"/>
      <c r="D27" s="306"/>
      <c r="E27" s="276" t="str">
        <f t="shared" si="3"/>
        <v/>
      </c>
      <c r="F27" s="405"/>
      <c r="G27" s="310" t="str">
        <f t="shared" si="4"/>
        <v/>
      </c>
      <c r="H27" s="311" t="str">
        <f t="shared" si="5"/>
        <v/>
      </c>
    </row>
    <row r="28" spans="1:8">
      <c r="A28" s="534"/>
      <c r="B28" s="305" t="str">
        <f t="shared" si="2"/>
        <v/>
      </c>
      <c r="C28" s="305"/>
      <c r="D28" s="306"/>
      <c r="E28" s="276" t="str">
        <f t="shared" si="3"/>
        <v/>
      </c>
      <c r="F28" s="405"/>
      <c r="G28" s="310" t="str">
        <f t="shared" si="4"/>
        <v/>
      </c>
      <c r="H28" s="311" t="str">
        <f t="shared" si="5"/>
        <v/>
      </c>
    </row>
    <row r="29" spans="1:8">
      <c r="A29" s="534"/>
      <c r="B29" s="305" t="str">
        <f t="shared" si="2"/>
        <v/>
      </c>
      <c r="C29" s="305"/>
      <c r="D29" s="306"/>
      <c r="E29" s="276" t="str">
        <f t="shared" si="3"/>
        <v/>
      </c>
      <c r="F29" s="405"/>
      <c r="G29" s="310" t="str">
        <f t="shared" si="4"/>
        <v/>
      </c>
      <c r="H29" s="311" t="str">
        <f t="shared" si="5"/>
        <v/>
      </c>
    </row>
    <row r="30" spans="1:8">
      <c r="A30" s="534"/>
      <c r="B30" s="305" t="str">
        <f t="shared" si="2"/>
        <v/>
      </c>
      <c r="C30" s="305"/>
      <c r="D30" s="306"/>
      <c r="E30" s="276" t="str">
        <f t="shared" si="3"/>
        <v/>
      </c>
      <c r="F30" s="405"/>
      <c r="G30" s="310" t="str">
        <f t="shared" si="4"/>
        <v/>
      </c>
      <c r="H30" s="311" t="str">
        <f t="shared" si="5"/>
        <v/>
      </c>
    </row>
    <row r="31" spans="1:8">
      <c r="A31" s="534"/>
      <c r="B31" s="305" t="str">
        <f t="shared" si="2"/>
        <v/>
      </c>
      <c r="C31" s="305"/>
      <c r="D31" s="306"/>
      <c r="E31" s="276" t="str">
        <f t="shared" si="3"/>
        <v/>
      </c>
      <c r="F31" s="405"/>
      <c r="G31" s="310" t="str">
        <f t="shared" si="4"/>
        <v/>
      </c>
      <c r="H31" s="311" t="str">
        <f t="shared" si="5"/>
        <v/>
      </c>
    </row>
    <row r="32" spans="1:8" ht="13.5" thickBot="1">
      <c r="A32" s="535"/>
      <c r="B32" s="326" t="str">
        <f t="shared" si="2"/>
        <v/>
      </c>
      <c r="C32" s="314"/>
      <c r="D32" s="314"/>
      <c r="E32" s="315" t="str">
        <f t="shared" si="3"/>
        <v/>
      </c>
      <c r="F32" s="406"/>
      <c r="G32" s="327" t="str">
        <f t="shared" si="4"/>
        <v/>
      </c>
      <c r="H32" s="311" t="str">
        <f t="shared" si="5"/>
        <v/>
      </c>
    </row>
    <row r="33" spans="1:8" ht="13.5" thickBot="1">
      <c r="A33" s="285"/>
      <c r="B33" s="285"/>
      <c r="C33" s="285"/>
      <c r="D33" s="285"/>
      <c r="E33" s="286"/>
      <c r="F33" s="285"/>
      <c r="G33" s="210" t="s">
        <v>529</v>
      </c>
      <c r="H33" s="328">
        <f>ROUND(SUM(H23:H32),0)</f>
        <v>127925</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546" t="str">
        <f>+A23</f>
        <v>REC</v>
      </c>
      <c r="B37" s="305" t="str">
        <f>IF(A37="","",VLOOKUP(A37,MAT,2,FALSE))</f>
        <v>Recebo granular seleccionado IP&lt;10%.</v>
      </c>
      <c r="C37" s="333"/>
      <c r="D37" s="409" t="str">
        <f>IF(A37="","",VLOOKUP(A37,MAT,3,FALSE))</f>
        <v>m3</v>
      </c>
      <c r="E37" s="419">
        <f>IF(A37="","",VLOOKUP(A37,MAT,6,FALSE))</f>
        <v>60.5</v>
      </c>
      <c r="F37" s="413">
        <v>1.03</v>
      </c>
      <c r="G37" s="334">
        <f>IF(A37="","",VLOOKUP(A37,MAT,7,FALSE))</f>
        <v>1500</v>
      </c>
      <c r="H37" s="311">
        <f>IF(A37="","",ROUND((G37*F37*E37),0))</f>
        <v>93473</v>
      </c>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t="str">
        <f>IF(A39="","",ROUND((G39*F39*E39),0))</f>
        <v/>
      </c>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93473</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883</v>
      </c>
      <c r="B46" s="2192" t="str">
        <f>IF(A46="","",VLOOKUP(A46,MO,2,FALSE))</f>
        <v>Cuadrilla AA: Albañilería. (1 Of. + 1 Ayud.).</v>
      </c>
      <c r="C46" s="2193"/>
      <c r="D46" s="2194"/>
      <c r="E46" s="538" t="str">
        <f>IF(A46="","",VLOOKUP(A46,MO,13,FALSE))</f>
        <v>HC</v>
      </c>
      <c r="F46" s="544">
        <v>1.7</v>
      </c>
      <c r="G46" s="540">
        <f>IF(A46="","",VLOOKUP(A46,MO,15,FALSE))</f>
        <v>38949</v>
      </c>
      <c r="H46" s="542">
        <f>IF(A46="","",ROUND((G46/F46),0))</f>
        <v>22911</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22911</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250240</v>
      </c>
    </row>
    <row r="53" spans="1:8">
      <c r="A53" s="285"/>
      <c r="B53" s="285"/>
      <c r="C53" s="285"/>
      <c r="D53" s="285"/>
      <c r="E53" s="346"/>
      <c r="F53" s="347"/>
      <c r="G53" s="347"/>
      <c r="H53" s="349"/>
    </row>
    <row r="54" spans="1:8">
      <c r="A54" s="285"/>
      <c r="B54" s="285"/>
      <c r="C54" s="285"/>
      <c r="D54" s="285"/>
      <c r="E54" s="346"/>
      <c r="F54" s="347"/>
      <c r="G54" s="347"/>
      <c r="H54" s="349"/>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c r="A59" s="703" t="str">
        <f>+[14]PRESUPUESTO!$A$113</f>
        <v>__________________________________________</v>
      </c>
      <c r="B59" s="703"/>
    </row>
    <row r="60" spans="1:8">
      <c r="A60" s="810" t="str">
        <f>+[14]PRESUPUESTO!$A$114</f>
        <v>Ing. JHON FREDY GARCIA MENDEZ</v>
      </c>
      <c r="B60" s="703"/>
    </row>
    <row r="61" spans="1:8">
      <c r="A61" s="811" t="str">
        <f>+[14]PRESUPUESTO!$A$115</f>
        <v>M.P.  70268-326294 TLM.</v>
      </c>
      <c r="B61" s="703"/>
    </row>
    <row r="62" spans="1:8">
      <c r="A62" s="811" t="str">
        <f>+[14]PRESUPUESTO!$A$116</f>
        <v>CONSULTOR</v>
      </c>
      <c r="B62" s="703"/>
    </row>
  </sheetData>
  <mergeCells count="15">
    <mergeCell ref="D2:E4"/>
    <mergeCell ref="F2:H2"/>
    <mergeCell ref="F3:H3"/>
    <mergeCell ref="F4:H4"/>
    <mergeCell ref="A5:E5"/>
    <mergeCell ref="F5:H5"/>
    <mergeCell ref="B47:D47"/>
    <mergeCell ref="B48:D48"/>
    <mergeCell ref="B49:D49"/>
    <mergeCell ref="B6:D6"/>
    <mergeCell ref="B7:E7"/>
    <mergeCell ref="B8:E8"/>
    <mergeCell ref="B36:C36"/>
    <mergeCell ref="B45:D45"/>
    <mergeCell ref="B46:D46"/>
  </mergeCells>
  <pageMargins left="0.75" right="0.75" top="1" bottom="1" header="0" footer="0"/>
  <pageSetup paperSize="9" scale="70" orientation="portrait" r:id="rId1"/>
  <headerFooter alignWithMargins="0"/>
  <drawing r:id="rId2"/>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B00-000000000000}">
  <sheetPr>
    <tabColor theme="6" tint="0.79998168889431442"/>
  </sheetPr>
  <dimension ref="A1:I62"/>
  <sheetViews>
    <sheetView workbookViewId="0"/>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4.570312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t="e">
        <f>PRESUPUESTO!#REF!</f>
        <v>#REF!</v>
      </c>
      <c r="B7" s="2185" t="e">
        <f>PRESUPUESTO!#REF!</f>
        <v>#REF!</v>
      </c>
      <c r="C7" s="2185"/>
      <c r="D7" s="2185"/>
      <c r="E7" s="2185"/>
      <c r="F7" s="289"/>
      <c r="G7" s="290" t="s">
        <v>525</v>
      </c>
      <c r="H7" s="97" t="e">
        <f>+PRESUPUESTO!#REF!</f>
        <v>#REF!</v>
      </c>
    </row>
    <row r="8" spans="1:9">
      <c r="A8" s="97" t="e">
        <f>+PRESUPUESTO!#REF!</f>
        <v>#REF!</v>
      </c>
      <c r="B8" s="2272" t="e">
        <f>+PRESUPUESTO!#REF!</f>
        <v>#REF!</v>
      </c>
      <c r="C8" s="2257"/>
      <c r="D8" s="2257"/>
      <c r="E8" s="225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967</v>
      </c>
      <c r="B13" s="305" t="str">
        <f t="shared" ref="B13:B18" si="0">IF(A13="","",VLOOKUP(A13,EQUI,2,FALSE))</f>
        <v>Herramienta Menor (10% de la mano de obra).</v>
      </c>
      <c r="C13" s="306"/>
      <c r="D13" s="306"/>
      <c r="E13" s="276" t="str">
        <f t="shared" ref="E13:E18" si="1">IF(A13="","",VLOOKUP(A13,EQUI,3,FALSE))</f>
        <v>%</v>
      </c>
      <c r="F13" s="433">
        <f>IF(A13="","",VLOOKUP(A13,EQUI,4,FALSE))</f>
        <v>0.1</v>
      </c>
      <c r="G13" s="307">
        <f>ROUND(F13*H50,0)</f>
        <v>4750</v>
      </c>
      <c r="H13" s="308">
        <f>+G13</f>
        <v>4750</v>
      </c>
      <c r="I13" s="309"/>
    </row>
    <row r="14" spans="1:9">
      <c r="A14" s="536"/>
      <c r="B14" s="305"/>
      <c r="C14" s="306"/>
      <c r="D14" s="306"/>
      <c r="E14" s="276" t="str">
        <f t="shared" si="1"/>
        <v/>
      </c>
      <c r="F14" s="405"/>
      <c r="G14" s="310" t="str">
        <f>IF(A14="","",VLOOKUP(A14,EQUI,4,FALSE))</f>
        <v/>
      </c>
      <c r="H14" s="311" t="str">
        <f>IF(A14="","",ROUND((G14/F14),0))</f>
        <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4750</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t="s">
        <v>553</v>
      </c>
      <c r="B23" s="353" t="str">
        <f>IF(A23="","",VLOOKUP(A23,MAT,2,FALSE))</f>
        <v>Concreto de 140 Kg/cm2 (2000 PSI)</v>
      </c>
      <c r="C23" s="305"/>
      <c r="D23" s="306"/>
      <c r="E23" s="276" t="str">
        <f>IF(A23="","",VLOOKUP(A23,MAT,3,FALSE))</f>
        <v>m3</v>
      </c>
      <c r="F23" s="405">
        <v>1.05</v>
      </c>
      <c r="G23" s="310">
        <f>IF(A23="","",VLOOKUP(A23,MAT,5,FALSE))</f>
        <v>670945</v>
      </c>
      <c r="H23" s="311">
        <f>IF(A23="","",ROUND((G23*F23),0))</f>
        <v>704492</v>
      </c>
    </row>
    <row r="24" spans="1:8">
      <c r="A24" s="534"/>
      <c r="B24" s="353"/>
      <c r="C24" s="305"/>
      <c r="D24" s="306"/>
      <c r="E24" s="276"/>
      <c r="F24" s="405"/>
      <c r="G24" s="310"/>
      <c r="H24" s="311"/>
    </row>
    <row r="25" spans="1:8">
      <c r="A25" s="534"/>
      <c r="B25" s="353"/>
      <c r="C25" s="305"/>
      <c r="D25" s="306"/>
      <c r="E25" s="276"/>
      <c r="F25" s="405"/>
      <c r="G25" s="310"/>
      <c r="H25" s="311"/>
    </row>
    <row r="26" spans="1:8">
      <c r="A26" s="534"/>
      <c r="B26" s="305" t="str">
        <f t="shared" ref="B26:B32" si="2">IF(A26="","",VLOOKUP(A26,MAT,2,FALSE))</f>
        <v/>
      </c>
      <c r="C26" s="305"/>
      <c r="D26" s="306"/>
      <c r="E26" s="276" t="str">
        <f t="shared" ref="E26:E32" si="3">IF(A26="","",VLOOKUP(A26,MAT,3,FALSE))</f>
        <v/>
      </c>
      <c r="F26" s="405"/>
      <c r="G26" s="310" t="str">
        <f t="shared" ref="G26:G32" si="4">IF(A26="","",VLOOKUP(A26,MAT,5,FALSE))</f>
        <v/>
      </c>
      <c r="H26" s="311" t="str">
        <f t="shared" ref="H26:H32" si="5">IF(A26="","",ROUND((G26*F26),0))</f>
        <v/>
      </c>
    </row>
    <row r="27" spans="1:8">
      <c r="A27" s="534"/>
      <c r="B27" s="305" t="str">
        <f t="shared" si="2"/>
        <v/>
      </c>
      <c r="C27" s="305"/>
      <c r="D27" s="306"/>
      <c r="E27" s="276" t="str">
        <f t="shared" si="3"/>
        <v/>
      </c>
      <c r="F27" s="405"/>
      <c r="G27" s="310" t="str">
        <f t="shared" si="4"/>
        <v/>
      </c>
      <c r="H27" s="311" t="str">
        <f t="shared" si="5"/>
        <v/>
      </c>
    </row>
    <row r="28" spans="1:8">
      <c r="A28" s="534"/>
      <c r="B28" s="305" t="str">
        <f t="shared" si="2"/>
        <v/>
      </c>
      <c r="C28" s="305"/>
      <c r="D28" s="306"/>
      <c r="E28" s="276" t="str">
        <f t="shared" si="3"/>
        <v/>
      </c>
      <c r="F28" s="405"/>
      <c r="G28" s="310" t="str">
        <f t="shared" si="4"/>
        <v/>
      </c>
      <c r="H28" s="311" t="str">
        <f t="shared" si="5"/>
        <v/>
      </c>
    </row>
    <row r="29" spans="1:8">
      <c r="A29" s="534"/>
      <c r="B29" s="305" t="str">
        <f t="shared" si="2"/>
        <v/>
      </c>
      <c r="C29" s="305"/>
      <c r="D29" s="306"/>
      <c r="E29" s="276" t="str">
        <f t="shared" si="3"/>
        <v/>
      </c>
      <c r="F29" s="405"/>
      <c r="G29" s="310" t="str">
        <f t="shared" si="4"/>
        <v/>
      </c>
      <c r="H29" s="311" t="str">
        <f t="shared" si="5"/>
        <v/>
      </c>
    </row>
    <row r="30" spans="1:8">
      <c r="A30" s="534"/>
      <c r="B30" s="305" t="str">
        <f t="shared" si="2"/>
        <v/>
      </c>
      <c r="C30" s="305"/>
      <c r="D30" s="306"/>
      <c r="E30" s="276" t="str">
        <f t="shared" si="3"/>
        <v/>
      </c>
      <c r="F30" s="405"/>
      <c r="G30" s="310" t="str">
        <f t="shared" si="4"/>
        <v/>
      </c>
      <c r="H30" s="311" t="str">
        <f t="shared" si="5"/>
        <v/>
      </c>
    </row>
    <row r="31" spans="1:8">
      <c r="A31" s="534"/>
      <c r="B31" s="305" t="str">
        <f t="shared" si="2"/>
        <v/>
      </c>
      <c r="C31" s="305"/>
      <c r="D31" s="306"/>
      <c r="E31" s="276" t="str">
        <f t="shared" si="3"/>
        <v/>
      </c>
      <c r="F31" s="405"/>
      <c r="G31" s="310" t="str">
        <f t="shared" si="4"/>
        <v/>
      </c>
      <c r="H31" s="311" t="str">
        <f t="shared" si="5"/>
        <v/>
      </c>
    </row>
    <row r="32" spans="1:8" ht="13.5" thickBot="1">
      <c r="A32" s="535"/>
      <c r="B32" s="326" t="str">
        <f t="shared" si="2"/>
        <v/>
      </c>
      <c r="C32" s="314"/>
      <c r="D32" s="314"/>
      <c r="E32" s="315" t="str">
        <f t="shared" si="3"/>
        <v/>
      </c>
      <c r="F32" s="406"/>
      <c r="G32" s="327" t="str">
        <f t="shared" si="4"/>
        <v/>
      </c>
      <c r="H32" s="311" t="str">
        <f t="shared" si="5"/>
        <v/>
      </c>
    </row>
    <row r="33" spans="1:8" ht="13.5" thickBot="1">
      <c r="A33" s="285"/>
      <c r="B33" s="285"/>
      <c r="C33" s="285"/>
      <c r="D33" s="285"/>
      <c r="E33" s="286"/>
      <c r="F33" s="285"/>
      <c r="G33" s="210" t="s">
        <v>529</v>
      </c>
      <c r="H33" s="328">
        <f>ROUND(SUM(H23:H32),0)</f>
        <v>704492</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546"/>
      <c r="B37" s="305" t="str">
        <f>IF(A37="","",VLOOKUP(A37,MAT,2,FALSE))</f>
        <v/>
      </c>
      <c r="C37" s="333"/>
      <c r="D37" s="409" t="str">
        <f>IF(A37="","",VLOOKUP(A37,MAT,3,FALSE))</f>
        <v/>
      </c>
      <c r="E37" s="419" t="str">
        <f>IF(A37="","",VLOOKUP(A37,MAT,6,FALSE))</f>
        <v/>
      </c>
      <c r="F37" s="413" t="str">
        <f>IF(A37="","",VLOOKUP(A37,$A$23:$H$32,6,FALSE))</f>
        <v/>
      </c>
      <c r="G37" s="334" t="str">
        <f>IF(A37="","",VLOOKUP(A37,MAT,7,FALSE))</f>
        <v/>
      </c>
      <c r="H37" s="311" t="str">
        <f>IF(A37="","",ROUND((G37*F37*E37),0))</f>
        <v/>
      </c>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0</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883</v>
      </c>
      <c r="B46" s="2192" t="str">
        <f>IF(A46="","",VLOOKUP(A46,MO,2,FALSE))</f>
        <v>Cuadrilla AA: Albañilería. (1 Of. + 1 Ayud.).</v>
      </c>
      <c r="C46" s="2193"/>
      <c r="D46" s="2194"/>
      <c r="E46" s="538" t="str">
        <f>IF(A46="","",VLOOKUP(A46,MO,13,FALSE))</f>
        <v>HC</v>
      </c>
      <c r="F46" s="544">
        <v>0.82</v>
      </c>
      <c r="G46" s="540">
        <f>IF(A46="","",VLOOKUP(A46,MO,15,FALSE))</f>
        <v>38949</v>
      </c>
      <c r="H46" s="542">
        <f>IF(A46="","",ROUND((G46/F46),0))</f>
        <v>47499</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47499</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756741</v>
      </c>
    </row>
    <row r="53" spans="1:8">
      <c r="A53" s="285"/>
      <c r="B53" s="285"/>
      <c r="C53" s="285"/>
      <c r="D53" s="285"/>
      <c r="E53" s="346"/>
      <c r="F53" s="347"/>
      <c r="G53" s="347"/>
      <c r="H53" s="349"/>
    </row>
    <row r="54" spans="1:8">
      <c r="A54" s="285"/>
      <c r="B54" s="285"/>
      <c r="C54" s="285"/>
      <c r="D54" s="285"/>
      <c r="E54" s="346"/>
      <c r="F54" s="347"/>
      <c r="G54" s="347"/>
      <c r="H54" s="349"/>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c r="A59" s="703" t="str">
        <f>+[14]PRESUPUESTO!$A$113</f>
        <v>__________________________________________</v>
      </c>
      <c r="B59" s="703"/>
    </row>
    <row r="60" spans="1:8">
      <c r="A60" s="810" t="str">
        <f>+[14]PRESUPUESTO!$A$114</f>
        <v>Ing. JHON FREDY GARCIA MENDEZ</v>
      </c>
      <c r="B60" s="703"/>
    </row>
    <row r="61" spans="1:8">
      <c r="A61" s="811" t="str">
        <f>+[14]PRESUPUESTO!$A$115</f>
        <v>M.P.  70268-326294 TLM.</v>
      </c>
      <c r="B61" s="703"/>
    </row>
    <row r="62" spans="1:8">
      <c r="A62" s="811" t="str">
        <f>+[14]PRESUPUESTO!$A$116</f>
        <v>CONSULTOR</v>
      </c>
      <c r="B62" s="703"/>
    </row>
  </sheetData>
  <mergeCells count="15">
    <mergeCell ref="D2:E4"/>
    <mergeCell ref="F2:H2"/>
    <mergeCell ref="F3:H3"/>
    <mergeCell ref="F4:H4"/>
    <mergeCell ref="A5:E5"/>
    <mergeCell ref="F5:H5"/>
    <mergeCell ref="B47:D47"/>
    <mergeCell ref="B48:D48"/>
    <mergeCell ref="B49:D49"/>
    <mergeCell ref="B6:D6"/>
    <mergeCell ref="B7:E7"/>
    <mergeCell ref="B8:E8"/>
    <mergeCell ref="B36:C36"/>
    <mergeCell ref="B45:D45"/>
    <mergeCell ref="B46:D46"/>
  </mergeCells>
  <pageMargins left="0.75" right="0.75" top="1" bottom="1" header="0" footer="0"/>
  <pageSetup paperSize="9" scale="70" orientation="portrait" r:id="rId1"/>
  <headerFooter alignWithMargins="0"/>
  <drawing r:id="rId2"/>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C00-000000000000}">
  <sheetPr>
    <tabColor theme="6" tint="0.79998168889431442"/>
  </sheetPr>
  <dimension ref="A1:I62"/>
  <sheetViews>
    <sheetView workbookViewId="0"/>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4.570312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t="e">
        <f>PRESUPUESTO!#REF!</f>
        <v>#REF!</v>
      </c>
      <c r="B7" s="2185" t="e">
        <f>PRESUPUESTO!#REF!</f>
        <v>#REF!</v>
      </c>
      <c r="C7" s="2185"/>
      <c r="D7" s="2185"/>
      <c r="E7" s="2185"/>
      <c r="F7" s="289"/>
      <c r="G7" s="290" t="s">
        <v>525</v>
      </c>
      <c r="H7" s="97" t="e">
        <f>+PRESUPUESTO!#REF!</f>
        <v>#REF!</v>
      </c>
    </row>
    <row r="8" spans="1:9" ht="26.25" customHeight="1">
      <c r="A8" s="97" t="e">
        <f>+PRESUPUESTO!#REF!</f>
        <v>#REF!</v>
      </c>
      <c r="B8" s="2272" t="e">
        <f>+PRESUPUESTO!#REF!</f>
        <v>#REF!</v>
      </c>
      <c r="C8" s="2257"/>
      <c r="D8" s="2257"/>
      <c r="E8" s="225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967</v>
      </c>
      <c r="B13" s="305" t="str">
        <f t="shared" ref="B13:B18" si="0">IF(A13="","",VLOOKUP(A13,EQUI,2,FALSE))</f>
        <v>Herramienta Menor (10% de la mano de obra).</v>
      </c>
      <c r="C13" s="306"/>
      <c r="D13" s="306"/>
      <c r="E13" s="276" t="str">
        <f t="shared" ref="E13:E18" si="1">IF(A13="","",VLOOKUP(A13,EQUI,3,FALSE))</f>
        <v>%</v>
      </c>
      <c r="F13" s="433">
        <f>IF(A13="","",VLOOKUP(A13,EQUI,4,FALSE))</f>
        <v>0.1</v>
      </c>
      <c r="G13" s="307">
        <f>ROUND(F13*H50,0)</f>
        <v>40999</v>
      </c>
      <c r="H13" s="308">
        <f>+G13</f>
        <v>40999</v>
      </c>
      <c r="I13" s="309"/>
    </row>
    <row r="14" spans="1:9">
      <c r="A14" s="536"/>
      <c r="B14" s="305"/>
      <c r="C14" s="306"/>
      <c r="D14" s="306"/>
      <c r="E14" s="276" t="str">
        <f t="shared" si="1"/>
        <v/>
      </c>
      <c r="F14" s="405"/>
      <c r="G14" s="310" t="str">
        <f>IF(A14="","",VLOOKUP(A14,EQUI,4,FALSE))</f>
        <v/>
      </c>
      <c r="H14" s="311" t="str">
        <f>IF(A14="","",ROUND((G14/F14),0))</f>
        <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40999</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t="s">
        <v>2420</v>
      </c>
      <c r="B23" s="353" t="str">
        <f>IF(A23="","",VLOOKUP(A23,MAT,2,FALSE))</f>
        <v>Concreto de 280 Kg/cm2 (4000 PSI) Impermeabilizado</v>
      </c>
      <c r="C23" s="305"/>
      <c r="D23" s="306"/>
      <c r="E23" s="276" t="str">
        <f>IF(A23="","",VLOOKUP(A23,MAT,3,FALSE))</f>
        <v>m3</v>
      </c>
      <c r="F23" s="405">
        <v>1.03</v>
      </c>
      <c r="G23" s="310">
        <f>IF(A23="","",VLOOKUP(A23,MAT,5,FALSE))</f>
        <v>837338</v>
      </c>
      <c r="H23" s="311">
        <f>IF(A23="","",ROUND((G23*F23),0))</f>
        <v>862458</v>
      </c>
    </row>
    <row r="24" spans="1:8">
      <c r="A24" s="534"/>
      <c r="B24" s="305" t="s">
        <v>1768</v>
      </c>
      <c r="C24" s="305"/>
      <c r="D24" s="306"/>
      <c r="E24" s="276" t="s">
        <v>1654</v>
      </c>
      <c r="F24" s="585">
        <v>0.6</v>
      </c>
      <c r="G24" s="310">
        <v>24000</v>
      </c>
      <c r="H24" s="311">
        <f>ROUND(G24*F24,0)</f>
        <v>14400</v>
      </c>
    </row>
    <row r="25" spans="1:8">
      <c r="A25" s="534"/>
      <c r="B25" s="305" t="s">
        <v>1767</v>
      </c>
      <c r="C25" s="305"/>
      <c r="D25" s="306"/>
      <c r="E25" s="276" t="s">
        <v>293</v>
      </c>
      <c r="F25" s="585">
        <v>0.4</v>
      </c>
      <c r="G25" s="310">
        <v>2900</v>
      </c>
      <c r="H25" s="311">
        <f t="shared" ref="H25" si="2">ROUND(G25*F25,0)</f>
        <v>1160</v>
      </c>
    </row>
    <row r="26" spans="1:8">
      <c r="A26" s="534"/>
      <c r="B26" s="305" t="str">
        <f t="shared" ref="B26:B32" si="3">IF(A26="","",VLOOKUP(A26,MAT,2,FALSE))</f>
        <v/>
      </c>
      <c r="C26" s="305"/>
      <c r="D26" s="306"/>
      <c r="E26" s="276" t="str">
        <f t="shared" ref="E26:E32" si="4">IF(A26="","",VLOOKUP(A26,MAT,3,FALSE))</f>
        <v/>
      </c>
      <c r="F26" s="405"/>
      <c r="G26" s="310" t="str">
        <f t="shared" ref="G26:G32" si="5">IF(A26="","",VLOOKUP(A26,MAT,5,FALSE))</f>
        <v/>
      </c>
      <c r="H26" s="311" t="str">
        <f t="shared" ref="H26:H32" si="6">IF(A26="","",ROUND((G26*F26),0))</f>
        <v/>
      </c>
    </row>
    <row r="27" spans="1:8">
      <c r="A27" s="534"/>
      <c r="B27" s="305" t="str">
        <f t="shared" si="3"/>
        <v/>
      </c>
      <c r="C27" s="305"/>
      <c r="D27" s="306"/>
      <c r="E27" s="276" t="str">
        <f t="shared" si="4"/>
        <v/>
      </c>
      <c r="F27" s="405"/>
      <c r="G27" s="310" t="str">
        <f t="shared" si="5"/>
        <v/>
      </c>
      <c r="H27" s="311" t="str">
        <f t="shared" si="6"/>
        <v/>
      </c>
    </row>
    <row r="28" spans="1:8">
      <c r="A28" s="534"/>
      <c r="B28" s="305" t="str">
        <f t="shared" si="3"/>
        <v/>
      </c>
      <c r="C28" s="305"/>
      <c r="D28" s="306"/>
      <c r="E28" s="276" t="str">
        <f t="shared" si="4"/>
        <v/>
      </c>
      <c r="F28" s="405"/>
      <c r="G28" s="310" t="str">
        <f t="shared" si="5"/>
        <v/>
      </c>
      <c r="H28" s="311" t="str">
        <f t="shared" si="6"/>
        <v/>
      </c>
    </row>
    <row r="29" spans="1:8">
      <c r="A29" s="534"/>
      <c r="B29" s="305" t="str">
        <f t="shared" si="3"/>
        <v/>
      </c>
      <c r="C29" s="305"/>
      <c r="D29" s="306"/>
      <c r="E29" s="276" t="str">
        <f t="shared" si="4"/>
        <v/>
      </c>
      <c r="F29" s="405"/>
      <c r="G29" s="310" t="str">
        <f t="shared" si="5"/>
        <v/>
      </c>
      <c r="H29" s="311" t="str">
        <f t="shared" si="6"/>
        <v/>
      </c>
    </row>
    <row r="30" spans="1:8">
      <c r="A30" s="534"/>
      <c r="B30" s="305" t="str">
        <f t="shared" si="3"/>
        <v/>
      </c>
      <c r="C30" s="305"/>
      <c r="D30" s="306"/>
      <c r="E30" s="276" t="str">
        <f t="shared" si="4"/>
        <v/>
      </c>
      <c r="F30" s="405"/>
      <c r="G30" s="310" t="str">
        <f t="shared" si="5"/>
        <v/>
      </c>
      <c r="H30" s="311" t="str">
        <f t="shared" si="6"/>
        <v/>
      </c>
    </row>
    <row r="31" spans="1:8">
      <c r="A31" s="534"/>
      <c r="B31" s="305" t="str">
        <f t="shared" si="3"/>
        <v/>
      </c>
      <c r="C31" s="305"/>
      <c r="D31" s="306"/>
      <c r="E31" s="276" t="str">
        <f t="shared" si="4"/>
        <v/>
      </c>
      <c r="F31" s="405"/>
      <c r="G31" s="310" t="str">
        <f t="shared" si="5"/>
        <v/>
      </c>
      <c r="H31" s="311" t="str">
        <f t="shared" si="6"/>
        <v/>
      </c>
    </row>
    <row r="32" spans="1:8" ht="13.5" thickBot="1">
      <c r="A32" s="535"/>
      <c r="B32" s="326" t="str">
        <f t="shared" si="3"/>
        <v/>
      </c>
      <c r="C32" s="314"/>
      <c r="D32" s="314"/>
      <c r="E32" s="315" t="str">
        <f t="shared" si="4"/>
        <v/>
      </c>
      <c r="F32" s="406"/>
      <c r="G32" s="327" t="str">
        <f t="shared" si="5"/>
        <v/>
      </c>
      <c r="H32" s="311" t="str">
        <f t="shared" si="6"/>
        <v/>
      </c>
    </row>
    <row r="33" spans="1:8" ht="13.5" thickBot="1">
      <c r="A33" s="285"/>
      <c r="B33" s="285"/>
      <c r="C33" s="285"/>
      <c r="D33" s="285"/>
      <c r="E33" s="286"/>
      <c r="F33" s="285"/>
      <c r="G33" s="210" t="s">
        <v>529</v>
      </c>
      <c r="H33" s="328">
        <f>ROUND(SUM(H23:H32),0)</f>
        <v>878018</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771"/>
      <c r="B37" s="737" t="str">
        <f>IF(A37="","",VLOOKUP(A37,MAT,2,FALSE))</f>
        <v/>
      </c>
      <c r="C37" s="772"/>
      <c r="D37" s="773" t="str">
        <f>IF(A37="","",VLOOKUP(A37,MAT,3,FALSE))</f>
        <v/>
      </c>
      <c r="E37" s="774" t="str">
        <f>IF(A37="","",VLOOKUP(A37,MAT,6,FALSE))</f>
        <v/>
      </c>
      <c r="F37" s="775"/>
      <c r="G37" s="776"/>
      <c r="H37" s="746" t="str">
        <f>IF(A37="","",ROUND((G37*F37*E37),0))</f>
        <v/>
      </c>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0</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883</v>
      </c>
      <c r="B46" s="2192" t="str">
        <f>IF(A46="","",VLOOKUP(A46,MO,2,FALSE))</f>
        <v>Cuadrilla AA: Albañilería. (1 Of. + 1 Ayud.).</v>
      </c>
      <c r="C46" s="2193"/>
      <c r="D46" s="2194"/>
      <c r="E46" s="538" t="str">
        <f>IF(A46="","",VLOOKUP(A46,MO,13,FALSE))</f>
        <v>HC</v>
      </c>
      <c r="F46" s="544">
        <v>9.5000000000000001E-2</v>
      </c>
      <c r="G46" s="540">
        <f>IF(A46="","",VLOOKUP(A46,MO,15,FALSE))</f>
        <v>38949</v>
      </c>
      <c r="H46" s="542">
        <f>IF(A46="","",ROUND((G46/F46),0))</f>
        <v>409989</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409989</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1329006</v>
      </c>
    </row>
    <row r="53" spans="1:8">
      <c r="A53" s="285"/>
      <c r="B53" s="285"/>
      <c r="C53" s="285"/>
      <c r="D53" s="285"/>
      <c r="E53" s="346"/>
      <c r="F53" s="347"/>
      <c r="G53" s="347"/>
      <c r="H53" s="349"/>
    </row>
    <row r="54" spans="1:8">
      <c r="A54" s="285"/>
      <c r="B54" s="285"/>
      <c r="C54" s="285"/>
      <c r="D54" s="285"/>
      <c r="E54" s="346"/>
      <c r="F54" s="347"/>
      <c r="G54" s="347"/>
      <c r="H54" s="349"/>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c r="A59" s="703" t="str">
        <f>+[14]PRESUPUESTO!$A$113</f>
        <v>__________________________________________</v>
      </c>
      <c r="B59" s="703"/>
    </row>
    <row r="60" spans="1:8">
      <c r="A60" s="810" t="str">
        <f>+[14]PRESUPUESTO!$A$114</f>
        <v>Ing. JHON FREDY GARCIA MENDEZ</v>
      </c>
      <c r="B60" s="703"/>
    </row>
    <row r="61" spans="1:8">
      <c r="A61" s="811" t="str">
        <f>+[14]PRESUPUESTO!$A$115</f>
        <v>M.P.  70268-326294 TLM.</v>
      </c>
      <c r="B61" s="703"/>
    </row>
    <row r="62" spans="1:8">
      <c r="A62" s="811" t="str">
        <f>+[14]PRESUPUESTO!$A$116</f>
        <v>CONSULTOR</v>
      </c>
      <c r="B62" s="703"/>
    </row>
  </sheetData>
  <mergeCells count="15">
    <mergeCell ref="D2:E4"/>
    <mergeCell ref="F2:H2"/>
    <mergeCell ref="F3:H3"/>
    <mergeCell ref="F4:H4"/>
    <mergeCell ref="A5:E5"/>
    <mergeCell ref="F5:H5"/>
    <mergeCell ref="B47:D47"/>
    <mergeCell ref="B48:D48"/>
    <mergeCell ref="B49:D49"/>
    <mergeCell ref="B6:D6"/>
    <mergeCell ref="B7:E7"/>
    <mergeCell ref="B8:E8"/>
    <mergeCell ref="B36:C36"/>
    <mergeCell ref="B45:D45"/>
    <mergeCell ref="B46:D46"/>
  </mergeCells>
  <pageMargins left="0.75" right="0.75" top="1" bottom="1" header="0" footer="0"/>
  <pageSetup paperSize="9" scale="70" orientation="portrait" r:id="rId1"/>
  <headerFooter alignWithMargins="0"/>
  <drawing r:id="rId2"/>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D00-000000000000}">
  <sheetPr>
    <tabColor theme="6" tint="0.79998168889431442"/>
  </sheetPr>
  <dimension ref="A1:I62"/>
  <sheetViews>
    <sheetView workbookViewId="0"/>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4.570312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t="e">
        <f>PRESUPUESTO!#REF!</f>
        <v>#REF!</v>
      </c>
      <c r="B7" s="2185" t="e">
        <f>PRESUPUESTO!#REF!</f>
        <v>#REF!</v>
      </c>
      <c r="C7" s="2185"/>
      <c r="D7" s="2185"/>
      <c r="E7" s="2185"/>
      <c r="F7" s="289"/>
      <c r="G7" s="290" t="s">
        <v>525</v>
      </c>
      <c r="H7" s="97" t="e">
        <f>+PRESUPUESTO!#REF!</f>
        <v>#REF!</v>
      </c>
    </row>
    <row r="8" spans="1:9" ht="26.25" customHeight="1">
      <c r="A8" s="97" t="e">
        <f>+PRESUPUESTO!#REF!</f>
        <v>#REF!</v>
      </c>
      <c r="B8" s="2272" t="e">
        <f>+PRESUPUESTO!#REF!</f>
        <v>#REF!</v>
      </c>
      <c r="C8" s="2257"/>
      <c r="D8" s="2257"/>
      <c r="E8" s="225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967</v>
      </c>
      <c r="B13" s="305" t="str">
        <f t="shared" ref="B13:B18" si="0">IF(A13="","",VLOOKUP(A13,EQUI,2,FALSE))</f>
        <v>Herramienta Menor (10% de la mano de obra).</v>
      </c>
      <c r="C13" s="306"/>
      <c r="D13" s="306"/>
      <c r="E13" s="276" t="str">
        <f t="shared" ref="E13:E18" si="1">IF(A13="","",VLOOKUP(A13,EQUI,3,FALSE))</f>
        <v>%</v>
      </c>
      <c r="F13" s="433">
        <f>IF(A13="","",VLOOKUP(A13,EQUI,4,FALSE))</f>
        <v>0.1</v>
      </c>
      <c r="G13" s="307">
        <f>ROUND(F13*H50,0)</f>
        <v>43763</v>
      </c>
      <c r="H13" s="308">
        <f>+G13</f>
        <v>43763</v>
      </c>
      <c r="I13" s="309"/>
    </row>
    <row r="14" spans="1:9">
      <c r="A14" s="536"/>
      <c r="B14" s="305"/>
      <c r="C14" s="306"/>
      <c r="D14" s="306"/>
      <c r="E14" s="276" t="str">
        <f t="shared" si="1"/>
        <v/>
      </c>
      <c r="F14" s="405"/>
      <c r="G14" s="310" t="str">
        <f>IF(A14="","",VLOOKUP(A14,EQUI,4,FALSE))</f>
        <v/>
      </c>
      <c r="H14" s="311" t="str">
        <f>IF(A14="","",ROUND((G14/F14),0))</f>
        <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43763</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t="s">
        <v>2420</v>
      </c>
      <c r="B23" s="353" t="str">
        <f>IF(A23="","",VLOOKUP(A23,MAT,2,FALSE))</f>
        <v>Concreto de 280 Kg/cm2 (4000 PSI) Impermeabilizado</v>
      </c>
      <c r="C23" s="305"/>
      <c r="D23" s="306"/>
      <c r="E23" s="276" t="str">
        <f>IF(A23="","",VLOOKUP(A23,MAT,3,FALSE))</f>
        <v>m3</v>
      </c>
      <c r="F23" s="405">
        <v>1.03</v>
      </c>
      <c r="G23" s="310">
        <f>IF(A23="","",VLOOKUP(A23,MAT,5,FALSE))</f>
        <v>837338</v>
      </c>
      <c r="H23" s="311">
        <f>IF(A23="","",ROUND((G23*F23),0))</f>
        <v>862458</v>
      </c>
    </row>
    <row r="24" spans="1:8">
      <c r="A24" s="534"/>
      <c r="B24" s="305" t="s">
        <v>1768</v>
      </c>
      <c r="C24" s="305"/>
      <c r="D24" s="306"/>
      <c r="E24" s="276" t="s">
        <v>1654</v>
      </c>
      <c r="F24" s="585">
        <v>0.6</v>
      </c>
      <c r="G24" s="310">
        <v>24000</v>
      </c>
      <c r="H24" s="311">
        <f>ROUND(G24*F24,0)</f>
        <v>14400</v>
      </c>
    </row>
    <row r="25" spans="1:8">
      <c r="A25" s="534"/>
      <c r="B25" s="305" t="s">
        <v>1767</v>
      </c>
      <c r="C25" s="305"/>
      <c r="D25" s="306"/>
      <c r="E25" s="276" t="s">
        <v>293</v>
      </c>
      <c r="F25" s="585">
        <v>0.4</v>
      </c>
      <c r="G25" s="310">
        <v>2900</v>
      </c>
      <c r="H25" s="311">
        <f t="shared" ref="H25" si="2">ROUND(G25*F25,0)</f>
        <v>1160</v>
      </c>
    </row>
    <row r="26" spans="1:8">
      <c r="A26" s="534"/>
      <c r="B26" s="305" t="str">
        <f t="shared" ref="B26:B32" si="3">IF(A26="","",VLOOKUP(A26,MAT,2,FALSE))</f>
        <v/>
      </c>
      <c r="C26" s="305"/>
      <c r="D26" s="306"/>
      <c r="E26" s="276" t="str">
        <f t="shared" ref="E26:E32" si="4">IF(A26="","",VLOOKUP(A26,MAT,3,FALSE))</f>
        <v/>
      </c>
      <c r="F26" s="405"/>
      <c r="G26" s="310" t="str">
        <f t="shared" ref="G26:G32" si="5">IF(A26="","",VLOOKUP(A26,MAT,5,FALSE))</f>
        <v/>
      </c>
      <c r="H26" s="311" t="str">
        <f t="shared" ref="H26:H32" si="6">IF(A26="","",ROUND((G26*F26),0))</f>
        <v/>
      </c>
    </row>
    <row r="27" spans="1:8">
      <c r="A27" s="534"/>
      <c r="B27" s="305" t="str">
        <f t="shared" si="3"/>
        <v/>
      </c>
      <c r="C27" s="305"/>
      <c r="D27" s="306"/>
      <c r="E27" s="276" t="str">
        <f t="shared" si="4"/>
        <v/>
      </c>
      <c r="F27" s="405"/>
      <c r="G27" s="310" t="str">
        <f t="shared" si="5"/>
        <v/>
      </c>
      <c r="H27" s="311" t="str">
        <f t="shared" si="6"/>
        <v/>
      </c>
    </row>
    <row r="28" spans="1:8">
      <c r="A28" s="534"/>
      <c r="B28" s="305" t="str">
        <f t="shared" si="3"/>
        <v/>
      </c>
      <c r="C28" s="305"/>
      <c r="D28" s="306"/>
      <c r="E28" s="276" t="str">
        <f t="shared" si="4"/>
        <v/>
      </c>
      <c r="F28" s="405"/>
      <c r="G28" s="310" t="str">
        <f t="shared" si="5"/>
        <v/>
      </c>
      <c r="H28" s="311" t="str">
        <f t="shared" si="6"/>
        <v/>
      </c>
    </row>
    <row r="29" spans="1:8">
      <c r="A29" s="534"/>
      <c r="B29" s="305" t="str">
        <f t="shared" si="3"/>
        <v/>
      </c>
      <c r="C29" s="305"/>
      <c r="D29" s="306"/>
      <c r="E29" s="276" t="str">
        <f t="shared" si="4"/>
        <v/>
      </c>
      <c r="F29" s="405"/>
      <c r="G29" s="310" t="str">
        <f t="shared" si="5"/>
        <v/>
      </c>
      <c r="H29" s="311" t="str">
        <f t="shared" si="6"/>
        <v/>
      </c>
    </row>
    <row r="30" spans="1:8">
      <c r="A30" s="534"/>
      <c r="B30" s="305" t="str">
        <f t="shared" si="3"/>
        <v/>
      </c>
      <c r="C30" s="305"/>
      <c r="D30" s="306"/>
      <c r="E30" s="276" t="str">
        <f t="shared" si="4"/>
        <v/>
      </c>
      <c r="F30" s="405"/>
      <c r="G30" s="310" t="str">
        <f t="shared" si="5"/>
        <v/>
      </c>
      <c r="H30" s="311" t="str">
        <f t="shared" si="6"/>
        <v/>
      </c>
    </row>
    <row r="31" spans="1:8">
      <c r="A31" s="534"/>
      <c r="B31" s="305" t="str">
        <f t="shared" si="3"/>
        <v/>
      </c>
      <c r="C31" s="305"/>
      <c r="D31" s="306"/>
      <c r="E31" s="276" t="str">
        <f t="shared" si="4"/>
        <v/>
      </c>
      <c r="F31" s="405"/>
      <c r="G31" s="310" t="str">
        <f t="shared" si="5"/>
        <v/>
      </c>
      <c r="H31" s="311" t="str">
        <f t="shared" si="6"/>
        <v/>
      </c>
    </row>
    <row r="32" spans="1:8" ht="13.5" thickBot="1">
      <c r="A32" s="535"/>
      <c r="B32" s="326" t="str">
        <f t="shared" si="3"/>
        <v/>
      </c>
      <c r="C32" s="314"/>
      <c r="D32" s="314"/>
      <c r="E32" s="315" t="str">
        <f t="shared" si="4"/>
        <v/>
      </c>
      <c r="F32" s="406"/>
      <c r="G32" s="327" t="str">
        <f t="shared" si="5"/>
        <v/>
      </c>
      <c r="H32" s="311" t="str">
        <f t="shared" si="6"/>
        <v/>
      </c>
    </row>
    <row r="33" spans="1:8" ht="13.5" thickBot="1">
      <c r="A33" s="285"/>
      <c r="B33" s="285"/>
      <c r="C33" s="285"/>
      <c r="D33" s="285"/>
      <c r="E33" s="286"/>
      <c r="F33" s="285"/>
      <c r="G33" s="210" t="s">
        <v>529</v>
      </c>
      <c r="H33" s="328">
        <f>ROUND(SUM(H23:H32),0)</f>
        <v>878018</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771"/>
      <c r="B37" s="737" t="str">
        <f>IF(A37="","",VLOOKUP(A37,MAT,2,FALSE))</f>
        <v/>
      </c>
      <c r="C37" s="772"/>
      <c r="D37" s="773" t="str">
        <f>IF(A37="","",VLOOKUP(A37,MAT,3,FALSE))</f>
        <v/>
      </c>
      <c r="E37" s="774" t="str">
        <f>IF(A37="","",VLOOKUP(A37,MAT,6,FALSE))</f>
        <v/>
      </c>
      <c r="F37" s="775"/>
      <c r="G37" s="776"/>
      <c r="H37" s="746" t="str">
        <f>IF(A37="","",ROUND((G37*F37*E37),0))</f>
        <v/>
      </c>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0</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883</v>
      </c>
      <c r="B46" s="2192" t="str">
        <f>IF(A46="","",VLOOKUP(A46,MO,2,FALSE))</f>
        <v>Cuadrilla AA: Albañilería. (1 Of. + 1 Ayud.).</v>
      </c>
      <c r="C46" s="2193"/>
      <c r="D46" s="2194"/>
      <c r="E46" s="538" t="str">
        <f>IF(A46="","",VLOOKUP(A46,MO,13,FALSE))</f>
        <v>HC</v>
      </c>
      <c r="F46" s="544">
        <v>8.8999999999999996E-2</v>
      </c>
      <c r="G46" s="540">
        <f>IF(A46="","",VLOOKUP(A46,MO,15,FALSE))</f>
        <v>38949</v>
      </c>
      <c r="H46" s="542">
        <f>IF(A46="","",ROUND((G46/F46),0))</f>
        <v>437629</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437629</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1359410</v>
      </c>
    </row>
    <row r="53" spans="1:8">
      <c r="A53" s="285"/>
      <c r="B53" s="285"/>
      <c r="C53" s="285"/>
      <c r="D53" s="285"/>
      <c r="E53" s="346"/>
      <c r="F53" s="347"/>
      <c r="G53" s="347"/>
      <c r="H53" s="349"/>
    </row>
    <row r="54" spans="1:8">
      <c r="A54" s="285"/>
      <c r="B54" s="285"/>
      <c r="C54" s="285"/>
      <c r="D54" s="285"/>
      <c r="E54" s="346"/>
      <c r="F54" s="347"/>
      <c r="G54" s="347"/>
      <c r="H54" s="349"/>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c r="A59" s="703" t="str">
        <f>+[14]PRESUPUESTO!$A$113</f>
        <v>__________________________________________</v>
      </c>
      <c r="B59" s="703"/>
    </row>
    <row r="60" spans="1:8">
      <c r="A60" s="810" t="str">
        <f>+[14]PRESUPUESTO!$A$114</f>
        <v>Ing. JHON FREDY GARCIA MENDEZ</v>
      </c>
      <c r="B60" s="703"/>
    </row>
    <row r="61" spans="1:8">
      <c r="A61" s="811" t="str">
        <f>+[14]PRESUPUESTO!$A$115</f>
        <v>M.P.  70268-326294 TLM.</v>
      </c>
      <c r="B61" s="703"/>
    </row>
    <row r="62" spans="1:8">
      <c r="A62" s="811" t="str">
        <f>+[14]PRESUPUESTO!$A$116</f>
        <v>CONSULTOR</v>
      </c>
      <c r="B62" s="703"/>
    </row>
  </sheetData>
  <mergeCells count="15">
    <mergeCell ref="D2:E4"/>
    <mergeCell ref="F2:H2"/>
    <mergeCell ref="F3:H3"/>
    <mergeCell ref="F4:H4"/>
    <mergeCell ref="A5:E5"/>
    <mergeCell ref="F5:H5"/>
    <mergeCell ref="B47:D47"/>
    <mergeCell ref="B48:D48"/>
    <mergeCell ref="B49:D49"/>
    <mergeCell ref="B6:D6"/>
    <mergeCell ref="B7:E7"/>
    <mergeCell ref="B8:E8"/>
    <mergeCell ref="B36:C36"/>
    <mergeCell ref="B45:D45"/>
    <mergeCell ref="B46:D46"/>
  </mergeCells>
  <pageMargins left="0.75" right="0.75" top="1" bottom="1" header="0" footer="0"/>
  <pageSetup paperSize="9" scale="70" orientation="portrait" r:id="rId1"/>
  <headerFooter alignWithMargins="0"/>
  <drawing r:id="rId2"/>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E00-000000000000}">
  <sheetPr>
    <tabColor theme="6" tint="0.79998168889431442"/>
  </sheetPr>
  <dimension ref="A1:I62"/>
  <sheetViews>
    <sheetView workbookViewId="0"/>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4.570312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t="e">
        <f>PRESUPUESTO!#REF!</f>
        <v>#REF!</v>
      </c>
      <c r="B7" s="2185" t="e">
        <f>PRESUPUESTO!#REF!</f>
        <v>#REF!</v>
      </c>
      <c r="C7" s="2185"/>
      <c r="D7" s="2185"/>
      <c r="E7" s="2185"/>
      <c r="F7" s="289"/>
      <c r="G7" s="290" t="s">
        <v>525</v>
      </c>
      <c r="H7" s="97" t="e">
        <f>+PRESUPUESTO!#REF!</f>
        <v>#REF!</v>
      </c>
    </row>
    <row r="8" spans="1:9" ht="26.25" customHeight="1">
      <c r="A8" s="97" t="e">
        <f>+PRESUPUESTO!#REF!</f>
        <v>#REF!</v>
      </c>
      <c r="B8" s="2272" t="e">
        <f>+PRESUPUESTO!#REF!</f>
        <v>#REF!</v>
      </c>
      <c r="C8" s="2257"/>
      <c r="D8" s="2257"/>
      <c r="E8" s="225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967</v>
      </c>
      <c r="B13" s="305" t="str">
        <f t="shared" ref="B13:B18" si="0">IF(A13="","",VLOOKUP(A13,EQUI,2,FALSE))</f>
        <v>Herramienta Menor (10% de la mano de obra).</v>
      </c>
      <c r="C13" s="306"/>
      <c r="D13" s="306"/>
      <c r="E13" s="276" t="str">
        <f t="shared" ref="E13:E18" si="1">IF(A13="","",VLOOKUP(A13,EQUI,3,FALSE))</f>
        <v>%</v>
      </c>
      <c r="F13" s="433">
        <f>IF(A13="","",VLOOKUP(A13,EQUI,4,FALSE))</f>
        <v>0.1</v>
      </c>
      <c r="G13" s="307">
        <f>ROUND(F13*H50,0)</f>
        <v>32458</v>
      </c>
      <c r="H13" s="308">
        <f>+G13</f>
        <v>32458</v>
      </c>
      <c r="I13" s="309"/>
    </row>
    <row r="14" spans="1:9">
      <c r="A14" s="536"/>
      <c r="B14" s="305"/>
      <c r="C14" s="306"/>
      <c r="D14" s="306"/>
      <c r="E14" s="276" t="str">
        <f t="shared" si="1"/>
        <v/>
      </c>
      <c r="F14" s="405"/>
      <c r="G14" s="310" t="str">
        <f>IF(A14="","",VLOOKUP(A14,EQUI,4,FALSE))</f>
        <v/>
      </c>
      <c r="H14" s="311" t="str">
        <f>IF(A14="","",ROUND((G14/F14),0))</f>
        <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32458</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c r="B23" s="1033" t="s">
        <v>2425</v>
      </c>
      <c r="C23" s="305"/>
      <c r="D23" s="306"/>
      <c r="E23" s="815" t="s">
        <v>205</v>
      </c>
      <c r="F23" s="405">
        <v>2.4</v>
      </c>
      <c r="G23" s="310">
        <v>254723</v>
      </c>
      <c r="H23" s="311">
        <f>ROUND(F23*G23,0)</f>
        <v>611335</v>
      </c>
    </row>
    <row r="24" spans="1:8">
      <c r="A24" s="534"/>
      <c r="B24" s="816" t="s">
        <v>2427</v>
      </c>
      <c r="C24" s="305"/>
      <c r="D24" s="306"/>
      <c r="E24" s="815" t="s">
        <v>1654</v>
      </c>
      <c r="F24" s="585">
        <v>10</v>
      </c>
      <c r="G24" s="310">
        <f>+INSUMOS!E96</f>
        <v>16340</v>
      </c>
      <c r="H24" s="311">
        <f>ROUND(G24*F24,0)</f>
        <v>163400</v>
      </c>
    </row>
    <row r="25" spans="1:8">
      <c r="A25" s="534"/>
      <c r="B25" s="816" t="s">
        <v>2428</v>
      </c>
      <c r="C25" s="305"/>
      <c r="D25" s="306"/>
      <c r="E25" s="815" t="s">
        <v>2419</v>
      </c>
      <c r="F25" s="585">
        <v>3</v>
      </c>
      <c r="G25" s="310">
        <v>19748</v>
      </c>
      <c r="H25" s="311">
        <f t="shared" ref="H25" si="2">ROUND(G25*F25,0)</f>
        <v>59244</v>
      </c>
    </row>
    <row r="26" spans="1:8">
      <c r="A26" s="534"/>
      <c r="B26" s="305" t="str">
        <f t="shared" ref="B26:B32" si="3">IF(A26="","",VLOOKUP(A26,MAT,2,FALSE))</f>
        <v/>
      </c>
      <c r="C26" s="305"/>
      <c r="D26" s="306"/>
      <c r="E26" s="276" t="str">
        <f t="shared" ref="E26:E32" si="4">IF(A26="","",VLOOKUP(A26,MAT,3,FALSE))</f>
        <v/>
      </c>
      <c r="F26" s="405"/>
      <c r="G26" s="310" t="str">
        <f t="shared" ref="G26:G32" si="5">IF(A26="","",VLOOKUP(A26,MAT,5,FALSE))</f>
        <v/>
      </c>
      <c r="H26" s="311" t="str">
        <f t="shared" ref="H26:H32" si="6">IF(A26="","",ROUND((G26*F26),0))</f>
        <v/>
      </c>
    </row>
    <row r="27" spans="1:8">
      <c r="A27" s="534"/>
      <c r="B27" s="305" t="str">
        <f t="shared" si="3"/>
        <v/>
      </c>
      <c r="C27" s="305"/>
      <c r="D27" s="306"/>
      <c r="E27" s="276" t="str">
        <f t="shared" si="4"/>
        <v/>
      </c>
      <c r="F27" s="405"/>
      <c r="G27" s="310" t="str">
        <f t="shared" si="5"/>
        <v/>
      </c>
      <c r="H27" s="311" t="str">
        <f t="shared" si="6"/>
        <v/>
      </c>
    </row>
    <row r="28" spans="1:8">
      <c r="A28" s="534"/>
      <c r="B28" s="305" t="str">
        <f t="shared" si="3"/>
        <v/>
      </c>
      <c r="C28" s="305"/>
      <c r="D28" s="306"/>
      <c r="E28" s="276" t="str">
        <f t="shared" si="4"/>
        <v/>
      </c>
      <c r="F28" s="405"/>
      <c r="G28" s="310" t="str">
        <f t="shared" si="5"/>
        <v/>
      </c>
      <c r="H28" s="311" t="str">
        <f t="shared" si="6"/>
        <v/>
      </c>
    </row>
    <row r="29" spans="1:8">
      <c r="A29" s="534"/>
      <c r="B29" s="305" t="str">
        <f t="shared" si="3"/>
        <v/>
      </c>
      <c r="C29" s="305"/>
      <c r="D29" s="306"/>
      <c r="E29" s="276" t="str">
        <f t="shared" si="4"/>
        <v/>
      </c>
      <c r="F29" s="405"/>
      <c r="G29" s="310" t="str">
        <f t="shared" si="5"/>
        <v/>
      </c>
      <c r="H29" s="311" t="str">
        <f t="shared" si="6"/>
        <v/>
      </c>
    </row>
    <row r="30" spans="1:8">
      <c r="A30" s="534"/>
      <c r="B30" s="305" t="str">
        <f t="shared" si="3"/>
        <v/>
      </c>
      <c r="C30" s="305"/>
      <c r="D30" s="306"/>
      <c r="E30" s="276" t="str">
        <f t="shared" si="4"/>
        <v/>
      </c>
      <c r="F30" s="405"/>
      <c r="G30" s="310" t="str">
        <f t="shared" si="5"/>
        <v/>
      </c>
      <c r="H30" s="311" t="str">
        <f t="shared" si="6"/>
        <v/>
      </c>
    </row>
    <row r="31" spans="1:8">
      <c r="A31" s="534"/>
      <c r="B31" s="305" t="str">
        <f t="shared" si="3"/>
        <v/>
      </c>
      <c r="C31" s="305"/>
      <c r="D31" s="306"/>
      <c r="E31" s="276" t="str">
        <f t="shared" si="4"/>
        <v/>
      </c>
      <c r="F31" s="405"/>
      <c r="G31" s="310" t="str">
        <f t="shared" si="5"/>
        <v/>
      </c>
      <c r="H31" s="311" t="str">
        <f t="shared" si="6"/>
        <v/>
      </c>
    </row>
    <row r="32" spans="1:8" ht="13.5" thickBot="1">
      <c r="A32" s="535"/>
      <c r="B32" s="326" t="str">
        <f t="shared" si="3"/>
        <v/>
      </c>
      <c r="C32" s="314"/>
      <c r="D32" s="314"/>
      <c r="E32" s="315" t="str">
        <f t="shared" si="4"/>
        <v/>
      </c>
      <c r="F32" s="406"/>
      <c r="G32" s="327" t="str">
        <f t="shared" si="5"/>
        <v/>
      </c>
      <c r="H32" s="311" t="str">
        <f t="shared" si="6"/>
        <v/>
      </c>
    </row>
    <row r="33" spans="1:8" ht="13.5" thickBot="1">
      <c r="A33" s="285"/>
      <c r="B33" s="285"/>
      <c r="C33" s="285"/>
      <c r="D33" s="285"/>
      <c r="E33" s="286"/>
      <c r="F33" s="285"/>
      <c r="G33" s="210" t="s">
        <v>529</v>
      </c>
      <c r="H33" s="328">
        <f>ROUND(SUM(H23:H32),0)</f>
        <v>833979</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771"/>
      <c r="B37" s="737" t="str">
        <f>IF(A37="","",VLOOKUP(A37,MAT,2,FALSE))</f>
        <v/>
      </c>
      <c r="C37" s="772"/>
      <c r="D37" s="773" t="str">
        <f>IF(A37="","",VLOOKUP(A37,MAT,3,FALSE))</f>
        <v/>
      </c>
      <c r="E37" s="774" t="str">
        <f>IF(A37="","",VLOOKUP(A37,MAT,6,FALSE))</f>
        <v/>
      </c>
      <c r="F37" s="775"/>
      <c r="G37" s="776"/>
      <c r="H37" s="746" t="str">
        <f>IF(A37="","",ROUND((G37*F37*E37),0))</f>
        <v/>
      </c>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0</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883</v>
      </c>
      <c r="B46" s="2192" t="str">
        <f>IF(A46="","",VLOOKUP(A46,MO,2,FALSE))</f>
        <v>Cuadrilla AA: Albañilería. (1 Of. + 1 Ayud.).</v>
      </c>
      <c r="C46" s="2193"/>
      <c r="D46" s="2194"/>
      <c r="E46" s="538" t="str">
        <f>IF(A46="","",VLOOKUP(A46,MO,13,FALSE))</f>
        <v>HC</v>
      </c>
      <c r="F46" s="544">
        <v>0.12</v>
      </c>
      <c r="G46" s="540">
        <f>IF(A46="","",VLOOKUP(A46,MO,15,FALSE))</f>
        <v>38949</v>
      </c>
      <c r="H46" s="542">
        <f>IF(A46="","",ROUND((G46/F46),0))</f>
        <v>324575</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324575</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1191012</v>
      </c>
    </row>
    <row r="53" spans="1:8">
      <c r="A53" s="285"/>
      <c r="B53" s="285"/>
      <c r="C53" s="285"/>
      <c r="D53" s="285"/>
      <c r="E53" s="346"/>
      <c r="F53" s="347"/>
      <c r="G53" s="347"/>
      <c r="H53" s="349"/>
    </row>
    <row r="54" spans="1:8">
      <c r="A54" s="285"/>
      <c r="B54" s="285"/>
      <c r="C54" s="285"/>
      <c r="D54" s="285"/>
      <c r="E54" s="346"/>
      <c r="F54" s="347"/>
      <c r="G54" s="347"/>
      <c r="H54" s="349"/>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c r="A59" s="703" t="str">
        <f>+[14]PRESUPUESTO!$A$113</f>
        <v>__________________________________________</v>
      </c>
      <c r="B59" s="703"/>
    </row>
    <row r="60" spans="1:8">
      <c r="A60" s="810" t="str">
        <f>+[14]PRESUPUESTO!$A$114</f>
        <v>Ing. JHON FREDY GARCIA MENDEZ</v>
      </c>
      <c r="B60" s="703"/>
    </row>
    <row r="61" spans="1:8">
      <c r="A61" s="811" t="str">
        <f>+[14]PRESUPUESTO!$A$115</f>
        <v>M.P.  70268-326294 TLM.</v>
      </c>
      <c r="B61" s="703"/>
    </row>
    <row r="62" spans="1:8">
      <c r="A62" s="811" t="str">
        <f>+[14]PRESUPUESTO!$A$116</f>
        <v>CONSULTOR</v>
      </c>
      <c r="B62" s="703"/>
    </row>
  </sheetData>
  <mergeCells count="15">
    <mergeCell ref="D2:E4"/>
    <mergeCell ref="F2:H2"/>
    <mergeCell ref="F3:H3"/>
    <mergeCell ref="F4:H4"/>
    <mergeCell ref="A5:E5"/>
    <mergeCell ref="F5:H5"/>
    <mergeCell ref="B47:D47"/>
    <mergeCell ref="B48:D48"/>
    <mergeCell ref="B49:D49"/>
    <mergeCell ref="B6:D6"/>
    <mergeCell ref="B7:E7"/>
    <mergeCell ref="B8:E8"/>
    <mergeCell ref="B36:C36"/>
    <mergeCell ref="B45:D45"/>
    <mergeCell ref="B46:D46"/>
  </mergeCells>
  <pageMargins left="0.75" right="0.75" top="1" bottom="1" header="0" footer="0"/>
  <pageSetup paperSize="9" scale="70" orientation="portrait" r:id="rId1"/>
  <headerFooter alignWithMargins="0"/>
  <drawing r:id="rId2"/>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F00-000000000000}">
  <sheetPr>
    <tabColor theme="6" tint="0.79998168889431442"/>
  </sheetPr>
  <dimension ref="A1:I62"/>
  <sheetViews>
    <sheetView workbookViewId="0"/>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4.570312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t="e">
        <f>PRESUPUESTO!#REF!</f>
        <v>#REF!</v>
      </c>
      <c r="B7" s="2185" t="e">
        <f>PRESUPUESTO!#REF!</f>
        <v>#REF!</v>
      </c>
      <c r="C7" s="2185"/>
      <c r="D7" s="2185"/>
      <c r="E7" s="2185"/>
      <c r="F7" s="289"/>
      <c r="G7" s="290" t="s">
        <v>525</v>
      </c>
      <c r="H7" s="97" t="e">
        <f>+PRESUPUESTO!#REF!</f>
        <v>#REF!</v>
      </c>
    </row>
    <row r="8" spans="1:9" ht="26.25" customHeight="1">
      <c r="A8" s="97" t="e">
        <f>+PRESUPUESTO!#REF!</f>
        <v>#REF!</v>
      </c>
      <c r="B8" s="2272" t="e">
        <f>+PRESUPUESTO!#REF!</f>
        <v>#REF!</v>
      </c>
      <c r="C8" s="2257"/>
      <c r="D8" s="2257"/>
      <c r="E8" s="225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967</v>
      </c>
      <c r="B13" s="305" t="str">
        <f t="shared" ref="B13:B18" si="0">IF(A13="","",VLOOKUP(A13,EQUI,2,FALSE))</f>
        <v>Herramienta Menor (10% de la mano de obra).</v>
      </c>
      <c r="C13" s="306"/>
      <c r="D13" s="306"/>
      <c r="E13" s="276" t="str">
        <f t="shared" ref="E13:E18" si="1">IF(A13="","",VLOOKUP(A13,EQUI,3,FALSE))</f>
        <v>%</v>
      </c>
      <c r="F13" s="433">
        <f>IF(A13="","",VLOOKUP(A13,EQUI,4,FALSE))</f>
        <v>0.1</v>
      </c>
      <c r="G13" s="307">
        <f>ROUND(F13*H50,0)</f>
        <v>1558</v>
      </c>
      <c r="H13" s="308">
        <f>+G13</f>
        <v>1558</v>
      </c>
      <c r="I13" s="309"/>
    </row>
    <row r="14" spans="1:9">
      <c r="A14" s="536"/>
      <c r="B14" s="305"/>
      <c r="C14" s="306"/>
      <c r="D14" s="306"/>
      <c r="E14" s="276" t="str">
        <f t="shared" si="1"/>
        <v/>
      </c>
      <c r="F14" s="405"/>
      <c r="G14" s="310" t="str">
        <f>IF(A14="","",VLOOKUP(A14,EQUI,4,FALSE))</f>
        <v/>
      </c>
      <c r="H14" s="311" t="str">
        <f>IF(A14="","",ROUND((G14/F14),0))</f>
        <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1558</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c r="B23" s="1033" t="s">
        <v>2429</v>
      </c>
      <c r="C23" s="305"/>
      <c r="D23" s="306"/>
      <c r="E23" s="815" t="s">
        <v>1654</v>
      </c>
      <c r="F23" s="405">
        <v>1.05</v>
      </c>
      <c r="G23" s="310">
        <v>78890</v>
      </c>
      <c r="H23" s="311">
        <f>ROUND(F23*G23,0)</f>
        <v>82835</v>
      </c>
    </row>
    <row r="24" spans="1:8">
      <c r="A24" s="534"/>
      <c r="B24" s="816"/>
      <c r="C24" s="305"/>
      <c r="D24" s="306"/>
      <c r="E24" s="815"/>
      <c r="F24" s="585"/>
      <c r="G24" s="310"/>
      <c r="H24" s="311"/>
    </row>
    <row r="25" spans="1:8">
      <c r="A25" s="534"/>
      <c r="B25" s="816"/>
      <c r="C25" s="305"/>
      <c r="D25" s="306"/>
      <c r="E25" s="815"/>
      <c r="F25" s="585"/>
      <c r="G25" s="310"/>
      <c r="H25" s="311"/>
    </row>
    <row r="26" spans="1:8">
      <c r="A26" s="534"/>
      <c r="B26" s="305" t="str">
        <f t="shared" ref="B26:B32" si="2">IF(A26="","",VLOOKUP(A26,MAT,2,FALSE))</f>
        <v/>
      </c>
      <c r="C26" s="305"/>
      <c r="D26" s="306"/>
      <c r="E26" s="276" t="str">
        <f t="shared" ref="E26:E32" si="3">IF(A26="","",VLOOKUP(A26,MAT,3,FALSE))</f>
        <v/>
      </c>
      <c r="F26" s="405"/>
      <c r="G26" s="310" t="str">
        <f t="shared" ref="G26:G32" si="4">IF(A26="","",VLOOKUP(A26,MAT,5,FALSE))</f>
        <v/>
      </c>
      <c r="H26" s="311" t="str">
        <f t="shared" ref="H26:H32" si="5">IF(A26="","",ROUND((G26*F26),0))</f>
        <v/>
      </c>
    </row>
    <row r="27" spans="1:8">
      <c r="A27" s="534"/>
      <c r="B27" s="305" t="str">
        <f t="shared" si="2"/>
        <v/>
      </c>
      <c r="C27" s="305"/>
      <c r="D27" s="306"/>
      <c r="E27" s="276" t="str">
        <f t="shared" si="3"/>
        <v/>
      </c>
      <c r="F27" s="405"/>
      <c r="G27" s="310" t="str">
        <f t="shared" si="4"/>
        <v/>
      </c>
      <c r="H27" s="311" t="str">
        <f t="shared" si="5"/>
        <v/>
      </c>
    </row>
    <row r="28" spans="1:8">
      <c r="A28" s="534"/>
      <c r="B28" s="305" t="str">
        <f t="shared" si="2"/>
        <v/>
      </c>
      <c r="C28" s="305"/>
      <c r="D28" s="306"/>
      <c r="E28" s="276" t="str">
        <f t="shared" si="3"/>
        <v/>
      </c>
      <c r="F28" s="405"/>
      <c r="G28" s="310" t="str">
        <f t="shared" si="4"/>
        <v/>
      </c>
      <c r="H28" s="311" t="str">
        <f t="shared" si="5"/>
        <v/>
      </c>
    </row>
    <row r="29" spans="1:8">
      <c r="A29" s="534"/>
      <c r="B29" s="305" t="str">
        <f t="shared" si="2"/>
        <v/>
      </c>
      <c r="C29" s="305"/>
      <c r="D29" s="306"/>
      <c r="E29" s="276" t="str">
        <f t="shared" si="3"/>
        <v/>
      </c>
      <c r="F29" s="405"/>
      <c r="G29" s="310" t="str">
        <f t="shared" si="4"/>
        <v/>
      </c>
      <c r="H29" s="311" t="str">
        <f t="shared" si="5"/>
        <v/>
      </c>
    </row>
    <row r="30" spans="1:8">
      <c r="A30" s="534"/>
      <c r="B30" s="305" t="str">
        <f t="shared" si="2"/>
        <v/>
      </c>
      <c r="C30" s="305"/>
      <c r="D30" s="306"/>
      <c r="E30" s="276" t="str">
        <f t="shared" si="3"/>
        <v/>
      </c>
      <c r="F30" s="405"/>
      <c r="G30" s="310" t="str">
        <f t="shared" si="4"/>
        <v/>
      </c>
      <c r="H30" s="311" t="str">
        <f t="shared" si="5"/>
        <v/>
      </c>
    </row>
    <row r="31" spans="1:8">
      <c r="A31" s="534"/>
      <c r="B31" s="305" t="str">
        <f t="shared" si="2"/>
        <v/>
      </c>
      <c r="C31" s="305"/>
      <c r="D31" s="306"/>
      <c r="E31" s="276" t="str">
        <f t="shared" si="3"/>
        <v/>
      </c>
      <c r="F31" s="405"/>
      <c r="G31" s="310" t="str">
        <f t="shared" si="4"/>
        <v/>
      </c>
      <c r="H31" s="311" t="str">
        <f t="shared" si="5"/>
        <v/>
      </c>
    </row>
    <row r="32" spans="1:8" ht="13.5" thickBot="1">
      <c r="A32" s="535"/>
      <c r="B32" s="326" t="str">
        <f t="shared" si="2"/>
        <v/>
      </c>
      <c r="C32" s="314"/>
      <c r="D32" s="314"/>
      <c r="E32" s="315" t="str">
        <f t="shared" si="3"/>
        <v/>
      </c>
      <c r="F32" s="406"/>
      <c r="G32" s="327" t="str">
        <f t="shared" si="4"/>
        <v/>
      </c>
      <c r="H32" s="311" t="str">
        <f t="shared" si="5"/>
        <v/>
      </c>
    </row>
    <row r="33" spans="1:8" ht="13.5" thickBot="1">
      <c r="A33" s="285"/>
      <c r="B33" s="285"/>
      <c r="C33" s="285"/>
      <c r="D33" s="285"/>
      <c r="E33" s="286"/>
      <c r="F33" s="285"/>
      <c r="G33" s="210" t="s">
        <v>529</v>
      </c>
      <c r="H33" s="328">
        <f>ROUND(SUM(H23:H32),0)</f>
        <v>82835</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771"/>
      <c r="B37" s="737"/>
      <c r="C37" s="772"/>
      <c r="D37" s="773"/>
      <c r="E37" s="774"/>
      <c r="F37" s="775"/>
      <c r="G37" s="776"/>
      <c r="H37" s="746"/>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0</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883</v>
      </c>
      <c r="B46" s="2192" t="str">
        <f>IF(A46="","",VLOOKUP(A46,MO,2,FALSE))</f>
        <v>Cuadrilla AA: Albañilería. (1 Of. + 1 Ayud.).</v>
      </c>
      <c r="C46" s="2193"/>
      <c r="D46" s="2194"/>
      <c r="E46" s="538" t="str">
        <f>IF(A46="","",VLOOKUP(A46,MO,13,FALSE))</f>
        <v>HC</v>
      </c>
      <c r="F46" s="544">
        <v>2.5</v>
      </c>
      <c r="G46" s="540">
        <f>IF(A46="","",VLOOKUP(A46,MO,15,FALSE))</f>
        <v>38949</v>
      </c>
      <c r="H46" s="542">
        <f>IF(A46="","",ROUND((G46/F46),0))</f>
        <v>15580</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15580</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99973</v>
      </c>
    </row>
    <row r="53" spans="1:8">
      <c r="A53" s="285"/>
      <c r="B53" s="285"/>
      <c r="C53" s="285"/>
      <c r="D53" s="285"/>
      <c r="E53" s="346"/>
      <c r="F53" s="347"/>
      <c r="G53" s="347"/>
      <c r="H53" s="349"/>
    </row>
    <row r="54" spans="1:8">
      <c r="A54" s="285"/>
      <c r="B54" s="285"/>
      <c r="C54" s="285"/>
      <c r="D54" s="285"/>
      <c r="E54" s="346"/>
      <c r="F54" s="347"/>
      <c r="G54" s="347"/>
      <c r="H54" s="349"/>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c r="A59" s="703" t="str">
        <f>+[14]PRESUPUESTO!$A$113</f>
        <v>__________________________________________</v>
      </c>
      <c r="B59" s="703"/>
    </row>
    <row r="60" spans="1:8">
      <c r="A60" s="810" t="str">
        <f>+[14]PRESUPUESTO!$A$114</f>
        <v>Ing. JHON FREDY GARCIA MENDEZ</v>
      </c>
      <c r="B60" s="703"/>
    </row>
    <row r="61" spans="1:8">
      <c r="A61" s="811" t="str">
        <f>+[14]PRESUPUESTO!$A$115</f>
        <v>M.P.  70268-326294 TLM.</v>
      </c>
      <c r="B61" s="703"/>
    </row>
    <row r="62" spans="1:8">
      <c r="A62" s="811" t="str">
        <f>+[14]PRESUPUESTO!$A$116</f>
        <v>CONSULTOR</v>
      </c>
      <c r="B62" s="703"/>
    </row>
  </sheetData>
  <mergeCells count="15">
    <mergeCell ref="D2:E4"/>
    <mergeCell ref="F2:H2"/>
    <mergeCell ref="F3:H3"/>
    <mergeCell ref="F4:H4"/>
    <mergeCell ref="A5:E5"/>
    <mergeCell ref="F5:H5"/>
    <mergeCell ref="B47:D47"/>
    <mergeCell ref="B48:D48"/>
    <mergeCell ref="B49:D49"/>
    <mergeCell ref="B6:D6"/>
    <mergeCell ref="B7:E7"/>
    <mergeCell ref="B8:E8"/>
    <mergeCell ref="B36:C36"/>
    <mergeCell ref="B45:D45"/>
    <mergeCell ref="B46:D46"/>
  </mergeCells>
  <pageMargins left="0.75" right="0.75" top="1" bottom="1" header="0" footer="0"/>
  <pageSetup paperSize="9" scale="70" orientation="portrait" r:id="rId1"/>
  <headerFooter alignWithMargins="0"/>
  <drawing r:id="rId2"/>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000-000000000000}">
  <sheetPr>
    <tabColor theme="6" tint="0.79998168889431442"/>
  </sheetPr>
  <dimension ref="A1:I62"/>
  <sheetViews>
    <sheetView workbookViewId="0"/>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4.570312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t="e">
        <f>PRESUPUESTO!#REF!</f>
        <v>#REF!</v>
      </c>
      <c r="B7" s="2185" t="e">
        <f>PRESUPUESTO!#REF!</f>
        <v>#REF!</v>
      </c>
      <c r="C7" s="2185"/>
      <c r="D7" s="2185"/>
      <c r="E7" s="2185"/>
      <c r="F7" s="289"/>
      <c r="G7" s="290" t="s">
        <v>525</v>
      </c>
      <c r="H7" s="97" t="e">
        <f>+PRESUPUESTO!#REF!</f>
        <v>#REF!</v>
      </c>
    </row>
    <row r="8" spans="1:9">
      <c r="A8" s="97" t="e">
        <f>+PRESUPUESTO!#REF!</f>
        <v>#REF!</v>
      </c>
      <c r="B8" s="2272" t="e">
        <f>+PRESUPUESTO!#REF!</f>
        <v>#REF!</v>
      </c>
      <c r="C8" s="2257"/>
      <c r="D8" s="2257"/>
      <c r="E8" s="225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967</v>
      </c>
      <c r="B13" s="305" t="str">
        <f t="shared" ref="B13:B18" si="0">IF(A13="","",VLOOKUP(A13,EQUI,2,FALSE))</f>
        <v>Herramienta Menor (10% de la mano de obra).</v>
      </c>
      <c r="C13" s="306"/>
      <c r="D13" s="306"/>
      <c r="E13" s="276" t="str">
        <f t="shared" ref="E13:E18" si="1">IF(A13="","",VLOOKUP(A13,EQUI,3,FALSE))</f>
        <v>%</v>
      </c>
      <c r="F13" s="433">
        <f>IF(A13="","",VLOOKUP(A13,EQUI,4,FALSE))</f>
        <v>0.1</v>
      </c>
      <c r="G13" s="307">
        <f>ROUND(F13*H50,0)</f>
        <v>17704</v>
      </c>
      <c r="H13" s="308">
        <f>+G13</f>
        <v>17704</v>
      </c>
      <c r="I13" s="309"/>
    </row>
    <row r="14" spans="1:9">
      <c r="A14" s="536"/>
      <c r="B14" s="305"/>
      <c r="C14" s="306"/>
      <c r="D14" s="306"/>
      <c r="E14" s="276" t="str">
        <f t="shared" si="1"/>
        <v/>
      </c>
      <c r="F14" s="405"/>
      <c r="G14" s="310" t="str">
        <f>IF(A14="","",VLOOKUP(A14,EQUI,4,FALSE))</f>
        <v/>
      </c>
      <c r="H14" s="311" t="str">
        <f>IF(A14="","",ROUND((G14/F14),0))</f>
        <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17704</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c r="B23" s="1033" t="s">
        <v>2432</v>
      </c>
      <c r="C23" s="305"/>
      <c r="D23" s="306"/>
      <c r="E23" s="815" t="s">
        <v>1681</v>
      </c>
      <c r="F23" s="405">
        <v>1</v>
      </c>
      <c r="G23" s="310">
        <v>359745</v>
      </c>
      <c r="H23" s="311">
        <f>ROUND(F23*G23,0)</f>
        <v>359745</v>
      </c>
    </row>
    <row r="24" spans="1:8">
      <c r="A24" s="534"/>
      <c r="B24" s="353" t="str">
        <f>IF(A24="","",VLOOKUP(A24,MAT,2,FALSE))</f>
        <v/>
      </c>
      <c r="C24" s="305"/>
      <c r="D24" s="306"/>
      <c r="E24" s="276" t="str">
        <f>IF(A24="","",VLOOKUP(A24,MAT,3,FALSE))</f>
        <v/>
      </c>
      <c r="F24" s="405"/>
      <c r="G24" s="310" t="str">
        <f>IF(A24="","",VLOOKUP(A24,MAT,5,FALSE))</f>
        <v/>
      </c>
      <c r="H24" s="311" t="str">
        <f>IF(A24="","",ROUND((G24*F24),0))</f>
        <v/>
      </c>
    </row>
    <row r="25" spans="1:8">
      <c r="A25" s="534"/>
      <c r="B25" s="353"/>
      <c r="C25" s="305"/>
      <c r="D25" s="306"/>
      <c r="E25" s="276"/>
      <c r="F25" s="405"/>
      <c r="G25" s="310"/>
      <c r="H25" s="311"/>
    </row>
    <row r="26" spans="1:8">
      <c r="A26" s="534"/>
      <c r="B26" s="305" t="str">
        <f t="shared" ref="B26:B32" si="2">IF(A26="","",VLOOKUP(A26,MAT,2,FALSE))</f>
        <v/>
      </c>
      <c r="C26" s="305"/>
      <c r="D26" s="306"/>
      <c r="E26" s="276" t="str">
        <f t="shared" ref="E26:E32" si="3">IF(A26="","",VLOOKUP(A26,MAT,3,FALSE))</f>
        <v/>
      </c>
      <c r="F26" s="405"/>
      <c r="G26" s="310" t="str">
        <f t="shared" ref="G26:G32" si="4">IF(A26="","",VLOOKUP(A26,MAT,5,FALSE))</f>
        <v/>
      </c>
      <c r="H26" s="311" t="str">
        <f t="shared" ref="H26:H32" si="5">IF(A26="","",ROUND((G26*F26),0))</f>
        <v/>
      </c>
    </row>
    <row r="27" spans="1:8">
      <c r="A27" s="534"/>
      <c r="B27" s="305" t="str">
        <f t="shared" si="2"/>
        <v/>
      </c>
      <c r="C27" s="305"/>
      <c r="D27" s="306"/>
      <c r="E27" s="276" t="str">
        <f t="shared" si="3"/>
        <v/>
      </c>
      <c r="F27" s="405"/>
      <c r="G27" s="310" t="str">
        <f t="shared" si="4"/>
        <v/>
      </c>
      <c r="H27" s="311" t="str">
        <f t="shared" si="5"/>
        <v/>
      </c>
    </row>
    <row r="28" spans="1:8">
      <c r="A28" s="534"/>
      <c r="B28" s="305" t="str">
        <f t="shared" si="2"/>
        <v/>
      </c>
      <c r="C28" s="305"/>
      <c r="D28" s="306"/>
      <c r="E28" s="276" t="str">
        <f t="shared" si="3"/>
        <v/>
      </c>
      <c r="F28" s="405"/>
      <c r="G28" s="310" t="str">
        <f t="shared" si="4"/>
        <v/>
      </c>
      <c r="H28" s="311" t="str">
        <f t="shared" si="5"/>
        <v/>
      </c>
    </row>
    <row r="29" spans="1:8">
      <c r="A29" s="534"/>
      <c r="B29" s="305" t="str">
        <f t="shared" si="2"/>
        <v/>
      </c>
      <c r="C29" s="305"/>
      <c r="D29" s="306"/>
      <c r="E29" s="276" t="str">
        <f t="shared" si="3"/>
        <v/>
      </c>
      <c r="F29" s="405"/>
      <c r="G29" s="310" t="str">
        <f t="shared" si="4"/>
        <v/>
      </c>
      <c r="H29" s="311" t="str">
        <f t="shared" si="5"/>
        <v/>
      </c>
    </row>
    <row r="30" spans="1:8">
      <c r="A30" s="534"/>
      <c r="B30" s="305" t="str">
        <f t="shared" si="2"/>
        <v/>
      </c>
      <c r="C30" s="305"/>
      <c r="D30" s="306"/>
      <c r="E30" s="276" t="str">
        <f t="shared" si="3"/>
        <v/>
      </c>
      <c r="F30" s="405"/>
      <c r="G30" s="310" t="str">
        <f t="shared" si="4"/>
        <v/>
      </c>
      <c r="H30" s="311" t="str">
        <f t="shared" si="5"/>
        <v/>
      </c>
    </row>
    <row r="31" spans="1:8">
      <c r="A31" s="534"/>
      <c r="B31" s="305" t="str">
        <f t="shared" si="2"/>
        <v/>
      </c>
      <c r="C31" s="305"/>
      <c r="D31" s="306"/>
      <c r="E31" s="276" t="str">
        <f t="shared" si="3"/>
        <v/>
      </c>
      <c r="F31" s="405"/>
      <c r="G31" s="310" t="str">
        <f t="shared" si="4"/>
        <v/>
      </c>
      <c r="H31" s="311" t="str">
        <f t="shared" si="5"/>
        <v/>
      </c>
    </row>
    <row r="32" spans="1:8" ht="13.5" thickBot="1">
      <c r="A32" s="535"/>
      <c r="B32" s="326" t="str">
        <f t="shared" si="2"/>
        <v/>
      </c>
      <c r="C32" s="314"/>
      <c r="D32" s="314"/>
      <c r="E32" s="315" t="str">
        <f t="shared" si="3"/>
        <v/>
      </c>
      <c r="F32" s="406"/>
      <c r="G32" s="327" t="str">
        <f t="shared" si="4"/>
        <v/>
      </c>
      <c r="H32" s="311" t="str">
        <f t="shared" si="5"/>
        <v/>
      </c>
    </row>
    <row r="33" spans="1:8" ht="13.5" thickBot="1">
      <c r="A33" s="285"/>
      <c r="B33" s="285"/>
      <c r="C33" s="285"/>
      <c r="D33" s="285"/>
      <c r="E33" s="286"/>
      <c r="F33" s="285"/>
      <c r="G33" s="210" t="s">
        <v>529</v>
      </c>
      <c r="H33" s="328">
        <f>ROUND(SUM(H23:H32),0)</f>
        <v>359745</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771"/>
      <c r="B37" s="737" t="s">
        <v>2493</v>
      </c>
      <c r="C37" s="772"/>
      <c r="D37" s="773"/>
      <c r="E37" s="774"/>
      <c r="F37" s="775"/>
      <c r="G37" s="1066">
        <v>0.06</v>
      </c>
      <c r="H37" s="746">
        <f>ROUND(G37*H33,0)</f>
        <v>21585</v>
      </c>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21585</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883</v>
      </c>
      <c r="B46" s="2192" t="str">
        <f>IF(A46="","",VLOOKUP(A46,MO,2,FALSE))</f>
        <v>Cuadrilla AA: Albañilería. (1 Of. + 1 Ayud.).</v>
      </c>
      <c r="C46" s="2193"/>
      <c r="D46" s="2194"/>
      <c r="E46" s="538" t="str">
        <f>IF(A46="","",VLOOKUP(A46,MO,13,FALSE))</f>
        <v>HC</v>
      </c>
      <c r="F46" s="544">
        <v>0.22</v>
      </c>
      <c r="G46" s="540">
        <f>IF(A46="","",VLOOKUP(A46,MO,15,FALSE))</f>
        <v>38949</v>
      </c>
      <c r="H46" s="542">
        <f>IF(A46="","",ROUND((G46/F46),0))</f>
        <v>177041</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177041</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576075</v>
      </c>
    </row>
    <row r="53" spans="1:8">
      <c r="A53" s="285"/>
      <c r="B53" s="285"/>
      <c r="C53" s="285"/>
      <c r="D53" s="285"/>
      <c r="E53" s="346"/>
      <c r="F53" s="347"/>
      <c r="G53" s="347"/>
      <c r="H53" s="349"/>
    </row>
    <row r="54" spans="1:8">
      <c r="A54" s="285"/>
      <c r="B54" s="285"/>
      <c r="C54" s="285"/>
      <c r="D54" s="285"/>
      <c r="E54" s="346"/>
      <c r="F54" s="347"/>
      <c r="G54" s="347"/>
      <c r="H54" s="349"/>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c r="A59" s="703" t="str">
        <f>+[14]PRESUPUESTO!$A$113</f>
        <v>__________________________________________</v>
      </c>
      <c r="B59" s="703"/>
    </row>
    <row r="60" spans="1:8">
      <c r="A60" s="810" t="str">
        <f>+[14]PRESUPUESTO!$A$114</f>
        <v>Ing. JHON FREDY GARCIA MENDEZ</v>
      </c>
      <c r="B60" s="703"/>
    </row>
    <row r="61" spans="1:8">
      <c r="A61" s="811" t="str">
        <f>+[14]PRESUPUESTO!$A$115</f>
        <v>M.P.  70268-326294 TLM.</v>
      </c>
      <c r="B61" s="703"/>
    </row>
    <row r="62" spans="1:8">
      <c r="A62" s="811" t="str">
        <f>+[14]PRESUPUESTO!$A$116</f>
        <v>CONSULTOR</v>
      </c>
      <c r="B62" s="703"/>
    </row>
  </sheetData>
  <mergeCells count="15">
    <mergeCell ref="D2:E4"/>
    <mergeCell ref="F2:H2"/>
    <mergeCell ref="F3:H3"/>
    <mergeCell ref="F4:H4"/>
    <mergeCell ref="A5:E5"/>
    <mergeCell ref="F5:H5"/>
    <mergeCell ref="B47:D47"/>
    <mergeCell ref="B48:D48"/>
    <mergeCell ref="B49:D49"/>
    <mergeCell ref="B6:D6"/>
    <mergeCell ref="B7:E7"/>
    <mergeCell ref="B8:E8"/>
    <mergeCell ref="B36:C36"/>
    <mergeCell ref="B45:D45"/>
    <mergeCell ref="B46:D46"/>
  </mergeCells>
  <pageMargins left="0.75" right="0.75" top="1" bottom="1" header="0" footer="0"/>
  <pageSetup paperSize="9" scale="70" orientation="portrait" r:id="rId1"/>
  <headerFooter alignWithMargins="0"/>
  <drawing r:id="rId2"/>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100-000000000000}">
  <sheetPr>
    <tabColor theme="6" tint="0.79998168889431442"/>
  </sheetPr>
  <dimension ref="A1:I62"/>
  <sheetViews>
    <sheetView workbookViewId="0"/>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4.5703125" style="247" customWidth="1"/>
    <col min="9" max="16384" width="11.42578125" style="247"/>
  </cols>
  <sheetData>
    <row r="1" spans="1:9" ht="60.95" customHeight="1" thickBot="1">
      <c r="A1" s="247">
        <v>2</v>
      </c>
    </row>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t="e">
        <f>PRESUPUESTO!#REF!</f>
        <v>#REF!</v>
      </c>
      <c r="B7" s="2185" t="e">
        <f>PRESUPUESTO!#REF!</f>
        <v>#REF!</v>
      </c>
      <c r="C7" s="2185"/>
      <c r="D7" s="2185"/>
      <c r="E7" s="2185"/>
      <c r="F7" s="289"/>
      <c r="G7" s="290" t="s">
        <v>525</v>
      </c>
      <c r="H7" s="97" t="e">
        <f>+PRESUPUESTO!#REF!</f>
        <v>#REF!</v>
      </c>
    </row>
    <row r="8" spans="1:9" ht="37.5" customHeight="1">
      <c r="A8" s="97" t="e">
        <f>+PRESUPUESTO!#REF!</f>
        <v>#REF!</v>
      </c>
      <c r="B8" s="2272" t="e">
        <f>+PRESUPUESTO!#REF!</f>
        <v>#REF!</v>
      </c>
      <c r="C8" s="2257"/>
      <c r="D8" s="2257"/>
      <c r="E8" s="225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967</v>
      </c>
      <c r="B13" s="305" t="str">
        <f t="shared" ref="B13:B18" si="0">IF(A13="","",VLOOKUP(A13,EQUI,2,FALSE))</f>
        <v>Herramienta Menor (10% de la mano de obra).</v>
      </c>
      <c r="C13" s="306"/>
      <c r="D13" s="306"/>
      <c r="E13" s="276" t="str">
        <f t="shared" ref="E13:E18" si="1">IF(A13="","",VLOOKUP(A13,EQUI,3,FALSE))</f>
        <v>%</v>
      </c>
      <c r="F13" s="433">
        <f>IF(A13="","",VLOOKUP(A13,EQUI,4,FALSE))</f>
        <v>0.1</v>
      </c>
      <c r="G13" s="307">
        <f>ROUND(F13*H50,0)</f>
        <v>45822</v>
      </c>
      <c r="H13" s="308">
        <f>+G13</f>
        <v>45822</v>
      </c>
      <c r="I13" s="309"/>
    </row>
    <row r="14" spans="1:9">
      <c r="A14" s="536"/>
      <c r="B14" s="305"/>
      <c r="C14" s="306"/>
      <c r="D14" s="306"/>
      <c r="E14" s="276" t="str">
        <f t="shared" si="1"/>
        <v/>
      </c>
      <c r="F14" s="405"/>
      <c r="G14" s="310" t="str">
        <f>IF(A14="","",VLOOKUP(A14,EQUI,4,FALSE))</f>
        <v/>
      </c>
      <c r="H14" s="311" t="str">
        <f>IF(A14="","",ROUND((G14/F14),0))</f>
        <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45822</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ht="24" customHeight="1">
      <c r="A23" s="533"/>
      <c r="B23" s="2274" t="s">
        <v>2433</v>
      </c>
      <c r="C23" s="2275"/>
      <c r="D23" s="2276"/>
      <c r="E23" s="815" t="s">
        <v>1681</v>
      </c>
      <c r="F23" s="405">
        <v>1</v>
      </c>
      <c r="G23" s="1049">
        <v>2033710</v>
      </c>
      <c r="H23" s="311">
        <f>ROUND(F23*G23,0)</f>
        <v>2033710</v>
      </c>
    </row>
    <row r="24" spans="1:8">
      <c r="A24" s="534"/>
      <c r="B24" s="1033" t="s">
        <v>2434</v>
      </c>
      <c r="C24" s="305"/>
      <c r="D24" s="306"/>
      <c r="E24" s="815" t="s">
        <v>1681</v>
      </c>
      <c r="F24" s="405">
        <v>16</v>
      </c>
      <c r="G24" s="310">
        <v>5500</v>
      </c>
      <c r="H24" s="311">
        <f>ROUND(F24*G24,0)</f>
        <v>88000</v>
      </c>
    </row>
    <row r="25" spans="1:8">
      <c r="A25" s="534"/>
      <c r="B25" s="353"/>
      <c r="C25" s="305"/>
      <c r="D25" s="306"/>
      <c r="E25" s="276"/>
      <c r="F25" s="405"/>
      <c r="G25" s="310"/>
      <c r="H25" s="311"/>
    </row>
    <row r="26" spans="1:8">
      <c r="A26" s="534"/>
      <c r="B26" s="305" t="str">
        <f t="shared" ref="B26:B32" si="2">IF(A26="","",VLOOKUP(A26,MAT,2,FALSE))</f>
        <v/>
      </c>
      <c r="C26" s="305"/>
      <c r="D26" s="306"/>
      <c r="E26" s="276" t="str">
        <f t="shared" ref="E26:E32" si="3">IF(A26="","",VLOOKUP(A26,MAT,3,FALSE))</f>
        <v/>
      </c>
      <c r="F26" s="405"/>
      <c r="G26" s="310" t="str">
        <f t="shared" ref="G26:G32" si="4">IF(A26="","",VLOOKUP(A26,MAT,5,FALSE))</f>
        <v/>
      </c>
      <c r="H26" s="311" t="str">
        <f t="shared" ref="H26:H32" si="5">IF(A26="","",ROUND((G26*F26),0))</f>
        <v/>
      </c>
    </row>
    <row r="27" spans="1:8">
      <c r="A27" s="534"/>
      <c r="B27" s="305" t="str">
        <f t="shared" si="2"/>
        <v/>
      </c>
      <c r="C27" s="305"/>
      <c r="D27" s="306"/>
      <c r="E27" s="276" t="str">
        <f t="shared" si="3"/>
        <v/>
      </c>
      <c r="F27" s="405"/>
      <c r="G27" s="310" t="str">
        <f t="shared" si="4"/>
        <v/>
      </c>
      <c r="H27" s="311" t="str">
        <f t="shared" si="5"/>
        <v/>
      </c>
    </row>
    <row r="28" spans="1:8">
      <c r="A28" s="534"/>
      <c r="B28" s="305" t="str">
        <f t="shared" si="2"/>
        <v/>
      </c>
      <c r="C28" s="305"/>
      <c r="D28" s="306"/>
      <c r="E28" s="276" t="str">
        <f t="shared" si="3"/>
        <v/>
      </c>
      <c r="F28" s="405"/>
      <c r="G28" s="310" t="str">
        <f t="shared" si="4"/>
        <v/>
      </c>
      <c r="H28" s="311" t="str">
        <f t="shared" si="5"/>
        <v/>
      </c>
    </row>
    <row r="29" spans="1:8">
      <c r="A29" s="534"/>
      <c r="B29" s="305" t="str">
        <f t="shared" si="2"/>
        <v/>
      </c>
      <c r="C29" s="305"/>
      <c r="D29" s="306"/>
      <c r="E29" s="276" t="str">
        <f t="shared" si="3"/>
        <v/>
      </c>
      <c r="F29" s="405"/>
      <c r="G29" s="310" t="str">
        <f t="shared" si="4"/>
        <v/>
      </c>
      <c r="H29" s="311" t="str">
        <f t="shared" si="5"/>
        <v/>
      </c>
    </row>
    <row r="30" spans="1:8">
      <c r="A30" s="534"/>
      <c r="B30" s="305" t="str">
        <f t="shared" si="2"/>
        <v/>
      </c>
      <c r="C30" s="305"/>
      <c r="D30" s="306"/>
      <c r="E30" s="276" t="str">
        <f t="shared" si="3"/>
        <v/>
      </c>
      <c r="F30" s="405"/>
      <c r="G30" s="310" t="str">
        <f t="shared" si="4"/>
        <v/>
      </c>
      <c r="H30" s="311" t="str">
        <f t="shared" si="5"/>
        <v/>
      </c>
    </row>
    <row r="31" spans="1:8">
      <c r="A31" s="534"/>
      <c r="B31" s="305" t="str">
        <f t="shared" si="2"/>
        <v/>
      </c>
      <c r="C31" s="305"/>
      <c r="D31" s="306"/>
      <c r="E31" s="276" t="str">
        <f t="shared" si="3"/>
        <v/>
      </c>
      <c r="F31" s="405"/>
      <c r="G31" s="310" t="str">
        <f t="shared" si="4"/>
        <v/>
      </c>
      <c r="H31" s="311" t="str">
        <f t="shared" si="5"/>
        <v/>
      </c>
    </row>
    <row r="32" spans="1:8" ht="13.5" thickBot="1">
      <c r="A32" s="535"/>
      <c r="B32" s="326" t="str">
        <f t="shared" si="2"/>
        <v/>
      </c>
      <c r="C32" s="314"/>
      <c r="D32" s="314"/>
      <c r="E32" s="315" t="str">
        <f t="shared" si="3"/>
        <v/>
      </c>
      <c r="F32" s="406"/>
      <c r="G32" s="327" t="str">
        <f t="shared" si="4"/>
        <v/>
      </c>
      <c r="H32" s="311" t="str">
        <f t="shared" si="5"/>
        <v/>
      </c>
    </row>
    <row r="33" spans="1:8" ht="13.5" thickBot="1">
      <c r="A33" s="285"/>
      <c r="B33" s="285"/>
      <c r="C33" s="285"/>
      <c r="D33" s="285"/>
      <c r="E33" s="286"/>
      <c r="F33" s="285"/>
      <c r="G33" s="210" t="s">
        <v>529</v>
      </c>
      <c r="H33" s="328">
        <f>ROUND(SUM(H23:H32),0)</f>
        <v>2121710</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771"/>
      <c r="B37" s="737" t="s">
        <v>2493</v>
      </c>
      <c r="C37" s="772"/>
      <c r="D37" s="773"/>
      <c r="E37" s="774"/>
      <c r="F37" s="1065">
        <v>0.06</v>
      </c>
      <c r="G37" s="776"/>
      <c r="H37" s="746">
        <f>ROUND(H33*F37,0)</f>
        <v>127303</v>
      </c>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127303</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883</v>
      </c>
      <c r="B46" s="2192" t="str">
        <f>IF(A46="","",VLOOKUP(A46,MO,2,FALSE))</f>
        <v>Cuadrilla AA: Albañilería. (1 Of. + 1 Ayud.).</v>
      </c>
      <c r="C46" s="2193"/>
      <c r="D46" s="2194"/>
      <c r="E46" s="538" t="str">
        <f>IF(A46="","",VLOOKUP(A46,MO,13,FALSE))</f>
        <v>HC</v>
      </c>
      <c r="F46" s="544">
        <v>8.5000000000000006E-2</v>
      </c>
      <c r="G46" s="540">
        <f>IF(A46="","",VLOOKUP(A46,MO,15,FALSE))</f>
        <v>38949</v>
      </c>
      <c r="H46" s="542">
        <f>IF(A46="","",ROUND((G46/F46),0))</f>
        <v>458224</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458224</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2753059</v>
      </c>
    </row>
    <row r="53" spans="1:8">
      <c r="A53" s="285"/>
      <c r="B53" s="285"/>
      <c r="C53" s="285"/>
      <c r="D53" s="285"/>
      <c r="E53" s="346"/>
      <c r="F53" s="347"/>
      <c r="G53" s="347"/>
      <c r="H53" s="349"/>
    </row>
    <row r="54" spans="1:8">
      <c r="A54" s="285"/>
      <c r="B54" s="285"/>
      <c r="C54" s="285"/>
      <c r="D54" s="285"/>
      <c r="E54" s="346"/>
      <c r="F54" s="347"/>
      <c r="G54" s="347"/>
      <c r="H54" s="349"/>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c r="A59" s="703" t="str">
        <f>+[14]PRESUPUESTO!$A$113</f>
        <v>__________________________________________</v>
      </c>
      <c r="B59" s="703"/>
    </row>
    <row r="60" spans="1:8">
      <c r="A60" s="810" t="str">
        <f>+[14]PRESUPUESTO!$A$114</f>
        <v>Ing. JHON FREDY GARCIA MENDEZ</v>
      </c>
      <c r="B60" s="703"/>
    </row>
    <row r="61" spans="1:8">
      <c r="A61" s="811" t="str">
        <f>+[14]PRESUPUESTO!$A$115</f>
        <v>M.P.  70268-326294 TLM.</v>
      </c>
      <c r="B61" s="703"/>
    </row>
    <row r="62" spans="1:8">
      <c r="A62" s="811" t="str">
        <f>+[14]PRESUPUESTO!$A$116</f>
        <v>CONSULTOR</v>
      </c>
      <c r="B62" s="703"/>
    </row>
  </sheetData>
  <mergeCells count="16">
    <mergeCell ref="D2:E4"/>
    <mergeCell ref="F2:H2"/>
    <mergeCell ref="F3:H3"/>
    <mergeCell ref="F4:H4"/>
    <mergeCell ref="A5:E5"/>
    <mergeCell ref="F5:H5"/>
    <mergeCell ref="B47:D47"/>
    <mergeCell ref="B48:D48"/>
    <mergeCell ref="B49:D49"/>
    <mergeCell ref="B23:D23"/>
    <mergeCell ref="B6:D6"/>
    <mergeCell ref="B7:E7"/>
    <mergeCell ref="B8:E8"/>
    <mergeCell ref="B36:C36"/>
    <mergeCell ref="B45:D45"/>
    <mergeCell ref="B46:D46"/>
  </mergeCells>
  <pageMargins left="0.75" right="0.75" top="1" bottom="1" header="0" footer="0"/>
  <pageSetup paperSize="9" scale="70" orientation="portrait" r:id="rId1"/>
  <headerFooter alignWithMargins="0"/>
  <drawing r:id="rId2"/>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200-000000000000}">
  <sheetPr>
    <tabColor theme="6" tint="0.79998168889431442"/>
  </sheetPr>
  <dimension ref="A1:I62"/>
  <sheetViews>
    <sheetView workbookViewId="0"/>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4.570312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t="e">
        <f>PRESUPUESTO!#REF!</f>
        <v>#REF!</v>
      </c>
      <c r="B7" s="2185" t="e">
        <f>PRESUPUESTO!#REF!</f>
        <v>#REF!</v>
      </c>
      <c r="C7" s="2185"/>
      <c r="D7" s="2185"/>
      <c r="E7" s="2185"/>
      <c r="F7" s="289"/>
      <c r="G7" s="290" t="s">
        <v>525</v>
      </c>
      <c r="H7" s="97" t="e">
        <f>+PRESUPUESTO!#REF!</f>
        <v>#REF!</v>
      </c>
    </row>
    <row r="8" spans="1:9" ht="63.75" customHeight="1">
      <c r="A8" s="97" t="e">
        <f>+PRESUPUESTO!#REF!</f>
        <v>#REF!</v>
      </c>
      <c r="B8" s="2277" t="e">
        <f>+PRESUPUESTO!#REF!</f>
        <v>#REF!</v>
      </c>
      <c r="C8" s="2266"/>
      <c r="D8" s="2266"/>
      <c r="E8" s="2266"/>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966</v>
      </c>
      <c r="B13" s="305" t="str">
        <f t="shared" ref="B13:B18" si="0">IF(A13="","",VLOOKUP(A13,EQUI,2,FALSE))</f>
        <v>Herramienta Menor (5% de la mano de obra).</v>
      </c>
      <c r="C13" s="306"/>
      <c r="D13" s="306"/>
      <c r="E13" s="276" t="str">
        <f t="shared" ref="E13:E18" si="1">IF(A13="","",VLOOKUP(A13,EQUI,3,FALSE))</f>
        <v>%</v>
      </c>
      <c r="F13" s="433">
        <f>IF(A13="","",VLOOKUP(A13,EQUI,4,FALSE))</f>
        <v>0.05</v>
      </c>
      <c r="G13" s="307">
        <f>ROUND(F13*H50,0)</f>
        <v>1345</v>
      </c>
      <c r="H13" s="308">
        <f>+G13</f>
        <v>1345</v>
      </c>
      <c r="I13" s="309"/>
    </row>
    <row r="14" spans="1:9">
      <c r="A14" s="536"/>
      <c r="B14" s="305" t="str">
        <f t="shared" si="0"/>
        <v/>
      </c>
      <c r="C14" s="306"/>
      <c r="D14" s="306"/>
      <c r="E14" s="276" t="str">
        <f t="shared" si="1"/>
        <v/>
      </c>
      <c r="F14" s="405"/>
      <c r="G14" s="310" t="str">
        <f>IF(A14="","",VLOOKUP(A14,EQUI,4,FALSE))</f>
        <v/>
      </c>
      <c r="H14" s="311" t="str">
        <f>IF(A14="","",ROUND((G14/F14),0))</f>
        <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1345</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t="s">
        <v>1732</v>
      </c>
      <c r="B23" s="353" t="str">
        <f>IF(A23="","",VLOOKUP(A23,MAT,2,FALSE))</f>
        <v xml:space="preserve">Tubería Corrugada Alcantarillado RS8 de 160 mm </v>
      </c>
      <c r="C23" s="305"/>
      <c r="D23" s="306"/>
      <c r="E23" s="276" t="str">
        <f>IF(A23="","",VLOOKUP(A23,MAT,3,FALSE))</f>
        <v>m.</v>
      </c>
      <c r="F23" s="405">
        <v>1.03</v>
      </c>
      <c r="G23" s="310">
        <f>IF(A23="","",VLOOKUP(A23,MAT,5,FALSE))</f>
        <v>52566.833333333336</v>
      </c>
      <c r="H23" s="311">
        <f>IF(A23="","",ROUND((G23*F23),0))</f>
        <v>54144</v>
      </c>
    </row>
    <row r="24" spans="1:8">
      <c r="A24" s="534" t="s">
        <v>1387</v>
      </c>
      <c r="B24" s="353" t="str">
        <f>IF(A24="","",VLOOKUP(A24,MAT,2,FALSE))</f>
        <v>Lubricante PVC x 500 gr.</v>
      </c>
      <c r="C24" s="305"/>
      <c r="D24" s="306"/>
      <c r="E24" s="276" t="str">
        <f>IF(A24="","",VLOOKUP(A24,MAT,3,FALSE))</f>
        <v>Lb.</v>
      </c>
      <c r="F24" s="405">
        <v>7.0000000000000007E-2</v>
      </c>
      <c r="G24" s="310">
        <f>IF(A24="","",VLOOKUP(A24,MAT,5,FALSE))</f>
        <v>34081</v>
      </c>
      <c r="H24" s="311">
        <f>IF(A24="","",ROUND((G24*F24),0))</f>
        <v>2386</v>
      </c>
    </row>
    <row r="25" spans="1:8">
      <c r="A25" s="534" t="s">
        <v>1388</v>
      </c>
      <c r="B25" s="353" t="str">
        <f>IF(A25="","",VLOOKUP(A25,MAT,2,FALSE))</f>
        <v>Limpiador PVC x 1/4.</v>
      </c>
      <c r="C25" s="305"/>
      <c r="D25" s="306"/>
      <c r="E25" s="276" t="str">
        <f>IF(A25="","",VLOOKUP(A25,MAT,3,FALSE))</f>
        <v>1/4 Gal</v>
      </c>
      <c r="F25" s="405">
        <v>2.8000000000000001E-2</v>
      </c>
      <c r="G25" s="310">
        <f>IF(A25="","",VLOOKUP(A25,MAT,5,FALSE))</f>
        <v>72505</v>
      </c>
      <c r="H25" s="311">
        <f>IF(A25="","",ROUND((G25*F25),0))</f>
        <v>2030</v>
      </c>
    </row>
    <row r="26" spans="1:8">
      <c r="A26" s="534"/>
      <c r="B26" s="305" t="str">
        <f t="shared" ref="B26:B32" si="2">IF(A26="","",VLOOKUP(A26,MAT,2,FALSE))</f>
        <v/>
      </c>
      <c r="C26" s="305"/>
      <c r="D26" s="306"/>
      <c r="E26" s="276" t="str">
        <f t="shared" ref="E26:E32" si="3">IF(A26="","",VLOOKUP(A26,MAT,3,FALSE))</f>
        <v/>
      </c>
      <c r="F26" s="405"/>
      <c r="G26" s="310" t="str">
        <f t="shared" ref="G26:G32" si="4">IF(A26="","",VLOOKUP(A26,MAT,5,FALSE))</f>
        <v/>
      </c>
      <c r="H26" s="311" t="str">
        <f t="shared" ref="H26:H32" si="5">IF(A26="","",ROUND((G26*F26),0))</f>
        <v/>
      </c>
    </row>
    <row r="27" spans="1:8">
      <c r="A27" s="534"/>
      <c r="B27" s="305" t="str">
        <f t="shared" si="2"/>
        <v/>
      </c>
      <c r="C27" s="305"/>
      <c r="D27" s="306"/>
      <c r="E27" s="276" t="str">
        <f t="shared" si="3"/>
        <v/>
      </c>
      <c r="F27" s="405"/>
      <c r="G27" s="310" t="str">
        <f t="shared" si="4"/>
        <v/>
      </c>
      <c r="H27" s="311" t="str">
        <f t="shared" si="5"/>
        <v/>
      </c>
    </row>
    <row r="28" spans="1:8">
      <c r="A28" s="534"/>
      <c r="B28" s="305" t="str">
        <f t="shared" si="2"/>
        <v/>
      </c>
      <c r="C28" s="305"/>
      <c r="D28" s="306"/>
      <c r="E28" s="276" t="str">
        <f t="shared" si="3"/>
        <v/>
      </c>
      <c r="F28" s="405"/>
      <c r="G28" s="310" t="str">
        <f t="shared" si="4"/>
        <v/>
      </c>
      <c r="H28" s="311" t="str">
        <f t="shared" si="5"/>
        <v/>
      </c>
    </row>
    <row r="29" spans="1:8">
      <c r="A29" s="534"/>
      <c r="B29" s="305" t="str">
        <f t="shared" si="2"/>
        <v/>
      </c>
      <c r="C29" s="305"/>
      <c r="D29" s="306"/>
      <c r="E29" s="276" t="str">
        <f t="shared" si="3"/>
        <v/>
      </c>
      <c r="F29" s="405"/>
      <c r="G29" s="310" t="str">
        <f t="shared" si="4"/>
        <v/>
      </c>
      <c r="H29" s="311" t="str">
        <f t="shared" si="5"/>
        <v/>
      </c>
    </row>
    <row r="30" spans="1:8">
      <c r="A30" s="534"/>
      <c r="B30" s="305" t="str">
        <f t="shared" si="2"/>
        <v/>
      </c>
      <c r="C30" s="305"/>
      <c r="D30" s="306"/>
      <c r="E30" s="276" t="str">
        <f t="shared" si="3"/>
        <v/>
      </c>
      <c r="F30" s="405"/>
      <c r="G30" s="310" t="str">
        <f t="shared" si="4"/>
        <v/>
      </c>
      <c r="H30" s="311" t="str">
        <f t="shared" si="5"/>
        <v/>
      </c>
    </row>
    <row r="31" spans="1:8">
      <c r="A31" s="534"/>
      <c r="B31" s="305" t="str">
        <f t="shared" si="2"/>
        <v/>
      </c>
      <c r="C31" s="305"/>
      <c r="D31" s="306"/>
      <c r="E31" s="276" t="str">
        <f t="shared" si="3"/>
        <v/>
      </c>
      <c r="F31" s="405"/>
      <c r="G31" s="310" t="str">
        <f t="shared" si="4"/>
        <v/>
      </c>
      <c r="H31" s="311" t="str">
        <f t="shared" si="5"/>
        <v/>
      </c>
    </row>
    <row r="32" spans="1:8" ht="13.5" thickBot="1">
      <c r="A32" s="535"/>
      <c r="B32" s="326" t="str">
        <f t="shared" si="2"/>
        <v/>
      </c>
      <c r="C32" s="314"/>
      <c r="D32" s="314"/>
      <c r="E32" s="315" t="str">
        <f t="shared" si="3"/>
        <v/>
      </c>
      <c r="F32" s="406"/>
      <c r="G32" s="327" t="str">
        <f t="shared" si="4"/>
        <v/>
      </c>
      <c r="H32" s="311" t="str">
        <f t="shared" si="5"/>
        <v/>
      </c>
    </row>
    <row r="33" spans="1:8" ht="13.5" thickBot="1">
      <c r="A33" s="285"/>
      <c r="B33" s="285"/>
      <c r="C33" s="285"/>
      <c r="D33" s="285"/>
      <c r="E33" s="286"/>
      <c r="F33" s="285"/>
      <c r="G33" s="210" t="s">
        <v>529</v>
      </c>
      <c r="H33" s="328">
        <f>ROUND(SUM(H23:H32),0)</f>
        <v>58560</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546" t="str">
        <f>A23</f>
        <v>TA6</v>
      </c>
      <c r="B37" s="305" t="str">
        <f>IF(A37="","",VLOOKUP(A37,MAT,2,FALSE))</f>
        <v xml:space="preserve">Tubería Corrugada Alcantarillado RS8 de 160 mm </v>
      </c>
      <c r="C37" s="333"/>
      <c r="D37" s="409" t="str">
        <f>IF(A37="","",VLOOKUP(A37,MAT,3,FALSE))</f>
        <v>m.</v>
      </c>
      <c r="E37" s="419">
        <f>IF(A37="","",VLOOKUP(A37,MAT,6,FALSE))</f>
        <v>160</v>
      </c>
      <c r="F37" s="413">
        <f>IF(A37="","",VLOOKUP(A37,$A$23:$H$32,6,FALSE))</f>
        <v>1.03</v>
      </c>
      <c r="G37" s="334">
        <f>IF(A37="","",VLOOKUP(A37,MAT,7,FALSE))</f>
        <v>15</v>
      </c>
      <c r="H37" s="311">
        <f>(ROUND((G37*F37*E37),0))</f>
        <v>2472</v>
      </c>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t="str">
        <f>IF(A39="","",ROUND((G39*F39*E39),0))</f>
        <v/>
      </c>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2472</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940</v>
      </c>
      <c r="B46" s="2192" t="str">
        <f>IF(A46="","",VLOOKUP(A46,MO,2,FALSE))</f>
        <v>Cuadrilla NN: Instalaciones hidrosanitarias. (1 Of.Insta.+ 2 Ayud.).</v>
      </c>
      <c r="C46" s="2193"/>
      <c r="D46" s="2194"/>
      <c r="E46" s="538" t="str">
        <f>IF(A46="","",VLOOKUP(A46,MO,13,FALSE))</f>
        <v>HC</v>
      </c>
      <c r="F46" s="544">
        <v>3.62</v>
      </c>
      <c r="G46" s="540">
        <f>IF(A46="","",VLOOKUP(A46,MO,15,FALSE))</f>
        <v>97342</v>
      </c>
      <c r="H46" s="542">
        <f>IF(A46="","",ROUND((G46/F46),0))</f>
        <v>26890</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26890</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89267</v>
      </c>
    </row>
    <row r="53" spans="1:8">
      <c r="A53" s="285"/>
      <c r="B53" s="285"/>
      <c r="C53" s="285"/>
      <c r="D53" s="285"/>
      <c r="E53" s="346"/>
      <c r="F53" s="347"/>
      <c r="G53" s="347"/>
      <c r="H53" s="349"/>
    </row>
    <row r="54" spans="1:8">
      <c r="A54" s="285"/>
      <c r="B54" s="285"/>
      <c r="C54" s="285"/>
      <c r="D54" s="285"/>
      <c r="E54" s="346"/>
      <c r="F54" s="347"/>
      <c r="G54" s="347"/>
      <c r="H54" s="349"/>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c r="A59" s="703" t="str">
        <f>+[14]PRESUPUESTO!$A$113</f>
        <v>__________________________________________</v>
      </c>
      <c r="B59" s="703"/>
    </row>
    <row r="60" spans="1:8">
      <c r="A60" s="810" t="str">
        <f>+[14]PRESUPUESTO!$A$114</f>
        <v>Ing. JHON FREDY GARCIA MENDEZ</v>
      </c>
      <c r="B60" s="703"/>
    </row>
    <row r="61" spans="1:8">
      <c r="A61" s="811" t="str">
        <f>+[14]PRESUPUESTO!$A$115</f>
        <v>M.P.  70268-326294 TLM.</v>
      </c>
      <c r="B61" s="703"/>
    </row>
    <row r="62" spans="1:8">
      <c r="A62" s="811" t="str">
        <f>+[14]PRESUPUESTO!$A$116</f>
        <v>CONSULTOR</v>
      </c>
      <c r="B62" s="703"/>
    </row>
  </sheetData>
  <mergeCells count="15">
    <mergeCell ref="D2:E4"/>
    <mergeCell ref="F2:H2"/>
    <mergeCell ref="F3:H3"/>
    <mergeCell ref="F4:H4"/>
    <mergeCell ref="A5:E5"/>
    <mergeCell ref="F5:H5"/>
    <mergeCell ref="B47:D47"/>
    <mergeCell ref="B48:D48"/>
    <mergeCell ref="B49:D49"/>
    <mergeCell ref="B6:D6"/>
    <mergeCell ref="B7:E7"/>
    <mergeCell ref="B8:E8"/>
    <mergeCell ref="B36:C36"/>
    <mergeCell ref="B45:D45"/>
    <mergeCell ref="B46:D46"/>
  </mergeCells>
  <pageMargins left="0.75" right="0.75" top="1" bottom="1" header="0" footer="0"/>
  <pageSetup paperSize="9" scale="70" orientation="portrait" r:id="rId1"/>
  <headerFooter alignWithMargins="0"/>
  <drawing r:id="rId2"/>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300-000000000000}">
  <sheetPr>
    <tabColor theme="6" tint="0.79998168889431442"/>
  </sheetPr>
  <dimension ref="A1:I62"/>
  <sheetViews>
    <sheetView workbookViewId="0"/>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2.710937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t="e">
        <f>PRESUPUESTO!#REF!</f>
        <v>#REF!</v>
      </c>
      <c r="B7" s="2185" t="e">
        <f>PRESUPUESTO!#REF!</f>
        <v>#REF!</v>
      </c>
      <c r="C7" s="2185"/>
      <c r="D7" s="2185"/>
      <c r="E7" s="2185"/>
      <c r="F7" s="289"/>
      <c r="G7" s="290" t="s">
        <v>525</v>
      </c>
      <c r="H7" s="97" t="e">
        <f>+PRESUPUESTO!#REF!</f>
        <v>#REF!</v>
      </c>
    </row>
    <row r="8" spans="1:9" ht="54.75" customHeight="1">
      <c r="A8" s="97" t="e">
        <f>+PRESUPUESTO!#REF!</f>
        <v>#REF!</v>
      </c>
      <c r="B8" s="2217" t="e">
        <f>+PRESUPUESTO!#REF!</f>
        <v>#REF!</v>
      </c>
      <c r="C8" s="2217"/>
      <c r="D8" s="2217"/>
      <c r="E8" s="221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966</v>
      </c>
      <c r="B13" s="305" t="str">
        <f t="shared" ref="B13:B18" si="0">IF(A13="","",VLOOKUP(A13,EQUI,2,FALSE))</f>
        <v>Herramienta Menor (5% de la mano de obra).</v>
      </c>
      <c r="C13" s="306"/>
      <c r="D13" s="306"/>
      <c r="E13" s="276" t="str">
        <f t="shared" ref="E13:E18" si="1">IF(A13="","",VLOOKUP(A13,EQUI,3,FALSE))</f>
        <v>%</v>
      </c>
      <c r="F13" s="433">
        <f>IF(A13="","",VLOOKUP(A13,EQUI,4,FALSE))</f>
        <v>0.05</v>
      </c>
      <c r="G13" s="307">
        <f>ROUND(F13*H50,0)</f>
        <v>1180</v>
      </c>
      <c r="H13" s="308">
        <f>+G13</f>
        <v>1180</v>
      </c>
      <c r="I13" s="309"/>
    </row>
    <row r="14" spans="1:9">
      <c r="A14" s="536" t="s">
        <v>481</v>
      </c>
      <c r="B14" s="305" t="str">
        <f t="shared" si="0"/>
        <v>Apisonador tipo canguro</v>
      </c>
      <c r="C14" s="306"/>
      <c r="D14" s="306"/>
      <c r="E14" s="276" t="str">
        <f t="shared" si="1"/>
        <v>Dia</v>
      </c>
      <c r="F14" s="405">
        <v>20</v>
      </c>
      <c r="G14" s="310">
        <f>IF(A14="","",VLOOKUP(A14,EQUI,4,FALSE))</f>
        <v>95693</v>
      </c>
      <c r="H14" s="311">
        <f>IF(A14="","",ROUND((G14/F14),0))</f>
        <v>4785</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5965</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c r="B23" s="353" t="str">
        <f t="shared" ref="B23:B32" si="2">IF(A23="","",VLOOKUP(A23,MAT,2,FALSE))</f>
        <v/>
      </c>
      <c r="C23" s="305"/>
      <c r="D23" s="306"/>
      <c r="E23" s="276" t="str">
        <f t="shared" ref="E23:E32" si="3">IF(A23="","",VLOOKUP(A23,MAT,3,FALSE))</f>
        <v/>
      </c>
      <c r="F23" s="405"/>
      <c r="G23" s="310" t="str">
        <f t="shared" ref="G23:G32" si="4">IF(A23="","",VLOOKUP(A23,MAT,5,FALSE))</f>
        <v/>
      </c>
      <c r="H23" s="311" t="str">
        <f t="shared" ref="H23:H32" si="5">IF(A23="","",ROUND((G23*F23),0))</f>
        <v/>
      </c>
    </row>
    <row r="24" spans="1:8">
      <c r="A24" s="534"/>
      <c r="B24" s="353" t="str">
        <f t="shared" si="2"/>
        <v/>
      </c>
      <c r="C24" s="305"/>
      <c r="D24" s="306"/>
      <c r="E24" s="276" t="str">
        <f t="shared" si="3"/>
        <v/>
      </c>
      <c r="F24" s="405"/>
      <c r="G24" s="310" t="str">
        <f t="shared" si="4"/>
        <v/>
      </c>
      <c r="H24" s="311" t="str">
        <f t="shared" si="5"/>
        <v/>
      </c>
    </row>
    <row r="25" spans="1:8">
      <c r="A25" s="534"/>
      <c r="B25" s="353" t="str">
        <f t="shared" si="2"/>
        <v/>
      </c>
      <c r="C25" s="305"/>
      <c r="D25" s="306"/>
      <c r="E25" s="276" t="str">
        <f t="shared" si="3"/>
        <v/>
      </c>
      <c r="F25" s="405"/>
      <c r="G25" s="310" t="str">
        <f t="shared" si="4"/>
        <v/>
      </c>
      <c r="H25" s="311" t="str">
        <f t="shared" si="5"/>
        <v/>
      </c>
    </row>
    <row r="26" spans="1:8">
      <c r="A26" s="534"/>
      <c r="B26" s="305" t="str">
        <f t="shared" si="2"/>
        <v/>
      </c>
      <c r="C26" s="305"/>
      <c r="D26" s="306"/>
      <c r="E26" s="276" t="str">
        <f t="shared" si="3"/>
        <v/>
      </c>
      <c r="F26" s="405"/>
      <c r="G26" s="310" t="str">
        <f t="shared" si="4"/>
        <v/>
      </c>
      <c r="H26" s="311" t="str">
        <f t="shared" si="5"/>
        <v/>
      </c>
    </row>
    <row r="27" spans="1:8">
      <c r="A27" s="534"/>
      <c r="B27" s="305" t="str">
        <f t="shared" si="2"/>
        <v/>
      </c>
      <c r="C27" s="305"/>
      <c r="D27" s="306"/>
      <c r="E27" s="276" t="str">
        <f t="shared" si="3"/>
        <v/>
      </c>
      <c r="F27" s="405"/>
      <c r="G27" s="310" t="str">
        <f t="shared" si="4"/>
        <v/>
      </c>
      <c r="H27" s="311" t="str">
        <f t="shared" si="5"/>
        <v/>
      </c>
    </row>
    <row r="28" spans="1:8">
      <c r="A28" s="534"/>
      <c r="B28" s="305" t="str">
        <f t="shared" si="2"/>
        <v/>
      </c>
      <c r="C28" s="305"/>
      <c r="D28" s="306"/>
      <c r="E28" s="276" t="str">
        <f t="shared" si="3"/>
        <v/>
      </c>
      <c r="F28" s="405"/>
      <c r="G28" s="310" t="str">
        <f t="shared" si="4"/>
        <v/>
      </c>
      <c r="H28" s="311" t="str">
        <f t="shared" si="5"/>
        <v/>
      </c>
    </row>
    <row r="29" spans="1:8">
      <c r="A29" s="534"/>
      <c r="B29" s="305" t="str">
        <f t="shared" si="2"/>
        <v/>
      </c>
      <c r="C29" s="305"/>
      <c r="D29" s="306"/>
      <c r="E29" s="276" t="str">
        <f t="shared" si="3"/>
        <v/>
      </c>
      <c r="F29" s="405"/>
      <c r="G29" s="310" t="str">
        <f t="shared" si="4"/>
        <v/>
      </c>
      <c r="H29" s="311" t="str">
        <f t="shared" si="5"/>
        <v/>
      </c>
    </row>
    <row r="30" spans="1:8">
      <c r="A30" s="534"/>
      <c r="B30" s="305" t="str">
        <f t="shared" si="2"/>
        <v/>
      </c>
      <c r="C30" s="305"/>
      <c r="D30" s="306"/>
      <c r="E30" s="276" t="str">
        <f t="shared" si="3"/>
        <v/>
      </c>
      <c r="F30" s="405"/>
      <c r="G30" s="310" t="str">
        <f t="shared" si="4"/>
        <v/>
      </c>
      <c r="H30" s="311" t="str">
        <f t="shared" si="5"/>
        <v/>
      </c>
    </row>
    <row r="31" spans="1:8">
      <c r="A31" s="534"/>
      <c r="B31" s="305" t="str">
        <f t="shared" si="2"/>
        <v/>
      </c>
      <c r="C31" s="305"/>
      <c r="D31" s="306"/>
      <c r="E31" s="276" t="str">
        <f t="shared" si="3"/>
        <v/>
      </c>
      <c r="F31" s="405"/>
      <c r="G31" s="310" t="str">
        <f t="shared" si="4"/>
        <v/>
      </c>
      <c r="H31" s="311" t="str">
        <f t="shared" si="5"/>
        <v/>
      </c>
    </row>
    <row r="32" spans="1:8" ht="13.5" thickBot="1">
      <c r="A32" s="535"/>
      <c r="B32" s="326" t="str">
        <f t="shared" si="2"/>
        <v/>
      </c>
      <c r="C32" s="314"/>
      <c r="D32" s="314"/>
      <c r="E32" s="315" t="str">
        <f t="shared" si="3"/>
        <v/>
      </c>
      <c r="F32" s="406"/>
      <c r="G32" s="327" t="str">
        <f t="shared" si="4"/>
        <v/>
      </c>
      <c r="H32" s="311" t="str">
        <f t="shared" si="5"/>
        <v/>
      </c>
    </row>
    <row r="33" spans="1:8" ht="13.5" thickBot="1">
      <c r="A33" s="285"/>
      <c r="B33" s="285"/>
      <c r="C33" s="285"/>
      <c r="D33" s="285"/>
      <c r="E33" s="286"/>
      <c r="F33" s="285"/>
      <c r="G33" s="210" t="s">
        <v>529</v>
      </c>
      <c r="H33" s="328">
        <f>ROUND(SUM(H23:H32),0)</f>
        <v>0</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546"/>
      <c r="B37" s="305" t="str">
        <f>IF(A37="","",VLOOKUP(A37,MAT,2,FALSE))</f>
        <v/>
      </c>
      <c r="C37" s="333"/>
      <c r="D37" s="409" t="str">
        <f>IF(A37="","",VLOOKUP(A37,MAT,3,FALSE))</f>
        <v/>
      </c>
      <c r="E37" s="419" t="str">
        <f>IF(A37="","",VLOOKUP(A37,MAT,6,FALSE))</f>
        <v/>
      </c>
      <c r="F37" s="413"/>
      <c r="G37" s="334" t="str">
        <f>IF(A37="","",VLOOKUP(A37,MAT,7,FALSE))</f>
        <v/>
      </c>
      <c r="H37" s="311" t="str">
        <f>IF(A37="","",ROUND((G37*F37*E37),0))</f>
        <v/>
      </c>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t="str">
        <f>IF(A39="","",ROUND((G39*F39*E39),0))</f>
        <v/>
      </c>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0</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883</v>
      </c>
      <c r="B46" s="2192" t="str">
        <f>IF(A46="","",VLOOKUP(A46,MO,2,FALSE))</f>
        <v>Cuadrilla AA: Albañilería. (1 Of. + 1 Ayud.).</v>
      </c>
      <c r="C46" s="2193"/>
      <c r="D46" s="2194"/>
      <c r="E46" s="538" t="str">
        <f>IF(A46="","",VLOOKUP(A46,MO,13,FALSE))</f>
        <v>HC</v>
      </c>
      <c r="F46" s="544">
        <v>1.65</v>
      </c>
      <c r="G46" s="540">
        <f>IF(A46="","",VLOOKUP(A46,MO,15,FALSE))</f>
        <v>38949</v>
      </c>
      <c r="H46" s="542">
        <f>IF(A46="","",ROUND((G46/F46),0))</f>
        <v>23605</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23605</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29570</v>
      </c>
    </row>
    <row r="53" spans="1:8">
      <c r="A53" s="285"/>
      <c r="B53" s="285"/>
      <c r="C53" s="285"/>
      <c r="D53" s="285"/>
      <c r="E53" s="346"/>
      <c r="F53" s="347"/>
      <c r="G53" s="347"/>
      <c r="H53" s="349"/>
    </row>
    <row r="54" spans="1:8">
      <c r="A54" s="285"/>
      <c r="B54" s="285"/>
      <c r="C54" s="285"/>
      <c r="D54" s="285"/>
      <c r="E54" s="346"/>
      <c r="F54" s="347"/>
      <c r="G54" s="347"/>
      <c r="H54" s="349"/>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c r="A59" s="703" t="str">
        <f>+[14]PRESUPUESTO!$A$113</f>
        <v>__________________________________________</v>
      </c>
      <c r="B59" s="703"/>
    </row>
    <row r="60" spans="1:8">
      <c r="A60" s="810" t="str">
        <f>+[14]PRESUPUESTO!$A$114</f>
        <v>Ing. JHON FREDY GARCIA MENDEZ</v>
      </c>
      <c r="B60" s="703"/>
    </row>
    <row r="61" spans="1:8">
      <c r="A61" s="811" t="str">
        <f>+[14]PRESUPUESTO!$A$115</f>
        <v>M.P.  70268-326294 TLM.</v>
      </c>
      <c r="B61" s="703"/>
    </row>
    <row r="62" spans="1:8">
      <c r="A62" s="811" t="str">
        <f>+[14]PRESUPUESTO!$A$116</f>
        <v>CONSULTOR</v>
      </c>
      <c r="B62" s="703"/>
    </row>
  </sheetData>
  <mergeCells count="15">
    <mergeCell ref="D2:E4"/>
    <mergeCell ref="F2:H2"/>
    <mergeCell ref="F3:H3"/>
    <mergeCell ref="F4:H4"/>
    <mergeCell ref="A5:E5"/>
    <mergeCell ref="F5:H5"/>
    <mergeCell ref="B47:D47"/>
    <mergeCell ref="B48:D48"/>
    <mergeCell ref="B49:D49"/>
    <mergeCell ref="B6:D6"/>
    <mergeCell ref="B7:E7"/>
    <mergeCell ref="B8:E8"/>
    <mergeCell ref="B36:C36"/>
    <mergeCell ref="B45:D45"/>
    <mergeCell ref="B46:D46"/>
  </mergeCells>
  <pageMargins left="0.75" right="0.75" top="1" bottom="1" header="0" footer="0"/>
  <pageSetup paperSize="9" scale="70" orientation="portrait" r:id="rId1"/>
  <headerFooter alignWithMargins="0"/>
  <drawing r:id="rId2"/>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400-000000000000}">
  <sheetPr>
    <tabColor theme="8" tint="0.79998168889431442"/>
  </sheetPr>
  <dimension ref="A1:I62"/>
  <sheetViews>
    <sheetView workbookViewId="0"/>
  </sheetViews>
  <sheetFormatPr baseColWidth="10" defaultColWidth="11.42578125" defaultRowHeight="12.75"/>
  <cols>
    <col min="1" max="1" width="9.140625" style="703" customWidth="1"/>
    <col min="2" max="2" width="12.28515625" style="703" bestFit="1" customWidth="1"/>
    <col min="3" max="3" width="25.85546875" style="703" customWidth="1"/>
    <col min="4" max="4" width="21" style="703" customWidth="1"/>
    <col min="5" max="5" width="13" style="703" customWidth="1"/>
    <col min="6" max="6" width="11.7109375" style="703" bestFit="1" customWidth="1"/>
    <col min="7" max="7" width="14" style="703" customWidth="1"/>
    <col min="8" max="8" width="12.7109375" style="703" customWidth="1"/>
    <col min="9" max="256" width="11.42578125" style="703"/>
    <col min="257" max="257" width="9.140625" style="703" customWidth="1"/>
    <col min="258" max="258" width="12.28515625" style="703" bestFit="1" customWidth="1"/>
    <col min="259" max="259" width="25.85546875" style="703" customWidth="1"/>
    <col min="260" max="260" width="21" style="703" customWidth="1"/>
    <col min="261" max="261" width="13" style="703" customWidth="1"/>
    <col min="262" max="262" width="11.7109375" style="703" bestFit="1" customWidth="1"/>
    <col min="263" max="263" width="14" style="703" customWidth="1"/>
    <col min="264" max="264" width="12.7109375" style="703" customWidth="1"/>
    <col min="265" max="512" width="11.42578125" style="703"/>
    <col min="513" max="513" width="9.140625" style="703" customWidth="1"/>
    <col min="514" max="514" width="12.28515625" style="703" bestFit="1" customWidth="1"/>
    <col min="515" max="515" width="25.85546875" style="703" customWidth="1"/>
    <col min="516" max="516" width="21" style="703" customWidth="1"/>
    <col min="517" max="517" width="13" style="703" customWidth="1"/>
    <col min="518" max="518" width="11.7109375" style="703" bestFit="1" customWidth="1"/>
    <col min="519" max="519" width="14" style="703" customWidth="1"/>
    <col min="520" max="520" width="12.7109375" style="703" customWidth="1"/>
    <col min="521" max="768" width="11.42578125" style="703"/>
    <col min="769" max="769" width="9.140625" style="703" customWidth="1"/>
    <col min="770" max="770" width="12.28515625" style="703" bestFit="1" customWidth="1"/>
    <col min="771" max="771" width="25.85546875" style="703" customWidth="1"/>
    <col min="772" max="772" width="21" style="703" customWidth="1"/>
    <col min="773" max="773" width="13" style="703" customWidth="1"/>
    <col min="774" max="774" width="11.7109375" style="703" bestFit="1" customWidth="1"/>
    <col min="775" max="775" width="14" style="703" customWidth="1"/>
    <col min="776" max="776" width="12.7109375" style="703" customWidth="1"/>
    <col min="777" max="1024" width="11.42578125" style="703"/>
    <col min="1025" max="1025" width="9.140625" style="703" customWidth="1"/>
    <col min="1026" max="1026" width="12.28515625" style="703" bestFit="1" customWidth="1"/>
    <col min="1027" max="1027" width="25.85546875" style="703" customWidth="1"/>
    <col min="1028" max="1028" width="21" style="703" customWidth="1"/>
    <col min="1029" max="1029" width="13" style="703" customWidth="1"/>
    <col min="1030" max="1030" width="11.7109375" style="703" bestFit="1" customWidth="1"/>
    <col min="1031" max="1031" width="14" style="703" customWidth="1"/>
    <col min="1032" max="1032" width="12.7109375" style="703" customWidth="1"/>
    <col min="1033" max="1280" width="11.42578125" style="703"/>
    <col min="1281" max="1281" width="9.140625" style="703" customWidth="1"/>
    <col min="1282" max="1282" width="12.28515625" style="703" bestFit="1" customWidth="1"/>
    <col min="1283" max="1283" width="25.85546875" style="703" customWidth="1"/>
    <col min="1284" max="1284" width="21" style="703" customWidth="1"/>
    <col min="1285" max="1285" width="13" style="703" customWidth="1"/>
    <col min="1286" max="1286" width="11.7109375" style="703" bestFit="1" customWidth="1"/>
    <col min="1287" max="1287" width="14" style="703" customWidth="1"/>
    <col min="1288" max="1288" width="12.7109375" style="703" customWidth="1"/>
    <col min="1289" max="1536" width="11.42578125" style="703"/>
    <col min="1537" max="1537" width="9.140625" style="703" customWidth="1"/>
    <col min="1538" max="1538" width="12.28515625" style="703" bestFit="1" customWidth="1"/>
    <col min="1539" max="1539" width="25.85546875" style="703" customWidth="1"/>
    <col min="1540" max="1540" width="21" style="703" customWidth="1"/>
    <col min="1541" max="1541" width="13" style="703" customWidth="1"/>
    <col min="1542" max="1542" width="11.7109375" style="703" bestFit="1" customWidth="1"/>
    <col min="1543" max="1543" width="14" style="703" customWidth="1"/>
    <col min="1544" max="1544" width="12.7109375" style="703" customWidth="1"/>
    <col min="1545" max="1792" width="11.42578125" style="703"/>
    <col min="1793" max="1793" width="9.140625" style="703" customWidth="1"/>
    <col min="1794" max="1794" width="12.28515625" style="703" bestFit="1" customWidth="1"/>
    <col min="1795" max="1795" width="25.85546875" style="703" customWidth="1"/>
    <col min="1796" max="1796" width="21" style="703" customWidth="1"/>
    <col min="1797" max="1797" width="13" style="703" customWidth="1"/>
    <col min="1798" max="1798" width="11.7109375" style="703" bestFit="1" customWidth="1"/>
    <col min="1799" max="1799" width="14" style="703" customWidth="1"/>
    <col min="1800" max="1800" width="12.7109375" style="703" customWidth="1"/>
    <col min="1801" max="2048" width="11.42578125" style="703"/>
    <col min="2049" max="2049" width="9.140625" style="703" customWidth="1"/>
    <col min="2050" max="2050" width="12.28515625" style="703" bestFit="1" customWidth="1"/>
    <col min="2051" max="2051" width="25.85546875" style="703" customWidth="1"/>
    <col min="2052" max="2052" width="21" style="703" customWidth="1"/>
    <col min="2053" max="2053" width="13" style="703" customWidth="1"/>
    <col min="2054" max="2054" width="11.7109375" style="703" bestFit="1" customWidth="1"/>
    <col min="2055" max="2055" width="14" style="703" customWidth="1"/>
    <col min="2056" max="2056" width="12.7109375" style="703" customWidth="1"/>
    <col min="2057" max="2304" width="11.42578125" style="703"/>
    <col min="2305" max="2305" width="9.140625" style="703" customWidth="1"/>
    <col min="2306" max="2306" width="12.28515625" style="703" bestFit="1" customWidth="1"/>
    <col min="2307" max="2307" width="25.85546875" style="703" customWidth="1"/>
    <col min="2308" max="2308" width="21" style="703" customWidth="1"/>
    <col min="2309" max="2309" width="13" style="703" customWidth="1"/>
    <col min="2310" max="2310" width="11.7109375" style="703" bestFit="1" customWidth="1"/>
    <col min="2311" max="2311" width="14" style="703" customWidth="1"/>
    <col min="2312" max="2312" width="12.7109375" style="703" customWidth="1"/>
    <col min="2313" max="2560" width="11.42578125" style="703"/>
    <col min="2561" max="2561" width="9.140625" style="703" customWidth="1"/>
    <col min="2562" max="2562" width="12.28515625" style="703" bestFit="1" customWidth="1"/>
    <col min="2563" max="2563" width="25.85546875" style="703" customWidth="1"/>
    <col min="2564" max="2564" width="21" style="703" customWidth="1"/>
    <col min="2565" max="2565" width="13" style="703" customWidth="1"/>
    <col min="2566" max="2566" width="11.7109375" style="703" bestFit="1" customWidth="1"/>
    <col min="2567" max="2567" width="14" style="703" customWidth="1"/>
    <col min="2568" max="2568" width="12.7109375" style="703" customWidth="1"/>
    <col min="2569" max="2816" width="11.42578125" style="703"/>
    <col min="2817" max="2817" width="9.140625" style="703" customWidth="1"/>
    <col min="2818" max="2818" width="12.28515625" style="703" bestFit="1" customWidth="1"/>
    <col min="2819" max="2819" width="25.85546875" style="703" customWidth="1"/>
    <col min="2820" max="2820" width="21" style="703" customWidth="1"/>
    <col min="2821" max="2821" width="13" style="703" customWidth="1"/>
    <col min="2822" max="2822" width="11.7109375" style="703" bestFit="1" customWidth="1"/>
    <col min="2823" max="2823" width="14" style="703" customWidth="1"/>
    <col min="2824" max="2824" width="12.7109375" style="703" customWidth="1"/>
    <col min="2825" max="3072" width="11.42578125" style="703"/>
    <col min="3073" max="3073" width="9.140625" style="703" customWidth="1"/>
    <col min="3074" max="3074" width="12.28515625" style="703" bestFit="1" customWidth="1"/>
    <col min="3075" max="3075" width="25.85546875" style="703" customWidth="1"/>
    <col min="3076" max="3076" width="21" style="703" customWidth="1"/>
    <col min="3077" max="3077" width="13" style="703" customWidth="1"/>
    <col min="3078" max="3078" width="11.7109375" style="703" bestFit="1" customWidth="1"/>
    <col min="3079" max="3079" width="14" style="703" customWidth="1"/>
    <col min="3080" max="3080" width="12.7109375" style="703" customWidth="1"/>
    <col min="3081" max="3328" width="11.42578125" style="703"/>
    <col min="3329" max="3329" width="9.140625" style="703" customWidth="1"/>
    <col min="3330" max="3330" width="12.28515625" style="703" bestFit="1" customWidth="1"/>
    <col min="3331" max="3331" width="25.85546875" style="703" customWidth="1"/>
    <col min="3332" max="3332" width="21" style="703" customWidth="1"/>
    <col min="3333" max="3333" width="13" style="703" customWidth="1"/>
    <col min="3334" max="3334" width="11.7109375" style="703" bestFit="1" customWidth="1"/>
    <col min="3335" max="3335" width="14" style="703" customWidth="1"/>
    <col min="3336" max="3336" width="12.7109375" style="703" customWidth="1"/>
    <col min="3337" max="3584" width="11.42578125" style="703"/>
    <col min="3585" max="3585" width="9.140625" style="703" customWidth="1"/>
    <col min="3586" max="3586" width="12.28515625" style="703" bestFit="1" customWidth="1"/>
    <col min="3587" max="3587" width="25.85546875" style="703" customWidth="1"/>
    <col min="3588" max="3588" width="21" style="703" customWidth="1"/>
    <col min="3589" max="3589" width="13" style="703" customWidth="1"/>
    <col min="3590" max="3590" width="11.7109375" style="703" bestFit="1" customWidth="1"/>
    <col min="3591" max="3591" width="14" style="703" customWidth="1"/>
    <col min="3592" max="3592" width="12.7109375" style="703" customWidth="1"/>
    <col min="3593" max="3840" width="11.42578125" style="703"/>
    <col min="3841" max="3841" width="9.140625" style="703" customWidth="1"/>
    <col min="3842" max="3842" width="12.28515625" style="703" bestFit="1" customWidth="1"/>
    <col min="3843" max="3843" width="25.85546875" style="703" customWidth="1"/>
    <col min="3844" max="3844" width="21" style="703" customWidth="1"/>
    <col min="3845" max="3845" width="13" style="703" customWidth="1"/>
    <col min="3846" max="3846" width="11.7109375" style="703" bestFit="1" customWidth="1"/>
    <col min="3847" max="3847" width="14" style="703" customWidth="1"/>
    <col min="3848" max="3848" width="12.7109375" style="703" customWidth="1"/>
    <col min="3849" max="4096" width="11.42578125" style="703"/>
    <col min="4097" max="4097" width="9.140625" style="703" customWidth="1"/>
    <col min="4098" max="4098" width="12.28515625" style="703" bestFit="1" customWidth="1"/>
    <col min="4099" max="4099" width="25.85546875" style="703" customWidth="1"/>
    <col min="4100" max="4100" width="21" style="703" customWidth="1"/>
    <col min="4101" max="4101" width="13" style="703" customWidth="1"/>
    <col min="4102" max="4102" width="11.7109375" style="703" bestFit="1" customWidth="1"/>
    <col min="4103" max="4103" width="14" style="703" customWidth="1"/>
    <col min="4104" max="4104" width="12.7109375" style="703" customWidth="1"/>
    <col min="4105" max="4352" width="11.42578125" style="703"/>
    <col min="4353" max="4353" width="9.140625" style="703" customWidth="1"/>
    <col min="4354" max="4354" width="12.28515625" style="703" bestFit="1" customWidth="1"/>
    <col min="4355" max="4355" width="25.85546875" style="703" customWidth="1"/>
    <col min="4356" max="4356" width="21" style="703" customWidth="1"/>
    <col min="4357" max="4357" width="13" style="703" customWidth="1"/>
    <col min="4358" max="4358" width="11.7109375" style="703" bestFit="1" customWidth="1"/>
    <col min="4359" max="4359" width="14" style="703" customWidth="1"/>
    <col min="4360" max="4360" width="12.7109375" style="703" customWidth="1"/>
    <col min="4361" max="4608" width="11.42578125" style="703"/>
    <col min="4609" max="4609" width="9.140625" style="703" customWidth="1"/>
    <col min="4610" max="4610" width="12.28515625" style="703" bestFit="1" customWidth="1"/>
    <col min="4611" max="4611" width="25.85546875" style="703" customWidth="1"/>
    <col min="4612" max="4612" width="21" style="703" customWidth="1"/>
    <col min="4613" max="4613" width="13" style="703" customWidth="1"/>
    <col min="4614" max="4614" width="11.7109375" style="703" bestFit="1" customWidth="1"/>
    <col min="4615" max="4615" width="14" style="703" customWidth="1"/>
    <col min="4616" max="4616" width="12.7109375" style="703" customWidth="1"/>
    <col min="4617" max="4864" width="11.42578125" style="703"/>
    <col min="4865" max="4865" width="9.140625" style="703" customWidth="1"/>
    <col min="4866" max="4866" width="12.28515625" style="703" bestFit="1" customWidth="1"/>
    <col min="4867" max="4867" width="25.85546875" style="703" customWidth="1"/>
    <col min="4868" max="4868" width="21" style="703" customWidth="1"/>
    <col min="4869" max="4869" width="13" style="703" customWidth="1"/>
    <col min="4870" max="4870" width="11.7109375" style="703" bestFit="1" customWidth="1"/>
    <col min="4871" max="4871" width="14" style="703" customWidth="1"/>
    <col min="4872" max="4872" width="12.7109375" style="703" customWidth="1"/>
    <col min="4873" max="5120" width="11.42578125" style="703"/>
    <col min="5121" max="5121" width="9.140625" style="703" customWidth="1"/>
    <col min="5122" max="5122" width="12.28515625" style="703" bestFit="1" customWidth="1"/>
    <col min="5123" max="5123" width="25.85546875" style="703" customWidth="1"/>
    <col min="5124" max="5124" width="21" style="703" customWidth="1"/>
    <col min="5125" max="5125" width="13" style="703" customWidth="1"/>
    <col min="5126" max="5126" width="11.7109375" style="703" bestFit="1" customWidth="1"/>
    <col min="5127" max="5127" width="14" style="703" customWidth="1"/>
    <col min="5128" max="5128" width="12.7109375" style="703" customWidth="1"/>
    <col min="5129" max="5376" width="11.42578125" style="703"/>
    <col min="5377" max="5377" width="9.140625" style="703" customWidth="1"/>
    <col min="5378" max="5378" width="12.28515625" style="703" bestFit="1" customWidth="1"/>
    <col min="5379" max="5379" width="25.85546875" style="703" customWidth="1"/>
    <col min="5380" max="5380" width="21" style="703" customWidth="1"/>
    <col min="5381" max="5381" width="13" style="703" customWidth="1"/>
    <col min="5382" max="5382" width="11.7109375" style="703" bestFit="1" customWidth="1"/>
    <col min="5383" max="5383" width="14" style="703" customWidth="1"/>
    <col min="5384" max="5384" width="12.7109375" style="703" customWidth="1"/>
    <col min="5385" max="5632" width="11.42578125" style="703"/>
    <col min="5633" max="5633" width="9.140625" style="703" customWidth="1"/>
    <col min="5634" max="5634" width="12.28515625" style="703" bestFit="1" customWidth="1"/>
    <col min="5635" max="5635" width="25.85546875" style="703" customWidth="1"/>
    <col min="5636" max="5636" width="21" style="703" customWidth="1"/>
    <col min="5637" max="5637" width="13" style="703" customWidth="1"/>
    <col min="5638" max="5638" width="11.7109375" style="703" bestFit="1" customWidth="1"/>
    <col min="5639" max="5639" width="14" style="703" customWidth="1"/>
    <col min="5640" max="5640" width="12.7109375" style="703" customWidth="1"/>
    <col min="5641" max="5888" width="11.42578125" style="703"/>
    <col min="5889" max="5889" width="9.140625" style="703" customWidth="1"/>
    <col min="5890" max="5890" width="12.28515625" style="703" bestFit="1" customWidth="1"/>
    <col min="5891" max="5891" width="25.85546875" style="703" customWidth="1"/>
    <col min="5892" max="5892" width="21" style="703" customWidth="1"/>
    <col min="5893" max="5893" width="13" style="703" customWidth="1"/>
    <col min="5894" max="5894" width="11.7109375" style="703" bestFit="1" customWidth="1"/>
    <col min="5895" max="5895" width="14" style="703" customWidth="1"/>
    <col min="5896" max="5896" width="12.7109375" style="703" customWidth="1"/>
    <col min="5897" max="6144" width="11.42578125" style="703"/>
    <col min="6145" max="6145" width="9.140625" style="703" customWidth="1"/>
    <col min="6146" max="6146" width="12.28515625" style="703" bestFit="1" customWidth="1"/>
    <col min="6147" max="6147" width="25.85546875" style="703" customWidth="1"/>
    <col min="6148" max="6148" width="21" style="703" customWidth="1"/>
    <col min="6149" max="6149" width="13" style="703" customWidth="1"/>
    <col min="6150" max="6150" width="11.7109375" style="703" bestFit="1" customWidth="1"/>
    <col min="6151" max="6151" width="14" style="703" customWidth="1"/>
    <col min="6152" max="6152" width="12.7109375" style="703" customWidth="1"/>
    <col min="6153" max="6400" width="11.42578125" style="703"/>
    <col min="6401" max="6401" width="9.140625" style="703" customWidth="1"/>
    <col min="6402" max="6402" width="12.28515625" style="703" bestFit="1" customWidth="1"/>
    <col min="6403" max="6403" width="25.85546875" style="703" customWidth="1"/>
    <col min="6404" max="6404" width="21" style="703" customWidth="1"/>
    <col min="6405" max="6405" width="13" style="703" customWidth="1"/>
    <col min="6406" max="6406" width="11.7109375" style="703" bestFit="1" customWidth="1"/>
    <col min="6407" max="6407" width="14" style="703" customWidth="1"/>
    <col min="6408" max="6408" width="12.7109375" style="703" customWidth="1"/>
    <col min="6409" max="6656" width="11.42578125" style="703"/>
    <col min="6657" max="6657" width="9.140625" style="703" customWidth="1"/>
    <col min="6658" max="6658" width="12.28515625" style="703" bestFit="1" customWidth="1"/>
    <col min="6659" max="6659" width="25.85546875" style="703" customWidth="1"/>
    <col min="6660" max="6660" width="21" style="703" customWidth="1"/>
    <col min="6661" max="6661" width="13" style="703" customWidth="1"/>
    <col min="6662" max="6662" width="11.7109375" style="703" bestFit="1" customWidth="1"/>
    <col min="6663" max="6663" width="14" style="703" customWidth="1"/>
    <col min="6664" max="6664" width="12.7109375" style="703" customWidth="1"/>
    <col min="6665" max="6912" width="11.42578125" style="703"/>
    <col min="6913" max="6913" width="9.140625" style="703" customWidth="1"/>
    <col min="6914" max="6914" width="12.28515625" style="703" bestFit="1" customWidth="1"/>
    <col min="6915" max="6915" width="25.85546875" style="703" customWidth="1"/>
    <col min="6916" max="6916" width="21" style="703" customWidth="1"/>
    <col min="6917" max="6917" width="13" style="703" customWidth="1"/>
    <col min="6918" max="6918" width="11.7109375" style="703" bestFit="1" customWidth="1"/>
    <col min="6919" max="6919" width="14" style="703" customWidth="1"/>
    <col min="6920" max="6920" width="12.7109375" style="703" customWidth="1"/>
    <col min="6921" max="7168" width="11.42578125" style="703"/>
    <col min="7169" max="7169" width="9.140625" style="703" customWidth="1"/>
    <col min="7170" max="7170" width="12.28515625" style="703" bestFit="1" customWidth="1"/>
    <col min="7171" max="7171" width="25.85546875" style="703" customWidth="1"/>
    <col min="7172" max="7172" width="21" style="703" customWidth="1"/>
    <col min="7173" max="7173" width="13" style="703" customWidth="1"/>
    <col min="7174" max="7174" width="11.7109375" style="703" bestFit="1" customWidth="1"/>
    <col min="7175" max="7175" width="14" style="703" customWidth="1"/>
    <col min="7176" max="7176" width="12.7109375" style="703" customWidth="1"/>
    <col min="7177" max="7424" width="11.42578125" style="703"/>
    <col min="7425" max="7425" width="9.140625" style="703" customWidth="1"/>
    <col min="7426" max="7426" width="12.28515625" style="703" bestFit="1" customWidth="1"/>
    <col min="7427" max="7427" width="25.85546875" style="703" customWidth="1"/>
    <col min="7428" max="7428" width="21" style="703" customWidth="1"/>
    <col min="7429" max="7429" width="13" style="703" customWidth="1"/>
    <col min="7430" max="7430" width="11.7109375" style="703" bestFit="1" customWidth="1"/>
    <col min="7431" max="7431" width="14" style="703" customWidth="1"/>
    <col min="7432" max="7432" width="12.7109375" style="703" customWidth="1"/>
    <col min="7433" max="7680" width="11.42578125" style="703"/>
    <col min="7681" max="7681" width="9.140625" style="703" customWidth="1"/>
    <col min="7682" max="7682" width="12.28515625" style="703" bestFit="1" customWidth="1"/>
    <col min="7683" max="7683" width="25.85546875" style="703" customWidth="1"/>
    <col min="7684" max="7684" width="21" style="703" customWidth="1"/>
    <col min="7685" max="7685" width="13" style="703" customWidth="1"/>
    <col min="7686" max="7686" width="11.7109375" style="703" bestFit="1" customWidth="1"/>
    <col min="7687" max="7687" width="14" style="703" customWidth="1"/>
    <col min="7688" max="7688" width="12.7109375" style="703" customWidth="1"/>
    <col min="7689" max="7936" width="11.42578125" style="703"/>
    <col min="7937" max="7937" width="9.140625" style="703" customWidth="1"/>
    <col min="7938" max="7938" width="12.28515625" style="703" bestFit="1" customWidth="1"/>
    <col min="7939" max="7939" width="25.85546875" style="703" customWidth="1"/>
    <col min="7940" max="7940" width="21" style="703" customWidth="1"/>
    <col min="7941" max="7941" width="13" style="703" customWidth="1"/>
    <col min="7942" max="7942" width="11.7109375" style="703" bestFit="1" customWidth="1"/>
    <col min="7943" max="7943" width="14" style="703" customWidth="1"/>
    <col min="7944" max="7944" width="12.7109375" style="703" customWidth="1"/>
    <col min="7945" max="8192" width="11.42578125" style="703"/>
    <col min="8193" max="8193" width="9.140625" style="703" customWidth="1"/>
    <col min="8194" max="8194" width="12.28515625" style="703" bestFit="1" customWidth="1"/>
    <col min="8195" max="8195" width="25.85546875" style="703" customWidth="1"/>
    <col min="8196" max="8196" width="21" style="703" customWidth="1"/>
    <col min="8197" max="8197" width="13" style="703" customWidth="1"/>
    <col min="8198" max="8198" width="11.7109375" style="703" bestFit="1" customWidth="1"/>
    <col min="8199" max="8199" width="14" style="703" customWidth="1"/>
    <col min="8200" max="8200" width="12.7109375" style="703" customWidth="1"/>
    <col min="8201" max="8448" width="11.42578125" style="703"/>
    <col min="8449" max="8449" width="9.140625" style="703" customWidth="1"/>
    <col min="8450" max="8450" width="12.28515625" style="703" bestFit="1" customWidth="1"/>
    <col min="8451" max="8451" width="25.85546875" style="703" customWidth="1"/>
    <col min="8452" max="8452" width="21" style="703" customWidth="1"/>
    <col min="8453" max="8453" width="13" style="703" customWidth="1"/>
    <col min="8454" max="8454" width="11.7109375" style="703" bestFit="1" customWidth="1"/>
    <col min="8455" max="8455" width="14" style="703" customWidth="1"/>
    <col min="8456" max="8456" width="12.7109375" style="703" customWidth="1"/>
    <col min="8457" max="8704" width="11.42578125" style="703"/>
    <col min="8705" max="8705" width="9.140625" style="703" customWidth="1"/>
    <col min="8706" max="8706" width="12.28515625" style="703" bestFit="1" customWidth="1"/>
    <col min="8707" max="8707" width="25.85546875" style="703" customWidth="1"/>
    <col min="8708" max="8708" width="21" style="703" customWidth="1"/>
    <col min="8709" max="8709" width="13" style="703" customWidth="1"/>
    <col min="8710" max="8710" width="11.7109375" style="703" bestFit="1" customWidth="1"/>
    <col min="8711" max="8711" width="14" style="703" customWidth="1"/>
    <col min="8712" max="8712" width="12.7109375" style="703" customWidth="1"/>
    <col min="8713" max="8960" width="11.42578125" style="703"/>
    <col min="8961" max="8961" width="9.140625" style="703" customWidth="1"/>
    <col min="8962" max="8962" width="12.28515625" style="703" bestFit="1" customWidth="1"/>
    <col min="8963" max="8963" width="25.85546875" style="703" customWidth="1"/>
    <col min="8964" max="8964" width="21" style="703" customWidth="1"/>
    <col min="8965" max="8965" width="13" style="703" customWidth="1"/>
    <col min="8966" max="8966" width="11.7109375" style="703" bestFit="1" customWidth="1"/>
    <col min="8967" max="8967" width="14" style="703" customWidth="1"/>
    <col min="8968" max="8968" width="12.7109375" style="703" customWidth="1"/>
    <col min="8969" max="9216" width="11.42578125" style="703"/>
    <col min="9217" max="9217" width="9.140625" style="703" customWidth="1"/>
    <col min="9218" max="9218" width="12.28515625" style="703" bestFit="1" customWidth="1"/>
    <col min="9219" max="9219" width="25.85546875" style="703" customWidth="1"/>
    <col min="9220" max="9220" width="21" style="703" customWidth="1"/>
    <col min="9221" max="9221" width="13" style="703" customWidth="1"/>
    <col min="9222" max="9222" width="11.7109375" style="703" bestFit="1" customWidth="1"/>
    <col min="9223" max="9223" width="14" style="703" customWidth="1"/>
    <col min="9224" max="9224" width="12.7109375" style="703" customWidth="1"/>
    <col min="9225" max="9472" width="11.42578125" style="703"/>
    <col min="9473" max="9473" width="9.140625" style="703" customWidth="1"/>
    <col min="9474" max="9474" width="12.28515625" style="703" bestFit="1" customWidth="1"/>
    <col min="9475" max="9475" width="25.85546875" style="703" customWidth="1"/>
    <col min="9476" max="9476" width="21" style="703" customWidth="1"/>
    <col min="9477" max="9477" width="13" style="703" customWidth="1"/>
    <col min="9478" max="9478" width="11.7109375" style="703" bestFit="1" customWidth="1"/>
    <col min="9479" max="9479" width="14" style="703" customWidth="1"/>
    <col min="9480" max="9480" width="12.7109375" style="703" customWidth="1"/>
    <col min="9481" max="9728" width="11.42578125" style="703"/>
    <col min="9729" max="9729" width="9.140625" style="703" customWidth="1"/>
    <col min="9730" max="9730" width="12.28515625" style="703" bestFit="1" customWidth="1"/>
    <col min="9731" max="9731" width="25.85546875" style="703" customWidth="1"/>
    <col min="9732" max="9732" width="21" style="703" customWidth="1"/>
    <col min="9733" max="9733" width="13" style="703" customWidth="1"/>
    <col min="9734" max="9734" width="11.7109375" style="703" bestFit="1" customWidth="1"/>
    <col min="9735" max="9735" width="14" style="703" customWidth="1"/>
    <col min="9736" max="9736" width="12.7109375" style="703" customWidth="1"/>
    <col min="9737" max="9984" width="11.42578125" style="703"/>
    <col min="9985" max="9985" width="9.140625" style="703" customWidth="1"/>
    <col min="9986" max="9986" width="12.28515625" style="703" bestFit="1" customWidth="1"/>
    <col min="9987" max="9987" width="25.85546875" style="703" customWidth="1"/>
    <col min="9988" max="9988" width="21" style="703" customWidth="1"/>
    <col min="9989" max="9989" width="13" style="703" customWidth="1"/>
    <col min="9990" max="9990" width="11.7109375" style="703" bestFit="1" customWidth="1"/>
    <col min="9991" max="9991" width="14" style="703" customWidth="1"/>
    <col min="9992" max="9992" width="12.7109375" style="703" customWidth="1"/>
    <col min="9993" max="10240" width="11.42578125" style="703"/>
    <col min="10241" max="10241" width="9.140625" style="703" customWidth="1"/>
    <col min="10242" max="10242" width="12.28515625" style="703" bestFit="1" customWidth="1"/>
    <col min="10243" max="10243" width="25.85546875" style="703" customWidth="1"/>
    <col min="10244" max="10244" width="21" style="703" customWidth="1"/>
    <col min="10245" max="10245" width="13" style="703" customWidth="1"/>
    <col min="10246" max="10246" width="11.7109375" style="703" bestFit="1" customWidth="1"/>
    <col min="10247" max="10247" width="14" style="703" customWidth="1"/>
    <col min="10248" max="10248" width="12.7109375" style="703" customWidth="1"/>
    <col min="10249" max="10496" width="11.42578125" style="703"/>
    <col min="10497" max="10497" width="9.140625" style="703" customWidth="1"/>
    <col min="10498" max="10498" width="12.28515625" style="703" bestFit="1" customWidth="1"/>
    <col min="10499" max="10499" width="25.85546875" style="703" customWidth="1"/>
    <col min="10500" max="10500" width="21" style="703" customWidth="1"/>
    <col min="10501" max="10501" width="13" style="703" customWidth="1"/>
    <col min="10502" max="10502" width="11.7109375" style="703" bestFit="1" customWidth="1"/>
    <col min="10503" max="10503" width="14" style="703" customWidth="1"/>
    <col min="10504" max="10504" width="12.7109375" style="703" customWidth="1"/>
    <col min="10505" max="10752" width="11.42578125" style="703"/>
    <col min="10753" max="10753" width="9.140625" style="703" customWidth="1"/>
    <col min="10754" max="10754" width="12.28515625" style="703" bestFit="1" customWidth="1"/>
    <col min="10755" max="10755" width="25.85546875" style="703" customWidth="1"/>
    <col min="10756" max="10756" width="21" style="703" customWidth="1"/>
    <col min="10757" max="10757" width="13" style="703" customWidth="1"/>
    <col min="10758" max="10758" width="11.7109375" style="703" bestFit="1" customWidth="1"/>
    <col min="10759" max="10759" width="14" style="703" customWidth="1"/>
    <col min="10760" max="10760" width="12.7109375" style="703" customWidth="1"/>
    <col min="10761" max="11008" width="11.42578125" style="703"/>
    <col min="11009" max="11009" width="9.140625" style="703" customWidth="1"/>
    <col min="11010" max="11010" width="12.28515625" style="703" bestFit="1" customWidth="1"/>
    <col min="11011" max="11011" width="25.85546875" style="703" customWidth="1"/>
    <col min="11012" max="11012" width="21" style="703" customWidth="1"/>
    <col min="11013" max="11013" width="13" style="703" customWidth="1"/>
    <col min="11014" max="11014" width="11.7109375" style="703" bestFit="1" customWidth="1"/>
    <col min="11015" max="11015" width="14" style="703" customWidth="1"/>
    <col min="11016" max="11016" width="12.7109375" style="703" customWidth="1"/>
    <col min="11017" max="11264" width="11.42578125" style="703"/>
    <col min="11265" max="11265" width="9.140625" style="703" customWidth="1"/>
    <col min="11266" max="11266" width="12.28515625" style="703" bestFit="1" customWidth="1"/>
    <col min="11267" max="11267" width="25.85546875" style="703" customWidth="1"/>
    <col min="11268" max="11268" width="21" style="703" customWidth="1"/>
    <col min="11269" max="11269" width="13" style="703" customWidth="1"/>
    <col min="11270" max="11270" width="11.7109375" style="703" bestFit="1" customWidth="1"/>
    <col min="11271" max="11271" width="14" style="703" customWidth="1"/>
    <col min="11272" max="11272" width="12.7109375" style="703" customWidth="1"/>
    <col min="11273" max="11520" width="11.42578125" style="703"/>
    <col min="11521" max="11521" width="9.140625" style="703" customWidth="1"/>
    <col min="11522" max="11522" width="12.28515625" style="703" bestFit="1" customWidth="1"/>
    <col min="11523" max="11523" width="25.85546875" style="703" customWidth="1"/>
    <col min="11524" max="11524" width="21" style="703" customWidth="1"/>
    <col min="11525" max="11525" width="13" style="703" customWidth="1"/>
    <col min="11526" max="11526" width="11.7109375" style="703" bestFit="1" customWidth="1"/>
    <col min="11527" max="11527" width="14" style="703" customWidth="1"/>
    <col min="11528" max="11528" width="12.7109375" style="703" customWidth="1"/>
    <col min="11529" max="11776" width="11.42578125" style="703"/>
    <col min="11777" max="11777" width="9.140625" style="703" customWidth="1"/>
    <col min="11778" max="11778" width="12.28515625" style="703" bestFit="1" customWidth="1"/>
    <col min="11779" max="11779" width="25.85546875" style="703" customWidth="1"/>
    <col min="11780" max="11780" width="21" style="703" customWidth="1"/>
    <col min="11781" max="11781" width="13" style="703" customWidth="1"/>
    <col min="11782" max="11782" width="11.7109375" style="703" bestFit="1" customWidth="1"/>
    <col min="11783" max="11783" width="14" style="703" customWidth="1"/>
    <col min="11784" max="11784" width="12.7109375" style="703" customWidth="1"/>
    <col min="11785" max="12032" width="11.42578125" style="703"/>
    <col min="12033" max="12033" width="9.140625" style="703" customWidth="1"/>
    <col min="12034" max="12034" width="12.28515625" style="703" bestFit="1" customWidth="1"/>
    <col min="12035" max="12035" width="25.85546875" style="703" customWidth="1"/>
    <col min="12036" max="12036" width="21" style="703" customWidth="1"/>
    <col min="12037" max="12037" width="13" style="703" customWidth="1"/>
    <col min="12038" max="12038" width="11.7109375" style="703" bestFit="1" customWidth="1"/>
    <col min="12039" max="12039" width="14" style="703" customWidth="1"/>
    <col min="12040" max="12040" width="12.7109375" style="703" customWidth="1"/>
    <col min="12041" max="12288" width="11.42578125" style="703"/>
    <col min="12289" max="12289" width="9.140625" style="703" customWidth="1"/>
    <col min="12290" max="12290" width="12.28515625" style="703" bestFit="1" customWidth="1"/>
    <col min="12291" max="12291" width="25.85546875" style="703" customWidth="1"/>
    <col min="12292" max="12292" width="21" style="703" customWidth="1"/>
    <col min="12293" max="12293" width="13" style="703" customWidth="1"/>
    <col min="12294" max="12294" width="11.7109375" style="703" bestFit="1" customWidth="1"/>
    <col min="12295" max="12295" width="14" style="703" customWidth="1"/>
    <col min="12296" max="12296" width="12.7109375" style="703" customWidth="1"/>
    <col min="12297" max="12544" width="11.42578125" style="703"/>
    <col min="12545" max="12545" width="9.140625" style="703" customWidth="1"/>
    <col min="12546" max="12546" width="12.28515625" style="703" bestFit="1" customWidth="1"/>
    <col min="12547" max="12547" width="25.85546875" style="703" customWidth="1"/>
    <col min="12548" max="12548" width="21" style="703" customWidth="1"/>
    <col min="12549" max="12549" width="13" style="703" customWidth="1"/>
    <col min="12550" max="12550" width="11.7109375" style="703" bestFit="1" customWidth="1"/>
    <col min="12551" max="12551" width="14" style="703" customWidth="1"/>
    <col min="12552" max="12552" width="12.7109375" style="703" customWidth="1"/>
    <col min="12553" max="12800" width="11.42578125" style="703"/>
    <col min="12801" max="12801" width="9.140625" style="703" customWidth="1"/>
    <col min="12802" max="12802" width="12.28515625" style="703" bestFit="1" customWidth="1"/>
    <col min="12803" max="12803" width="25.85546875" style="703" customWidth="1"/>
    <col min="12804" max="12804" width="21" style="703" customWidth="1"/>
    <col min="12805" max="12805" width="13" style="703" customWidth="1"/>
    <col min="12806" max="12806" width="11.7109375" style="703" bestFit="1" customWidth="1"/>
    <col min="12807" max="12807" width="14" style="703" customWidth="1"/>
    <col min="12808" max="12808" width="12.7109375" style="703" customWidth="1"/>
    <col min="12809" max="13056" width="11.42578125" style="703"/>
    <col min="13057" max="13057" width="9.140625" style="703" customWidth="1"/>
    <col min="13058" max="13058" width="12.28515625" style="703" bestFit="1" customWidth="1"/>
    <col min="13059" max="13059" width="25.85546875" style="703" customWidth="1"/>
    <col min="13060" max="13060" width="21" style="703" customWidth="1"/>
    <col min="13061" max="13061" width="13" style="703" customWidth="1"/>
    <col min="13062" max="13062" width="11.7109375" style="703" bestFit="1" customWidth="1"/>
    <col min="13063" max="13063" width="14" style="703" customWidth="1"/>
    <col min="13064" max="13064" width="12.7109375" style="703" customWidth="1"/>
    <col min="13065" max="13312" width="11.42578125" style="703"/>
    <col min="13313" max="13313" width="9.140625" style="703" customWidth="1"/>
    <col min="13314" max="13314" width="12.28515625" style="703" bestFit="1" customWidth="1"/>
    <col min="13315" max="13315" width="25.85546875" style="703" customWidth="1"/>
    <col min="13316" max="13316" width="21" style="703" customWidth="1"/>
    <col min="13317" max="13317" width="13" style="703" customWidth="1"/>
    <col min="13318" max="13318" width="11.7109375" style="703" bestFit="1" customWidth="1"/>
    <col min="13319" max="13319" width="14" style="703" customWidth="1"/>
    <col min="13320" max="13320" width="12.7109375" style="703" customWidth="1"/>
    <col min="13321" max="13568" width="11.42578125" style="703"/>
    <col min="13569" max="13569" width="9.140625" style="703" customWidth="1"/>
    <col min="13570" max="13570" width="12.28515625" style="703" bestFit="1" customWidth="1"/>
    <col min="13571" max="13571" width="25.85546875" style="703" customWidth="1"/>
    <col min="13572" max="13572" width="21" style="703" customWidth="1"/>
    <col min="13573" max="13573" width="13" style="703" customWidth="1"/>
    <col min="13574" max="13574" width="11.7109375" style="703" bestFit="1" customWidth="1"/>
    <col min="13575" max="13575" width="14" style="703" customWidth="1"/>
    <col min="13576" max="13576" width="12.7109375" style="703" customWidth="1"/>
    <col min="13577" max="13824" width="11.42578125" style="703"/>
    <col min="13825" max="13825" width="9.140625" style="703" customWidth="1"/>
    <col min="13826" max="13826" width="12.28515625" style="703" bestFit="1" customWidth="1"/>
    <col min="13827" max="13827" width="25.85546875" style="703" customWidth="1"/>
    <col min="13828" max="13828" width="21" style="703" customWidth="1"/>
    <col min="13829" max="13829" width="13" style="703" customWidth="1"/>
    <col min="13830" max="13830" width="11.7109375" style="703" bestFit="1" customWidth="1"/>
    <col min="13831" max="13831" width="14" style="703" customWidth="1"/>
    <col min="13832" max="13832" width="12.7109375" style="703" customWidth="1"/>
    <col min="13833" max="14080" width="11.42578125" style="703"/>
    <col min="14081" max="14081" width="9.140625" style="703" customWidth="1"/>
    <col min="14082" max="14082" width="12.28515625" style="703" bestFit="1" customWidth="1"/>
    <col min="14083" max="14083" width="25.85546875" style="703" customWidth="1"/>
    <col min="14084" max="14084" width="21" style="703" customWidth="1"/>
    <col min="14085" max="14085" width="13" style="703" customWidth="1"/>
    <col min="14086" max="14086" width="11.7109375" style="703" bestFit="1" customWidth="1"/>
    <col min="14087" max="14087" width="14" style="703" customWidth="1"/>
    <col min="14088" max="14088" width="12.7109375" style="703" customWidth="1"/>
    <col min="14089" max="14336" width="11.42578125" style="703"/>
    <col min="14337" max="14337" width="9.140625" style="703" customWidth="1"/>
    <col min="14338" max="14338" width="12.28515625" style="703" bestFit="1" customWidth="1"/>
    <col min="14339" max="14339" width="25.85546875" style="703" customWidth="1"/>
    <col min="14340" max="14340" width="21" style="703" customWidth="1"/>
    <col min="14341" max="14341" width="13" style="703" customWidth="1"/>
    <col min="14342" max="14342" width="11.7109375" style="703" bestFit="1" customWidth="1"/>
    <col min="14343" max="14343" width="14" style="703" customWidth="1"/>
    <col min="14344" max="14344" width="12.7109375" style="703" customWidth="1"/>
    <col min="14345" max="14592" width="11.42578125" style="703"/>
    <col min="14593" max="14593" width="9.140625" style="703" customWidth="1"/>
    <col min="14594" max="14594" width="12.28515625" style="703" bestFit="1" customWidth="1"/>
    <col min="14595" max="14595" width="25.85546875" style="703" customWidth="1"/>
    <col min="14596" max="14596" width="21" style="703" customWidth="1"/>
    <col min="14597" max="14597" width="13" style="703" customWidth="1"/>
    <col min="14598" max="14598" width="11.7109375" style="703" bestFit="1" customWidth="1"/>
    <col min="14599" max="14599" width="14" style="703" customWidth="1"/>
    <col min="14600" max="14600" width="12.7109375" style="703" customWidth="1"/>
    <col min="14601" max="14848" width="11.42578125" style="703"/>
    <col min="14849" max="14849" width="9.140625" style="703" customWidth="1"/>
    <col min="14850" max="14850" width="12.28515625" style="703" bestFit="1" customWidth="1"/>
    <col min="14851" max="14851" width="25.85546875" style="703" customWidth="1"/>
    <col min="14852" max="14852" width="21" style="703" customWidth="1"/>
    <col min="14853" max="14853" width="13" style="703" customWidth="1"/>
    <col min="14854" max="14854" width="11.7109375" style="703" bestFit="1" customWidth="1"/>
    <col min="14855" max="14855" width="14" style="703" customWidth="1"/>
    <col min="14856" max="14856" width="12.7109375" style="703" customWidth="1"/>
    <col min="14857" max="15104" width="11.42578125" style="703"/>
    <col min="15105" max="15105" width="9.140625" style="703" customWidth="1"/>
    <col min="15106" max="15106" width="12.28515625" style="703" bestFit="1" customWidth="1"/>
    <col min="15107" max="15107" width="25.85546875" style="703" customWidth="1"/>
    <col min="15108" max="15108" width="21" style="703" customWidth="1"/>
    <col min="15109" max="15109" width="13" style="703" customWidth="1"/>
    <col min="15110" max="15110" width="11.7109375" style="703" bestFit="1" customWidth="1"/>
    <col min="15111" max="15111" width="14" style="703" customWidth="1"/>
    <col min="15112" max="15112" width="12.7109375" style="703" customWidth="1"/>
    <col min="15113" max="15360" width="11.42578125" style="703"/>
    <col min="15361" max="15361" width="9.140625" style="703" customWidth="1"/>
    <col min="15362" max="15362" width="12.28515625" style="703" bestFit="1" customWidth="1"/>
    <col min="15363" max="15363" width="25.85546875" style="703" customWidth="1"/>
    <col min="15364" max="15364" width="21" style="703" customWidth="1"/>
    <col min="15365" max="15365" width="13" style="703" customWidth="1"/>
    <col min="15366" max="15366" width="11.7109375" style="703" bestFit="1" customWidth="1"/>
    <col min="15367" max="15367" width="14" style="703" customWidth="1"/>
    <col min="15368" max="15368" width="12.7109375" style="703" customWidth="1"/>
    <col min="15369" max="15616" width="11.42578125" style="703"/>
    <col min="15617" max="15617" width="9.140625" style="703" customWidth="1"/>
    <col min="15618" max="15618" width="12.28515625" style="703" bestFit="1" customWidth="1"/>
    <col min="15619" max="15619" width="25.85546875" style="703" customWidth="1"/>
    <col min="15620" max="15620" width="21" style="703" customWidth="1"/>
    <col min="15621" max="15621" width="13" style="703" customWidth="1"/>
    <col min="15622" max="15622" width="11.7109375" style="703" bestFit="1" customWidth="1"/>
    <col min="15623" max="15623" width="14" style="703" customWidth="1"/>
    <col min="15624" max="15624" width="12.7109375" style="703" customWidth="1"/>
    <col min="15625" max="15872" width="11.42578125" style="703"/>
    <col min="15873" max="15873" width="9.140625" style="703" customWidth="1"/>
    <col min="15874" max="15874" width="12.28515625" style="703" bestFit="1" customWidth="1"/>
    <col min="15875" max="15875" width="25.85546875" style="703" customWidth="1"/>
    <col min="15876" max="15876" width="21" style="703" customWidth="1"/>
    <col min="15877" max="15877" width="13" style="703" customWidth="1"/>
    <col min="15878" max="15878" width="11.7109375" style="703" bestFit="1" customWidth="1"/>
    <col min="15879" max="15879" width="14" style="703" customWidth="1"/>
    <col min="15880" max="15880" width="12.7109375" style="703" customWidth="1"/>
    <col min="15881" max="16128" width="11.42578125" style="703"/>
    <col min="16129" max="16129" width="9.140625" style="703" customWidth="1"/>
    <col min="16130" max="16130" width="12.28515625" style="703" bestFit="1" customWidth="1"/>
    <col min="16131" max="16131" width="25.85546875" style="703" customWidth="1"/>
    <col min="16132" max="16132" width="21" style="703" customWidth="1"/>
    <col min="16133" max="16133" width="13" style="703" customWidth="1"/>
    <col min="16134" max="16134" width="11.7109375" style="703" bestFit="1" customWidth="1"/>
    <col min="16135" max="16135" width="14" style="703" customWidth="1"/>
    <col min="16136" max="16136" width="12.7109375" style="703" customWidth="1"/>
    <col min="16137" max="16384" width="11.42578125" style="703"/>
  </cols>
  <sheetData>
    <row r="1" spans="1:9" ht="48.75" customHeight="1" thickBot="1"/>
    <row r="2" spans="1:9" ht="33.75"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3.25" customHeight="1" thickBot="1">
      <c r="A3" s="281"/>
      <c r="B3" s="282"/>
      <c r="C3" s="282"/>
      <c r="D3" s="2213"/>
      <c r="E3" s="2214"/>
      <c r="F3" s="2202" t="e">
        <f>+PRESUPUESTO!#REF!</f>
        <v>#REF!</v>
      </c>
      <c r="G3" s="2203"/>
      <c r="H3" s="2204"/>
    </row>
    <row r="4" spans="1:9" ht="24.75" customHeight="1" thickBot="1">
      <c r="A4" s="98"/>
      <c r="B4" s="99"/>
      <c r="C4" s="283"/>
      <c r="D4" s="2215"/>
      <c r="E4" s="2216"/>
      <c r="F4" s="2202" t="s">
        <v>524</v>
      </c>
      <c r="G4" s="2203"/>
      <c r="H4" s="2204"/>
    </row>
    <row r="5" spans="1:9" ht="13.5" thickBot="1">
      <c r="A5" s="2218" t="s">
        <v>558</v>
      </c>
      <c r="B5" s="2219"/>
      <c r="C5" s="2219"/>
      <c r="D5" s="2219"/>
      <c r="E5" s="2220"/>
      <c r="F5" s="2208" t="e">
        <f>+PRESUPUESTO!#REF!</f>
        <v>#REF!</v>
      </c>
      <c r="G5" s="2209"/>
      <c r="H5" s="2210"/>
    </row>
    <row r="6" spans="1:9">
      <c r="A6" s="711"/>
      <c r="B6" s="2227"/>
      <c r="C6" s="2228"/>
      <c r="D6" s="2228"/>
      <c r="E6" s="711"/>
      <c r="F6" s="712"/>
      <c r="G6" s="713"/>
      <c r="H6" s="714"/>
      <c r="I6" s="288"/>
    </row>
    <row r="7" spans="1:9" ht="12.75" customHeight="1">
      <c r="A7" s="96" t="e">
        <f>PRESUPUESTO!#REF!</f>
        <v>#REF!</v>
      </c>
      <c r="B7" s="2185" t="e">
        <f>PRESUPUESTO!#REF!</f>
        <v>#REF!</v>
      </c>
      <c r="C7" s="2185"/>
      <c r="D7" s="2185"/>
      <c r="E7" s="2185"/>
      <c r="F7" s="289"/>
      <c r="G7" s="290" t="s">
        <v>525</v>
      </c>
      <c r="H7" s="97" t="e">
        <f>+PRESUPUESTO!#REF!</f>
        <v>#REF!</v>
      </c>
    </row>
    <row r="8" spans="1:9">
      <c r="A8" s="97" t="e">
        <f>+PRESUPUESTO!#REF!</f>
        <v>#REF!</v>
      </c>
      <c r="B8" s="2217" t="e">
        <f>+PRESUPUESTO!#REF!</f>
        <v>#REF!</v>
      </c>
      <c r="C8" s="2217"/>
      <c r="D8" s="2217"/>
      <c r="E8" s="2217"/>
      <c r="F8" s="291"/>
      <c r="G8" s="290"/>
      <c r="H8" s="97"/>
    </row>
    <row r="9" spans="1:9">
      <c r="A9" s="715"/>
      <c r="B9" s="720"/>
      <c r="C9" s="721"/>
      <c r="D9" s="722"/>
      <c r="E9" s="721"/>
      <c r="F9" s="723"/>
      <c r="G9" s="713"/>
      <c r="H9" s="714"/>
    </row>
    <row r="10" spans="1:9">
      <c r="A10" s="718"/>
      <c r="B10" s="724"/>
      <c r="C10" s="724"/>
      <c r="D10" s="724"/>
      <c r="E10" s="724"/>
      <c r="F10" s="724"/>
      <c r="G10" s="725"/>
      <c r="H10" s="725"/>
    </row>
    <row r="11" spans="1:9" ht="13.5" thickBot="1">
      <c r="A11" s="726" t="s">
        <v>526</v>
      </c>
      <c r="B11" s="726"/>
      <c r="C11" s="712"/>
      <c r="D11" s="727"/>
      <c r="E11" s="727"/>
      <c r="F11" s="727"/>
      <c r="G11" s="727"/>
      <c r="H11" s="727"/>
    </row>
    <row r="12" spans="1:9" ht="13.5" thickBot="1">
      <c r="A12" s="728" t="s">
        <v>527</v>
      </c>
      <c r="B12" s="729"/>
      <c r="C12" s="730" t="s">
        <v>521</v>
      </c>
      <c r="D12" s="731"/>
      <c r="E12" s="732" t="s">
        <v>515</v>
      </c>
      <c r="F12" s="733" t="s">
        <v>528</v>
      </c>
      <c r="G12" s="734" t="s">
        <v>832</v>
      </c>
      <c r="H12" s="735" t="s">
        <v>831</v>
      </c>
    </row>
    <row r="13" spans="1:9">
      <c r="A13" s="736" t="s">
        <v>966</v>
      </c>
      <c r="B13" s="737" t="str">
        <f t="shared" ref="B13:B18" si="0">IF(A13="","",VLOOKUP(A13,EQUI,2,FALSE))</f>
        <v>Herramienta Menor (5% de la mano de obra).</v>
      </c>
      <c r="C13" s="738"/>
      <c r="D13" s="738"/>
      <c r="E13" s="739" t="str">
        <f t="shared" ref="E13:E18" si="1">IF(A13="","",VLOOKUP(A13,EQUI,3,FALSE))</f>
        <v>%</v>
      </c>
      <c r="F13" s="740">
        <f>IF(A13="","",VLOOKUP(A13,EQUI,4,FALSE))</f>
        <v>0.05</v>
      </c>
      <c r="G13" s="741">
        <f>ROUND(F13*H50,0)</f>
        <v>41</v>
      </c>
      <c r="H13" s="742">
        <f>+G13</f>
        <v>41</v>
      </c>
      <c r="I13" s="743"/>
    </row>
    <row r="14" spans="1:9">
      <c r="A14" s="736" t="s">
        <v>1622</v>
      </c>
      <c r="B14" s="737" t="str">
        <f t="shared" si="0"/>
        <v>Equipo de topografía.</v>
      </c>
      <c r="C14" s="738"/>
      <c r="D14" s="738"/>
      <c r="E14" s="739" t="str">
        <f t="shared" si="1"/>
        <v>Día</v>
      </c>
      <c r="F14" s="744">
        <v>80</v>
      </c>
      <c r="G14" s="745">
        <f>IF(A14="","",VLOOKUP(A14,EQUI,4,FALSE))</f>
        <v>160000</v>
      </c>
      <c r="H14" s="746">
        <f>IF(A14="","",ROUND((G14/F14),0))</f>
        <v>2000</v>
      </c>
    </row>
    <row r="15" spans="1:9">
      <c r="A15" s="736"/>
      <c r="B15" s="737" t="str">
        <f t="shared" si="0"/>
        <v/>
      </c>
      <c r="C15" s="738"/>
      <c r="D15" s="738"/>
      <c r="E15" s="739" t="str">
        <f t="shared" si="1"/>
        <v/>
      </c>
      <c r="F15" s="744"/>
      <c r="G15" s="745" t="str">
        <f>IF(A15="","",VLOOKUP(A15,EQUI,4,FALSE))</f>
        <v/>
      </c>
      <c r="H15" s="746" t="str">
        <f>IF(A15="","",ROUND((G15/F15),0))</f>
        <v/>
      </c>
    </row>
    <row r="16" spans="1:9">
      <c r="A16" s="736"/>
      <c r="B16" s="737" t="str">
        <f t="shared" si="0"/>
        <v/>
      </c>
      <c r="C16" s="738"/>
      <c r="D16" s="738"/>
      <c r="E16" s="739" t="str">
        <f t="shared" si="1"/>
        <v/>
      </c>
      <c r="F16" s="744"/>
      <c r="G16" s="745" t="str">
        <f>IF(A16="","",VLOOKUP(A16,EQUI,4,FALSE))</f>
        <v/>
      </c>
      <c r="H16" s="746" t="str">
        <f>IF(A16="","",ROUND((G16/F16),0))</f>
        <v/>
      </c>
    </row>
    <row r="17" spans="1:8">
      <c r="A17" s="736"/>
      <c r="B17" s="737" t="str">
        <f t="shared" si="0"/>
        <v/>
      </c>
      <c r="C17" s="738"/>
      <c r="D17" s="738"/>
      <c r="E17" s="739" t="str">
        <f t="shared" si="1"/>
        <v/>
      </c>
      <c r="F17" s="744"/>
      <c r="G17" s="745" t="str">
        <f>IF(A17="","",VLOOKUP(A17,EQUI,4,FALSE))</f>
        <v/>
      </c>
      <c r="H17" s="746" t="str">
        <f>IF(A17="","",ROUND((G17/F17),0))</f>
        <v/>
      </c>
    </row>
    <row r="18" spans="1:8" ht="13.5" thickBot="1">
      <c r="A18" s="747"/>
      <c r="B18" s="748" t="str">
        <f t="shared" si="0"/>
        <v/>
      </c>
      <c r="C18" s="748"/>
      <c r="D18" s="749"/>
      <c r="E18" s="750" t="str">
        <f t="shared" si="1"/>
        <v/>
      </c>
      <c r="F18" s="751"/>
      <c r="G18" s="752" t="str">
        <f>IF(A18="","",VLOOKUP(A18,EQUI,4,FALSE))</f>
        <v/>
      </c>
      <c r="H18" s="746" t="str">
        <f>IF(A18="","",ROUND((G18/F18),0))</f>
        <v/>
      </c>
    </row>
    <row r="19" spans="1:8" ht="13.5" thickBot="1">
      <c r="A19" s="712"/>
      <c r="B19" s="712"/>
      <c r="C19" s="712"/>
      <c r="D19" s="712"/>
      <c r="E19" s="713"/>
      <c r="F19" s="712"/>
      <c r="G19" s="753" t="s">
        <v>529</v>
      </c>
      <c r="H19" s="754">
        <f>ROUND(SUM(H13:H18),0)</f>
        <v>2041</v>
      </c>
    </row>
    <row r="20" spans="1:8">
      <c r="A20" s="712"/>
      <c r="B20" s="712"/>
      <c r="C20" s="712"/>
      <c r="D20" s="712"/>
      <c r="E20" s="713"/>
      <c r="F20" s="712"/>
      <c r="G20" s="713"/>
      <c r="H20" s="755"/>
    </row>
    <row r="21" spans="1:8" ht="13.5" thickBot="1">
      <c r="A21" s="726" t="s">
        <v>530</v>
      </c>
      <c r="B21" s="726"/>
      <c r="C21" s="726"/>
      <c r="D21" s="726"/>
      <c r="E21" s="756"/>
      <c r="F21" s="749"/>
      <c r="G21" s="749"/>
      <c r="H21" s="749"/>
    </row>
    <row r="22" spans="1:8" ht="13.5" thickBot="1">
      <c r="A22" s="728" t="s">
        <v>527</v>
      </c>
      <c r="B22" s="729"/>
      <c r="C22" s="730" t="s">
        <v>521</v>
      </c>
      <c r="D22" s="730"/>
      <c r="E22" s="757" t="s">
        <v>515</v>
      </c>
      <c r="F22" s="758" t="s">
        <v>7</v>
      </c>
      <c r="G22" s="734" t="s">
        <v>832</v>
      </c>
      <c r="H22" s="735" t="s">
        <v>831</v>
      </c>
    </row>
    <row r="23" spans="1:8">
      <c r="A23" s="812" t="s">
        <v>2280</v>
      </c>
      <c r="B23" s="760" t="str">
        <f t="shared" ref="B23:B32" si="2">IF(A23="","",VLOOKUP(A23,MAT,2,FALSE))</f>
        <v>Puntilla variada</v>
      </c>
      <c r="C23" s="737"/>
      <c r="D23" s="738"/>
      <c r="E23" s="739" t="str">
        <f t="shared" ref="E23:E32" si="3">IF(A23="","",VLOOKUP(A23,MAT,3,FALSE))</f>
        <v>Lb</v>
      </c>
      <c r="F23" s="744">
        <v>0.08</v>
      </c>
      <c r="G23" s="745">
        <f t="shared" ref="G23:G32" si="4">IF(A23="","",VLOOKUP(A23,MAT,5,FALSE))</f>
        <v>2380</v>
      </c>
      <c r="H23" s="746">
        <f t="shared" ref="H23:H32" si="5">IF(A23="","",ROUND((G23*F23),0))</f>
        <v>190</v>
      </c>
    </row>
    <row r="24" spans="1:8">
      <c r="A24" s="759" t="s">
        <v>2281</v>
      </c>
      <c r="B24" s="760" t="str">
        <f t="shared" si="2"/>
        <v>Madera medio cerco</v>
      </c>
      <c r="C24" s="737"/>
      <c r="D24" s="738"/>
      <c r="E24" s="739" t="str">
        <f t="shared" si="3"/>
        <v>m</v>
      </c>
      <c r="F24" s="744">
        <v>0.2</v>
      </c>
      <c r="G24" s="745">
        <f t="shared" si="4"/>
        <v>2883</v>
      </c>
      <c r="H24" s="746">
        <f t="shared" si="5"/>
        <v>577</v>
      </c>
    </row>
    <row r="25" spans="1:8">
      <c r="A25" s="759"/>
      <c r="B25" s="760" t="str">
        <f t="shared" si="2"/>
        <v/>
      </c>
      <c r="C25" s="737"/>
      <c r="D25" s="738"/>
      <c r="E25" s="739" t="str">
        <f t="shared" si="3"/>
        <v/>
      </c>
      <c r="F25" s="744"/>
      <c r="G25" s="745" t="str">
        <f t="shared" si="4"/>
        <v/>
      </c>
      <c r="H25" s="746" t="str">
        <f t="shared" si="5"/>
        <v/>
      </c>
    </row>
    <row r="26" spans="1:8">
      <c r="A26" s="759"/>
      <c r="B26" s="737" t="str">
        <f t="shared" si="2"/>
        <v/>
      </c>
      <c r="C26" s="737"/>
      <c r="D26" s="738"/>
      <c r="E26" s="739" t="str">
        <f t="shared" si="3"/>
        <v/>
      </c>
      <c r="F26" s="744"/>
      <c r="G26" s="745" t="str">
        <f t="shared" si="4"/>
        <v/>
      </c>
      <c r="H26" s="746" t="str">
        <f t="shared" si="5"/>
        <v/>
      </c>
    </row>
    <row r="27" spans="1:8">
      <c r="A27" s="759"/>
      <c r="B27" s="737" t="str">
        <f t="shared" si="2"/>
        <v/>
      </c>
      <c r="C27" s="737"/>
      <c r="D27" s="738"/>
      <c r="E27" s="739" t="str">
        <f t="shared" si="3"/>
        <v/>
      </c>
      <c r="F27" s="744"/>
      <c r="G27" s="745" t="str">
        <f t="shared" si="4"/>
        <v/>
      </c>
      <c r="H27" s="746" t="str">
        <f t="shared" si="5"/>
        <v/>
      </c>
    </row>
    <row r="28" spans="1:8">
      <c r="A28" s="759"/>
      <c r="B28" s="737" t="str">
        <f t="shared" si="2"/>
        <v/>
      </c>
      <c r="C28" s="737"/>
      <c r="D28" s="738"/>
      <c r="E28" s="739" t="str">
        <f t="shared" si="3"/>
        <v/>
      </c>
      <c r="F28" s="744"/>
      <c r="G28" s="745" t="str">
        <f t="shared" si="4"/>
        <v/>
      </c>
      <c r="H28" s="746" t="str">
        <f t="shared" si="5"/>
        <v/>
      </c>
    </row>
    <row r="29" spans="1:8">
      <c r="A29" s="759"/>
      <c r="B29" s="737" t="str">
        <f t="shared" si="2"/>
        <v/>
      </c>
      <c r="C29" s="737"/>
      <c r="D29" s="738"/>
      <c r="E29" s="739" t="str">
        <f t="shared" si="3"/>
        <v/>
      </c>
      <c r="F29" s="744"/>
      <c r="G29" s="745" t="str">
        <f t="shared" si="4"/>
        <v/>
      </c>
      <c r="H29" s="746" t="str">
        <f t="shared" si="5"/>
        <v/>
      </c>
    </row>
    <row r="30" spans="1:8">
      <c r="A30" s="759"/>
      <c r="B30" s="737" t="str">
        <f t="shared" si="2"/>
        <v/>
      </c>
      <c r="C30" s="737"/>
      <c r="D30" s="738"/>
      <c r="E30" s="739" t="str">
        <f t="shared" si="3"/>
        <v/>
      </c>
      <c r="F30" s="744"/>
      <c r="G30" s="745" t="str">
        <f t="shared" si="4"/>
        <v/>
      </c>
      <c r="H30" s="746" t="str">
        <f t="shared" si="5"/>
        <v/>
      </c>
    </row>
    <row r="31" spans="1:8">
      <c r="A31" s="759"/>
      <c r="B31" s="737" t="str">
        <f t="shared" si="2"/>
        <v/>
      </c>
      <c r="C31" s="737"/>
      <c r="D31" s="738"/>
      <c r="E31" s="739" t="str">
        <f t="shared" si="3"/>
        <v/>
      </c>
      <c r="F31" s="744"/>
      <c r="G31" s="745" t="str">
        <f t="shared" si="4"/>
        <v/>
      </c>
      <c r="H31" s="746" t="str">
        <f t="shared" si="5"/>
        <v/>
      </c>
    </row>
    <row r="32" spans="1:8" ht="13.5" thickBot="1">
      <c r="A32" s="761"/>
      <c r="B32" s="762" t="str">
        <f t="shared" si="2"/>
        <v/>
      </c>
      <c r="C32" s="749"/>
      <c r="D32" s="749"/>
      <c r="E32" s="750" t="str">
        <f t="shared" si="3"/>
        <v/>
      </c>
      <c r="F32" s="763"/>
      <c r="G32" s="764" t="str">
        <f t="shared" si="4"/>
        <v/>
      </c>
      <c r="H32" s="746" t="str">
        <f t="shared" si="5"/>
        <v/>
      </c>
    </row>
    <row r="33" spans="1:8" ht="13.5" thickBot="1">
      <c r="A33" s="712"/>
      <c r="B33" s="712"/>
      <c r="C33" s="712"/>
      <c r="D33" s="712"/>
      <c r="E33" s="713"/>
      <c r="F33" s="712"/>
      <c r="G33" s="765" t="s">
        <v>529</v>
      </c>
      <c r="H33" s="766">
        <f>ROUND(SUM(H23:H32),0)</f>
        <v>767</v>
      </c>
    </row>
    <row r="34" spans="1:8">
      <c r="A34" s="712"/>
      <c r="B34" s="712"/>
      <c r="C34" s="712"/>
      <c r="D34" s="712"/>
      <c r="E34" s="713"/>
      <c r="F34" s="712"/>
      <c r="G34" s="713"/>
      <c r="H34" s="767"/>
    </row>
    <row r="35" spans="1:8" ht="13.5" thickBot="1">
      <c r="A35" s="726" t="s">
        <v>531</v>
      </c>
      <c r="B35" s="712"/>
      <c r="C35" s="712"/>
      <c r="D35" s="712"/>
      <c r="E35" s="713"/>
      <c r="F35" s="712"/>
      <c r="G35" s="713"/>
      <c r="H35" s="768"/>
    </row>
    <row r="36" spans="1:8" ht="13.5" thickBot="1">
      <c r="A36" s="728" t="s">
        <v>527</v>
      </c>
      <c r="B36" s="2230" t="s">
        <v>532</v>
      </c>
      <c r="C36" s="2231"/>
      <c r="D36" s="769" t="s">
        <v>821</v>
      </c>
      <c r="E36" s="769" t="s">
        <v>820</v>
      </c>
      <c r="F36" s="769" t="s">
        <v>823</v>
      </c>
      <c r="G36" s="769" t="s">
        <v>822</v>
      </c>
      <c r="H36" s="770" t="s">
        <v>831</v>
      </c>
    </row>
    <row r="37" spans="1:8">
      <c r="A37" s="813"/>
      <c r="B37" s="737"/>
      <c r="C37" s="814"/>
      <c r="D37" s="773"/>
      <c r="E37" s="774"/>
      <c r="F37" s="777"/>
      <c r="G37" s="776"/>
      <c r="H37" s="746"/>
    </row>
    <row r="38" spans="1:8">
      <c r="A38" s="771"/>
      <c r="B38" s="737" t="str">
        <f>IF(A38="","",VLOOKUP(A38,MAT,2,FALSE))</f>
        <v/>
      </c>
      <c r="C38" s="772"/>
      <c r="D38" s="773" t="str">
        <f>IF(A38="","",VLOOKUP(A38,MAT,3,FALSE))</f>
        <v/>
      </c>
      <c r="E38" s="774" t="str">
        <f>IF(A38="","",VLOOKUP(A38,MAT,6,FALSE))</f>
        <v/>
      </c>
      <c r="F38" s="777" t="str">
        <f>IF(A38="","",VLOOKUP(A38,$A$23:$H$32,6,FALSE))</f>
        <v/>
      </c>
      <c r="G38" s="776" t="str">
        <f>IF(A38="","",VLOOKUP(A38,MAT,7,FALSE))</f>
        <v/>
      </c>
      <c r="H38" s="746" t="str">
        <f>IF(A38="","",ROUND((G38*F38*E38),0))</f>
        <v/>
      </c>
    </row>
    <row r="39" spans="1:8">
      <c r="A39" s="771"/>
      <c r="B39" s="737" t="str">
        <f>IF(A39="","",VLOOKUP(A39,MAT,2,FALSE))</f>
        <v/>
      </c>
      <c r="C39" s="772"/>
      <c r="D39" s="773" t="str">
        <f>IF(A39="","",VLOOKUP(A39,MAT,3,FALSE))</f>
        <v/>
      </c>
      <c r="E39" s="774" t="str">
        <f>IF(A39="","",VLOOKUP(A39,MAT,6,FALSE))</f>
        <v/>
      </c>
      <c r="F39" s="777" t="str">
        <f>IF(A39="","",VLOOKUP(A39,$A$23:$H$32,6,FALSE))</f>
        <v/>
      </c>
      <c r="G39" s="776" t="str">
        <f>IF(A39="","",VLOOKUP(A39,MAT,7,FALSE))</f>
        <v/>
      </c>
      <c r="H39" s="746" t="str">
        <f>IF(A39="","",ROUND((G39*F39*E39),0))</f>
        <v/>
      </c>
    </row>
    <row r="40" spans="1:8">
      <c r="A40" s="778"/>
      <c r="B40" s="737" t="str">
        <f>IF(A40="","",VLOOKUP(A40,MAT,2,FALSE))</f>
        <v/>
      </c>
      <c r="D40" s="779" t="str">
        <f>IF(A40="","",VLOOKUP(A40,MAT,3,FALSE))</f>
        <v/>
      </c>
      <c r="E40" s="774" t="str">
        <f>IF(A40="","",VLOOKUP(A40,MAT,6,FALSE))</f>
        <v/>
      </c>
      <c r="F40" s="777" t="str">
        <f>IF(A40="","",VLOOKUP(A40,$A$23:$H$32,6,FALSE))</f>
        <v/>
      </c>
      <c r="G40" s="780" t="str">
        <f>IF(A40="","",VLOOKUP(A40,MAT,7,FALSE))</f>
        <v/>
      </c>
      <c r="H40" s="746" t="str">
        <f>IF(A40="","",ROUND((G40*F40*E40),0))</f>
        <v/>
      </c>
    </row>
    <row r="41" spans="1:8" ht="13.5" thickBot="1">
      <c r="A41" s="781"/>
      <c r="B41" s="710" t="str">
        <f>IF(A41="","",VLOOKUP(A41,MAT,2,FALSE))</f>
        <v/>
      </c>
      <c r="C41" s="710"/>
      <c r="D41" s="782" t="str">
        <f>IF(A41="","",VLOOKUP(A41,MAT,3,FALSE))</f>
        <v/>
      </c>
      <c r="E41" s="783" t="str">
        <f>IF(A41="","",VLOOKUP(A41,MAT,6,FALSE))</f>
        <v/>
      </c>
      <c r="F41" s="784" t="str">
        <f>IF(A41="","",VLOOKUP(A41,$A$23:$H$32,6,FALSE))</f>
        <v/>
      </c>
      <c r="G41" s="785" t="str">
        <f>IF(A41="","",VLOOKUP(A41,MAT,7,FALSE))</f>
        <v/>
      </c>
      <c r="H41" s="786" t="str">
        <f>IF(A41="","",ROUND((G41*F41*E41),0))</f>
        <v/>
      </c>
    </row>
    <row r="42" spans="1:8" ht="13.5" thickBot="1">
      <c r="E42" s="787"/>
      <c r="F42" s="788"/>
      <c r="G42" s="789" t="s">
        <v>529</v>
      </c>
      <c r="H42" s="790">
        <f>ROUND(SUM(H37:H41),0)</f>
        <v>0</v>
      </c>
    </row>
    <row r="43" spans="1:8">
      <c r="E43" s="787"/>
      <c r="F43" s="788"/>
      <c r="G43" s="713"/>
      <c r="H43" s="791"/>
    </row>
    <row r="44" spans="1:8" ht="13.5" thickBot="1">
      <c r="A44" s="726" t="s">
        <v>534</v>
      </c>
      <c r="B44" s="726"/>
      <c r="C44" s="726"/>
      <c r="D44" s="712"/>
      <c r="E44" s="713"/>
      <c r="F44" s="712"/>
      <c r="G44" s="712"/>
      <c r="H44" s="749"/>
    </row>
    <row r="45" spans="1:8" ht="13.5" thickBot="1">
      <c r="A45" s="728" t="s">
        <v>527</v>
      </c>
      <c r="B45" s="2232" t="s">
        <v>514</v>
      </c>
      <c r="C45" s="2233"/>
      <c r="D45" s="2234"/>
      <c r="E45" s="792" t="s">
        <v>515</v>
      </c>
      <c r="F45" s="792" t="s">
        <v>535</v>
      </c>
      <c r="G45" s="793" t="s">
        <v>944</v>
      </c>
      <c r="H45" s="770" t="s">
        <v>831</v>
      </c>
    </row>
    <row r="46" spans="1:8">
      <c r="A46" s="794" t="s">
        <v>908</v>
      </c>
      <c r="B46" s="2235" t="str">
        <f>IF(A46="","",VLOOKUP(A46,MO,2,FALSE))</f>
        <v>Cuadrilla II: Topografía. (1 Top. + 1 Aux.Top.+ 1 Cade.).</v>
      </c>
      <c r="C46" s="2236"/>
      <c r="D46" s="2237"/>
      <c r="E46" s="795" t="str">
        <f>IF(A46="","",VLOOKUP(A46,MO,13,FALSE))</f>
        <v>HC</v>
      </c>
      <c r="F46" s="796">
        <f>+F14</f>
        <v>80</v>
      </c>
      <c r="G46" s="797">
        <f>IF(A46="","",VLOOKUP(A46,MO,15,FALSE))</f>
        <v>65003</v>
      </c>
      <c r="H46" s="798">
        <f>IF(A46="","",ROUND((G46/F46),0))</f>
        <v>813</v>
      </c>
    </row>
    <row r="47" spans="1:8">
      <c r="A47" s="794"/>
      <c r="B47" s="2221" t="str">
        <f>IF(A47="","",VLOOKUP(A47,MO,2,FALSE))</f>
        <v/>
      </c>
      <c r="C47" s="2222"/>
      <c r="D47" s="2223"/>
      <c r="E47" s="795" t="str">
        <f>IF(A47="","",VLOOKUP(A47,MO,13,FALSE))</f>
        <v/>
      </c>
      <c r="F47" s="796"/>
      <c r="G47" s="797" t="str">
        <f>IF(A47="","",VLOOKUP(A47,MO,15,FALSE))</f>
        <v/>
      </c>
      <c r="H47" s="798" t="str">
        <f>IF(A47="","",ROUND((G47/F47),0))</f>
        <v/>
      </c>
    </row>
    <row r="48" spans="1:8">
      <c r="A48" s="794"/>
      <c r="B48" s="2221" t="str">
        <f>IF(A48="","",VLOOKUP(A48,MO,2,FALSE))</f>
        <v/>
      </c>
      <c r="C48" s="2222"/>
      <c r="D48" s="2223"/>
      <c r="E48" s="795" t="str">
        <f>IF(A48="","",VLOOKUP(A48,MO,13,FALSE))</f>
        <v/>
      </c>
      <c r="F48" s="796"/>
      <c r="G48" s="799" t="str">
        <f>IF(A48="","",VLOOKUP(A48,MO,15,FALSE))</f>
        <v/>
      </c>
      <c r="H48" s="798" t="str">
        <f>IF(A48="","",ROUND((G48/F48),0))</f>
        <v/>
      </c>
    </row>
    <row r="49" spans="1:8" ht="13.5" thickBot="1">
      <c r="A49" s="800"/>
      <c r="B49" s="2224" t="str">
        <f>IF(A49="","",VLOOKUP(A49,MO,2,FALSE))</f>
        <v/>
      </c>
      <c r="C49" s="2225"/>
      <c r="D49" s="2226"/>
      <c r="E49" s="801" t="str">
        <f>IF(A49="","",VLOOKUP(A49,MO,13,FALSE))</f>
        <v/>
      </c>
      <c r="F49" s="802"/>
      <c r="G49" s="803" t="str">
        <f>IF(A49="","",VLOOKUP(A49,MO,15,FALSE))</f>
        <v/>
      </c>
      <c r="H49" s="804" t="str">
        <f>IF(A49="","",ROUND((G49/F49),0))</f>
        <v/>
      </c>
    </row>
    <row r="50" spans="1:8" ht="13.5" thickBot="1">
      <c r="A50" s="712"/>
      <c r="B50" s="712"/>
      <c r="C50" s="712"/>
      <c r="D50" s="712"/>
      <c r="E50" s="713"/>
      <c r="F50" s="712"/>
      <c r="G50" s="753" t="s">
        <v>529</v>
      </c>
      <c r="H50" s="805">
        <f>ROUND(SUM(H46:H49),0)</f>
        <v>813</v>
      </c>
    </row>
    <row r="51" spans="1:8" ht="13.5" thickBot="1">
      <c r="A51" s="712"/>
      <c r="B51" s="712"/>
      <c r="C51" s="712"/>
      <c r="D51" s="712"/>
      <c r="E51" s="713"/>
      <c r="F51" s="712"/>
      <c r="G51" s="712"/>
      <c r="H51" s="712"/>
    </row>
    <row r="52" spans="1:8" ht="13.5" thickBot="1">
      <c r="A52" s="712"/>
      <c r="B52" s="712"/>
      <c r="C52" s="712"/>
      <c r="D52" s="712"/>
      <c r="E52" s="806" t="s">
        <v>536</v>
      </c>
      <c r="F52" s="807"/>
      <c r="G52" s="807"/>
      <c r="H52" s="808">
        <f>+ROUND(H19+H33+H42+H50,0)</f>
        <v>3621</v>
      </c>
    </row>
    <row r="53" spans="1:8">
      <c r="A53" s="712"/>
      <c r="B53" s="712"/>
      <c r="C53" s="712"/>
      <c r="D53" s="712"/>
      <c r="E53" s="806"/>
      <c r="F53" s="807"/>
      <c r="G53" s="807"/>
      <c r="H53" s="809"/>
    </row>
    <row r="54" spans="1:8">
      <c r="A54" s="712"/>
      <c r="B54" s="712"/>
      <c r="C54" s="712"/>
      <c r="D54" s="712"/>
      <c r="E54" s="806"/>
      <c r="F54" s="807"/>
      <c r="G54" s="807"/>
      <c r="H54" s="809"/>
    </row>
    <row r="55" spans="1:8">
      <c r="A55" s="712"/>
      <c r="B55" s="712"/>
      <c r="C55" s="712"/>
      <c r="D55" s="712"/>
      <c r="E55" s="806"/>
      <c r="F55" s="807"/>
      <c r="G55" s="807"/>
      <c r="H55" s="809"/>
    </row>
    <row r="56" spans="1:8">
      <c r="A56" s="712"/>
      <c r="B56" s="712"/>
      <c r="C56" s="712"/>
      <c r="D56" s="712"/>
      <c r="E56" s="806"/>
      <c r="F56" s="807"/>
      <c r="G56" s="807"/>
      <c r="H56" s="809"/>
    </row>
    <row r="57" spans="1:8">
      <c r="A57" s="712"/>
      <c r="B57" s="712"/>
      <c r="C57" s="712"/>
      <c r="D57" s="712"/>
      <c r="E57" s="806"/>
      <c r="F57" s="807"/>
      <c r="G57" s="807"/>
      <c r="H57" s="809"/>
    </row>
    <row r="59" spans="1:8">
      <c r="A59" s="703" t="str">
        <f>+[14]PRESUPUESTO!$A$113</f>
        <v>__________________________________________</v>
      </c>
    </row>
    <row r="60" spans="1:8">
      <c r="A60" s="810" t="str">
        <f>+[14]PRESUPUESTO!$A$114</f>
        <v>Ing. JHON FREDY GARCIA MENDEZ</v>
      </c>
    </row>
    <row r="61" spans="1:8">
      <c r="A61" s="811" t="str">
        <f>+[14]PRESUPUESTO!$A$115</f>
        <v>M.P.  70268-326294 TLM.</v>
      </c>
    </row>
    <row r="62" spans="1:8">
      <c r="A62" s="811" t="str">
        <f>+[14]PRESUPUESTO!$A$116</f>
        <v>CONSULTOR</v>
      </c>
    </row>
  </sheetData>
  <mergeCells count="15">
    <mergeCell ref="D2:E4"/>
    <mergeCell ref="F2:H2"/>
    <mergeCell ref="F3:H3"/>
    <mergeCell ref="F4:H4"/>
    <mergeCell ref="A5:E5"/>
    <mergeCell ref="F5:H5"/>
    <mergeCell ref="B47:D47"/>
    <mergeCell ref="B48:D48"/>
    <mergeCell ref="B49:D49"/>
    <mergeCell ref="B6:D6"/>
    <mergeCell ref="B7:E7"/>
    <mergeCell ref="B8:E8"/>
    <mergeCell ref="B36:C36"/>
    <mergeCell ref="B45:D45"/>
    <mergeCell ref="B46:D46"/>
  </mergeCells>
  <pageMargins left="0.75" right="0.75" top="1" bottom="1" header="0" footer="0"/>
  <pageSetup paperSize="9" scale="70" orientation="portrait" r:id="rId1"/>
  <headerFooter alignWithMargins="0"/>
  <drawing r:id="rId2"/>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500-000000000000}">
  <sheetPr>
    <tabColor theme="6" tint="0.79998168889431442"/>
  </sheetPr>
  <dimension ref="A1:I62"/>
  <sheetViews>
    <sheetView workbookViewId="0"/>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2.710937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t="e">
        <f>PRESUPUESTO!#REF!</f>
        <v>#REF!</v>
      </c>
      <c r="B7" s="2185" t="e">
        <f>PRESUPUESTO!#REF!</f>
        <v>#REF!</v>
      </c>
      <c r="C7" s="2185"/>
      <c r="D7" s="2185"/>
      <c r="E7" s="2185"/>
      <c r="F7" s="289"/>
      <c r="G7" s="290" t="s">
        <v>525</v>
      </c>
      <c r="H7" s="97" t="e">
        <f>+PRESUPUESTO!#REF!</f>
        <v>#REF!</v>
      </c>
    </row>
    <row r="8" spans="1:9">
      <c r="A8" s="97" t="e">
        <f>+PRESUPUESTO!#REF!</f>
        <v>#REF!</v>
      </c>
      <c r="B8" s="2217" t="e">
        <f>+PRESUPUESTO!#REF!</f>
        <v>#REF!</v>
      </c>
      <c r="C8" s="2217"/>
      <c r="D8" s="2217"/>
      <c r="E8" s="221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v>3</v>
      </c>
      <c r="H12" s="278" t="s">
        <v>831</v>
      </c>
    </row>
    <row r="13" spans="1:9">
      <c r="A13" s="536" t="s">
        <v>966</v>
      </c>
      <c r="B13" s="305" t="str">
        <f t="shared" ref="B13:B18" si="0">IF(A13="","",VLOOKUP(A13,EQUI,2,FALSE))</f>
        <v>Herramienta Menor (5% de la mano de obra).</v>
      </c>
      <c r="C13" s="306"/>
      <c r="D13" s="306"/>
      <c r="E13" s="276" t="str">
        <f t="shared" ref="E13:E18" si="1">IF(A13="","",VLOOKUP(A13,EQUI,3,FALSE))</f>
        <v>%</v>
      </c>
      <c r="F13" s="433">
        <f>IF(A13="","",VLOOKUP(A13,EQUI,4,FALSE))</f>
        <v>0.05</v>
      </c>
      <c r="G13" s="307">
        <f>ROUND(F13*H50,0)</f>
        <v>3895</v>
      </c>
      <c r="H13" s="308">
        <f>+G13</f>
        <v>3895</v>
      </c>
      <c r="I13" s="309"/>
    </row>
    <row r="14" spans="1:9">
      <c r="A14" s="536"/>
      <c r="B14" s="305" t="str">
        <f t="shared" si="0"/>
        <v/>
      </c>
      <c r="C14" s="306"/>
      <c r="D14" s="306"/>
      <c r="E14" s="276" t="str">
        <f t="shared" si="1"/>
        <v/>
      </c>
      <c r="F14" s="405"/>
      <c r="G14" s="310" t="str">
        <f>IF(A14="","",VLOOKUP(A14,EQUI,4,FALSE))</f>
        <v/>
      </c>
      <c r="H14" s="311" t="str">
        <f>IF(A14="","",ROUND((G14/F14),0))</f>
        <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3895</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c r="B23" s="353" t="str">
        <f t="shared" ref="B23:B32" si="2">IF(A23="","",VLOOKUP(A23,MAT,2,FALSE))</f>
        <v/>
      </c>
      <c r="C23" s="305"/>
      <c r="D23" s="306"/>
      <c r="E23" s="276" t="str">
        <f t="shared" ref="E23:E32" si="3">IF(A23="","",VLOOKUP(A23,MAT,3,FALSE))</f>
        <v/>
      </c>
      <c r="F23" s="405"/>
      <c r="G23" s="310" t="str">
        <f t="shared" ref="G23:G32" si="4">IF(A23="","",VLOOKUP(A23,MAT,5,FALSE))</f>
        <v/>
      </c>
      <c r="H23" s="311" t="str">
        <f t="shared" ref="H23:H32" si="5">IF(A23="","",ROUND((G23*F23),0))</f>
        <v/>
      </c>
    </row>
    <row r="24" spans="1:8">
      <c r="A24" s="534"/>
      <c r="B24" s="353" t="str">
        <f t="shared" si="2"/>
        <v/>
      </c>
      <c r="C24" s="305"/>
      <c r="D24" s="306"/>
      <c r="E24" s="276" t="str">
        <f t="shared" si="3"/>
        <v/>
      </c>
      <c r="F24" s="405"/>
      <c r="G24" s="310" t="str">
        <f t="shared" si="4"/>
        <v/>
      </c>
      <c r="H24" s="311" t="str">
        <f t="shared" si="5"/>
        <v/>
      </c>
    </row>
    <row r="25" spans="1:8">
      <c r="A25" s="534"/>
      <c r="B25" s="353" t="str">
        <f t="shared" si="2"/>
        <v/>
      </c>
      <c r="C25" s="305"/>
      <c r="D25" s="306"/>
      <c r="E25" s="276" t="str">
        <f t="shared" si="3"/>
        <v/>
      </c>
      <c r="F25" s="405"/>
      <c r="G25" s="310" t="str">
        <f t="shared" si="4"/>
        <v/>
      </c>
      <c r="H25" s="311" t="str">
        <f t="shared" si="5"/>
        <v/>
      </c>
    </row>
    <row r="26" spans="1:8">
      <c r="A26" s="534"/>
      <c r="B26" s="305" t="str">
        <f t="shared" si="2"/>
        <v/>
      </c>
      <c r="C26" s="305"/>
      <c r="D26" s="306"/>
      <c r="E26" s="276" t="str">
        <f t="shared" si="3"/>
        <v/>
      </c>
      <c r="F26" s="405"/>
      <c r="G26" s="310" t="str">
        <f t="shared" si="4"/>
        <v/>
      </c>
      <c r="H26" s="311" t="str">
        <f t="shared" si="5"/>
        <v/>
      </c>
    </row>
    <row r="27" spans="1:8">
      <c r="A27" s="534"/>
      <c r="B27" s="305" t="str">
        <f t="shared" si="2"/>
        <v/>
      </c>
      <c r="C27" s="305"/>
      <c r="D27" s="306"/>
      <c r="E27" s="276" t="str">
        <f t="shared" si="3"/>
        <v/>
      </c>
      <c r="F27" s="405"/>
      <c r="G27" s="310" t="str">
        <f t="shared" si="4"/>
        <v/>
      </c>
      <c r="H27" s="311" t="str">
        <f t="shared" si="5"/>
        <v/>
      </c>
    </row>
    <row r="28" spans="1:8">
      <c r="A28" s="534"/>
      <c r="B28" s="305" t="str">
        <f t="shared" si="2"/>
        <v/>
      </c>
      <c r="C28" s="305"/>
      <c r="D28" s="306"/>
      <c r="E28" s="276" t="str">
        <f t="shared" si="3"/>
        <v/>
      </c>
      <c r="F28" s="405"/>
      <c r="G28" s="310" t="str">
        <f t="shared" si="4"/>
        <v/>
      </c>
      <c r="H28" s="311" t="str">
        <f t="shared" si="5"/>
        <v/>
      </c>
    </row>
    <row r="29" spans="1:8">
      <c r="A29" s="534"/>
      <c r="B29" s="305" t="str">
        <f t="shared" si="2"/>
        <v/>
      </c>
      <c r="C29" s="305"/>
      <c r="D29" s="306"/>
      <c r="E29" s="276" t="str">
        <f t="shared" si="3"/>
        <v/>
      </c>
      <c r="F29" s="405"/>
      <c r="G29" s="310" t="str">
        <f t="shared" si="4"/>
        <v/>
      </c>
      <c r="H29" s="311" t="str">
        <f t="shared" si="5"/>
        <v/>
      </c>
    </row>
    <row r="30" spans="1:8">
      <c r="A30" s="534"/>
      <c r="B30" s="305" t="str">
        <f t="shared" si="2"/>
        <v/>
      </c>
      <c r="C30" s="305"/>
      <c r="D30" s="306"/>
      <c r="E30" s="276" t="str">
        <f t="shared" si="3"/>
        <v/>
      </c>
      <c r="F30" s="405"/>
      <c r="G30" s="310" t="str">
        <f t="shared" si="4"/>
        <v/>
      </c>
      <c r="H30" s="311" t="str">
        <f t="shared" si="5"/>
        <v/>
      </c>
    </row>
    <row r="31" spans="1:8">
      <c r="A31" s="534"/>
      <c r="B31" s="305" t="str">
        <f t="shared" si="2"/>
        <v/>
      </c>
      <c r="C31" s="305"/>
      <c r="D31" s="306"/>
      <c r="E31" s="276" t="str">
        <f t="shared" si="3"/>
        <v/>
      </c>
      <c r="F31" s="405"/>
      <c r="G31" s="310" t="str">
        <f t="shared" si="4"/>
        <v/>
      </c>
      <c r="H31" s="311" t="str">
        <f t="shared" si="5"/>
        <v/>
      </c>
    </row>
    <row r="32" spans="1:8" ht="13.5" thickBot="1">
      <c r="A32" s="535"/>
      <c r="B32" s="326" t="str">
        <f t="shared" si="2"/>
        <v/>
      </c>
      <c r="C32" s="314"/>
      <c r="D32" s="314"/>
      <c r="E32" s="315" t="str">
        <f t="shared" si="3"/>
        <v/>
      </c>
      <c r="F32" s="406"/>
      <c r="G32" s="327" t="str">
        <f t="shared" si="4"/>
        <v/>
      </c>
      <c r="H32" s="311" t="str">
        <f t="shared" si="5"/>
        <v/>
      </c>
    </row>
    <row r="33" spans="1:8" ht="13.5" thickBot="1">
      <c r="A33" s="285"/>
      <c r="B33" s="285"/>
      <c r="C33" s="285"/>
      <c r="D33" s="285"/>
      <c r="E33" s="286"/>
      <c r="F33" s="285"/>
      <c r="G33" s="210" t="s">
        <v>529</v>
      </c>
      <c r="H33" s="328">
        <f>ROUND(SUM(H23:H32),0)</f>
        <v>0</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546"/>
      <c r="B37" s="305" t="str">
        <f>IF(A37="","",VLOOKUP(A37,MAT,2,FALSE))</f>
        <v/>
      </c>
      <c r="C37" s="333"/>
      <c r="D37" s="409" t="str">
        <f>IF(A37="","",VLOOKUP(A37,MAT,3,FALSE))</f>
        <v/>
      </c>
      <c r="E37" s="419" t="str">
        <f>IF(A37="","",VLOOKUP(A37,MAT,6,FALSE))</f>
        <v/>
      </c>
      <c r="F37" s="413"/>
      <c r="G37" s="334" t="str">
        <f>IF(A37="","",VLOOKUP(A37,MAT,7,FALSE))</f>
        <v/>
      </c>
      <c r="H37" s="311" t="str">
        <f>IF(A37="","",ROUND((G37*F37*E37),0))</f>
        <v/>
      </c>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t="str">
        <f>IF(A39="","",ROUND((G39*F39*E39),0))</f>
        <v/>
      </c>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0</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883</v>
      </c>
      <c r="B46" s="2192" t="str">
        <f>IF(A46="","",VLOOKUP(A46,MO,2,FALSE))</f>
        <v>Cuadrilla AA: Albañilería. (1 Of. + 1 Ayud.).</v>
      </c>
      <c r="C46" s="2193"/>
      <c r="D46" s="2194"/>
      <c r="E46" s="538" t="str">
        <f>IF(A46="","",VLOOKUP(A46,MO,13,FALSE))</f>
        <v>HC</v>
      </c>
      <c r="F46" s="544">
        <v>0.5</v>
      </c>
      <c r="G46" s="540">
        <f>IF(A46="","",VLOOKUP(A46,MO,15,FALSE))</f>
        <v>38949</v>
      </c>
      <c r="H46" s="542">
        <f>IF(A46="","",ROUND((G46/F46),0))</f>
        <v>77898</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77898</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81793</v>
      </c>
    </row>
    <row r="53" spans="1:8">
      <c r="A53" s="285"/>
      <c r="B53" s="285"/>
      <c r="C53" s="285"/>
      <c r="D53" s="285"/>
      <c r="E53" s="346"/>
      <c r="F53" s="347"/>
      <c r="G53" s="347"/>
      <c r="H53" s="349"/>
    </row>
    <row r="54" spans="1:8">
      <c r="A54" s="285"/>
      <c r="B54" s="285"/>
      <c r="C54" s="285"/>
      <c r="D54" s="285"/>
      <c r="E54" s="346"/>
      <c r="F54" s="347"/>
      <c r="G54" s="347"/>
      <c r="H54" s="349"/>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c r="A59" s="703" t="str">
        <f>+[14]PRESUPUESTO!$A$113</f>
        <v>__________________________________________</v>
      </c>
      <c r="B59" s="703"/>
    </row>
    <row r="60" spans="1:8">
      <c r="A60" s="810" t="str">
        <f>+[14]PRESUPUESTO!$A$114</f>
        <v>Ing. JHON FREDY GARCIA MENDEZ</v>
      </c>
      <c r="B60" s="703"/>
    </row>
    <row r="61" spans="1:8">
      <c r="A61" s="811" t="str">
        <f>+[14]PRESUPUESTO!$A$115</f>
        <v>M.P.  70268-326294 TLM.</v>
      </c>
      <c r="B61" s="703"/>
    </row>
    <row r="62" spans="1:8">
      <c r="A62" s="811" t="str">
        <f>+[14]PRESUPUESTO!$A$116</f>
        <v>CONSULTOR</v>
      </c>
      <c r="B62" s="703"/>
    </row>
  </sheetData>
  <mergeCells count="15">
    <mergeCell ref="D2:E4"/>
    <mergeCell ref="F2:H2"/>
    <mergeCell ref="F3:H3"/>
    <mergeCell ref="F4:H4"/>
    <mergeCell ref="A5:E5"/>
    <mergeCell ref="F5:H5"/>
    <mergeCell ref="B47:D47"/>
    <mergeCell ref="B48:D48"/>
    <mergeCell ref="B49:D49"/>
    <mergeCell ref="B6:D6"/>
    <mergeCell ref="B7:E7"/>
    <mergeCell ref="B8:E8"/>
    <mergeCell ref="B36:C36"/>
    <mergeCell ref="B45:D45"/>
    <mergeCell ref="B46:D46"/>
  </mergeCells>
  <pageMargins left="0.75" right="0.75" top="1" bottom="1" header="0" footer="0"/>
  <pageSetup paperSize="9" scale="70" orientation="portrait" r:id="rId1"/>
  <headerFooter alignWithMargins="0"/>
  <drawing r:id="rId2"/>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600-000000000000}">
  <sheetPr>
    <tabColor theme="6" tint="0.79998168889431442"/>
  </sheetPr>
  <dimension ref="A1:I62"/>
  <sheetViews>
    <sheetView workbookViewId="0"/>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2.710937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t="e">
        <f>PRESUPUESTO!#REF!</f>
        <v>#REF!</v>
      </c>
      <c r="B7" s="2185" t="e">
        <f>PRESUPUESTO!#REF!</f>
        <v>#REF!</v>
      </c>
      <c r="C7" s="2185"/>
      <c r="D7" s="2185"/>
      <c r="E7" s="2185"/>
      <c r="F7" s="289"/>
      <c r="G7" s="290" t="s">
        <v>525</v>
      </c>
      <c r="H7" s="97" t="e">
        <f>+PRESUPUESTO!#REF!</f>
        <v>#REF!</v>
      </c>
    </row>
    <row r="8" spans="1:9" ht="26.25" customHeight="1">
      <c r="A8" s="97" t="e">
        <f>+PRESUPUESTO!#REF!</f>
        <v>#REF!</v>
      </c>
      <c r="B8" s="2273" t="e">
        <f>+PRESUPUESTO!#REF!</f>
        <v>#REF!</v>
      </c>
      <c r="C8" s="2217"/>
      <c r="D8" s="2217"/>
      <c r="E8" s="221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966</v>
      </c>
      <c r="B13" s="305" t="str">
        <f t="shared" ref="B13:B18" si="0">IF(A13="","",VLOOKUP(A13,EQUI,2,FALSE))</f>
        <v>Herramienta Menor (5% de la mano de obra).</v>
      </c>
      <c r="C13" s="306"/>
      <c r="D13" s="306"/>
      <c r="E13" s="276" t="str">
        <f t="shared" ref="E13:E18" si="1">IF(A13="","",VLOOKUP(A13,EQUI,3,FALSE))</f>
        <v>%</v>
      </c>
      <c r="F13" s="433">
        <f>IF(A13="","",VLOOKUP(A13,EQUI,4,FALSE))</f>
        <v>0.05</v>
      </c>
      <c r="G13" s="307">
        <f>ROUND(F13*H50,0)</f>
        <v>1146</v>
      </c>
      <c r="H13" s="308">
        <f>+G13</f>
        <v>1146</v>
      </c>
      <c r="I13" s="309"/>
    </row>
    <row r="14" spans="1:9">
      <c r="A14" s="536" t="s">
        <v>481</v>
      </c>
      <c r="B14" s="305" t="str">
        <f t="shared" si="0"/>
        <v>Apisonador tipo canguro</v>
      </c>
      <c r="C14" s="306"/>
      <c r="D14" s="306"/>
      <c r="E14" s="276" t="str">
        <f t="shared" si="1"/>
        <v>Dia</v>
      </c>
      <c r="F14" s="405">
        <v>20</v>
      </c>
      <c r="G14" s="310">
        <f>IF(A14="","",VLOOKUP(A14,EQUI,4,FALSE))</f>
        <v>95693</v>
      </c>
      <c r="H14" s="311">
        <f>IF(A14="","",ROUND((G14/F14),0))</f>
        <v>4785</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5931</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t="s">
        <v>563</v>
      </c>
      <c r="B23" s="353" t="str">
        <f t="shared" ref="B23:B32" si="2">IF(A23="","",VLOOKUP(A23,MAT,2,FALSE))</f>
        <v>Recebo granular seleccionado IP&lt;10%.</v>
      </c>
      <c r="C23" s="305"/>
      <c r="D23" s="306"/>
      <c r="E23" s="276" t="str">
        <f t="shared" ref="E23:E32" si="3">IF(A23="","",VLOOKUP(A23,MAT,3,FALSE))</f>
        <v>m3</v>
      </c>
      <c r="F23" s="405">
        <v>1.25</v>
      </c>
      <c r="G23" s="310">
        <f t="shared" ref="G23:G32" si="4">IF(A23="","",VLOOKUP(A23,MAT,5,FALSE))</f>
        <v>102340</v>
      </c>
      <c r="H23" s="311">
        <f t="shared" ref="H23:H32" si="5">IF(A23="","",ROUND((G23*F23),0))</f>
        <v>127925</v>
      </c>
    </row>
    <row r="24" spans="1:8">
      <c r="A24" s="534"/>
      <c r="B24" s="353" t="str">
        <f t="shared" si="2"/>
        <v/>
      </c>
      <c r="C24" s="305"/>
      <c r="D24" s="306"/>
      <c r="E24" s="276" t="str">
        <f t="shared" si="3"/>
        <v/>
      </c>
      <c r="F24" s="405"/>
      <c r="G24" s="310" t="str">
        <f t="shared" si="4"/>
        <v/>
      </c>
      <c r="H24" s="311" t="str">
        <f t="shared" si="5"/>
        <v/>
      </c>
    </row>
    <row r="25" spans="1:8">
      <c r="A25" s="534"/>
      <c r="B25" s="353" t="str">
        <f t="shared" si="2"/>
        <v/>
      </c>
      <c r="C25" s="305"/>
      <c r="D25" s="306"/>
      <c r="E25" s="276" t="str">
        <f t="shared" si="3"/>
        <v/>
      </c>
      <c r="F25" s="405"/>
      <c r="G25" s="310" t="str">
        <f t="shared" si="4"/>
        <v/>
      </c>
      <c r="H25" s="311" t="str">
        <f t="shared" si="5"/>
        <v/>
      </c>
    </row>
    <row r="26" spans="1:8">
      <c r="A26" s="534"/>
      <c r="B26" s="305" t="str">
        <f t="shared" si="2"/>
        <v/>
      </c>
      <c r="C26" s="305"/>
      <c r="D26" s="306"/>
      <c r="E26" s="276" t="str">
        <f t="shared" si="3"/>
        <v/>
      </c>
      <c r="F26" s="405"/>
      <c r="G26" s="310" t="str">
        <f t="shared" si="4"/>
        <v/>
      </c>
      <c r="H26" s="311" t="str">
        <f t="shared" si="5"/>
        <v/>
      </c>
    </row>
    <row r="27" spans="1:8">
      <c r="A27" s="534"/>
      <c r="B27" s="305" t="str">
        <f t="shared" si="2"/>
        <v/>
      </c>
      <c r="C27" s="305"/>
      <c r="D27" s="306"/>
      <c r="E27" s="276" t="str">
        <f t="shared" si="3"/>
        <v/>
      </c>
      <c r="F27" s="405"/>
      <c r="G27" s="310" t="str">
        <f t="shared" si="4"/>
        <v/>
      </c>
      <c r="H27" s="311" t="str">
        <f t="shared" si="5"/>
        <v/>
      </c>
    </row>
    <row r="28" spans="1:8">
      <c r="A28" s="534"/>
      <c r="B28" s="305" t="str">
        <f t="shared" si="2"/>
        <v/>
      </c>
      <c r="C28" s="305"/>
      <c r="D28" s="306"/>
      <c r="E28" s="276" t="str">
        <f t="shared" si="3"/>
        <v/>
      </c>
      <c r="F28" s="405"/>
      <c r="G28" s="310" t="str">
        <f t="shared" si="4"/>
        <v/>
      </c>
      <c r="H28" s="311" t="str">
        <f t="shared" si="5"/>
        <v/>
      </c>
    </row>
    <row r="29" spans="1:8">
      <c r="A29" s="534"/>
      <c r="B29" s="305" t="str">
        <f t="shared" si="2"/>
        <v/>
      </c>
      <c r="C29" s="305"/>
      <c r="D29" s="306"/>
      <c r="E29" s="276" t="str">
        <f t="shared" si="3"/>
        <v/>
      </c>
      <c r="F29" s="405"/>
      <c r="G29" s="310" t="str">
        <f t="shared" si="4"/>
        <v/>
      </c>
      <c r="H29" s="311" t="str">
        <f t="shared" si="5"/>
        <v/>
      </c>
    </row>
    <row r="30" spans="1:8">
      <c r="A30" s="534"/>
      <c r="B30" s="305" t="str">
        <f t="shared" si="2"/>
        <v/>
      </c>
      <c r="C30" s="305"/>
      <c r="D30" s="306"/>
      <c r="E30" s="276" t="str">
        <f t="shared" si="3"/>
        <v/>
      </c>
      <c r="F30" s="405"/>
      <c r="G30" s="310" t="str">
        <f t="shared" si="4"/>
        <v/>
      </c>
      <c r="H30" s="311" t="str">
        <f t="shared" si="5"/>
        <v/>
      </c>
    </row>
    <row r="31" spans="1:8">
      <c r="A31" s="534"/>
      <c r="B31" s="305" t="str">
        <f t="shared" si="2"/>
        <v/>
      </c>
      <c r="C31" s="305"/>
      <c r="D31" s="306"/>
      <c r="E31" s="276" t="str">
        <f t="shared" si="3"/>
        <v/>
      </c>
      <c r="F31" s="405"/>
      <c r="G31" s="310" t="str">
        <f t="shared" si="4"/>
        <v/>
      </c>
      <c r="H31" s="311" t="str">
        <f t="shared" si="5"/>
        <v/>
      </c>
    </row>
    <row r="32" spans="1:8" ht="13.5" thickBot="1">
      <c r="A32" s="535"/>
      <c r="B32" s="326" t="str">
        <f t="shared" si="2"/>
        <v/>
      </c>
      <c r="C32" s="314"/>
      <c r="D32" s="314"/>
      <c r="E32" s="315" t="str">
        <f t="shared" si="3"/>
        <v/>
      </c>
      <c r="F32" s="406"/>
      <c r="G32" s="327" t="str">
        <f t="shared" si="4"/>
        <v/>
      </c>
      <c r="H32" s="311" t="str">
        <f t="shared" si="5"/>
        <v/>
      </c>
    </row>
    <row r="33" spans="1:8" ht="13.5" thickBot="1">
      <c r="A33" s="285"/>
      <c r="B33" s="285"/>
      <c r="C33" s="285"/>
      <c r="D33" s="285"/>
      <c r="E33" s="286"/>
      <c r="F33" s="285"/>
      <c r="G33" s="210" t="s">
        <v>529</v>
      </c>
      <c r="H33" s="328">
        <f>ROUND(SUM(H23:H32),0)</f>
        <v>127925</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546" t="str">
        <f>+A23</f>
        <v>REC</v>
      </c>
      <c r="B37" s="305" t="str">
        <f>IF(A37="","",VLOOKUP(A37,MAT,2,FALSE))</f>
        <v>Recebo granular seleccionado IP&lt;10%.</v>
      </c>
      <c r="C37" s="333"/>
      <c r="D37" s="409" t="str">
        <f>IF(A37="","",VLOOKUP(A37,MAT,3,FALSE))</f>
        <v>m3</v>
      </c>
      <c r="E37" s="419">
        <f>IF(A37="","",VLOOKUP(A37,MAT,6,FALSE))</f>
        <v>60.5</v>
      </c>
      <c r="F37" s="413">
        <v>1.03</v>
      </c>
      <c r="G37" s="334">
        <f>IF(A37="","",VLOOKUP(A37,MAT,7,FALSE))</f>
        <v>1500</v>
      </c>
      <c r="H37" s="311">
        <f>IF(A37="","",ROUND((G37*F37*E37),0))</f>
        <v>93473</v>
      </c>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t="str">
        <f>IF(A39="","",ROUND((G39*F39*E39),0))</f>
        <v/>
      </c>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93473</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883</v>
      </c>
      <c r="B46" s="2192" t="str">
        <f>IF(A46="","",VLOOKUP(A46,MO,2,FALSE))</f>
        <v>Cuadrilla AA: Albañilería. (1 Of. + 1 Ayud.).</v>
      </c>
      <c r="C46" s="2193"/>
      <c r="D46" s="2194"/>
      <c r="E46" s="538" t="str">
        <f>IF(A46="","",VLOOKUP(A46,MO,13,FALSE))</f>
        <v>HC</v>
      </c>
      <c r="F46" s="544">
        <v>1.7</v>
      </c>
      <c r="G46" s="540">
        <f>IF(A46="","",VLOOKUP(A46,MO,15,FALSE))</f>
        <v>38949</v>
      </c>
      <c r="H46" s="542">
        <f>IF(A46="","",ROUND((G46/F46),0))</f>
        <v>22911</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22911</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250240</v>
      </c>
    </row>
    <row r="53" spans="1:8">
      <c r="A53" s="285"/>
      <c r="B53" s="285"/>
      <c r="C53" s="285"/>
      <c r="D53" s="285"/>
      <c r="E53" s="346"/>
      <c r="F53" s="347"/>
      <c r="G53" s="347"/>
      <c r="H53" s="349"/>
    </row>
    <row r="54" spans="1:8">
      <c r="A54" s="285"/>
      <c r="B54" s="285"/>
      <c r="C54" s="285"/>
      <c r="D54" s="285"/>
      <c r="E54" s="346"/>
      <c r="F54" s="347"/>
      <c r="G54" s="347"/>
      <c r="H54" s="349"/>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c r="A59" s="703" t="str">
        <f>+[14]PRESUPUESTO!$A$113</f>
        <v>__________________________________________</v>
      </c>
      <c r="B59" s="703"/>
    </row>
    <row r="60" spans="1:8">
      <c r="A60" s="810" t="str">
        <f>+[14]PRESUPUESTO!$A$114</f>
        <v>Ing. JHON FREDY GARCIA MENDEZ</v>
      </c>
      <c r="B60" s="703"/>
    </row>
    <row r="61" spans="1:8">
      <c r="A61" s="811" t="str">
        <f>+[14]PRESUPUESTO!$A$115</f>
        <v>M.P.  70268-326294 TLM.</v>
      </c>
      <c r="B61" s="703"/>
    </row>
    <row r="62" spans="1:8">
      <c r="A62" s="811" t="str">
        <f>+[14]PRESUPUESTO!$A$116</f>
        <v>CONSULTOR</v>
      </c>
      <c r="B62" s="703"/>
    </row>
  </sheetData>
  <mergeCells count="15">
    <mergeCell ref="D2:E4"/>
    <mergeCell ref="F2:H2"/>
    <mergeCell ref="F3:H3"/>
    <mergeCell ref="F4:H4"/>
    <mergeCell ref="A5:E5"/>
    <mergeCell ref="F5:H5"/>
    <mergeCell ref="B47:D47"/>
    <mergeCell ref="B48:D48"/>
    <mergeCell ref="B49:D49"/>
    <mergeCell ref="B6:D6"/>
    <mergeCell ref="B7:E7"/>
    <mergeCell ref="B8:E8"/>
    <mergeCell ref="B36:C36"/>
    <mergeCell ref="B45:D45"/>
    <mergeCell ref="B46:D46"/>
  </mergeCells>
  <pageMargins left="0.75" right="0.75" top="1" bottom="1" header="0" footer="0"/>
  <pageSetup paperSize="9" scale="70" orientation="portrait" r:id="rId1"/>
  <headerFooter alignWithMargins="0"/>
  <drawing r:id="rId2"/>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700-000000000000}">
  <sheetPr>
    <tabColor theme="6" tint="0.79998168889431442"/>
  </sheetPr>
  <dimension ref="A1:I62"/>
  <sheetViews>
    <sheetView workbookViewId="0"/>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4.570312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t="e">
        <f>PRESUPUESTO!#REF!</f>
        <v>#REF!</v>
      </c>
      <c r="B7" s="2185" t="e">
        <f>PRESUPUESTO!#REF!</f>
        <v>#REF!</v>
      </c>
      <c r="C7" s="2185"/>
      <c r="D7" s="2185"/>
      <c r="E7" s="2185"/>
      <c r="F7" s="289"/>
      <c r="G7" s="290" t="s">
        <v>525</v>
      </c>
      <c r="H7" s="97" t="e">
        <f>+PRESUPUESTO!#REF!</f>
        <v>#REF!</v>
      </c>
    </row>
    <row r="8" spans="1:9">
      <c r="A8" s="97" t="e">
        <f>+PRESUPUESTO!#REF!</f>
        <v>#REF!</v>
      </c>
      <c r="B8" s="2272" t="e">
        <f>+PRESUPUESTO!#REF!</f>
        <v>#REF!</v>
      </c>
      <c r="C8" s="2257"/>
      <c r="D8" s="2257"/>
      <c r="E8" s="225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967</v>
      </c>
      <c r="B13" s="305" t="str">
        <f t="shared" ref="B13:B18" si="0">IF(A13="","",VLOOKUP(A13,EQUI,2,FALSE))</f>
        <v>Herramienta Menor (10% de la mano de obra).</v>
      </c>
      <c r="C13" s="306"/>
      <c r="D13" s="306"/>
      <c r="E13" s="276" t="str">
        <f t="shared" ref="E13:E18" si="1">IF(A13="","",VLOOKUP(A13,EQUI,3,FALSE))</f>
        <v>%</v>
      </c>
      <c r="F13" s="433">
        <f>IF(A13="","",VLOOKUP(A13,EQUI,4,FALSE))</f>
        <v>0.1</v>
      </c>
      <c r="G13" s="307">
        <f>ROUND(F13*H50,0)</f>
        <v>4750</v>
      </c>
      <c r="H13" s="308">
        <f>+G13</f>
        <v>4750</v>
      </c>
      <c r="I13" s="309"/>
    </row>
    <row r="14" spans="1:9">
      <c r="A14" s="536"/>
      <c r="B14" s="305"/>
      <c r="C14" s="306"/>
      <c r="D14" s="306"/>
      <c r="E14" s="276" t="str">
        <f t="shared" si="1"/>
        <v/>
      </c>
      <c r="F14" s="405"/>
      <c r="G14" s="310" t="str">
        <f>IF(A14="","",VLOOKUP(A14,EQUI,4,FALSE))</f>
        <v/>
      </c>
      <c r="H14" s="311" t="str">
        <f>IF(A14="","",ROUND((G14/F14),0))</f>
        <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4750</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t="s">
        <v>553</v>
      </c>
      <c r="B23" s="353" t="str">
        <f>IF(A23="","",VLOOKUP(A23,MAT,2,FALSE))</f>
        <v>Concreto de 140 Kg/cm2 (2000 PSI)</v>
      </c>
      <c r="C23" s="305"/>
      <c r="D23" s="306"/>
      <c r="E23" s="276" t="str">
        <f>IF(A23="","",VLOOKUP(A23,MAT,3,FALSE))</f>
        <v>m3</v>
      </c>
      <c r="F23" s="405">
        <v>1.05</v>
      </c>
      <c r="G23" s="310">
        <f>IF(A23="","",VLOOKUP(A23,MAT,5,FALSE))</f>
        <v>670945</v>
      </c>
      <c r="H23" s="311">
        <f>IF(A23="","",ROUND((G23*F23),0))</f>
        <v>704492</v>
      </c>
    </row>
    <row r="24" spans="1:8">
      <c r="A24" s="534"/>
      <c r="B24" s="353"/>
      <c r="C24" s="305"/>
      <c r="D24" s="306"/>
      <c r="E24" s="276"/>
      <c r="F24" s="405"/>
      <c r="G24" s="310"/>
      <c r="H24" s="311"/>
    </row>
    <row r="25" spans="1:8">
      <c r="A25" s="534"/>
      <c r="B25" s="353"/>
      <c r="C25" s="305"/>
      <c r="D25" s="306"/>
      <c r="E25" s="276"/>
      <c r="F25" s="405"/>
      <c r="G25" s="310"/>
      <c r="H25" s="311"/>
    </row>
    <row r="26" spans="1:8">
      <c r="A26" s="534"/>
      <c r="B26" s="305" t="str">
        <f t="shared" ref="B26:B32" si="2">IF(A26="","",VLOOKUP(A26,MAT,2,FALSE))</f>
        <v/>
      </c>
      <c r="C26" s="305"/>
      <c r="D26" s="306"/>
      <c r="E26" s="276" t="str">
        <f t="shared" ref="E26:E32" si="3">IF(A26="","",VLOOKUP(A26,MAT,3,FALSE))</f>
        <v/>
      </c>
      <c r="F26" s="405"/>
      <c r="G26" s="310" t="str">
        <f t="shared" ref="G26:G32" si="4">IF(A26="","",VLOOKUP(A26,MAT,5,FALSE))</f>
        <v/>
      </c>
      <c r="H26" s="311" t="str">
        <f t="shared" ref="H26:H32" si="5">IF(A26="","",ROUND((G26*F26),0))</f>
        <v/>
      </c>
    </row>
    <row r="27" spans="1:8">
      <c r="A27" s="534"/>
      <c r="B27" s="305" t="str">
        <f t="shared" si="2"/>
        <v/>
      </c>
      <c r="C27" s="305"/>
      <c r="D27" s="306"/>
      <c r="E27" s="276" t="str">
        <f t="shared" si="3"/>
        <v/>
      </c>
      <c r="F27" s="405"/>
      <c r="G27" s="310" t="str">
        <f t="shared" si="4"/>
        <v/>
      </c>
      <c r="H27" s="311" t="str">
        <f t="shared" si="5"/>
        <v/>
      </c>
    </row>
    <row r="28" spans="1:8">
      <c r="A28" s="534"/>
      <c r="B28" s="305" t="str">
        <f t="shared" si="2"/>
        <v/>
      </c>
      <c r="C28" s="305"/>
      <c r="D28" s="306"/>
      <c r="E28" s="276" t="str">
        <f t="shared" si="3"/>
        <v/>
      </c>
      <c r="F28" s="405"/>
      <c r="G28" s="310" t="str">
        <f t="shared" si="4"/>
        <v/>
      </c>
      <c r="H28" s="311" t="str">
        <f t="shared" si="5"/>
        <v/>
      </c>
    </row>
    <row r="29" spans="1:8">
      <c r="A29" s="534"/>
      <c r="B29" s="305" t="str">
        <f t="shared" si="2"/>
        <v/>
      </c>
      <c r="C29" s="305"/>
      <c r="D29" s="306"/>
      <c r="E29" s="276" t="str">
        <f t="shared" si="3"/>
        <v/>
      </c>
      <c r="F29" s="405"/>
      <c r="G29" s="310" t="str">
        <f t="shared" si="4"/>
        <v/>
      </c>
      <c r="H29" s="311" t="str">
        <f t="shared" si="5"/>
        <v/>
      </c>
    </row>
    <row r="30" spans="1:8">
      <c r="A30" s="534"/>
      <c r="B30" s="305" t="str">
        <f t="shared" si="2"/>
        <v/>
      </c>
      <c r="C30" s="305"/>
      <c r="D30" s="306"/>
      <c r="E30" s="276" t="str">
        <f t="shared" si="3"/>
        <v/>
      </c>
      <c r="F30" s="405"/>
      <c r="G30" s="310" t="str">
        <f t="shared" si="4"/>
        <v/>
      </c>
      <c r="H30" s="311" t="str">
        <f t="shared" si="5"/>
        <v/>
      </c>
    </row>
    <row r="31" spans="1:8">
      <c r="A31" s="534"/>
      <c r="B31" s="305" t="str">
        <f t="shared" si="2"/>
        <v/>
      </c>
      <c r="C31" s="305"/>
      <c r="D31" s="306"/>
      <c r="E31" s="276" t="str">
        <f t="shared" si="3"/>
        <v/>
      </c>
      <c r="F31" s="405"/>
      <c r="G31" s="310" t="str">
        <f t="shared" si="4"/>
        <v/>
      </c>
      <c r="H31" s="311" t="str">
        <f t="shared" si="5"/>
        <v/>
      </c>
    </row>
    <row r="32" spans="1:8" ht="13.5" thickBot="1">
      <c r="A32" s="535"/>
      <c r="B32" s="326" t="str">
        <f t="shared" si="2"/>
        <v/>
      </c>
      <c r="C32" s="314"/>
      <c r="D32" s="314"/>
      <c r="E32" s="315" t="str">
        <f t="shared" si="3"/>
        <v/>
      </c>
      <c r="F32" s="406"/>
      <c r="G32" s="327" t="str">
        <f t="shared" si="4"/>
        <v/>
      </c>
      <c r="H32" s="311" t="str">
        <f t="shared" si="5"/>
        <v/>
      </c>
    </row>
    <row r="33" spans="1:8" ht="13.5" thickBot="1">
      <c r="A33" s="285"/>
      <c r="B33" s="285"/>
      <c r="C33" s="285"/>
      <c r="D33" s="285"/>
      <c r="E33" s="286"/>
      <c r="F33" s="285"/>
      <c r="G33" s="210" t="s">
        <v>529</v>
      </c>
      <c r="H33" s="328">
        <f>ROUND(SUM(H23:H32),0)</f>
        <v>704492</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546"/>
      <c r="B37" s="305" t="str">
        <f>IF(A37="","",VLOOKUP(A37,MAT,2,FALSE))</f>
        <v/>
      </c>
      <c r="C37" s="333"/>
      <c r="D37" s="409" t="str">
        <f>IF(A37="","",VLOOKUP(A37,MAT,3,FALSE))</f>
        <v/>
      </c>
      <c r="E37" s="419" t="str">
        <f>IF(A37="","",VLOOKUP(A37,MAT,6,FALSE))</f>
        <v/>
      </c>
      <c r="F37" s="413" t="str">
        <f>IF(A37="","",VLOOKUP(A37,$A$23:$H$32,6,FALSE))</f>
        <v/>
      </c>
      <c r="G37" s="334" t="str">
        <f>IF(A37="","",VLOOKUP(A37,MAT,7,FALSE))</f>
        <v/>
      </c>
      <c r="H37" s="311" t="str">
        <f>IF(A37="","",ROUND((G37*F37*E37),0))</f>
        <v/>
      </c>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0</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883</v>
      </c>
      <c r="B46" s="2192" t="str">
        <f>IF(A46="","",VLOOKUP(A46,MO,2,FALSE))</f>
        <v>Cuadrilla AA: Albañilería. (1 Of. + 1 Ayud.).</v>
      </c>
      <c r="C46" s="2193"/>
      <c r="D46" s="2194"/>
      <c r="E46" s="538" t="str">
        <f>IF(A46="","",VLOOKUP(A46,MO,13,FALSE))</f>
        <v>HC</v>
      </c>
      <c r="F46" s="544">
        <v>0.82</v>
      </c>
      <c r="G46" s="540">
        <f>IF(A46="","",VLOOKUP(A46,MO,15,FALSE))</f>
        <v>38949</v>
      </c>
      <c r="H46" s="542">
        <f>IF(A46="","",ROUND((G46/F46),0))</f>
        <v>47499</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47499</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756741</v>
      </c>
    </row>
    <row r="53" spans="1:8">
      <c r="A53" s="285"/>
      <c r="B53" s="285"/>
      <c r="C53" s="285"/>
      <c r="D53" s="285"/>
      <c r="E53" s="346"/>
      <c r="F53" s="347"/>
      <c r="G53" s="347"/>
      <c r="H53" s="349"/>
    </row>
    <row r="54" spans="1:8">
      <c r="A54" s="285"/>
      <c r="B54" s="285"/>
      <c r="C54" s="285"/>
      <c r="D54" s="285"/>
      <c r="E54" s="346"/>
      <c r="F54" s="347"/>
      <c r="G54" s="347"/>
      <c r="H54" s="349"/>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c r="A59" s="703" t="str">
        <f>+[14]PRESUPUESTO!$A$113</f>
        <v>__________________________________________</v>
      </c>
      <c r="B59" s="703"/>
    </row>
    <row r="60" spans="1:8">
      <c r="A60" s="810" t="str">
        <f>+[14]PRESUPUESTO!$A$114</f>
        <v>Ing. JHON FREDY GARCIA MENDEZ</v>
      </c>
      <c r="B60" s="703"/>
    </row>
    <row r="61" spans="1:8">
      <c r="A61" s="811" t="str">
        <f>+[14]PRESUPUESTO!$A$115</f>
        <v>M.P.  70268-326294 TLM.</v>
      </c>
      <c r="B61" s="703"/>
    </row>
    <row r="62" spans="1:8">
      <c r="A62" s="811" t="str">
        <f>+[14]PRESUPUESTO!$A$116</f>
        <v>CONSULTOR</v>
      </c>
      <c r="B62" s="703"/>
    </row>
  </sheetData>
  <mergeCells count="15">
    <mergeCell ref="D2:E4"/>
    <mergeCell ref="F2:H2"/>
    <mergeCell ref="F3:H3"/>
    <mergeCell ref="F4:H4"/>
    <mergeCell ref="A5:E5"/>
    <mergeCell ref="F5:H5"/>
    <mergeCell ref="B47:D47"/>
    <mergeCell ref="B48:D48"/>
    <mergeCell ref="B49:D49"/>
    <mergeCell ref="B6:D6"/>
    <mergeCell ref="B7:E7"/>
    <mergeCell ref="B8:E8"/>
    <mergeCell ref="B36:C36"/>
    <mergeCell ref="B45:D45"/>
    <mergeCell ref="B46:D46"/>
  </mergeCells>
  <pageMargins left="0.75" right="0.75" top="1" bottom="1" header="0" footer="0"/>
  <pageSetup paperSize="9" scale="70" orientation="portrait" r:id="rId1"/>
  <headerFooter alignWithMargins="0"/>
  <drawing r:id="rId2"/>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800-000000000000}">
  <sheetPr>
    <tabColor theme="6" tint="0.79998168889431442"/>
  </sheetPr>
  <dimension ref="A1:I62"/>
  <sheetViews>
    <sheetView workbookViewId="0"/>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4.570312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t="e">
        <f>PRESUPUESTO!#REF!</f>
        <v>#REF!</v>
      </c>
      <c r="B7" s="2185" t="e">
        <f>PRESUPUESTO!#REF!</f>
        <v>#REF!</v>
      </c>
      <c r="C7" s="2185"/>
      <c r="D7" s="2185"/>
      <c r="E7" s="2185"/>
      <c r="F7" s="289"/>
      <c r="G7" s="290" t="s">
        <v>525</v>
      </c>
      <c r="H7" s="97" t="e">
        <f>+PRESUPUESTO!#REF!</f>
        <v>#REF!</v>
      </c>
    </row>
    <row r="8" spans="1:9" ht="26.25" customHeight="1">
      <c r="A8" s="97" t="e">
        <f>+PRESUPUESTO!#REF!</f>
        <v>#REF!</v>
      </c>
      <c r="B8" s="2272" t="e">
        <f>+PRESUPUESTO!#REF!</f>
        <v>#REF!</v>
      </c>
      <c r="C8" s="2257"/>
      <c r="D8" s="2257"/>
      <c r="E8" s="225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967</v>
      </c>
      <c r="B13" s="305" t="str">
        <f t="shared" ref="B13:B18" si="0">IF(A13="","",VLOOKUP(A13,EQUI,2,FALSE))</f>
        <v>Herramienta Menor (10% de la mano de obra).</v>
      </c>
      <c r="C13" s="306"/>
      <c r="D13" s="306"/>
      <c r="E13" s="276" t="str">
        <f t="shared" ref="E13:E18" si="1">IF(A13="","",VLOOKUP(A13,EQUI,3,FALSE))</f>
        <v>%</v>
      </c>
      <c r="F13" s="433">
        <f>IF(A13="","",VLOOKUP(A13,EQUI,4,FALSE))</f>
        <v>0.1</v>
      </c>
      <c r="G13" s="307">
        <f>ROUND(F13*H50,0)</f>
        <v>40999</v>
      </c>
      <c r="H13" s="308">
        <f>+G13</f>
        <v>40999</v>
      </c>
      <c r="I13" s="309"/>
    </row>
    <row r="14" spans="1:9">
      <c r="A14" s="536"/>
      <c r="B14" s="305"/>
      <c r="C14" s="306"/>
      <c r="D14" s="306"/>
      <c r="E14" s="276" t="str">
        <f t="shared" si="1"/>
        <v/>
      </c>
      <c r="F14" s="405"/>
      <c r="G14" s="310" t="str">
        <f>IF(A14="","",VLOOKUP(A14,EQUI,4,FALSE))</f>
        <v/>
      </c>
      <c r="H14" s="311" t="str">
        <f>IF(A14="","",ROUND((G14/F14),0))</f>
        <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40999</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t="s">
        <v>2420</v>
      </c>
      <c r="B23" s="353" t="str">
        <f>IF(A23="","",VLOOKUP(A23,MAT,2,FALSE))</f>
        <v>Concreto de 280 Kg/cm2 (4000 PSI) Impermeabilizado</v>
      </c>
      <c r="C23" s="305"/>
      <c r="D23" s="306"/>
      <c r="E23" s="276" t="str">
        <f>IF(A23="","",VLOOKUP(A23,MAT,3,FALSE))</f>
        <v>m3</v>
      </c>
      <c r="F23" s="405">
        <v>1.03</v>
      </c>
      <c r="G23" s="310">
        <f>IF(A23="","",VLOOKUP(A23,MAT,5,FALSE))</f>
        <v>837338</v>
      </c>
      <c r="H23" s="311">
        <f>IF(A23="","",ROUND((G23*F23),0))</f>
        <v>862458</v>
      </c>
    </row>
    <row r="24" spans="1:8">
      <c r="A24" s="534"/>
      <c r="B24" s="305" t="s">
        <v>1768</v>
      </c>
      <c r="C24" s="305"/>
      <c r="D24" s="306"/>
      <c r="E24" s="276" t="s">
        <v>1654</v>
      </c>
      <c r="F24" s="585">
        <v>0.6</v>
      </c>
      <c r="G24" s="310">
        <v>24000</v>
      </c>
      <c r="H24" s="311">
        <f>ROUND(G24*F24,0)</f>
        <v>14400</v>
      </c>
    </row>
    <row r="25" spans="1:8">
      <c r="A25" s="534"/>
      <c r="B25" s="305" t="s">
        <v>1767</v>
      </c>
      <c r="C25" s="305"/>
      <c r="D25" s="306"/>
      <c r="E25" s="276" t="s">
        <v>293</v>
      </c>
      <c r="F25" s="585">
        <v>0.4</v>
      </c>
      <c r="G25" s="310">
        <v>2900</v>
      </c>
      <c r="H25" s="311">
        <f t="shared" ref="H25" si="2">ROUND(G25*F25,0)</f>
        <v>1160</v>
      </c>
    </row>
    <row r="26" spans="1:8">
      <c r="A26" s="534"/>
      <c r="B26" s="305" t="str">
        <f t="shared" ref="B26:B32" si="3">IF(A26="","",VLOOKUP(A26,MAT,2,FALSE))</f>
        <v/>
      </c>
      <c r="C26" s="305"/>
      <c r="D26" s="306"/>
      <c r="E26" s="276" t="str">
        <f t="shared" ref="E26:E32" si="4">IF(A26="","",VLOOKUP(A26,MAT,3,FALSE))</f>
        <v/>
      </c>
      <c r="F26" s="405"/>
      <c r="G26" s="310" t="str">
        <f t="shared" ref="G26:G32" si="5">IF(A26="","",VLOOKUP(A26,MAT,5,FALSE))</f>
        <v/>
      </c>
      <c r="H26" s="311" t="str">
        <f t="shared" ref="H26:H32" si="6">IF(A26="","",ROUND((G26*F26),0))</f>
        <v/>
      </c>
    </row>
    <row r="27" spans="1:8">
      <c r="A27" s="534"/>
      <c r="B27" s="305" t="str">
        <f t="shared" si="3"/>
        <v/>
      </c>
      <c r="C27" s="305"/>
      <c r="D27" s="306"/>
      <c r="E27" s="276" t="str">
        <f t="shared" si="4"/>
        <v/>
      </c>
      <c r="F27" s="405"/>
      <c r="G27" s="310" t="str">
        <f t="shared" si="5"/>
        <v/>
      </c>
      <c r="H27" s="311" t="str">
        <f t="shared" si="6"/>
        <v/>
      </c>
    </row>
    <row r="28" spans="1:8">
      <c r="A28" s="534"/>
      <c r="B28" s="305" t="str">
        <f t="shared" si="3"/>
        <v/>
      </c>
      <c r="C28" s="305"/>
      <c r="D28" s="306"/>
      <c r="E28" s="276" t="str">
        <f t="shared" si="4"/>
        <v/>
      </c>
      <c r="F28" s="405"/>
      <c r="G28" s="310" t="str">
        <f t="shared" si="5"/>
        <v/>
      </c>
      <c r="H28" s="311" t="str">
        <f t="shared" si="6"/>
        <v/>
      </c>
    </row>
    <row r="29" spans="1:8">
      <c r="A29" s="534"/>
      <c r="B29" s="305" t="str">
        <f t="shared" si="3"/>
        <v/>
      </c>
      <c r="C29" s="305"/>
      <c r="D29" s="306"/>
      <c r="E29" s="276" t="str">
        <f t="shared" si="4"/>
        <v/>
      </c>
      <c r="F29" s="405"/>
      <c r="G29" s="310" t="str">
        <f t="shared" si="5"/>
        <v/>
      </c>
      <c r="H29" s="311" t="str">
        <f t="shared" si="6"/>
        <v/>
      </c>
    </row>
    <row r="30" spans="1:8">
      <c r="A30" s="534"/>
      <c r="B30" s="305" t="str">
        <f t="shared" si="3"/>
        <v/>
      </c>
      <c r="C30" s="305"/>
      <c r="D30" s="306"/>
      <c r="E30" s="276" t="str">
        <f t="shared" si="4"/>
        <v/>
      </c>
      <c r="F30" s="405"/>
      <c r="G30" s="310" t="str">
        <f t="shared" si="5"/>
        <v/>
      </c>
      <c r="H30" s="311" t="str">
        <f t="shared" si="6"/>
        <v/>
      </c>
    </row>
    <row r="31" spans="1:8">
      <c r="A31" s="534"/>
      <c r="B31" s="305" t="str">
        <f t="shared" si="3"/>
        <v/>
      </c>
      <c r="C31" s="305"/>
      <c r="D31" s="306"/>
      <c r="E31" s="276" t="str">
        <f t="shared" si="4"/>
        <v/>
      </c>
      <c r="F31" s="405"/>
      <c r="G31" s="310" t="str">
        <f t="shared" si="5"/>
        <v/>
      </c>
      <c r="H31" s="311" t="str">
        <f t="shared" si="6"/>
        <v/>
      </c>
    </row>
    <row r="32" spans="1:8" ht="13.5" thickBot="1">
      <c r="A32" s="535"/>
      <c r="B32" s="326" t="str">
        <f t="shared" si="3"/>
        <v/>
      </c>
      <c r="C32" s="314"/>
      <c r="D32" s="314"/>
      <c r="E32" s="315" t="str">
        <f t="shared" si="4"/>
        <v/>
      </c>
      <c r="F32" s="406"/>
      <c r="G32" s="327" t="str">
        <f t="shared" si="5"/>
        <v/>
      </c>
      <c r="H32" s="311" t="str">
        <f t="shared" si="6"/>
        <v/>
      </c>
    </row>
    <row r="33" spans="1:8" ht="13.5" thickBot="1">
      <c r="A33" s="285"/>
      <c r="B33" s="285"/>
      <c r="C33" s="285"/>
      <c r="D33" s="285"/>
      <c r="E33" s="286"/>
      <c r="F33" s="285"/>
      <c r="G33" s="210" t="s">
        <v>529</v>
      </c>
      <c r="H33" s="328">
        <f>ROUND(SUM(H23:H32),0)</f>
        <v>878018</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771"/>
      <c r="B37" s="737" t="str">
        <f>IF(A37="","",VLOOKUP(A37,MAT,2,FALSE))</f>
        <v/>
      </c>
      <c r="C37" s="772"/>
      <c r="D37" s="773" t="str">
        <f>IF(A37="","",VLOOKUP(A37,MAT,3,FALSE))</f>
        <v/>
      </c>
      <c r="E37" s="774" t="str">
        <f>IF(A37="","",VLOOKUP(A37,MAT,6,FALSE))</f>
        <v/>
      </c>
      <c r="F37" s="775"/>
      <c r="G37" s="776"/>
      <c r="H37" s="746" t="str">
        <f>IF(A37="","",ROUND((G37*F37*E37),0))</f>
        <v/>
      </c>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0</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883</v>
      </c>
      <c r="B46" s="2192" t="str">
        <f>IF(A46="","",VLOOKUP(A46,MO,2,FALSE))</f>
        <v>Cuadrilla AA: Albañilería. (1 Of. + 1 Ayud.).</v>
      </c>
      <c r="C46" s="2193"/>
      <c r="D46" s="2194"/>
      <c r="E46" s="538" t="str">
        <f>IF(A46="","",VLOOKUP(A46,MO,13,FALSE))</f>
        <v>HC</v>
      </c>
      <c r="F46" s="544">
        <v>9.5000000000000001E-2</v>
      </c>
      <c r="G46" s="540">
        <f>IF(A46="","",VLOOKUP(A46,MO,15,FALSE))</f>
        <v>38949</v>
      </c>
      <c r="H46" s="542">
        <f>IF(A46="","",ROUND((G46/F46),0))</f>
        <v>409989</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409989</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1329006</v>
      </c>
    </row>
    <row r="53" spans="1:8">
      <c r="A53" s="285"/>
      <c r="B53" s="285"/>
      <c r="C53" s="285"/>
      <c r="D53" s="285"/>
      <c r="E53" s="346"/>
      <c r="F53" s="347"/>
      <c r="G53" s="347"/>
      <c r="H53" s="349"/>
    </row>
    <row r="54" spans="1:8">
      <c r="A54" s="285"/>
      <c r="B54" s="285"/>
      <c r="C54" s="285"/>
      <c r="D54" s="285"/>
      <c r="E54" s="346"/>
      <c r="F54" s="347"/>
      <c r="G54" s="347"/>
      <c r="H54" s="349"/>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c r="A59" s="703" t="str">
        <f>+[14]PRESUPUESTO!$A$113</f>
        <v>__________________________________________</v>
      </c>
      <c r="B59" s="703"/>
    </row>
    <row r="60" spans="1:8">
      <c r="A60" s="810" t="str">
        <f>+[14]PRESUPUESTO!$A$114</f>
        <v>Ing. JHON FREDY GARCIA MENDEZ</v>
      </c>
      <c r="B60" s="703"/>
    </row>
    <row r="61" spans="1:8">
      <c r="A61" s="811" t="str">
        <f>+[14]PRESUPUESTO!$A$115</f>
        <v>M.P.  70268-326294 TLM.</v>
      </c>
      <c r="B61" s="703"/>
    </row>
    <row r="62" spans="1:8">
      <c r="A62" s="811" t="str">
        <f>+[14]PRESUPUESTO!$A$116</f>
        <v>CONSULTOR</v>
      </c>
      <c r="B62" s="703"/>
    </row>
  </sheetData>
  <mergeCells count="15">
    <mergeCell ref="D2:E4"/>
    <mergeCell ref="F2:H2"/>
    <mergeCell ref="F3:H3"/>
    <mergeCell ref="F4:H4"/>
    <mergeCell ref="A5:E5"/>
    <mergeCell ref="F5:H5"/>
    <mergeCell ref="B47:D47"/>
    <mergeCell ref="B48:D48"/>
    <mergeCell ref="B49:D49"/>
    <mergeCell ref="B6:D6"/>
    <mergeCell ref="B7:E7"/>
    <mergeCell ref="B8:E8"/>
    <mergeCell ref="B36:C36"/>
    <mergeCell ref="B45:D45"/>
    <mergeCell ref="B46:D46"/>
  </mergeCells>
  <pageMargins left="0.75" right="0.75" top="1" bottom="1" header="0" footer="0"/>
  <pageSetup paperSize="9" scale="70" orientation="portrait" r:id="rId1"/>
  <headerFooter alignWithMargins="0"/>
  <drawing r:id="rId2"/>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900-000000000000}">
  <sheetPr>
    <tabColor theme="6" tint="0.79998168889431442"/>
  </sheetPr>
  <dimension ref="A1:I62"/>
  <sheetViews>
    <sheetView workbookViewId="0"/>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4.570312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t="e">
        <f>PRESUPUESTO!#REF!</f>
        <v>#REF!</v>
      </c>
      <c r="B7" s="2185" t="e">
        <f>PRESUPUESTO!#REF!</f>
        <v>#REF!</v>
      </c>
      <c r="C7" s="2185"/>
      <c r="D7" s="2185"/>
      <c r="E7" s="2185"/>
      <c r="F7" s="289"/>
      <c r="G7" s="290" t="s">
        <v>525</v>
      </c>
      <c r="H7" s="97" t="e">
        <f>+PRESUPUESTO!#REF!</f>
        <v>#REF!</v>
      </c>
    </row>
    <row r="8" spans="1:9" ht="26.25" customHeight="1">
      <c r="A8" s="97" t="e">
        <f>+PRESUPUESTO!#REF!</f>
        <v>#REF!</v>
      </c>
      <c r="B8" s="2272" t="e">
        <f>+PRESUPUESTO!#REF!</f>
        <v>#REF!</v>
      </c>
      <c r="C8" s="2257"/>
      <c r="D8" s="2257"/>
      <c r="E8" s="225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967</v>
      </c>
      <c r="B13" s="305" t="str">
        <f t="shared" ref="B13:B18" si="0">IF(A13="","",VLOOKUP(A13,EQUI,2,FALSE))</f>
        <v>Herramienta Menor (10% de la mano de obra).</v>
      </c>
      <c r="C13" s="306"/>
      <c r="D13" s="306"/>
      <c r="E13" s="276" t="str">
        <f t="shared" ref="E13:E18" si="1">IF(A13="","",VLOOKUP(A13,EQUI,3,FALSE))</f>
        <v>%</v>
      </c>
      <c r="F13" s="433">
        <f>IF(A13="","",VLOOKUP(A13,EQUI,4,FALSE))</f>
        <v>0.1</v>
      </c>
      <c r="G13" s="307">
        <f>ROUND(F13*H50,0)</f>
        <v>43763</v>
      </c>
      <c r="H13" s="308">
        <f>+G13</f>
        <v>43763</v>
      </c>
      <c r="I13" s="309"/>
    </row>
    <row r="14" spans="1:9">
      <c r="A14" s="536"/>
      <c r="B14" s="305"/>
      <c r="C14" s="306"/>
      <c r="D14" s="306"/>
      <c r="E14" s="276" t="str">
        <f t="shared" si="1"/>
        <v/>
      </c>
      <c r="F14" s="405"/>
      <c r="G14" s="310" t="str">
        <f>IF(A14="","",VLOOKUP(A14,EQUI,4,FALSE))</f>
        <v/>
      </c>
      <c r="H14" s="311" t="str">
        <f>IF(A14="","",ROUND((G14/F14),0))</f>
        <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43763</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t="s">
        <v>2420</v>
      </c>
      <c r="B23" s="353" t="str">
        <f>IF(A23="","",VLOOKUP(A23,MAT,2,FALSE))</f>
        <v>Concreto de 280 Kg/cm2 (4000 PSI) Impermeabilizado</v>
      </c>
      <c r="C23" s="305"/>
      <c r="D23" s="306"/>
      <c r="E23" s="276" t="str">
        <f>IF(A23="","",VLOOKUP(A23,MAT,3,FALSE))</f>
        <v>m3</v>
      </c>
      <c r="F23" s="405">
        <v>1.03</v>
      </c>
      <c r="G23" s="310">
        <f>IF(A23="","",VLOOKUP(A23,MAT,5,FALSE))</f>
        <v>837338</v>
      </c>
      <c r="H23" s="311">
        <f>IF(A23="","",ROUND((G23*F23),0))</f>
        <v>862458</v>
      </c>
    </row>
    <row r="24" spans="1:8">
      <c r="A24" s="534"/>
      <c r="B24" s="305" t="s">
        <v>1768</v>
      </c>
      <c r="C24" s="305"/>
      <c r="D24" s="306"/>
      <c r="E24" s="276" t="s">
        <v>1654</v>
      </c>
      <c r="F24" s="585">
        <v>0.6</v>
      </c>
      <c r="G24" s="310">
        <v>24000</v>
      </c>
      <c r="H24" s="311">
        <f>ROUND(G24*F24,0)</f>
        <v>14400</v>
      </c>
    </row>
    <row r="25" spans="1:8">
      <c r="A25" s="534"/>
      <c r="B25" s="305" t="s">
        <v>1767</v>
      </c>
      <c r="C25" s="305"/>
      <c r="D25" s="306"/>
      <c r="E25" s="276" t="s">
        <v>293</v>
      </c>
      <c r="F25" s="585">
        <v>0.4</v>
      </c>
      <c r="G25" s="310">
        <v>2900</v>
      </c>
      <c r="H25" s="311">
        <f t="shared" ref="H25" si="2">ROUND(G25*F25,0)</f>
        <v>1160</v>
      </c>
    </row>
    <row r="26" spans="1:8">
      <c r="A26" s="534"/>
      <c r="B26" s="305" t="str">
        <f t="shared" ref="B26:B32" si="3">IF(A26="","",VLOOKUP(A26,MAT,2,FALSE))</f>
        <v/>
      </c>
      <c r="C26" s="305"/>
      <c r="D26" s="306"/>
      <c r="E26" s="276" t="str">
        <f t="shared" ref="E26:E32" si="4">IF(A26="","",VLOOKUP(A26,MAT,3,FALSE))</f>
        <v/>
      </c>
      <c r="F26" s="405"/>
      <c r="G26" s="310" t="str">
        <f t="shared" ref="G26:G32" si="5">IF(A26="","",VLOOKUP(A26,MAT,5,FALSE))</f>
        <v/>
      </c>
      <c r="H26" s="311" t="str">
        <f t="shared" ref="H26:H32" si="6">IF(A26="","",ROUND((G26*F26),0))</f>
        <v/>
      </c>
    </row>
    <row r="27" spans="1:8">
      <c r="A27" s="534"/>
      <c r="B27" s="305" t="str">
        <f t="shared" si="3"/>
        <v/>
      </c>
      <c r="C27" s="305"/>
      <c r="D27" s="306"/>
      <c r="E27" s="276" t="str">
        <f t="shared" si="4"/>
        <v/>
      </c>
      <c r="F27" s="405"/>
      <c r="G27" s="310" t="str">
        <f t="shared" si="5"/>
        <v/>
      </c>
      <c r="H27" s="311" t="str">
        <f t="shared" si="6"/>
        <v/>
      </c>
    </row>
    <row r="28" spans="1:8">
      <c r="A28" s="534"/>
      <c r="B28" s="305" t="str">
        <f t="shared" si="3"/>
        <v/>
      </c>
      <c r="C28" s="305"/>
      <c r="D28" s="306"/>
      <c r="E28" s="276" t="str">
        <f t="shared" si="4"/>
        <v/>
      </c>
      <c r="F28" s="405"/>
      <c r="G28" s="310" t="str">
        <f t="shared" si="5"/>
        <v/>
      </c>
      <c r="H28" s="311" t="str">
        <f t="shared" si="6"/>
        <v/>
      </c>
    </row>
    <row r="29" spans="1:8">
      <c r="A29" s="534"/>
      <c r="B29" s="305" t="str">
        <f t="shared" si="3"/>
        <v/>
      </c>
      <c r="C29" s="305"/>
      <c r="D29" s="306"/>
      <c r="E29" s="276" t="str">
        <f t="shared" si="4"/>
        <v/>
      </c>
      <c r="F29" s="405"/>
      <c r="G29" s="310" t="str">
        <f t="shared" si="5"/>
        <v/>
      </c>
      <c r="H29" s="311" t="str">
        <f t="shared" si="6"/>
        <v/>
      </c>
    </row>
    <row r="30" spans="1:8">
      <c r="A30" s="534"/>
      <c r="B30" s="305" t="str">
        <f t="shared" si="3"/>
        <v/>
      </c>
      <c r="C30" s="305"/>
      <c r="D30" s="306"/>
      <c r="E30" s="276" t="str">
        <f t="shared" si="4"/>
        <v/>
      </c>
      <c r="F30" s="405"/>
      <c r="G30" s="310" t="str">
        <f t="shared" si="5"/>
        <v/>
      </c>
      <c r="H30" s="311" t="str">
        <f t="shared" si="6"/>
        <v/>
      </c>
    </row>
    <row r="31" spans="1:8">
      <c r="A31" s="534"/>
      <c r="B31" s="305" t="str">
        <f t="shared" si="3"/>
        <v/>
      </c>
      <c r="C31" s="305"/>
      <c r="D31" s="306"/>
      <c r="E31" s="276" t="str">
        <f t="shared" si="4"/>
        <v/>
      </c>
      <c r="F31" s="405"/>
      <c r="G31" s="310" t="str">
        <f t="shared" si="5"/>
        <v/>
      </c>
      <c r="H31" s="311" t="str">
        <f t="shared" si="6"/>
        <v/>
      </c>
    </row>
    <row r="32" spans="1:8" ht="13.5" thickBot="1">
      <c r="A32" s="535"/>
      <c r="B32" s="326" t="str">
        <f t="shared" si="3"/>
        <v/>
      </c>
      <c r="C32" s="314"/>
      <c r="D32" s="314"/>
      <c r="E32" s="315" t="str">
        <f t="shared" si="4"/>
        <v/>
      </c>
      <c r="F32" s="406"/>
      <c r="G32" s="327" t="str">
        <f t="shared" si="5"/>
        <v/>
      </c>
      <c r="H32" s="311" t="str">
        <f t="shared" si="6"/>
        <v/>
      </c>
    </row>
    <row r="33" spans="1:8" ht="13.5" thickBot="1">
      <c r="A33" s="285"/>
      <c r="B33" s="285"/>
      <c r="C33" s="285"/>
      <c r="D33" s="285"/>
      <c r="E33" s="286"/>
      <c r="F33" s="285"/>
      <c r="G33" s="210" t="s">
        <v>529</v>
      </c>
      <c r="H33" s="328">
        <f>ROUND(SUM(H23:H32),0)</f>
        <v>878018</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771"/>
      <c r="B37" s="737" t="str">
        <f>IF(A37="","",VLOOKUP(A37,MAT,2,FALSE))</f>
        <v/>
      </c>
      <c r="C37" s="772"/>
      <c r="D37" s="773" t="str">
        <f>IF(A37="","",VLOOKUP(A37,MAT,3,FALSE))</f>
        <v/>
      </c>
      <c r="E37" s="774" t="str">
        <f>IF(A37="","",VLOOKUP(A37,MAT,6,FALSE))</f>
        <v/>
      </c>
      <c r="F37" s="775"/>
      <c r="G37" s="776"/>
      <c r="H37" s="746" t="str">
        <f>IF(A37="","",ROUND((G37*F37*E37),0))</f>
        <v/>
      </c>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0</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883</v>
      </c>
      <c r="B46" s="2192" t="str">
        <f>IF(A46="","",VLOOKUP(A46,MO,2,FALSE))</f>
        <v>Cuadrilla AA: Albañilería. (1 Of. + 1 Ayud.).</v>
      </c>
      <c r="C46" s="2193"/>
      <c r="D46" s="2194"/>
      <c r="E46" s="538" t="str">
        <f>IF(A46="","",VLOOKUP(A46,MO,13,FALSE))</f>
        <v>HC</v>
      </c>
      <c r="F46" s="544">
        <v>8.8999999999999996E-2</v>
      </c>
      <c r="G46" s="540">
        <f>IF(A46="","",VLOOKUP(A46,MO,15,FALSE))</f>
        <v>38949</v>
      </c>
      <c r="H46" s="542">
        <f>IF(A46="","",ROUND((G46/F46),0))</f>
        <v>437629</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437629</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1359410</v>
      </c>
    </row>
    <row r="53" spans="1:8">
      <c r="A53" s="285"/>
      <c r="B53" s="285"/>
      <c r="C53" s="285"/>
      <c r="D53" s="285"/>
      <c r="E53" s="346"/>
      <c r="F53" s="347"/>
      <c r="G53" s="347"/>
      <c r="H53" s="349"/>
    </row>
    <row r="54" spans="1:8">
      <c r="A54" s="285"/>
      <c r="B54" s="285"/>
      <c r="C54" s="285"/>
      <c r="D54" s="285"/>
      <c r="E54" s="346"/>
      <c r="F54" s="347"/>
      <c r="G54" s="347"/>
      <c r="H54" s="349"/>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c r="A59" s="703" t="str">
        <f>+[14]PRESUPUESTO!$A$113</f>
        <v>__________________________________________</v>
      </c>
      <c r="B59" s="703"/>
    </row>
    <row r="60" spans="1:8">
      <c r="A60" s="810" t="str">
        <f>+[14]PRESUPUESTO!$A$114</f>
        <v>Ing. JHON FREDY GARCIA MENDEZ</v>
      </c>
      <c r="B60" s="703"/>
    </row>
    <row r="61" spans="1:8">
      <c r="A61" s="811" t="str">
        <f>+[14]PRESUPUESTO!$A$115</f>
        <v>M.P.  70268-326294 TLM.</v>
      </c>
      <c r="B61" s="703"/>
    </row>
    <row r="62" spans="1:8">
      <c r="A62" s="811" t="str">
        <f>+[14]PRESUPUESTO!$A$116</f>
        <v>CONSULTOR</v>
      </c>
      <c r="B62" s="703"/>
    </row>
  </sheetData>
  <mergeCells count="15">
    <mergeCell ref="D2:E4"/>
    <mergeCell ref="F2:H2"/>
    <mergeCell ref="F3:H3"/>
    <mergeCell ref="F4:H4"/>
    <mergeCell ref="A5:E5"/>
    <mergeCell ref="F5:H5"/>
    <mergeCell ref="B47:D47"/>
    <mergeCell ref="B48:D48"/>
    <mergeCell ref="B49:D49"/>
    <mergeCell ref="B6:D6"/>
    <mergeCell ref="B7:E7"/>
    <mergeCell ref="B8:E8"/>
    <mergeCell ref="B36:C36"/>
    <mergeCell ref="B45:D45"/>
    <mergeCell ref="B46:D46"/>
  </mergeCells>
  <pageMargins left="0.75" right="0.75" top="1" bottom="1" header="0" footer="0"/>
  <pageSetup paperSize="9" scale="70" orientation="portrait" r:id="rId1"/>
  <headerFooter alignWithMargins="0"/>
  <drawing r:id="rId2"/>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A00-000000000000}">
  <sheetPr>
    <tabColor theme="6" tint="0.79998168889431442"/>
  </sheetPr>
  <dimension ref="A1:I62"/>
  <sheetViews>
    <sheetView workbookViewId="0"/>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4.570312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t="e">
        <f>PRESUPUESTO!#REF!</f>
        <v>#REF!</v>
      </c>
      <c r="B7" s="2185" t="e">
        <f>PRESUPUESTO!#REF!</f>
        <v>#REF!</v>
      </c>
      <c r="C7" s="2185"/>
      <c r="D7" s="2185"/>
      <c r="E7" s="2185"/>
      <c r="F7" s="289"/>
      <c r="G7" s="290" t="s">
        <v>525</v>
      </c>
      <c r="H7" s="97" t="e">
        <f>+PRESUPUESTO!#REF!</f>
        <v>#REF!</v>
      </c>
    </row>
    <row r="8" spans="1:9">
      <c r="A8" s="97" t="e">
        <f>+PRESUPUESTO!#REF!</f>
        <v>#REF!</v>
      </c>
      <c r="B8" s="2272" t="e">
        <f>+PRESUPUESTO!#REF!</f>
        <v>#REF!</v>
      </c>
      <c r="C8" s="2257"/>
      <c r="D8" s="2257"/>
      <c r="E8" s="225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967</v>
      </c>
      <c r="B13" s="305" t="str">
        <f t="shared" ref="B13:B18" si="0">IF(A13="","",VLOOKUP(A13,EQUI,2,FALSE))</f>
        <v>Herramienta Menor (10% de la mano de obra).</v>
      </c>
      <c r="C13" s="306"/>
      <c r="D13" s="306"/>
      <c r="E13" s="276" t="str">
        <f t="shared" ref="E13:E18" si="1">IF(A13="","",VLOOKUP(A13,EQUI,3,FALSE))</f>
        <v>%</v>
      </c>
      <c r="F13" s="433">
        <f>IF(A13="","",VLOOKUP(A13,EQUI,4,FALSE))</f>
        <v>0.1</v>
      </c>
      <c r="G13" s="307">
        <f>ROUND(F13*H50,0)</f>
        <v>43763</v>
      </c>
      <c r="H13" s="308">
        <f>+G13</f>
        <v>43763</v>
      </c>
      <c r="I13" s="309"/>
    </row>
    <row r="14" spans="1:9">
      <c r="A14" s="536"/>
      <c r="B14" s="305"/>
      <c r="C14" s="306"/>
      <c r="D14" s="306"/>
      <c r="E14" s="276" t="str">
        <f t="shared" si="1"/>
        <v/>
      </c>
      <c r="F14" s="405"/>
      <c r="G14" s="310" t="str">
        <f>IF(A14="","",VLOOKUP(A14,EQUI,4,FALSE))</f>
        <v/>
      </c>
      <c r="H14" s="311" t="str">
        <f>IF(A14="","",ROUND((G14/F14),0))</f>
        <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43763</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c r="B23" s="2274" t="s">
        <v>2435</v>
      </c>
      <c r="C23" s="2275"/>
      <c r="D23" s="2276"/>
      <c r="E23" s="815" t="s">
        <v>1681</v>
      </c>
      <c r="F23" s="405">
        <v>1</v>
      </c>
      <c r="G23" s="1049">
        <v>256802</v>
      </c>
      <c r="H23" s="311">
        <f>ROUND(F23*G23,0)</f>
        <v>256802</v>
      </c>
    </row>
    <row r="24" spans="1:8">
      <c r="A24" s="534"/>
      <c r="B24" s="1033" t="s">
        <v>2434</v>
      </c>
      <c r="C24" s="305"/>
      <c r="D24" s="306"/>
      <c r="E24" s="815" t="s">
        <v>1681</v>
      </c>
      <c r="F24" s="405">
        <v>4</v>
      </c>
      <c r="G24" s="310">
        <v>5500</v>
      </c>
      <c r="H24" s="311">
        <f>ROUND(F24*G24,0)</f>
        <v>22000</v>
      </c>
    </row>
    <row r="25" spans="1:8">
      <c r="A25" s="534"/>
      <c r="B25" s="353"/>
      <c r="C25" s="305"/>
      <c r="D25" s="306"/>
      <c r="E25" s="276"/>
      <c r="F25" s="405"/>
      <c r="G25" s="310"/>
      <c r="H25" s="311"/>
    </row>
    <row r="26" spans="1:8">
      <c r="A26" s="534"/>
      <c r="B26" s="305" t="str">
        <f t="shared" ref="B26:B32" si="2">IF(A26="","",VLOOKUP(A26,MAT,2,FALSE))</f>
        <v/>
      </c>
      <c r="C26" s="305"/>
      <c r="D26" s="306"/>
      <c r="E26" s="276" t="str">
        <f t="shared" ref="E26:E32" si="3">IF(A26="","",VLOOKUP(A26,MAT,3,FALSE))</f>
        <v/>
      </c>
      <c r="F26" s="405"/>
      <c r="G26" s="310" t="str">
        <f t="shared" ref="G26:G32" si="4">IF(A26="","",VLOOKUP(A26,MAT,5,FALSE))</f>
        <v/>
      </c>
      <c r="H26" s="311" t="str">
        <f t="shared" ref="H26:H32" si="5">IF(A26="","",ROUND((G26*F26),0))</f>
        <v/>
      </c>
    </row>
    <row r="27" spans="1:8">
      <c r="A27" s="534"/>
      <c r="B27" s="305" t="str">
        <f t="shared" si="2"/>
        <v/>
      </c>
      <c r="C27" s="305"/>
      <c r="D27" s="306"/>
      <c r="E27" s="276" t="str">
        <f t="shared" si="3"/>
        <v/>
      </c>
      <c r="F27" s="405"/>
      <c r="G27" s="310" t="str">
        <f t="shared" si="4"/>
        <v/>
      </c>
      <c r="H27" s="311" t="str">
        <f t="shared" si="5"/>
        <v/>
      </c>
    </row>
    <row r="28" spans="1:8">
      <c r="A28" s="534"/>
      <c r="B28" s="305" t="str">
        <f t="shared" si="2"/>
        <v/>
      </c>
      <c r="C28" s="305"/>
      <c r="D28" s="306"/>
      <c r="E28" s="276" t="str">
        <f t="shared" si="3"/>
        <v/>
      </c>
      <c r="F28" s="405"/>
      <c r="G28" s="310" t="str">
        <f t="shared" si="4"/>
        <v/>
      </c>
      <c r="H28" s="311" t="str">
        <f t="shared" si="5"/>
        <v/>
      </c>
    </row>
    <row r="29" spans="1:8">
      <c r="A29" s="534"/>
      <c r="B29" s="305" t="str">
        <f t="shared" si="2"/>
        <v/>
      </c>
      <c r="C29" s="305"/>
      <c r="D29" s="306"/>
      <c r="E29" s="276" t="str">
        <f t="shared" si="3"/>
        <v/>
      </c>
      <c r="F29" s="405"/>
      <c r="G29" s="310" t="str">
        <f t="shared" si="4"/>
        <v/>
      </c>
      <c r="H29" s="311" t="str">
        <f t="shared" si="5"/>
        <v/>
      </c>
    </row>
    <row r="30" spans="1:8">
      <c r="A30" s="534"/>
      <c r="B30" s="305" t="str">
        <f t="shared" si="2"/>
        <v/>
      </c>
      <c r="C30" s="305"/>
      <c r="D30" s="306"/>
      <c r="E30" s="276" t="str">
        <f t="shared" si="3"/>
        <v/>
      </c>
      <c r="F30" s="405"/>
      <c r="G30" s="310" t="str">
        <f t="shared" si="4"/>
        <v/>
      </c>
      <c r="H30" s="311" t="str">
        <f t="shared" si="5"/>
        <v/>
      </c>
    </row>
    <row r="31" spans="1:8">
      <c r="A31" s="534"/>
      <c r="B31" s="305" t="str">
        <f t="shared" si="2"/>
        <v/>
      </c>
      <c r="C31" s="305"/>
      <c r="D31" s="306"/>
      <c r="E31" s="276" t="str">
        <f t="shared" si="3"/>
        <v/>
      </c>
      <c r="F31" s="405"/>
      <c r="G31" s="310" t="str">
        <f t="shared" si="4"/>
        <v/>
      </c>
      <c r="H31" s="311" t="str">
        <f t="shared" si="5"/>
        <v/>
      </c>
    </row>
    <row r="32" spans="1:8" ht="13.5" thickBot="1">
      <c r="A32" s="535"/>
      <c r="B32" s="326" t="str">
        <f t="shared" si="2"/>
        <v/>
      </c>
      <c r="C32" s="314"/>
      <c r="D32" s="314"/>
      <c r="E32" s="315" t="str">
        <f t="shared" si="3"/>
        <v/>
      </c>
      <c r="F32" s="406"/>
      <c r="G32" s="327" t="str">
        <f t="shared" si="4"/>
        <v/>
      </c>
      <c r="H32" s="311" t="str">
        <f t="shared" si="5"/>
        <v/>
      </c>
    </row>
    <row r="33" spans="1:8" ht="13.5" thickBot="1">
      <c r="A33" s="285"/>
      <c r="B33" s="285"/>
      <c r="C33" s="285"/>
      <c r="D33" s="285"/>
      <c r="E33" s="286"/>
      <c r="F33" s="285"/>
      <c r="G33" s="210" t="s">
        <v>529</v>
      </c>
      <c r="H33" s="328">
        <f>ROUND(SUM(H23:H32),0)</f>
        <v>278802</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771"/>
      <c r="B37" s="737" t="s">
        <v>2493</v>
      </c>
      <c r="C37" s="772"/>
      <c r="D37" s="773"/>
      <c r="E37" s="774"/>
      <c r="F37" s="775"/>
      <c r="G37" s="1066">
        <v>0.06</v>
      </c>
      <c r="H37" s="746">
        <f>ROUND(H33*G37,0)</f>
        <v>16728</v>
      </c>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16728</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883</v>
      </c>
      <c r="B46" s="2192" t="str">
        <f>IF(A46="","",VLOOKUP(A46,MO,2,FALSE))</f>
        <v>Cuadrilla AA: Albañilería. (1 Of. + 1 Ayud.).</v>
      </c>
      <c r="C46" s="2193"/>
      <c r="D46" s="2194"/>
      <c r="E46" s="538" t="str">
        <f>IF(A46="","",VLOOKUP(A46,MO,13,FALSE))</f>
        <v>HC</v>
      </c>
      <c r="F46" s="544">
        <v>8.8999999999999996E-2</v>
      </c>
      <c r="G46" s="540">
        <f>IF(A46="","",VLOOKUP(A46,MO,15,FALSE))</f>
        <v>38949</v>
      </c>
      <c r="H46" s="542">
        <f>IF(A46="","",ROUND((G46/F46),0))</f>
        <v>437629</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437629</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776922</v>
      </c>
    </row>
    <row r="53" spans="1:8">
      <c r="A53" s="285"/>
      <c r="B53" s="285"/>
      <c r="C53" s="285"/>
      <c r="D53" s="285"/>
      <c r="E53" s="346"/>
      <c r="F53" s="347"/>
      <c r="G53" s="347"/>
      <c r="H53" s="349"/>
    </row>
    <row r="54" spans="1:8">
      <c r="A54" s="285"/>
      <c r="B54" s="285"/>
      <c r="C54" s="285"/>
      <c r="D54" s="285"/>
      <c r="E54" s="346"/>
      <c r="F54" s="347"/>
      <c r="G54" s="347"/>
      <c r="H54" s="349"/>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c r="A59" s="703" t="str">
        <f>+[14]PRESUPUESTO!$A$113</f>
        <v>__________________________________________</v>
      </c>
      <c r="B59" s="703"/>
    </row>
    <row r="60" spans="1:8">
      <c r="A60" s="810" t="str">
        <f>+[14]PRESUPUESTO!$A$114</f>
        <v>Ing. JHON FREDY GARCIA MENDEZ</v>
      </c>
      <c r="B60" s="703"/>
    </row>
    <row r="61" spans="1:8">
      <c r="A61" s="811" t="str">
        <f>+[14]PRESUPUESTO!$A$115</f>
        <v>M.P.  70268-326294 TLM.</v>
      </c>
      <c r="B61" s="703"/>
    </row>
    <row r="62" spans="1:8">
      <c r="A62" s="811" t="str">
        <f>+[14]PRESUPUESTO!$A$116</f>
        <v>CONSULTOR</v>
      </c>
      <c r="B62" s="703"/>
    </row>
  </sheetData>
  <mergeCells count="16">
    <mergeCell ref="D2:E4"/>
    <mergeCell ref="F2:H2"/>
    <mergeCell ref="F3:H3"/>
    <mergeCell ref="F4:H4"/>
    <mergeCell ref="A5:E5"/>
    <mergeCell ref="F5:H5"/>
    <mergeCell ref="B46:D46"/>
    <mergeCell ref="B47:D47"/>
    <mergeCell ref="B48:D48"/>
    <mergeCell ref="B49:D49"/>
    <mergeCell ref="B6:D6"/>
    <mergeCell ref="B7:E7"/>
    <mergeCell ref="B8:E8"/>
    <mergeCell ref="B23:D23"/>
    <mergeCell ref="B36:C36"/>
    <mergeCell ref="B45:D45"/>
  </mergeCells>
  <pageMargins left="0.75" right="0.75" top="1" bottom="1" header="0" footer="0"/>
  <pageSetup paperSize="9" scale="70" orientation="portrait" r:id="rId1"/>
  <headerFooter alignWithMargins="0"/>
  <drawing r:id="rId2"/>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B00-000000000000}">
  <sheetPr>
    <tabColor theme="6" tint="0.79998168889431442"/>
  </sheetPr>
  <dimension ref="A1:I62"/>
  <sheetViews>
    <sheetView workbookViewId="0"/>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4.570312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t="e">
        <f>PRESUPUESTO!#REF!</f>
        <v>#REF!</v>
      </c>
      <c r="B7" s="2185" t="e">
        <f>PRESUPUESTO!#REF!</f>
        <v>#REF!</v>
      </c>
      <c r="C7" s="2185"/>
      <c r="D7" s="2185"/>
      <c r="E7" s="2185"/>
      <c r="F7" s="289"/>
      <c r="G7" s="290" t="s">
        <v>525</v>
      </c>
      <c r="H7" s="97" t="e">
        <f>+PRESUPUESTO!#REF!</f>
        <v>#REF!</v>
      </c>
    </row>
    <row r="8" spans="1:9" ht="63.75" customHeight="1">
      <c r="A8" s="97" t="e">
        <f>+PRESUPUESTO!#REF!</f>
        <v>#REF!</v>
      </c>
      <c r="B8" s="2277" t="e">
        <f>+PRESUPUESTO!#REF!</f>
        <v>#REF!</v>
      </c>
      <c r="C8" s="2266"/>
      <c r="D8" s="2266"/>
      <c r="E8" s="2266"/>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966</v>
      </c>
      <c r="B13" s="305" t="str">
        <f t="shared" ref="B13:B18" si="0">IF(A13="","",VLOOKUP(A13,EQUI,2,FALSE))</f>
        <v>Herramienta Menor (5% de la mano de obra).</v>
      </c>
      <c r="C13" s="306"/>
      <c r="D13" s="306"/>
      <c r="E13" s="276" t="str">
        <f t="shared" ref="E13:E18" si="1">IF(A13="","",VLOOKUP(A13,EQUI,3,FALSE))</f>
        <v>%</v>
      </c>
      <c r="F13" s="433">
        <f>IF(A13="","",VLOOKUP(A13,EQUI,4,FALSE))</f>
        <v>0.05</v>
      </c>
      <c r="G13" s="307">
        <f>ROUND(F13*H50,0)</f>
        <v>1345</v>
      </c>
      <c r="H13" s="308">
        <f>+G13</f>
        <v>1345</v>
      </c>
      <c r="I13" s="309"/>
    </row>
    <row r="14" spans="1:9">
      <c r="A14" s="536"/>
      <c r="B14" s="305" t="str">
        <f t="shared" si="0"/>
        <v/>
      </c>
      <c r="C14" s="306"/>
      <c r="D14" s="306"/>
      <c r="E14" s="276" t="str">
        <f t="shared" si="1"/>
        <v/>
      </c>
      <c r="F14" s="405"/>
      <c r="G14" s="310" t="str">
        <f>IF(A14="","",VLOOKUP(A14,EQUI,4,FALSE))</f>
        <v/>
      </c>
      <c r="H14" s="311" t="str">
        <f>IF(A14="","",ROUND((G14/F14),0))</f>
        <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1345</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t="s">
        <v>1732</v>
      </c>
      <c r="B23" s="353" t="str">
        <f>IF(A23="","",VLOOKUP(A23,MAT,2,FALSE))</f>
        <v xml:space="preserve">Tubería Corrugada Alcantarillado RS8 de 160 mm </v>
      </c>
      <c r="C23" s="305"/>
      <c r="D23" s="306"/>
      <c r="E23" s="276" t="str">
        <f>IF(A23="","",VLOOKUP(A23,MAT,3,FALSE))</f>
        <v>m.</v>
      </c>
      <c r="F23" s="405">
        <v>1.03</v>
      </c>
      <c r="G23" s="310">
        <f>IF(A23="","",VLOOKUP(A23,MAT,5,FALSE))</f>
        <v>52566.833333333336</v>
      </c>
      <c r="H23" s="311">
        <f>IF(A23="","",ROUND((G23*F23),0))</f>
        <v>54144</v>
      </c>
    </row>
    <row r="24" spans="1:8">
      <c r="A24" s="534" t="s">
        <v>1387</v>
      </c>
      <c r="B24" s="353" t="str">
        <f>IF(A24="","",VLOOKUP(A24,MAT,2,FALSE))</f>
        <v>Lubricante PVC x 500 gr.</v>
      </c>
      <c r="C24" s="305"/>
      <c r="D24" s="306"/>
      <c r="E24" s="276" t="str">
        <f>IF(A24="","",VLOOKUP(A24,MAT,3,FALSE))</f>
        <v>Lb.</v>
      </c>
      <c r="F24" s="405">
        <v>7.0000000000000007E-2</v>
      </c>
      <c r="G24" s="310">
        <f>IF(A24="","",VLOOKUP(A24,MAT,5,FALSE))</f>
        <v>34081</v>
      </c>
      <c r="H24" s="311">
        <f>IF(A24="","",ROUND((G24*F24),0))</f>
        <v>2386</v>
      </c>
    </row>
    <row r="25" spans="1:8">
      <c r="A25" s="534" t="s">
        <v>1388</v>
      </c>
      <c r="B25" s="353" t="str">
        <f>IF(A25="","",VLOOKUP(A25,MAT,2,FALSE))</f>
        <v>Limpiador PVC x 1/4.</v>
      </c>
      <c r="C25" s="305"/>
      <c r="D25" s="306"/>
      <c r="E25" s="276" t="str">
        <f>IF(A25="","",VLOOKUP(A25,MAT,3,FALSE))</f>
        <v>1/4 Gal</v>
      </c>
      <c r="F25" s="405">
        <v>2.8000000000000001E-2</v>
      </c>
      <c r="G25" s="310">
        <f>IF(A25="","",VLOOKUP(A25,MAT,5,FALSE))</f>
        <v>72505</v>
      </c>
      <c r="H25" s="311">
        <f>IF(A25="","",ROUND((G25*F25),0))</f>
        <v>2030</v>
      </c>
    </row>
    <row r="26" spans="1:8">
      <c r="A26" s="534"/>
      <c r="B26" s="305" t="str">
        <f t="shared" ref="B26:B32" si="2">IF(A26="","",VLOOKUP(A26,MAT,2,FALSE))</f>
        <v/>
      </c>
      <c r="C26" s="305"/>
      <c r="D26" s="306"/>
      <c r="E26" s="276" t="str">
        <f t="shared" ref="E26:E32" si="3">IF(A26="","",VLOOKUP(A26,MAT,3,FALSE))</f>
        <v/>
      </c>
      <c r="F26" s="405"/>
      <c r="G26" s="310" t="str">
        <f t="shared" ref="G26:G32" si="4">IF(A26="","",VLOOKUP(A26,MAT,5,FALSE))</f>
        <v/>
      </c>
      <c r="H26" s="311" t="str">
        <f t="shared" ref="H26:H32" si="5">IF(A26="","",ROUND((G26*F26),0))</f>
        <v/>
      </c>
    </row>
    <row r="27" spans="1:8">
      <c r="A27" s="534"/>
      <c r="B27" s="305" t="str">
        <f t="shared" si="2"/>
        <v/>
      </c>
      <c r="C27" s="305"/>
      <c r="D27" s="306"/>
      <c r="E27" s="276" t="str">
        <f t="shared" si="3"/>
        <v/>
      </c>
      <c r="F27" s="405"/>
      <c r="G27" s="310" t="str">
        <f t="shared" si="4"/>
        <v/>
      </c>
      <c r="H27" s="311" t="str">
        <f t="shared" si="5"/>
        <v/>
      </c>
    </row>
    <row r="28" spans="1:8">
      <c r="A28" s="534"/>
      <c r="B28" s="305" t="str">
        <f t="shared" si="2"/>
        <v/>
      </c>
      <c r="C28" s="305"/>
      <c r="D28" s="306"/>
      <c r="E28" s="276" t="str">
        <f t="shared" si="3"/>
        <v/>
      </c>
      <c r="F28" s="405"/>
      <c r="G28" s="310" t="str">
        <f t="shared" si="4"/>
        <v/>
      </c>
      <c r="H28" s="311" t="str">
        <f t="shared" si="5"/>
        <v/>
      </c>
    </row>
    <row r="29" spans="1:8">
      <c r="A29" s="534"/>
      <c r="B29" s="305" t="str">
        <f t="shared" si="2"/>
        <v/>
      </c>
      <c r="C29" s="305"/>
      <c r="D29" s="306"/>
      <c r="E29" s="276" t="str">
        <f t="shared" si="3"/>
        <v/>
      </c>
      <c r="F29" s="405"/>
      <c r="G29" s="310" t="str">
        <f t="shared" si="4"/>
        <v/>
      </c>
      <c r="H29" s="311" t="str">
        <f t="shared" si="5"/>
        <v/>
      </c>
    </row>
    <row r="30" spans="1:8">
      <c r="A30" s="534"/>
      <c r="B30" s="305" t="str">
        <f t="shared" si="2"/>
        <v/>
      </c>
      <c r="C30" s="305"/>
      <c r="D30" s="306"/>
      <c r="E30" s="276" t="str">
        <f t="shared" si="3"/>
        <v/>
      </c>
      <c r="F30" s="405"/>
      <c r="G30" s="310" t="str">
        <f t="shared" si="4"/>
        <v/>
      </c>
      <c r="H30" s="311" t="str">
        <f t="shared" si="5"/>
        <v/>
      </c>
    </row>
    <row r="31" spans="1:8">
      <c r="A31" s="534"/>
      <c r="B31" s="305" t="str">
        <f t="shared" si="2"/>
        <v/>
      </c>
      <c r="C31" s="305"/>
      <c r="D31" s="306"/>
      <c r="E31" s="276" t="str">
        <f t="shared" si="3"/>
        <v/>
      </c>
      <c r="F31" s="405"/>
      <c r="G31" s="310" t="str">
        <f t="shared" si="4"/>
        <v/>
      </c>
      <c r="H31" s="311" t="str">
        <f t="shared" si="5"/>
        <v/>
      </c>
    </row>
    <row r="32" spans="1:8" ht="13.5" thickBot="1">
      <c r="A32" s="535"/>
      <c r="B32" s="326" t="str">
        <f t="shared" si="2"/>
        <v/>
      </c>
      <c r="C32" s="314"/>
      <c r="D32" s="314"/>
      <c r="E32" s="315" t="str">
        <f t="shared" si="3"/>
        <v/>
      </c>
      <c r="F32" s="406"/>
      <c r="G32" s="327" t="str">
        <f t="shared" si="4"/>
        <v/>
      </c>
      <c r="H32" s="311" t="str">
        <f t="shared" si="5"/>
        <v/>
      </c>
    </row>
    <row r="33" spans="1:8" ht="13.5" thickBot="1">
      <c r="A33" s="285"/>
      <c r="B33" s="285"/>
      <c r="C33" s="285"/>
      <c r="D33" s="285"/>
      <c r="E33" s="286"/>
      <c r="F33" s="285"/>
      <c r="G33" s="210" t="s">
        <v>529</v>
      </c>
      <c r="H33" s="328">
        <f>ROUND(SUM(H23:H32),0)</f>
        <v>58560</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546" t="str">
        <f>A23</f>
        <v>TA6</v>
      </c>
      <c r="B37" s="305" t="str">
        <f>IF(A37="","",VLOOKUP(A37,MAT,2,FALSE))</f>
        <v xml:space="preserve">Tubería Corrugada Alcantarillado RS8 de 160 mm </v>
      </c>
      <c r="C37" s="333"/>
      <c r="D37" s="409" t="str">
        <f>IF(A37="","",VLOOKUP(A37,MAT,3,FALSE))</f>
        <v>m.</v>
      </c>
      <c r="E37" s="419">
        <f>IF(A37="","",VLOOKUP(A37,MAT,6,FALSE))</f>
        <v>160</v>
      </c>
      <c r="F37" s="413">
        <f>IF(A37="","",VLOOKUP(A37,$A$23:$H$32,6,FALSE))</f>
        <v>1.03</v>
      </c>
      <c r="G37" s="334">
        <f>IF(A37="","",VLOOKUP(A37,MAT,7,FALSE))</f>
        <v>15</v>
      </c>
      <c r="H37" s="311">
        <f>(ROUND((G37*F37*E37),0))</f>
        <v>2472</v>
      </c>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t="str">
        <f>IF(A39="","",ROUND((G39*F39*E39),0))</f>
        <v/>
      </c>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2472</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940</v>
      </c>
      <c r="B46" s="2192" t="str">
        <f>IF(A46="","",VLOOKUP(A46,MO,2,FALSE))</f>
        <v>Cuadrilla NN: Instalaciones hidrosanitarias. (1 Of.Insta.+ 2 Ayud.).</v>
      </c>
      <c r="C46" s="2193"/>
      <c r="D46" s="2194"/>
      <c r="E46" s="538" t="str">
        <f>IF(A46="","",VLOOKUP(A46,MO,13,FALSE))</f>
        <v>HC</v>
      </c>
      <c r="F46" s="544">
        <v>3.62</v>
      </c>
      <c r="G46" s="540">
        <f>IF(A46="","",VLOOKUP(A46,MO,15,FALSE))</f>
        <v>97342</v>
      </c>
      <c r="H46" s="542">
        <f>IF(A46="","",ROUND((G46/F46),0))</f>
        <v>26890</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26890</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89267</v>
      </c>
    </row>
    <row r="53" spans="1:8">
      <c r="A53" s="285"/>
      <c r="B53" s="285"/>
      <c r="C53" s="285"/>
      <c r="D53" s="285"/>
      <c r="E53" s="346"/>
      <c r="F53" s="347"/>
      <c r="G53" s="347"/>
      <c r="H53" s="349"/>
    </row>
    <row r="54" spans="1:8">
      <c r="A54" s="285"/>
      <c r="B54" s="285"/>
      <c r="C54" s="285"/>
      <c r="D54" s="285"/>
      <c r="E54" s="346"/>
      <c r="F54" s="347"/>
      <c r="G54" s="347"/>
      <c r="H54" s="349"/>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c r="A59" s="703" t="str">
        <f>+[14]PRESUPUESTO!$A$113</f>
        <v>__________________________________________</v>
      </c>
      <c r="B59" s="703"/>
    </row>
    <row r="60" spans="1:8">
      <c r="A60" s="810" t="str">
        <f>+[14]PRESUPUESTO!$A$114</f>
        <v>Ing. JHON FREDY GARCIA MENDEZ</v>
      </c>
      <c r="B60" s="703"/>
    </row>
    <row r="61" spans="1:8">
      <c r="A61" s="811" t="str">
        <f>+[14]PRESUPUESTO!$A$115</f>
        <v>M.P.  70268-326294 TLM.</v>
      </c>
      <c r="B61" s="703"/>
    </row>
    <row r="62" spans="1:8">
      <c r="A62" s="811" t="str">
        <f>+[14]PRESUPUESTO!$A$116</f>
        <v>CONSULTOR</v>
      </c>
      <c r="B62" s="703"/>
    </row>
  </sheetData>
  <mergeCells count="15">
    <mergeCell ref="D2:E4"/>
    <mergeCell ref="F2:H2"/>
    <mergeCell ref="F3:H3"/>
    <mergeCell ref="F4:H4"/>
    <mergeCell ref="A5:E5"/>
    <mergeCell ref="F5:H5"/>
    <mergeCell ref="B47:D47"/>
    <mergeCell ref="B48:D48"/>
    <mergeCell ref="B49:D49"/>
    <mergeCell ref="B6:D6"/>
    <mergeCell ref="B7:E7"/>
    <mergeCell ref="B8:E8"/>
    <mergeCell ref="B36:C36"/>
    <mergeCell ref="B45:D45"/>
    <mergeCell ref="B46:D46"/>
  </mergeCells>
  <pageMargins left="0.75" right="0.75" top="1" bottom="1" header="0" footer="0"/>
  <pageSetup paperSize="9" scale="70" orientation="portrait" r:id="rId1"/>
  <headerFooter alignWithMargins="0"/>
  <drawing r:id="rId2"/>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C00-000000000000}">
  <sheetPr>
    <tabColor theme="6" tint="0.79998168889431442"/>
  </sheetPr>
  <dimension ref="A1:I62"/>
  <sheetViews>
    <sheetView workbookViewId="0"/>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4.570312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t="e">
        <f>PRESUPUESTO!#REF!</f>
        <v>#REF!</v>
      </c>
      <c r="B7" s="2185" t="e">
        <f>PRESUPUESTO!#REF!</f>
        <v>#REF!</v>
      </c>
      <c r="C7" s="2185"/>
      <c r="D7" s="2185"/>
      <c r="E7" s="2185"/>
      <c r="F7" s="289"/>
      <c r="G7" s="290" t="s">
        <v>525</v>
      </c>
      <c r="H7" s="97" t="e">
        <f>+PRESUPUESTO!#REF!</f>
        <v>#REF!</v>
      </c>
    </row>
    <row r="8" spans="1:9">
      <c r="A8" s="97" t="e">
        <f>+PRESUPUESTO!#REF!</f>
        <v>#REF!</v>
      </c>
      <c r="B8" s="2277" t="e">
        <f>+PRESUPUESTO!#REF!</f>
        <v>#REF!</v>
      </c>
      <c r="C8" s="2266"/>
      <c r="D8" s="2266"/>
      <c r="E8" s="2266"/>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966</v>
      </c>
      <c r="B13" s="305" t="str">
        <f t="shared" ref="B13:B18" si="0">IF(A13="","",VLOOKUP(A13,EQUI,2,FALSE))</f>
        <v>Herramienta Menor (5% de la mano de obra).</v>
      </c>
      <c r="C13" s="306"/>
      <c r="D13" s="306"/>
      <c r="E13" s="276" t="str">
        <f t="shared" ref="E13:E18" si="1">IF(A13="","",VLOOKUP(A13,EQUI,3,FALSE))</f>
        <v>%</v>
      </c>
      <c r="F13" s="433">
        <f>IF(A13="","",VLOOKUP(A13,EQUI,4,FALSE))</f>
        <v>0.05</v>
      </c>
      <c r="G13" s="307">
        <f>ROUND(F13*H50,0)</f>
        <v>608</v>
      </c>
      <c r="H13" s="308">
        <f>+G13</f>
        <v>608</v>
      </c>
      <c r="I13" s="309"/>
    </row>
    <row r="14" spans="1:9">
      <c r="A14" s="536"/>
      <c r="B14" s="305" t="str">
        <f t="shared" si="0"/>
        <v/>
      </c>
      <c r="C14" s="306"/>
      <c r="D14" s="306"/>
      <c r="E14" s="276" t="str">
        <f t="shared" si="1"/>
        <v/>
      </c>
      <c r="F14" s="405"/>
      <c r="G14" s="310" t="str">
        <f>IF(A14="","",VLOOKUP(A14,EQUI,4,FALSE))</f>
        <v/>
      </c>
      <c r="H14" s="311" t="str">
        <f>IF(A14="","",ROUND((G14/F14),0))</f>
        <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608</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t="s">
        <v>1732</v>
      </c>
      <c r="B23" s="1033" t="s">
        <v>2436</v>
      </c>
      <c r="C23" s="305"/>
      <c r="D23" s="306"/>
      <c r="E23" s="276" t="str">
        <f>IF(A23="","",VLOOKUP(A23,MAT,3,FALSE))</f>
        <v>m.</v>
      </c>
      <c r="F23" s="405">
        <v>1.03</v>
      </c>
      <c r="G23" s="310">
        <v>22584</v>
      </c>
      <c r="H23" s="311">
        <f>IF(A23="","",ROUND((G23*F23),0))</f>
        <v>23262</v>
      </c>
    </row>
    <row r="24" spans="1:8">
      <c r="A24" s="534" t="s">
        <v>1381</v>
      </c>
      <c r="B24" s="353" t="str">
        <f>IF(A24="","",VLOOKUP(A24,MAT,2,FALSE))</f>
        <v>Soldadura PVC x 1/4 gal</v>
      </c>
      <c r="C24" s="305"/>
      <c r="D24" s="306"/>
      <c r="E24" s="276" t="str">
        <f>IF(A24="","",VLOOKUP(A24,MAT,3,FALSE))</f>
        <v>Gal.</v>
      </c>
      <c r="F24" s="1050">
        <v>0.02</v>
      </c>
      <c r="G24" s="310">
        <f>IF(A24="","",VLOOKUP(A24,MAT,5,FALSE))</f>
        <v>150369</v>
      </c>
      <c r="H24" s="311">
        <f>IF(A24="","",ROUND((G24*F24),0))</f>
        <v>3007</v>
      </c>
    </row>
    <row r="25" spans="1:8">
      <c r="A25" s="534" t="s">
        <v>1388</v>
      </c>
      <c r="B25" s="353" t="str">
        <f>IF(A25="","",VLOOKUP(A25,MAT,2,FALSE))</f>
        <v>Limpiador PVC x 1/4.</v>
      </c>
      <c r="C25" s="305"/>
      <c r="D25" s="306"/>
      <c r="E25" s="276" t="str">
        <f>IF(A25="","",VLOOKUP(A25,MAT,3,FALSE))</f>
        <v>1/4 Gal</v>
      </c>
      <c r="F25" s="405">
        <v>2.8000000000000001E-2</v>
      </c>
      <c r="G25" s="310">
        <f>IF(A25="","",VLOOKUP(A25,MAT,5,FALSE))</f>
        <v>72505</v>
      </c>
      <c r="H25" s="311">
        <f>IF(A25="","",ROUND((G25*F25),0))</f>
        <v>2030</v>
      </c>
    </row>
    <row r="26" spans="1:8">
      <c r="A26" s="534"/>
      <c r="B26" s="305" t="str">
        <f t="shared" ref="B26:B32" si="2">IF(A26="","",VLOOKUP(A26,MAT,2,FALSE))</f>
        <v/>
      </c>
      <c r="C26" s="305"/>
      <c r="D26" s="306"/>
      <c r="E26" s="276" t="str">
        <f t="shared" ref="E26:E32" si="3">IF(A26="","",VLOOKUP(A26,MAT,3,FALSE))</f>
        <v/>
      </c>
      <c r="F26" s="405"/>
      <c r="G26" s="310" t="str">
        <f t="shared" ref="G26:G32" si="4">IF(A26="","",VLOOKUP(A26,MAT,5,FALSE))</f>
        <v/>
      </c>
      <c r="H26" s="311" t="str">
        <f t="shared" ref="H26:H32" si="5">IF(A26="","",ROUND((G26*F26),0))</f>
        <v/>
      </c>
    </row>
    <row r="27" spans="1:8">
      <c r="A27" s="534"/>
      <c r="B27" s="305" t="str">
        <f t="shared" si="2"/>
        <v/>
      </c>
      <c r="C27" s="305"/>
      <c r="D27" s="306"/>
      <c r="E27" s="276" t="str">
        <f t="shared" si="3"/>
        <v/>
      </c>
      <c r="F27" s="405"/>
      <c r="G27" s="310" t="str">
        <f t="shared" si="4"/>
        <v/>
      </c>
      <c r="H27" s="311" t="str">
        <f t="shared" si="5"/>
        <v/>
      </c>
    </row>
    <row r="28" spans="1:8">
      <c r="A28" s="534"/>
      <c r="B28" s="305" t="str">
        <f t="shared" si="2"/>
        <v/>
      </c>
      <c r="C28" s="305"/>
      <c r="D28" s="306"/>
      <c r="E28" s="276" t="str">
        <f t="shared" si="3"/>
        <v/>
      </c>
      <c r="F28" s="405"/>
      <c r="G28" s="310" t="str">
        <f t="shared" si="4"/>
        <v/>
      </c>
      <c r="H28" s="311" t="str">
        <f t="shared" si="5"/>
        <v/>
      </c>
    </row>
    <row r="29" spans="1:8">
      <c r="A29" s="534"/>
      <c r="B29" s="305" t="str">
        <f t="shared" si="2"/>
        <v/>
      </c>
      <c r="C29" s="305"/>
      <c r="D29" s="306"/>
      <c r="E29" s="276" t="str">
        <f t="shared" si="3"/>
        <v/>
      </c>
      <c r="F29" s="405"/>
      <c r="G29" s="310" t="str">
        <f t="shared" si="4"/>
        <v/>
      </c>
      <c r="H29" s="311" t="str">
        <f t="shared" si="5"/>
        <v/>
      </c>
    </row>
    <row r="30" spans="1:8">
      <c r="A30" s="534"/>
      <c r="B30" s="305" t="str">
        <f t="shared" si="2"/>
        <v/>
      </c>
      <c r="C30" s="305"/>
      <c r="D30" s="306"/>
      <c r="E30" s="276" t="str">
        <f t="shared" si="3"/>
        <v/>
      </c>
      <c r="F30" s="405"/>
      <c r="G30" s="310" t="str">
        <f t="shared" si="4"/>
        <v/>
      </c>
      <c r="H30" s="311" t="str">
        <f t="shared" si="5"/>
        <v/>
      </c>
    </row>
    <row r="31" spans="1:8">
      <c r="A31" s="534"/>
      <c r="B31" s="305" t="str">
        <f t="shared" si="2"/>
        <v/>
      </c>
      <c r="C31" s="305"/>
      <c r="D31" s="306"/>
      <c r="E31" s="276" t="str">
        <f t="shared" si="3"/>
        <v/>
      </c>
      <c r="F31" s="405"/>
      <c r="G31" s="310" t="str">
        <f t="shared" si="4"/>
        <v/>
      </c>
      <c r="H31" s="311" t="str">
        <f t="shared" si="5"/>
        <v/>
      </c>
    </row>
    <row r="32" spans="1:8" ht="13.5" thickBot="1">
      <c r="A32" s="535"/>
      <c r="B32" s="326" t="str">
        <f t="shared" si="2"/>
        <v/>
      </c>
      <c r="C32" s="314"/>
      <c r="D32" s="314"/>
      <c r="E32" s="315" t="str">
        <f t="shared" si="3"/>
        <v/>
      </c>
      <c r="F32" s="406"/>
      <c r="G32" s="327" t="str">
        <f t="shared" si="4"/>
        <v/>
      </c>
      <c r="H32" s="311" t="str">
        <f t="shared" si="5"/>
        <v/>
      </c>
    </row>
    <row r="33" spans="1:8" ht="13.5" thickBot="1">
      <c r="A33" s="285"/>
      <c r="B33" s="285"/>
      <c r="C33" s="285"/>
      <c r="D33" s="285"/>
      <c r="E33" s="286"/>
      <c r="F33" s="285"/>
      <c r="G33" s="210" t="s">
        <v>529</v>
      </c>
      <c r="H33" s="328">
        <f>ROUND(SUM(H23:H32),0)</f>
        <v>28299</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546" t="str">
        <f>A23</f>
        <v>TA6</v>
      </c>
      <c r="B37" s="305" t="str">
        <f>IF(A37="","",VLOOKUP(A37,MAT,2,FALSE))</f>
        <v xml:space="preserve">Tubería Corrugada Alcantarillado RS8 de 160 mm </v>
      </c>
      <c r="C37" s="333"/>
      <c r="D37" s="409" t="str">
        <f>IF(A37="","",VLOOKUP(A37,MAT,3,FALSE))</f>
        <v>m.</v>
      </c>
      <c r="E37" s="419">
        <f>IF(A37="","",VLOOKUP(A37,MAT,6,FALSE))</f>
        <v>160</v>
      </c>
      <c r="F37" s="413">
        <f>IF(A37="","",VLOOKUP(A37,$A$23:$H$32,6,FALSE))</f>
        <v>1.03</v>
      </c>
      <c r="G37" s="334">
        <f>IF(A37="","",VLOOKUP(A37,MAT,7,FALSE))</f>
        <v>15</v>
      </c>
      <c r="H37" s="311">
        <f>(ROUND((G37*F37*E37),0))</f>
        <v>2472</v>
      </c>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t="str">
        <f>IF(A39="","",ROUND((G39*F39*E39),0))</f>
        <v/>
      </c>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2472</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940</v>
      </c>
      <c r="B46" s="2192" t="str">
        <f>IF(A46="","",VLOOKUP(A46,MO,2,FALSE))</f>
        <v>Cuadrilla NN: Instalaciones hidrosanitarias. (1 Of.Insta.+ 2 Ayud.).</v>
      </c>
      <c r="C46" s="2193"/>
      <c r="D46" s="2194"/>
      <c r="E46" s="538" t="str">
        <f>IF(A46="","",VLOOKUP(A46,MO,13,FALSE))</f>
        <v>HC</v>
      </c>
      <c r="F46" s="544">
        <v>8</v>
      </c>
      <c r="G46" s="540">
        <f>IF(A46="","",VLOOKUP(A46,MO,15,FALSE))</f>
        <v>97342</v>
      </c>
      <c r="H46" s="542">
        <f>IF(A46="","",ROUND((G46/F46),0))</f>
        <v>12168</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12168</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43547</v>
      </c>
    </row>
    <row r="53" spans="1:8">
      <c r="A53" s="285"/>
      <c r="B53" s="285"/>
      <c r="C53" s="285"/>
      <c r="D53" s="285"/>
      <c r="E53" s="346"/>
      <c r="F53" s="347"/>
      <c r="G53" s="347"/>
      <c r="H53" s="349"/>
    </row>
    <row r="54" spans="1:8">
      <c r="A54" s="285"/>
      <c r="B54" s="285"/>
      <c r="C54" s="285"/>
      <c r="D54" s="285"/>
      <c r="E54" s="346"/>
      <c r="F54" s="347"/>
      <c r="G54" s="347"/>
      <c r="H54" s="349"/>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c r="A59" s="703" t="str">
        <f>+[14]PRESUPUESTO!$A$113</f>
        <v>__________________________________________</v>
      </c>
      <c r="B59" s="703"/>
    </row>
    <row r="60" spans="1:8">
      <c r="A60" s="810" t="str">
        <f>+[14]PRESUPUESTO!$A$114</f>
        <v>Ing. JHON FREDY GARCIA MENDEZ</v>
      </c>
      <c r="B60" s="703"/>
    </row>
    <row r="61" spans="1:8">
      <c r="A61" s="811" t="str">
        <f>+[14]PRESUPUESTO!$A$115</f>
        <v>M.P.  70268-326294 TLM.</v>
      </c>
      <c r="B61" s="703"/>
    </row>
    <row r="62" spans="1:8">
      <c r="A62" s="811" t="str">
        <f>+[14]PRESUPUESTO!$A$116</f>
        <v>CONSULTOR</v>
      </c>
      <c r="B62" s="703"/>
    </row>
  </sheetData>
  <mergeCells count="15">
    <mergeCell ref="D2:E4"/>
    <mergeCell ref="F2:H2"/>
    <mergeCell ref="F3:H3"/>
    <mergeCell ref="F4:H4"/>
    <mergeCell ref="A5:E5"/>
    <mergeCell ref="F5:H5"/>
    <mergeCell ref="B47:D47"/>
    <mergeCell ref="B48:D48"/>
    <mergeCell ref="B49:D49"/>
    <mergeCell ref="B6:D6"/>
    <mergeCell ref="B7:E7"/>
    <mergeCell ref="B8:E8"/>
    <mergeCell ref="B36:C36"/>
    <mergeCell ref="B45:D45"/>
    <mergeCell ref="B46:D46"/>
  </mergeCells>
  <pageMargins left="0.75" right="0.75" top="1" bottom="1" header="0" footer="0"/>
  <pageSetup paperSize="9" scale="70" orientation="portrait" r:id="rId1"/>
  <headerFooter alignWithMargins="0"/>
  <drawing r:id="rId2"/>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D00-000000000000}">
  <sheetPr>
    <tabColor theme="6" tint="0.79998168889431442"/>
  </sheetPr>
  <dimension ref="A1:I62"/>
  <sheetViews>
    <sheetView workbookViewId="0"/>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4.570312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t="e">
        <f>PRESUPUESTO!#REF!</f>
        <v>#REF!</v>
      </c>
      <c r="B7" s="2185" t="e">
        <f>PRESUPUESTO!#REF!</f>
        <v>#REF!</v>
      </c>
      <c r="C7" s="2185"/>
      <c r="D7" s="2185"/>
      <c r="E7" s="2185"/>
      <c r="F7" s="289"/>
      <c r="G7" s="290" t="s">
        <v>525</v>
      </c>
      <c r="H7" s="97" t="e">
        <f>+PRESUPUESTO!#REF!</f>
        <v>#REF!</v>
      </c>
    </row>
    <row r="8" spans="1:9">
      <c r="A8" s="97" t="e">
        <f>+PRESUPUESTO!#REF!</f>
        <v>#REF!</v>
      </c>
      <c r="B8" s="2277" t="e">
        <f>+PRESUPUESTO!#REF!</f>
        <v>#REF!</v>
      </c>
      <c r="C8" s="2266"/>
      <c r="D8" s="2266"/>
      <c r="E8" s="2266"/>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966</v>
      </c>
      <c r="B13" s="305" t="str">
        <f t="shared" ref="B13:B18" si="0">IF(A13="","",VLOOKUP(A13,EQUI,2,FALSE))</f>
        <v>Herramienta Menor (5% de la mano de obra).</v>
      </c>
      <c r="C13" s="306"/>
      <c r="D13" s="306"/>
      <c r="E13" s="276" t="str">
        <f t="shared" ref="E13:E18" si="1">IF(A13="","",VLOOKUP(A13,EQUI,3,FALSE))</f>
        <v>%</v>
      </c>
      <c r="F13" s="433">
        <f>IF(A13="","",VLOOKUP(A13,EQUI,4,FALSE))</f>
        <v>0.05</v>
      </c>
      <c r="G13" s="307">
        <f>ROUND(F13*H50,0)</f>
        <v>2496</v>
      </c>
      <c r="H13" s="308">
        <f>+G13</f>
        <v>2496</v>
      </c>
      <c r="I13" s="309"/>
    </row>
    <row r="14" spans="1:9">
      <c r="A14" s="536"/>
      <c r="B14" s="305" t="str">
        <f t="shared" si="0"/>
        <v/>
      </c>
      <c r="C14" s="306"/>
      <c r="D14" s="306"/>
      <c r="E14" s="276" t="str">
        <f t="shared" si="1"/>
        <v/>
      </c>
      <c r="F14" s="405"/>
      <c r="G14" s="310" t="str">
        <f>IF(A14="","",VLOOKUP(A14,EQUI,4,FALSE))</f>
        <v/>
      </c>
      <c r="H14" s="311" t="str">
        <f>IF(A14="","",ROUND((G14/F14),0))</f>
        <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2496</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c r="B23" s="1033" t="s">
        <v>2437</v>
      </c>
      <c r="C23" s="305"/>
      <c r="D23" s="306"/>
      <c r="E23" s="815" t="s">
        <v>205</v>
      </c>
      <c r="F23" s="405">
        <v>52</v>
      </c>
      <c r="G23" s="310">
        <v>900</v>
      </c>
      <c r="H23" s="311">
        <f>ROUND(F23*G23,0)</f>
        <v>46800</v>
      </c>
    </row>
    <row r="24" spans="1:8">
      <c r="A24" s="534" t="s">
        <v>556</v>
      </c>
      <c r="B24" s="353" t="str">
        <f>IF(A24="","",VLOOKUP(A24,MAT,2,FALSE))</f>
        <v>Mortero 1:4</v>
      </c>
      <c r="C24" s="305"/>
      <c r="D24" s="306"/>
      <c r="E24" s="815" t="s">
        <v>2419</v>
      </c>
      <c r="F24" s="1050">
        <v>44</v>
      </c>
      <c r="G24" s="310">
        <f>IF(A24="","",VLOOKUP(A24,MAT,5,FALSE))/1000</f>
        <v>462.36200000000002</v>
      </c>
      <c r="H24" s="311">
        <f>IF(A24="","",ROUND((G24*F24),0))</f>
        <v>20344</v>
      </c>
    </row>
    <row r="25" spans="1:8">
      <c r="A25" s="534"/>
      <c r="B25" s="353"/>
      <c r="C25" s="305"/>
      <c r="D25" s="306"/>
      <c r="E25" s="276" t="str">
        <f>IF(A25="","",VLOOKUP(A25,MAT,3,FALSE))</f>
        <v/>
      </c>
      <c r="F25" s="405">
        <v>2.8000000000000001E-2</v>
      </c>
      <c r="G25" s="310" t="str">
        <f>IF(A25="","",VLOOKUP(A25,MAT,5,FALSE))</f>
        <v/>
      </c>
      <c r="H25" s="311" t="str">
        <f>IF(A25="","",ROUND((G25*F25),0))</f>
        <v/>
      </c>
    </row>
    <row r="26" spans="1:8">
      <c r="A26" s="534"/>
      <c r="B26" s="305" t="str">
        <f t="shared" ref="B26:B32" si="2">IF(A26="","",VLOOKUP(A26,MAT,2,FALSE))</f>
        <v/>
      </c>
      <c r="C26" s="305"/>
      <c r="D26" s="306"/>
      <c r="E26" s="276" t="str">
        <f t="shared" ref="E26:E32" si="3">IF(A26="","",VLOOKUP(A26,MAT,3,FALSE))</f>
        <v/>
      </c>
      <c r="F26" s="405"/>
      <c r="G26" s="310" t="str">
        <f t="shared" ref="G26:G32" si="4">IF(A26="","",VLOOKUP(A26,MAT,5,FALSE))</f>
        <v/>
      </c>
      <c r="H26" s="311" t="str">
        <f t="shared" ref="H26:H32" si="5">IF(A26="","",ROUND((G26*F26),0))</f>
        <v/>
      </c>
    </row>
    <row r="27" spans="1:8">
      <c r="A27" s="534"/>
      <c r="B27" s="305" t="str">
        <f t="shared" si="2"/>
        <v/>
      </c>
      <c r="C27" s="305"/>
      <c r="D27" s="306"/>
      <c r="E27" s="276" t="str">
        <f t="shared" si="3"/>
        <v/>
      </c>
      <c r="F27" s="405"/>
      <c r="G27" s="310" t="str">
        <f t="shared" si="4"/>
        <v/>
      </c>
      <c r="H27" s="311" t="str">
        <f t="shared" si="5"/>
        <v/>
      </c>
    </row>
    <row r="28" spans="1:8">
      <c r="A28" s="534"/>
      <c r="B28" s="305" t="str">
        <f t="shared" si="2"/>
        <v/>
      </c>
      <c r="C28" s="305"/>
      <c r="D28" s="306"/>
      <c r="E28" s="276" t="str">
        <f t="shared" si="3"/>
        <v/>
      </c>
      <c r="F28" s="405"/>
      <c r="G28" s="310" t="str">
        <f t="shared" si="4"/>
        <v/>
      </c>
      <c r="H28" s="311" t="str">
        <f t="shared" si="5"/>
        <v/>
      </c>
    </row>
    <row r="29" spans="1:8">
      <c r="A29" s="534"/>
      <c r="B29" s="305" t="str">
        <f t="shared" si="2"/>
        <v/>
      </c>
      <c r="C29" s="305"/>
      <c r="D29" s="306"/>
      <c r="E29" s="276" t="str">
        <f t="shared" si="3"/>
        <v/>
      </c>
      <c r="F29" s="405"/>
      <c r="G29" s="310" t="str">
        <f t="shared" si="4"/>
        <v/>
      </c>
      <c r="H29" s="311" t="str">
        <f t="shared" si="5"/>
        <v/>
      </c>
    </row>
    <row r="30" spans="1:8">
      <c r="A30" s="534"/>
      <c r="B30" s="305" t="str">
        <f t="shared" si="2"/>
        <v/>
      </c>
      <c r="C30" s="305"/>
      <c r="D30" s="306"/>
      <c r="E30" s="276" t="str">
        <f t="shared" si="3"/>
        <v/>
      </c>
      <c r="F30" s="405"/>
      <c r="G30" s="310" t="str">
        <f t="shared" si="4"/>
        <v/>
      </c>
      <c r="H30" s="311" t="str">
        <f t="shared" si="5"/>
        <v/>
      </c>
    </row>
    <row r="31" spans="1:8">
      <c r="A31" s="534"/>
      <c r="B31" s="305" t="str">
        <f t="shared" si="2"/>
        <v/>
      </c>
      <c r="C31" s="305"/>
      <c r="D31" s="306"/>
      <c r="E31" s="276" t="str">
        <f t="shared" si="3"/>
        <v/>
      </c>
      <c r="F31" s="405"/>
      <c r="G31" s="310" t="str">
        <f t="shared" si="4"/>
        <v/>
      </c>
      <c r="H31" s="311" t="str">
        <f t="shared" si="5"/>
        <v/>
      </c>
    </row>
    <row r="32" spans="1:8" ht="13.5" thickBot="1">
      <c r="A32" s="535"/>
      <c r="B32" s="326" t="str">
        <f t="shared" si="2"/>
        <v/>
      </c>
      <c r="C32" s="314"/>
      <c r="D32" s="314"/>
      <c r="E32" s="315" t="str">
        <f t="shared" si="3"/>
        <v/>
      </c>
      <c r="F32" s="406"/>
      <c r="G32" s="327" t="str">
        <f t="shared" si="4"/>
        <v/>
      </c>
      <c r="H32" s="311" t="str">
        <f t="shared" si="5"/>
        <v/>
      </c>
    </row>
    <row r="33" spans="1:8" ht="13.5" thickBot="1">
      <c r="A33" s="285"/>
      <c r="B33" s="285"/>
      <c r="C33" s="285"/>
      <c r="D33" s="285"/>
      <c r="E33" s="286"/>
      <c r="F33" s="285"/>
      <c r="G33" s="210" t="s">
        <v>529</v>
      </c>
      <c r="H33" s="328">
        <f>ROUND(SUM(H23:H32),0)</f>
        <v>67144</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546"/>
      <c r="B37" s="737" t="s">
        <v>2493</v>
      </c>
      <c r="C37" s="772"/>
      <c r="D37" s="773"/>
      <c r="E37" s="774"/>
      <c r="F37" s="775"/>
      <c r="G37" s="1066">
        <v>0.06</v>
      </c>
      <c r="H37" s="746">
        <f>ROUND(G37*H33,0)</f>
        <v>4029</v>
      </c>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t="str">
        <f>IF(A39="","",ROUND((G39*F39*E39),0))</f>
        <v/>
      </c>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4029</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940</v>
      </c>
      <c r="B46" s="2192" t="str">
        <f>IF(A46="","",VLOOKUP(A46,MO,2,FALSE))</f>
        <v>Cuadrilla NN: Instalaciones hidrosanitarias. (1 Of.Insta.+ 2 Ayud.).</v>
      </c>
      <c r="C46" s="2193"/>
      <c r="D46" s="2194"/>
      <c r="E46" s="538" t="str">
        <f>IF(A46="","",VLOOKUP(A46,MO,13,FALSE))</f>
        <v>HC</v>
      </c>
      <c r="F46" s="544">
        <v>1.95</v>
      </c>
      <c r="G46" s="540">
        <f>IF(A46="","",VLOOKUP(A46,MO,15,FALSE))</f>
        <v>97342</v>
      </c>
      <c r="H46" s="542">
        <f>IF(A46="","",ROUND((G46/F46),0))</f>
        <v>49919</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49919</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123588</v>
      </c>
    </row>
    <row r="53" spans="1:8">
      <c r="A53" s="285"/>
      <c r="B53" s="285"/>
      <c r="C53" s="285"/>
      <c r="D53" s="285"/>
      <c r="E53" s="346"/>
      <c r="F53" s="347"/>
      <c r="G53" s="347"/>
      <c r="H53" s="349"/>
    </row>
    <row r="54" spans="1:8">
      <c r="A54" s="285"/>
      <c r="B54" s="285"/>
      <c r="C54" s="285"/>
      <c r="D54" s="285"/>
      <c r="E54" s="346"/>
      <c r="F54" s="347"/>
      <c r="G54" s="347"/>
      <c r="H54" s="349"/>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c r="A59" s="703" t="str">
        <f>+[14]PRESUPUESTO!$A$113</f>
        <v>__________________________________________</v>
      </c>
      <c r="B59" s="703"/>
    </row>
    <row r="60" spans="1:8">
      <c r="A60" s="810" t="str">
        <f>+[14]PRESUPUESTO!$A$114</f>
        <v>Ing. JHON FREDY GARCIA MENDEZ</v>
      </c>
      <c r="B60" s="703"/>
    </row>
    <row r="61" spans="1:8">
      <c r="A61" s="811" t="str">
        <f>+[14]PRESUPUESTO!$A$115</f>
        <v>M.P.  70268-326294 TLM.</v>
      </c>
      <c r="B61" s="703"/>
    </row>
    <row r="62" spans="1:8">
      <c r="A62" s="811" t="str">
        <f>+[14]PRESUPUESTO!$A$116</f>
        <v>CONSULTOR</v>
      </c>
      <c r="B62" s="703"/>
    </row>
  </sheetData>
  <mergeCells count="15">
    <mergeCell ref="D2:E4"/>
    <mergeCell ref="F2:H2"/>
    <mergeCell ref="F3:H3"/>
    <mergeCell ref="F4:H4"/>
    <mergeCell ref="A5:E5"/>
    <mergeCell ref="F5:H5"/>
    <mergeCell ref="B47:D47"/>
    <mergeCell ref="B48:D48"/>
    <mergeCell ref="B49:D49"/>
    <mergeCell ref="B6:D6"/>
    <mergeCell ref="B7:E7"/>
    <mergeCell ref="B8:E8"/>
    <mergeCell ref="B36:C36"/>
    <mergeCell ref="B45:D45"/>
    <mergeCell ref="B46:D46"/>
  </mergeCells>
  <pageMargins left="0.75" right="0.75" top="1" bottom="1" header="0" footer="0"/>
  <pageSetup paperSize="9" scale="70" orientation="portrait" r:id="rId1"/>
  <headerFooter alignWithMargins="0"/>
  <drawing r:id="rId2"/>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E00-000000000000}">
  <sheetPr>
    <tabColor theme="6" tint="0.79998168889431442"/>
  </sheetPr>
  <dimension ref="A1:I62"/>
  <sheetViews>
    <sheetView workbookViewId="0"/>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4.570312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t="e">
        <f>PRESUPUESTO!#REF!</f>
        <v>#REF!</v>
      </c>
      <c r="B7" s="2185" t="e">
        <f>PRESUPUESTO!#REF!</f>
        <v>#REF!</v>
      </c>
      <c r="C7" s="2185"/>
      <c r="D7" s="2185"/>
      <c r="E7" s="2185"/>
      <c r="F7" s="289"/>
      <c r="G7" s="290" t="s">
        <v>525</v>
      </c>
      <c r="H7" s="97" t="e">
        <f>+PRESUPUESTO!#REF!</f>
        <v>#REF!</v>
      </c>
    </row>
    <row r="8" spans="1:9" ht="27.75" customHeight="1">
      <c r="A8" s="97" t="e">
        <f>+PRESUPUESTO!#REF!</f>
        <v>#REF!</v>
      </c>
      <c r="B8" s="2277" t="e">
        <f>+PRESUPUESTO!#REF!</f>
        <v>#REF!</v>
      </c>
      <c r="C8" s="2266"/>
      <c r="D8" s="2266"/>
      <c r="E8" s="2266"/>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966</v>
      </c>
      <c r="B13" s="305" t="str">
        <f t="shared" ref="B13:B18" si="0">IF(A13="","",VLOOKUP(A13,EQUI,2,FALSE))</f>
        <v>Herramienta Menor (5% de la mano de obra).</v>
      </c>
      <c r="C13" s="306"/>
      <c r="D13" s="306"/>
      <c r="E13" s="276" t="str">
        <f t="shared" ref="E13:E18" si="1">IF(A13="","",VLOOKUP(A13,EQUI,3,FALSE))</f>
        <v>%</v>
      </c>
      <c r="F13" s="433">
        <f>IF(A13="","",VLOOKUP(A13,EQUI,4,FALSE))</f>
        <v>0.05</v>
      </c>
      <c r="G13" s="307">
        <f>ROUND(F13*H50,0)</f>
        <v>1391</v>
      </c>
      <c r="H13" s="308">
        <f>+G13</f>
        <v>1391</v>
      </c>
      <c r="I13" s="309"/>
    </row>
    <row r="14" spans="1:9">
      <c r="A14" s="536"/>
      <c r="B14" s="305" t="str">
        <f t="shared" si="0"/>
        <v/>
      </c>
      <c r="C14" s="306"/>
      <c r="D14" s="306"/>
      <c r="E14" s="276" t="str">
        <f t="shared" si="1"/>
        <v/>
      </c>
      <c r="F14" s="405"/>
      <c r="G14" s="310" t="str">
        <f>IF(A14="","",VLOOKUP(A14,EQUI,4,FALSE))</f>
        <v/>
      </c>
      <c r="H14" s="311" t="str">
        <f>IF(A14="","",ROUND((G14/F14),0))</f>
        <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1391</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4" t="s">
        <v>2438</v>
      </c>
      <c r="B23" s="353" t="str">
        <f>IF(A23="","",VLOOKUP(A23,MAT,2,FALSE))</f>
        <v>Mortero 1:4 - Impermeabilizado</v>
      </c>
      <c r="C23" s="305"/>
      <c r="D23" s="306"/>
      <c r="E23" s="815" t="s">
        <v>2419</v>
      </c>
      <c r="F23" s="1050">
        <v>0.03</v>
      </c>
      <c r="G23" s="310">
        <f>IF(A23="","",VLOOKUP(A23,MAT,5,FALSE))</f>
        <v>734947</v>
      </c>
      <c r="H23" s="1051">
        <f>IF(A23="","",ROUND((G23*F23),0))</f>
        <v>22048</v>
      </c>
    </row>
    <row r="24" spans="1:8">
      <c r="A24" s="534"/>
      <c r="B24" s="353" t="str">
        <f>IF(A24="","",VLOOKUP(A24,MAT,2,FALSE))</f>
        <v/>
      </c>
      <c r="C24" s="305"/>
      <c r="D24" s="306"/>
      <c r="E24" s="815"/>
      <c r="F24" s="1050"/>
      <c r="G24" s="310"/>
      <c r="H24" s="311" t="str">
        <f>IF(A24="","",ROUND((G24*F24),0))</f>
        <v/>
      </c>
    </row>
    <row r="25" spans="1:8">
      <c r="A25" s="534"/>
      <c r="B25" s="353"/>
      <c r="C25" s="305"/>
      <c r="D25" s="306"/>
      <c r="E25" s="276"/>
      <c r="F25" s="405"/>
      <c r="G25" s="310"/>
      <c r="H25" s="311" t="str">
        <f>IF(A25="","",ROUND((G25*F25),0))</f>
        <v/>
      </c>
    </row>
    <row r="26" spans="1:8">
      <c r="A26" s="534"/>
      <c r="B26" s="305" t="str">
        <f t="shared" ref="B26:B32" si="2">IF(A26="","",VLOOKUP(A26,MAT,2,FALSE))</f>
        <v/>
      </c>
      <c r="C26" s="305"/>
      <c r="D26" s="306"/>
      <c r="E26" s="276" t="str">
        <f t="shared" ref="E26:E32" si="3">IF(A26="","",VLOOKUP(A26,MAT,3,FALSE))</f>
        <v/>
      </c>
      <c r="F26" s="405"/>
      <c r="G26" s="310" t="str">
        <f t="shared" ref="G26:G32" si="4">IF(A26="","",VLOOKUP(A26,MAT,5,FALSE))</f>
        <v/>
      </c>
      <c r="H26" s="311" t="str">
        <f t="shared" ref="H26:H32" si="5">IF(A26="","",ROUND((G26*F26),0))</f>
        <v/>
      </c>
    </row>
    <row r="27" spans="1:8">
      <c r="A27" s="534"/>
      <c r="B27" s="305" t="str">
        <f t="shared" si="2"/>
        <v/>
      </c>
      <c r="C27" s="305"/>
      <c r="D27" s="306"/>
      <c r="E27" s="276" t="str">
        <f t="shared" si="3"/>
        <v/>
      </c>
      <c r="F27" s="405"/>
      <c r="G27" s="310" t="str">
        <f t="shared" si="4"/>
        <v/>
      </c>
      <c r="H27" s="311" t="str">
        <f t="shared" si="5"/>
        <v/>
      </c>
    </row>
    <row r="28" spans="1:8">
      <c r="A28" s="534"/>
      <c r="B28" s="305" t="str">
        <f t="shared" si="2"/>
        <v/>
      </c>
      <c r="C28" s="305"/>
      <c r="D28" s="306"/>
      <c r="E28" s="276" t="str">
        <f t="shared" si="3"/>
        <v/>
      </c>
      <c r="F28" s="405"/>
      <c r="G28" s="310" t="str">
        <f t="shared" si="4"/>
        <v/>
      </c>
      <c r="H28" s="311" t="str">
        <f t="shared" si="5"/>
        <v/>
      </c>
    </row>
    <row r="29" spans="1:8">
      <c r="A29" s="534"/>
      <c r="B29" s="305" t="str">
        <f t="shared" si="2"/>
        <v/>
      </c>
      <c r="C29" s="305"/>
      <c r="D29" s="306"/>
      <c r="E29" s="276" t="str">
        <f t="shared" si="3"/>
        <v/>
      </c>
      <c r="F29" s="405"/>
      <c r="G29" s="310" t="str">
        <f t="shared" si="4"/>
        <v/>
      </c>
      <c r="H29" s="311" t="str">
        <f t="shared" si="5"/>
        <v/>
      </c>
    </row>
    <row r="30" spans="1:8">
      <c r="A30" s="534"/>
      <c r="B30" s="305" t="str">
        <f t="shared" si="2"/>
        <v/>
      </c>
      <c r="C30" s="305"/>
      <c r="D30" s="306"/>
      <c r="E30" s="276" t="str">
        <f t="shared" si="3"/>
        <v/>
      </c>
      <c r="F30" s="405"/>
      <c r="G30" s="310" t="str">
        <f t="shared" si="4"/>
        <v/>
      </c>
      <c r="H30" s="311" t="str">
        <f t="shared" si="5"/>
        <v/>
      </c>
    </row>
    <row r="31" spans="1:8">
      <c r="A31" s="534"/>
      <c r="B31" s="305" t="str">
        <f t="shared" si="2"/>
        <v/>
      </c>
      <c r="C31" s="305"/>
      <c r="D31" s="306"/>
      <c r="E31" s="276" t="str">
        <f t="shared" si="3"/>
        <v/>
      </c>
      <c r="F31" s="405"/>
      <c r="G31" s="310" t="str">
        <f t="shared" si="4"/>
        <v/>
      </c>
      <c r="H31" s="311" t="str">
        <f t="shared" si="5"/>
        <v/>
      </c>
    </row>
    <row r="32" spans="1:8" ht="13.5" thickBot="1">
      <c r="A32" s="535"/>
      <c r="B32" s="326" t="str">
        <f t="shared" si="2"/>
        <v/>
      </c>
      <c r="C32" s="314"/>
      <c r="D32" s="314"/>
      <c r="E32" s="315" t="str">
        <f t="shared" si="3"/>
        <v/>
      </c>
      <c r="F32" s="406"/>
      <c r="G32" s="327" t="str">
        <f t="shared" si="4"/>
        <v/>
      </c>
      <c r="H32" s="311" t="str">
        <f t="shared" si="5"/>
        <v/>
      </c>
    </row>
    <row r="33" spans="1:8" ht="13.5" thickBot="1">
      <c r="A33" s="285"/>
      <c r="B33" s="285"/>
      <c r="C33" s="285"/>
      <c r="D33" s="285"/>
      <c r="E33" s="286"/>
      <c r="F33" s="285"/>
      <c r="G33" s="210" t="s">
        <v>529</v>
      </c>
      <c r="H33" s="328">
        <f>ROUND(SUM(H23:H32),0)</f>
        <v>22048</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546" t="str">
        <f>A23</f>
        <v>M14i</v>
      </c>
      <c r="B37" s="737"/>
      <c r="C37" s="772"/>
      <c r="D37" s="773"/>
      <c r="E37" s="774"/>
      <c r="F37" s="775"/>
      <c r="G37" s="776"/>
      <c r="H37" s="746"/>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t="str">
        <f>IF(A39="","",ROUND((G39*F39*E39),0))</f>
        <v/>
      </c>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0</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940</v>
      </c>
      <c r="B46" s="2192" t="str">
        <f>IF(A46="","",VLOOKUP(A46,MO,2,FALSE))</f>
        <v>Cuadrilla NN: Instalaciones hidrosanitarias. (1 Of.Insta.+ 2 Ayud.).</v>
      </c>
      <c r="C46" s="2193"/>
      <c r="D46" s="2194"/>
      <c r="E46" s="538" t="str">
        <f>IF(A46="","",VLOOKUP(A46,MO,13,FALSE))</f>
        <v>HC</v>
      </c>
      <c r="F46" s="544">
        <v>3.5</v>
      </c>
      <c r="G46" s="540">
        <f>IF(A46="","",VLOOKUP(A46,MO,15,FALSE))</f>
        <v>97342</v>
      </c>
      <c r="H46" s="542">
        <f>IF(A46="","",ROUND((G46/F46),0))</f>
        <v>27812</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27812</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51251</v>
      </c>
    </row>
    <row r="53" spans="1:8">
      <c r="A53" s="285"/>
      <c r="B53" s="285"/>
      <c r="C53" s="285"/>
      <c r="D53" s="285"/>
      <c r="E53" s="346"/>
      <c r="F53" s="347"/>
      <c r="G53" s="347"/>
      <c r="H53" s="349"/>
    </row>
    <row r="54" spans="1:8">
      <c r="A54" s="285"/>
      <c r="B54" s="285"/>
      <c r="C54" s="285"/>
      <c r="D54" s="285"/>
      <c r="E54" s="346"/>
      <c r="F54" s="347"/>
      <c r="G54" s="347"/>
      <c r="H54" s="349"/>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c r="A59" s="703" t="str">
        <f>+[14]PRESUPUESTO!$A$113</f>
        <v>__________________________________________</v>
      </c>
      <c r="B59" s="703"/>
    </row>
    <row r="60" spans="1:8">
      <c r="A60" s="810" t="str">
        <f>+[14]PRESUPUESTO!$A$114</f>
        <v>Ing. JHON FREDY GARCIA MENDEZ</v>
      </c>
      <c r="B60" s="703"/>
    </row>
    <row r="61" spans="1:8">
      <c r="A61" s="811" t="str">
        <f>+[14]PRESUPUESTO!$A$115</f>
        <v>M.P.  70268-326294 TLM.</v>
      </c>
      <c r="B61" s="703"/>
    </row>
    <row r="62" spans="1:8">
      <c r="A62" s="811" t="str">
        <f>+[14]PRESUPUESTO!$A$116</f>
        <v>CONSULTOR</v>
      </c>
      <c r="B62" s="703"/>
    </row>
  </sheetData>
  <mergeCells count="15">
    <mergeCell ref="D2:E4"/>
    <mergeCell ref="F2:H2"/>
    <mergeCell ref="F3:H3"/>
    <mergeCell ref="F4:H4"/>
    <mergeCell ref="A5:E5"/>
    <mergeCell ref="F5:H5"/>
    <mergeCell ref="B47:D47"/>
    <mergeCell ref="B48:D48"/>
    <mergeCell ref="B49:D49"/>
    <mergeCell ref="B6:D6"/>
    <mergeCell ref="B7:E7"/>
    <mergeCell ref="B8:E8"/>
    <mergeCell ref="B36:C36"/>
    <mergeCell ref="B45:D45"/>
    <mergeCell ref="B46:D46"/>
  </mergeCells>
  <phoneticPr fontId="22" type="noConversion"/>
  <pageMargins left="0.75" right="0.75" top="1" bottom="1" header="0" footer="0"/>
  <pageSetup paperSize="9" scale="70" orientation="portrait" r:id="rId1"/>
  <headerFooter alignWithMargins="0"/>
  <drawing r:id="rId2"/>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F00-000000000000}">
  <sheetPr>
    <tabColor theme="6" tint="0.79998168889431442"/>
  </sheetPr>
  <dimension ref="A1:I62"/>
  <sheetViews>
    <sheetView workbookViewId="0"/>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4.570312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t="e">
        <f>PRESUPUESTO!#REF!</f>
        <v>#REF!</v>
      </c>
      <c r="B7" s="2185" t="e">
        <f>PRESUPUESTO!#REF!</f>
        <v>#REF!</v>
      </c>
      <c r="C7" s="2185"/>
      <c r="D7" s="2185"/>
      <c r="E7" s="2185"/>
      <c r="F7" s="289"/>
      <c r="G7" s="290" t="s">
        <v>525</v>
      </c>
      <c r="H7" s="97" t="e">
        <f>+PRESUPUESTO!#REF!</f>
        <v>#REF!</v>
      </c>
    </row>
    <row r="8" spans="1:9">
      <c r="A8" s="97" t="e">
        <f>+PRESUPUESTO!#REF!</f>
        <v>#REF!</v>
      </c>
      <c r="B8" s="2277" t="e">
        <f>+PRESUPUESTO!#REF!</f>
        <v>#REF!</v>
      </c>
      <c r="C8" s="2266"/>
      <c r="D8" s="2266"/>
      <c r="E8" s="2266"/>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966</v>
      </c>
      <c r="B13" s="305" t="str">
        <f t="shared" ref="B13:B18" si="0">IF(A13="","",VLOOKUP(A13,EQUI,2,FALSE))</f>
        <v>Herramienta Menor (5% de la mano de obra).</v>
      </c>
      <c r="C13" s="306"/>
      <c r="D13" s="306"/>
      <c r="E13" s="276" t="str">
        <f t="shared" ref="E13:E18" si="1">IF(A13="","",VLOOKUP(A13,EQUI,3,FALSE))</f>
        <v>%</v>
      </c>
      <c r="F13" s="433">
        <f>IF(A13="","",VLOOKUP(A13,EQUI,4,FALSE))</f>
        <v>0.05</v>
      </c>
      <c r="G13" s="307">
        <f>ROUND(F13*H50,0)</f>
        <v>1082</v>
      </c>
      <c r="H13" s="308">
        <f>+G13</f>
        <v>1082</v>
      </c>
      <c r="I13" s="309"/>
    </row>
    <row r="14" spans="1:9">
      <c r="A14" s="536"/>
      <c r="B14" s="305" t="str">
        <f t="shared" si="0"/>
        <v/>
      </c>
      <c r="C14" s="306"/>
      <c r="D14" s="306"/>
      <c r="E14" s="276" t="str">
        <f t="shared" si="1"/>
        <v/>
      </c>
      <c r="F14" s="405"/>
      <c r="G14" s="310" t="str">
        <f>IF(A14="","",VLOOKUP(A14,EQUI,4,FALSE))</f>
        <v/>
      </c>
      <c r="H14" s="311" t="str">
        <f>IF(A14="","",ROUND((G14/F14),0))</f>
        <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1082</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4"/>
      <c r="B23" s="1033" t="s">
        <v>2439</v>
      </c>
      <c r="C23" s="305"/>
      <c r="D23" s="306"/>
      <c r="E23" s="815" t="s">
        <v>1654</v>
      </c>
      <c r="F23" s="1050">
        <v>1.01</v>
      </c>
      <c r="G23" s="310">
        <v>68350</v>
      </c>
      <c r="H23" s="1051">
        <f>ROUND(F23*G23,0)</f>
        <v>69034</v>
      </c>
    </row>
    <row r="24" spans="1:8">
      <c r="A24" s="534"/>
      <c r="B24" s="1033" t="s">
        <v>2440</v>
      </c>
      <c r="C24" s="305"/>
      <c r="D24" s="306"/>
      <c r="E24" s="815" t="s">
        <v>2419</v>
      </c>
      <c r="F24" s="1050">
        <v>0.2</v>
      </c>
      <c r="G24" s="310">
        <v>19748</v>
      </c>
      <c r="H24" s="1051">
        <f t="shared" ref="H24:H25" si="2">ROUND(F24*G24,0)</f>
        <v>3950</v>
      </c>
    </row>
    <row r="25" spans="1:8">
      <c r="A25" s="534"/>
      <c r="B25" s="1033" t="s">
        <v>2441</v>
      </c>
      <c r="C25" s="305"/>
      <c r="D25" s="306"/>
      <c r="E25" s="815" t="s">
        <v>588</v>
      </c>
      <c r="F25" s="405">
        <v>0.05</v>
      </c>
      <c r="G25" s="310">
        <v>52900</v>
      </c>
      <c r="H25" s="1051">
        <f t="shared" si="2"/>
        <v>2645</v>
      </c>
    </row>
    <row r="26" spans="1:8">
      <c r="A26" s="534"/>
      <c r="B26" s="305" t="str">
        <f t="shared" ref="B26:B32" si="3">IF(A26="","",VLOOKUP(A26,MAT,2,FALSE))</f>
        <v/>
      </c>
      <c r="C26" s="305"/>
      <c r="D26" s="306"/>
      <c r="E26" s="276" t="str">
        <f t="shared" ref="E26:E32" si="4">IF(A26="","",VLOOKUP(A26,MAT,3,FALSE))</f>
        <v/>
      </c>
      <c r="F26" s="405"/>
      <c r="G26" s="310" t="str">
        <f t="shared" ref="G26:G32" si="5">IF(A26="","",VLOOKUP(A26,MAT,5,FALSE))</f>
        <v/>
      </c>
      <c r="H26" s="311" t="str">
        <f t="shared" ref="H26:H32" si="6">IF(A26="","",ROUND((G26*F26),0))</f>
        <v/>
      </c>
    </row>
    <row r="27" spans="1:8">
      <c r="A27" s="534"/>
      <c r="B27" s="305" t="str">
        <f t="shared" si="3"/>
        <v/>
      </c>
      <c r="C27" s="305"/>
      <c r="D27" s="306"/>
      <c r="E27" s="276" t="str">
        <f t="shared" si="4"/>
        <v/>
      </c>
      <c r="F27" s="405"/>
      <c r="G27" s="310" t="str">
        <f t="shared" si="5"/>
        <v/>
      </c>
      <c r="H27" s="311" t="str">
        <f t="shared" si="6"/>
        <v/>
      </c>
    </row>
    <row r="28" spans="1:8">
      <c r="A28" s="534"/>
      <c r="B28" s="305" t="str">
        <f t="shared" si="3"/>
        <v/>
      </c>
      <c r="C28" s="305"/>
      <c r="D28" s="306"/>
      <c r="E28" s="276" t="str">
        <f t="shared" si="4"/>
        <v/>
      </c>
      <c r="F28" s="405"/>
      <c r="G28" s="310" t="str">
        <f t="shared" si="5"/>
        <v/>
      </c>
      <c r="H28" s="311" t="str">
        <f t="shared" si="6"/>
        <v/>
      </c>
    </row>
    <row r="29" spans="1:8">
      <c r="A29" s="534"/>
      <c r="B29" s="305" t="str">
        <f t="shared" si="3"/>
        <v/>
      </c>
      <c r="C29" s="305"/>
      <c r="D29" s="306"/>
      <c r="E29" s="276" t="str">
        <f t="shared" si="4"/>
        <v/>
      </c>
      <c r="F29" s="405"/>
      <c r="G29" s="310" t="str">
        <f t="shared" si="5"/>
        <v/>
      </c>
      <c r="H29" s="311" t="str">
        <f t="shared" si="6"/>
        <v/>
      </c>
    </row>
    <row r="30" spans="1:8">
      <c r="A30" s="534"/>
      <c r="B30" s="305" t="str">
        <f t="shared" si="3"/>
        <v/>
      </c>
      <c r="C30" s="305"/>
      <c r="D30" s="306"/>
      <c r="E30" s="276" t="str">
        <f t="shared" si="4"/>
        <v/>
      </c>
      <c r="F30" s="405"/>
      <c r="G30" s="310" t="str">
        <f t="shared" si="5"/>
        <v/>
      </c>
      <c r="H30" s="311" t="str">
        <f t="shared" si="6"/>
        <v/>
      </c>
    </row>
    <row r="31" spans="1:8">
      <c r="A31" s="534"/>
      <c r="B31" s="305" t="str">
        <f t="shared" si="3"/>
        <v/>
      </c>
      <c r="C31" s="305"/>
      <c r="D31" s="306"/>
      <c r="E31" s="276" t="str">
        <f t="shared" si="4"/>
        <v/>
      </c>
      <c r="F31" s="405"/>
      <c r="G31" s="310" t="str">
        <f t="shared" si="5"/>
        <v/>
      </c>
      <c r="H31" s="311" t="str">
        <f t="shared" si="6"/>
        <v/>
      </c>
    </row>
    <row r="32" spans="1:8" ht="13.5" thickBot="1">
      <c r="A32" s="535"/>
      <c r="B32" s="326" t="str">
        <f t="shared" si="3"/>
        <v/>
      </c>
      <c r="C32" s="314"/>
      <c r="D32" s="314"/>
      <c r="E32" s="315" t="str">
        <f t="shared" si="4"/>
        <v/>
      </c>
      <c r="F32" s="406"/>
      <c r="G32" s="327" t="str">
        <f t="shared" si="5"/>
        <v/>
      </c>
      <c r="H32" s="311" t="str">
        <f t="shared" si="6"/>
        <v/>
      </c>
    </row>
    <row r="33" spans="1:8" ht="13.5" thickBot="1">
      <c r="A33" s="285"/>
      <c r="B33" s="285"/>
      <c r="C33" s="285"/>
      <c r="D33" s="285"/>
      <c r="E33" s="286"/>
      <c r="F33" s="285"/>
      <c r="G33" s="210" t="s">
        <v>529</v>
      </c>
      <c r="H33" s="328">
        <f>ROUND(SUM(H23:H32),0)</f>
        <v>75629</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546"/>
      <c r="B37" s="737" t="s">
        <v>2493</v>
      </c>
      <c r="C37" s="772"/>
      <c r="D37" s="773"/>
      <c r="E37" s="774"/>
      <c r="F37" s="775"/>
      <c r="G37" s="1066">
        <v>0.06</v>
      </c>
      <c r="H37" s="746">
        <f>ROUND(G37*H33,0)</f>
        <v>4538</v>
      </c>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t="str">
        <f>IF(A39="","",ROUND((G39*F39*E39),0))</f>
        <v/>
      </c>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4538</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940</v>
      </c>
      <c r="B46" s="2192" t="str">
        <f>IF(A46="","",VLOOKUP(A46,MO,2,FALSE))</f>
        <v>Cuadrilla NN: Instalaciones hidrosanitarias. (1 Of.Insta.+ 2 Ayud.).</v>
      </c>
      <c r="C46" s="2193"/>
      <c r="D46" s="2194"/>
      <c r="E46" s="538" t="str">
        <f>IF(A46="","",VLOOKUP(A46,MO,13,FALSE))</f>
        <v>HC</v>
      </c>
      <c r="F46" s="544">
        <v>4.5</v>
      </c>
      <c r="G46" s="540">
        <f>IF(A46="","",VLOOKUP(A46,MO,15,FALSE))</f>
        <v>97342</v>
      </c>
      <c r="H46" s="542">
        <f>IF(A46="","",ROUND((G46/F46),0))</f>
        <v>21632</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21632</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102881</v>
      </c>
    </row>
    <row r="53" spans="1:8">
      <c r="A53" s="285"/>
      <c r="B53" s="285"/>
      <c r="C53" s="285"/>
      <c r="D53" s="285"/>
      <c r="E53" s="346"/>
      <c r="F53" s="347"/>
      <c r="G53" s="347"/>
      <c r="H53" s="349"/>
    </row>
    <row r="54" spans="1:8">
      <c r="A54" s="285"/>
      <c r="B54" s="285"/>
      <c r="C54" s="285"/>
      <c r="D54" s="285"/>
      <c r="E54" s="346"/>
      <c r="F54" s="347"/>
      <c r="G54" s="347"/>
      <c r="H54" s="349"/>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c r="A59" s="703" t="str">
        <f>+[14]PRESUPUESTO!$A$113</f>
        <v>__________________________________________</v>
      </c>
      <c r="B59" s="703"/>
      <c r="C59" s="703"/>
    </row>
    <row r="60" spans="1:8">
      <c r="A60" s="810" t="str">
        <f>+[14]PRESUPUESTO!$A$114</f>
        <v>Ing. JHON FREDY GARCIA MENDEZ</v>
      </c>
      <c r="B60" s="703"/>
      <c r="C60" s="703"/>
    </row>
    <row r="61" spans="1:8">
      <c r="A61" s="811" t="str">
        <f>+[14]PRESUPUESTO!$A$115</f>
        <v>M.P.  70268-326294 TLM.</v>
      </c>
      <c r="B61" s="703"/>
      <c r="C61" s="703"/>
    </row>
    <row r="62" spans="1:8">
      <c r="A62" s="811" t="str">
        <f>+[14]PRESUPUESTO!$A$116</f>
        <v>CONSULTOR</v>
      </c>
      <c r="B62" s="703"/>
      <c r="C62" s="703"/>
    </row>
  </sheetData>
  <mergeCells count="15">
    <mergeCell ref="B47:D47"/>
    <mergeCell ref="B48:D48"/>
    <mergeCell ref="B49:D49"/>
    <mergeCell ref="B6:D6"/>
    <mergeCell ref="B7:E7"/>
    <mergeCell ref="B8:E8"/>
    <mergeCell ref="B36:C36"/>
    <mergeCell ref="B45:D45"/>
    <mergeCell ref="B46:D46"/>
    <mergeCell ref="D2:E4"/>
    <mergeCell ref="F2:H2"/>
    <mergeCell ref="F3:H3"/>
    <mergeCell ref="F4:H4"/>
    <mergeCell ref="A5:E5"/>
    <mergeCell ref="F5:H5"/>
  </mergeCells>
  <pageMargins left="0.75" right="0.75" top="1" bottom="1" header="0" footer="0"/>
  <pageSetup paperSize="9" scale="70" orientation="portrait" r:id="rId1"/>
  <headerFooter alignWithMargins="0"/>
  <drawing r:id="rId2"/>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000-000000000000}">
  <sheetPr>
    <tabColor theme="6" tint="0.79998168889431442"/>
  </sheetPr>
  <dimension ref="A1:I62"/>
  <sheetViews>
    <sheetView workbookViewId="0"/>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4.570312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t="e">
        <f>PRESUPUESTO!#REF!</f>
        <v>#REF!</v>
      </c>
      <c r="B7" s="2185" t="e">
        <f>PRESUPUESTO!#REF!</f>
        <v>#REF!</v>
      </c>
      <c r="C7" s="2185"/>
      <c r="D7" s="2185"/>
      <c r="E7" s="2185"/>
      <c r="F7" s="289"/>
      <c r="G7" s="290" t="s">
        <v>525</v>
      </c>
      <c r="H7" s="97" t="e">
        <f>+PRESUPUESTO!#REF!</f>
        <v>#REF!</v>
      </c>
    </row>
    <row r="8" spans="1:9">
      <c r="A8" s="97" t="e">
        <f>+PRESUPUESTO!#REF!</f>
        <v>#REF!</v>
      </c>
      <c r="B8" s="2277" t="e">
        <f>+PRESUPUESTO!#REF!</f>
        <v>#REF!</v>
      </c>
      <c r="C8" s="2266"/>
      <c r="D8" s="2266"/>
      <c r="E8" s="2266"/>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966</v>
      </c>
      <c r="B13" s="305" t="str">
        <f t="shared" ref="B13:B18" si="0">IF(A13="","",VLOOKUP(A13,EQUI,2,FALSE))</f>
        <v>Herramienta Menor (5% de la mano de obra).</v>
      </c>
      <c r="C13" s="306"/>
      <c r="D13" s="306"/>
      <c r="E13" s="276" t="str">
        <f t="shared" ref="E13:E18" si="1">IF(A13="","",VLOOKUP(A13,EQUI,3,FALSE))</f>
        <v>%</v>
      </c>
      <c r="F13" s="433">
        <f>IF(A13="","",VLOOKUP(A13,EQUI,4,FALSE))</f>
        <v>0.05</v>
      </c>
      <c r="G13" s="307">
        <f>ROUND(F13*H50,0)</f>
        <v>40559</v>
      </c>
      <c r="H13" s="308">
        <f>+G13</f>
        <v>40559</v>
      </c>
      <c r="I13" s="309"/>
    </row>
    <row r="14" spans="1:9">
      <c r="A14" s="536"/>
      <c r="B14" s="305" t="str">
        <f t="shared" si="0"/>
        <v/>
      </c>
      <c r="C14" s="306"/>
      <c r="D14" s="306"/>
      <c r="E14" s="276" t="str">
        <f t="shared" si="1"/>
        <v/>
      </c>
      <c r="F14" s="405"/>
      <c r="G14" s="310" t="str">
        <f>IF(A14="","",VLOOKUP(A14,EQUI,4,FALSE))</f>
        <v/>
      </c>
      <c r="H14" s="311" t="str">
        <f>IF(A14="","",ROUND((G14/F14),0))</f>
        <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40559</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4"/>
      <c r="B23" s="1033" t="s">
        <v>2442</v>
      </c>
      <c r="C23" s="305"/>
      <c r="D23" s="306"/>
      <c r="E23" s="815" t="s">
        <v>1654</v>
      </c>
      <c r="F23" s="1050">
        <v>16</v>
      </c>
      <c r="G23" s="310">
        <v>14667</v>
      </c>
      <c r="H23" s="1051">
        <f>ROUND(F23*G23,0)</f>
        <v>234672</v>
      </c>
    </row>
    <row r="24" spans="1:8">
      <c r="A24" s="534"/>
      <c r="B24" s="1033" t="s">
        <v>2440</v>
      </c>
      <c r="C24" s="305"/>
      <c r="D24" s="306"/>
      <c r="E24" s="815" t="s">
        <v>2419</v>
      </c>
      <c r="F24" s="1050">
        <v>2</v>
      </c>
      <c r="G24" s="310">
        <v>19748</v>
      </c>
      <c r="H24" s="1051">
        <f t="shared" ref="H24:H25" si="2">ROUND(F24*G24,0)</f>
        <v>39496</v>
      </c>
    </row>
    <row r="25" spans="1:8">
      <c r="A25" s="534"/>
      <c r="B25" s="1033" t="s">
        <v>2443</v>
      </c>
      <c r="C25" s="305"/>
      <c r="D25" s="306"/>
      <c r="E25" s="815" t="s">
        <v>588</v>
      </c>
      <c r="F25" s="405">
        <v>0.05</v>
      </c>
      <c r="G25" s="310">
        <v>65890</v>
      </c>
      <c r="H25" s="1051">
        <f t="shared" si="2"/>
        <v>3295</v>
      </c>
    </row>
    <row r="26" spans="1:8">
      <c r="A26" s="534"/>
      <c r="B26" s="305" t="str">
        <f t="shared" ref="B26:B32" si="3">IF(A26="","",VLOOKUP(A26,MAT,2,FALSE))</f>
        <v/>
      </c>
      <c r="C26" s="305"/>
      <c r="D26" s="306"/>
      <c r="E26" s="276" t="str">
        <f t="shared" ref="E26:E32" si="4">IF(A26="","",VLOOKUP(A26,MAT,3,FALSE))</f>
        <v/>
      </c>
      <c r="F26" s="405"/>
      <c r="G26" s="310" t="str">
        <f t="shared" ref="G26:G32" si="5">IF(A26="","",VLOOKUP(A26,MAT,5,FALSE))</f>
        <v/>
      </c>
      <c r="H26" s="311" t="str">
        <f t="shared" ref="H26:H32" si="6">IF(A26="","",ROUND((G26*F26),0))</f>
        <v/>
      </c>
    </row>
    <row r="27" spans="1:8">
      <c r="A27" s="534"/>
      <c r="B27" s="305" t="str">
        <f t="shared" si="3"/>
        <v/>
      </c>
      <c r="C27" s="305"/>
      <c r="D27" s="306"/>
      <c r="E27" s="276" t="str">
        <f t="shared" si="4"/>
        <v/>
      </c>
      <c r="F27" s="405"/>
      <c r="G27" s="310" t="str">
        <f t="shared" si="5"/>
        <v/>
      </c>
      <c r="H27" s="311" t="str">
        <f t="shared" si="6"/>
        <v/>
      </c>
    </row>
    <row r="28" spans="1:8">
      <c r="A28" s="534"/>
      <c r="B28" s="305" t="str">
        <f t="shared" si="3"/>
        <v/>
      </c>
      <c r="C28" s="305"/>
      <c r="D28" s="306"/>
      <c r="E28" s="276" t="str">
        <f t="shared" si="4"/>
        <v/>
      </c>
      <c r="F28" s="405"/>
      <c r="G28" s="310" t="str">
        <f t="shared" si="5"/>
        <v/>
      </c>
      <c r="H28" s="311" t="str">
        <f t="shared" si="6"/>
        <v/>
      </c>
    </row>
    <row r="29" spans="1:8">
      <c r="A29" s="534"/>
      <c r="B29" s="305" t="str">
        <f t="shared" si="3"/>
        <v/>
      </c>
      <c r="C29" s="305"/>
      <c r="D29" s="306"/>
      <c r="E29" s="276" t="str">
        <f t="shared" si="4"/>
        <v/>
      </c>
      <c r="F29" s="405"/>
      <c r="G29" s="310" t="str">
        <f t="shared" si="5"/>
        <v/>
      </c>
      <c r="H29" s="311" t="str">
        <f t="shared" si="6"/>
        <v/>
      </c>
    </row>
    <row r="30" spans="1:8">
      <c r="A30" s="534"/>
      <c r="B30" s="305" t="str">
        <f t="shared" si="3"/>
        <v/>
      </c>
      <c r="C30" s="305"/>
      <c r="D30" s="306"/>
      <c r="E30" s="276" t="str">
        <f t="shared" si="4"/>
        <v/>
      </c>
      <c r="F30" s="405"/>
      <c r="G30" s="310" t="str">
        <f t="shared" si="5"/>
        <v/>
      </c>
      <c r="H30" s="311" t="str">
        <f t="shared" si="6"/>
        <v/>
      </c>
    </row>
    <row r="31" spans="1:8">
      <c r="A31" s="534"/>
      <c r="B31" s="305" t="str">
        <f t="shared" si="3"/>
        <v/>
      </c>
      <c r="C31" s="305"/>
      <c r="D31" s="306"/>
      <c r="E31" s="276" t="str">
        <f t="shared" si="4"/>
        <v/>
      </c>
      <c r="F31" s="405"/>
      <c r="G31" s="310" t="str">
        <f t="shared" si="5"/>
        <v/>
      </c>
      <c r="H31" s="311" t="str">
        <f t="shared" si="6"/>
        <v/>
      </c>
    </row>
    <row r="32" spans="1:8" ht="13.5" thickBot="1">
      <c r="A32" s="535"/>
      <c r="B32" s="326" t="str">
        <f t="shared" si="3"/>
        <v/>
      </c>
      <c r="C32" s="314"/>
      <c r="D32" s="314"/>
      <c r="E32" s="315" t="str">
        <f t="shared" si="4"/>
        <v/>
      </c>
      <c r="F32" s="406"/>
      <c r="G32" s="327" t="str">
        <f t="shared" si="5"/>
        <v/>
      </c>
      <c r="H32" s="311" t="str">
        <f t="shared" si="6"/>
        <v/>
      </c>
    </row>
    <row r="33" spans="1:8" ht="13.5" thickBot="1">
      <c r="A33" s="285"/>
      <c r="B33" s="285"/>
      <c r="C33" s="285"/>
      <c r="D33" s="285"/>
      <c r="E33" s="286"/>
      <c r="F33" s="285"/>
      <c r="G33" s="210" t="s">
        <v>529</v>
      </c>
      <c r="H33" s="328">
        <f>ROUND(SUM(H23:H32),0)</f>
        <v>277463</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546"/>
      <c r="B37" s="737" t="s">
        <v>2493</v>
      </c>
      <c r="C37" s="772"/>
      <c r="D37" s="773"/>
      <c r="E37" s="774"/>
      <c r="F37" s="775"/>
      <c r="G37" s="1066">
        <v>0.06</v>
      </c>
      <c r="H37" s="746">
        <f>ROUND(H33*G37,0)</f>
        <v>16648</v>
      </c>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t="str">
        <f>IF(A39="","",ROUND((G39*F39*E39),0))</f>
        <v/>
      </c>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16648</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940</v>
      </c>
      <c r="B46" s="2192" t="str">
        <f>IF(A46="","",VLOOKUP(A46,MO,2,FALSE))</f>
        <v>Cuadrilla NN: Instalaciones hidrosanitarias. (1 Of.Insta.+ 2 Ayud.).</v>
      </c>
      <c r="C46" s="2193"/>
      <c r="D46" s="2194"/>
      <c r="E46" s="538" t="str">
        <f>IF(A46="","",VLOOKUP(A46,MO,13,FALSE))</f>
        <v>HC</v>
      </c>
      <c r="F46" s="544">
        <v>0.12</v>
      </c>
      <c r="G46" s="540">
        <f>IF(A46="","",VLOOKUP(A46,MO,15,FALSE))</f>
        <v>97342</v>
      </c>
      <c r="H46" s="542">
        <f>IF(A46="","",ROUND((G46/F46),0))</f>
        <v>811183</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811183</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1145853</v>
      </c>
    </row>
    <row r="53" spans="1:8">
      <c r="A53" s="285"/>
      <c r="B53" s="285"/>
      <c r="C53" s="285"/>
      <c r="D53" s="285"/>
      <c r="E53" s="346"/>
      <c r="F53" s="347"/>
      <c r="G53" s="347"/>
      <c r="H53" s="349"/>
    </row>
    <row r="54" spans="1:8">
      <c r="A54" s="285"/>
      <c r="B54" s="285"/>
      <c r="C54" s="285"/>
      <c r="D54" s="285"/>
      <c r="E54" s="346"/>
      <c r="F54" s="347"/>
      <c r="G54" s="347"/>
      <c r="H54" s="349"/>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c r="A59" s="703" t="str">
        <f>+[14]PRESUPUESTO!$A$113</f>
        <v>__________________________________________</v>
      </c>
      <c r="B59" s="703"/>
      <c r="C59" s="703"/>
    </row>
    <row r="60" spans="1:8">
      <c r="A60" s="810" t="str">
        <f>+[14]PRESUPUESTO!$A$114</f>
        <v>Ing. JHON FREDY GARCIA MENDEZ</v>
      </c>
      <c r="B60" s="703"/>
      <c r="C60" s="703"/>
    </row>
    <row r="61" spans="1:8">
      <c r="A61" s="811" t="str">
        <f>+[14]PRESUPUESTO!$A$115</f>
        <v>M.P.  70268-326294 TLM.</v>
      </c>
      <c r="B61" s="703"/>
      <c r="C61" s="703"/>
    </row>
    <row r="62" spans="1:8">
      <c r="A62" s="811" t="str">
        <f>+[14]PRESUPUESTO!$A$116</f>
        <v>CONSULTOR</v>
      </c>
      <c r="B62" s="703"/>
      <c r="C62" s="703"/>
    </row>
  </sheetData>
  <mergeCells count="15">
    <mergeCell ref="B47:D47"/>
    <mergeCell ref="B48:D48"/>
    <mergeCell ref="B49:D49"/>
    <mergeCell ref="B6:D6"/>
    <mergeCell ref="B7:E7"/>
    <mergeCell ref="B8:E8"/>
    <mergeCell ref="B36:C36"/>
    <mergeCell ref="B45:D45"/>
    <mergeCell ref="B46:D46"/>
    <mergeCell ref="D2:E4"/>
    <mergeCell ref="F2:H2"/>
    <mergeCell ref="F3:H3"/>
    <mergeCell ref="F4:H4"/>
    <mergeCell ref="A5:E5"/>
    <mergeCell ref="F5:H5"/>
  </mergeCells>
  <pageMargins left="0.75" right="0.75" top="1" bottom="1" header="0" footer="0"/>
  <pageSetup paperSize="9" scale="70" orientation="portrait" r:id="rId1"/>
  <headerFooter alignWithMargins="0"/>
  <drawing r:id="rId2"/>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100-000000000000}">
  <sheetPr>
    <tabColor theme="6" tint="0.79998168889431442"/>
  </sheetPr>
  <dimension ref="A1:I62"/>
  <sheetViews>
    <sheetView workbookViewId="0"/>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4.570312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t="e">
        <f>PRESUPUESTO!#REF!</f>
        <v>#REF!</v>
      </c>
      <c r="B7" s="2185" t="e">
        <f>PRESUPUESTO!#REF!</f>
        <v>#REF!</v>
      </c>
      <c r="C7" s="2185"/>
      <c r="D7" s="2185"/>
      <c r="E7" s="2185"/>
      <c r="F7" s="289"/>
      <c r="G7" s="290" t="s">
        <v>525</v>
      </c>
      <c r="H7" s="97" t="e">
        <f>+PRESUPUESTO!#REF!</f>
        <v>#REF!</v>
      </c>
    </row>
    <row r="8" spans="1:9">
      <c r="A8" s="97" t="e">
        <f>+PRESUPUESTO!#REF!</f>
        <v>#REF!</v>
      </c>
      <c r="B8" s="2277" t="e">
        <f>+PRESUPUESTO!#REF!</f>
        <v>#REF!</v>
      </c>
      <c r="C8" s="2266"/>
      <c r="D8" s="2266"/>
      <c r="E8" s="2266"/>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966</v>
      </c>
      <c r="B13" s="305" t="str">
        <f t="shared" ref="B13:B18" si="0">IF(A13="","",VLOOKUP(A13,EQUI,2,FALSE))</f>
        <v>Herramienta Menor (5% de la mano de obra).</v>
      </c>
      <c r="C13" s="306"/>
      <c r="D13" s="306"/>
      <c r="E13" s="276" t="str">
        <f t="shared" ref="E13:E18" si="1">IF(A13="","",VLOOKUP(A13,EQUI,3,FALSE))</f>
        <v>%</v>
      </c>
      <c r="F13" s="433">
        <f>IF(A13="","",VLOOKUP(A13,EQUI,4,FALSE))</f>
        <v>0.05</v>
      </c>
      <c r="G13" s="307">
        <f>ROUND(F13*H50,0)</f>
        <v>2434</v>
      </c>
      <c r="H13" s="308">
        <f>+G13</f>
        <v>2434</v>
      </c>
      <c r="I13" s="309"/>
    </row>
    <row r="14" spans="1:9">
      <c r="A14" s="536"/>
      <c r="B14" s="305" t="str">
        <f t="shared" si="0"/>
        <v/>
      </c>
      <c r="C14" s="306"/>
      <c r="D14" s="306"/>
      <c r="E14" s="276" t="str">
        <f t="shared" si="1"/>
        <v/>
      </c>
      <c r="F14" s="405"/>
      <c r="G14" s="310" t="str">
        <f>IF(A14="","",VLOOKUP(A14,EQUI,4,FALSE))</f>
        <v/>
      </c>
      <c r="H14" s="311" t="str">
        <f>IF(A14="","",ROUND((G14/F14),0))</f>
        <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2434</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4"/>
      <c r="B23" s="1054" t="s">
        <v>2446</v>
      </c>
      <c r="C23" s="1052"/>
      <c r="D23" s="1053"/>
      <c r="E23" s="1057" t="s">
        <v>205</v>
      </c>
      <c r="F23" s="1050">
        <v>1.05</v>
      </c>
      <c r="G23" s="310">
        <v>43775</v>
      </c>
      <c r="H23" s="1051">
        <f>ROUND(F23*G23,0)</f>
        <v>45964</v>
      </c>
    </row>
    <row r="24" spans="1:8">
      <c r="A24" s="534"/>
      <c r="B24" s="1056" t="s">
        <v>2445</v>
      </c>
      <c r="C24" s="1055"/>
      <c r="D24" s="501"/>
      <c r="E24" s="1058" t="s">
        <v>1681</v>
      </c>
      <c r="F24" s="1050">
        <v>3</v>
      </c>
      <c r="G24" s="310">
        <v>1110</v>
      </c>
      <c r="H24" s="1051">
        <f t="shared" ref="H24:H25" si="2">ROUND(F24*G24,0)</f>
        <v>3330</v>
      </c>
    </row>
    <row r="25" spans="1:8">
      <c r="A25" s="534"/>
      <c r="B25" s="1056" t="s">
        <v>2444</v>
      </c>
      <c r="C25" s="1055"/>
      <c r="D25" s="501"/>
      <c r="E25" s="1058" t="s">
        <v>1654</v>
      </c>
      <c r="F25" s="405">
        <v>2</v>
      </c>
      <c r="G25" s="310">
        <v>14667</v>
      </c>
      <c r="H25" s="1051">
        <f t="shared" si="2"/>
        <v>29334</v>
      </c>
    </row>
    <row r="26" spans="1:8">
      <c r="A26" s="534"/>
      <c r="B26" s="305" t="str">
        <f t="shared" ref="B26:B32" si="3">IF(A26="","",VLOOKUP(A26,MAT,2,FALSE))</f>
        <v/>
      </c>
      <c r="C26" s="305"/>
      <c r="D26" s="306"/>
      <c r="E26" s="276" t="str">
        <f t="shared" ref="E26:E32" si="4">IF(A26="","",VLOOKUP(A26,MAT,3,FALSE))</f>
        <v/>
      </c>
      <c r="F26" s="405"/>
      <c r="G26" s="310" t="str">
        <f t="shared" ref="G26:G32" si="5">IF(A26="","",VLOOKUP(A26,MAT,5,FALSE))</f>
        <v/>
      </c>
      <c r="H26" s="311" t="str">
        <f t="shared" ref="H26:H32" si="6">IF(A26="","",ROUND((G26*F26),0))</f>
        <v/>
      </c>
    </row>
    <row r="27" spans="1:8">
      <c r="A27" s="534"/>
      <c r="B27" s="305" t="str">
        <f t="shared" si="3"/>
        <v/>
      </c>
      <c r="C27" s="305"/>
      <c r="D27" s="306"/>
      <c r="E27" s="276" t="str">
        <f t="shared" si="4"/>
        <v/>
      </c>
      <c r="F27" s="405"/>
      <c r="G27" s="310" t="str">
        <f t="shared" si="5"/>
        <v/>
      </c>
      <c r="H27" s="311" t="str">
        <f t="shared" si="6"/>
        <v/>
      </c>
    </row>
    <row r="28" spans="1:8">
      <c r="A28" s="534"/>
      <c r="B28" s="305" t="str">
        <f t="shared" si="3"/>
        <v/>
      </c>
      <c r="C28" s="305"/>
      <c r="D28" s="306"/>
      <c r="E28" s="276" t="str">
        <f t="shared" si="4"/>
        <v/>
      </c>
      <c r="F28" s="405"/>
      <c r="G28" s="310" t="str">
        <f t="shared" si="5"/>
        <v/>
      </c>
      <c r="H28" s="311" t="str">
        <f t="shared" si="6"/>
        <v/>
      </c>
    </row>
    <row r="29" spans="1:8">
      <c r="A29" s="534"/>
      <c r="B29" s="305" t="str">
        <f t="shared" si="3"/>
        <v/>
      </c>
      <c r="C29" s="305"/>
      <c r="D29" s="306"/>
      <c r="E29" s="276" t="str">
        <f t="shared" si="4"/>
        <v/>
      </c>
      <c r="F29" s="405"/>
      <c r="G29" s="310" t="str">
        <f t="shared" si="5"/>
        <v/>
      </c>
      <c r="H29" s="311" t="str">
        <f t="shared" si="6"/>
        <v/>
      </c>
    </row>
    <row r="30" spans="1:8">
      <c r="A30" s="534"/>
      <c r="B30" s="305" t="str">
        <f t="shared" si="3"/>
        <v/>
      </c>
      <c r="C30" s="305"/>
      <c r="D30" s="306"/>
      <c r="E30" s="276" t="str">
        <f t="shared" si="4"/>
        <v/>
      </c>
      <c r="F30" s="405"/>
      <c r="G30" s="310" t="str">
        <f t="shared" si="5"/>
        <v/>
      </c>
      <c r="H30" s="311" t="str">
        <f t="shared" si="6"/>
        <v/>
      </c>
    </row>
    <row r="31" spans="1:8">
      <c r="A31" s="534"/>
      <c r="B31" s="305" t="str">
        <f t="shared" si="3"/>
        <v/>
      </c>
      <c r="C31" s="305"/>
      <c r="D31" s="306"/>
      <c r="E31" s="276" t="str">
        <f t="shared" si="4"/>
        <v/>
      </c>
      <c r="F31" s="405"/>
      <c r="G31" s="310" t="str">
        <f t="shared" si="5"/>
        <v/>
      </c>
      <c r="H31" s="311" t="str">
        <f t="shared" si="6"/>
        <v/>
      </c>
    </row>
    <row r="32" spans="1:8" ht="13.5" thickBot="1">
      <c r="A32" s="535"/>
      <c r="B32" s="326" t="str">
        <f t="shared" si="3"/>
        <v/>
      </c>
      <c r="C32" s="314"/>
      <c r="D32" s="314"/>
      <c r="E32" s="315" t="str">
        <f t="shared" si="4"/>
        <v/>
      </c>
      <c r="F32" s="406"/>
      <c r="G32" s="327" t="str">
        <f t="shared" si="5"/>
        <v/>
      </c>
      <c r="H32" s="311" t="str">
        <f t="shared" si="6"/>
        <v/>
      </c>
    </row>
    <row r="33" spans="1:8" ht="13.5" thickBot="1">
      <c r="A33" s="285"/>
      <c r="B33" s="285"/>
      <c r="C33" s="285"/>
      <c r="D33" s="285"/>
      <c r="E33" s="286"/>
      <c r="F33" s="285"/>
      <c r="G33" s="210" t="s">
        <v>529</v>
      </c>
      <c r="H33" s="328">
        <f>ROUND(SUM(H23:H32),0)</f>
        <v>78628</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546"/>
      <c r="B37" s="737" t="s">
        <v>2493</v>
      </c>
      <c r="C37" s="772"/>
      <c r="D37" s="773"/>
      <c r="E37" s="774"/>
      <c r="F37" s="775"/>
      <c r="G37" s="1066">
        <v>0.06</v>
      </c>
      <c r="H37" s="746">
        <f>ROUND(G37*H33,0)</f>
        <v>4718</v>
      </c>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t="str">
        <f>IF(A39="","",ROUND((G39*F39*E39),0))</f>
        <v/>
      </c>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4718</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940</v>
      </c>
      <c r="B46" s="2192" t="str">
        <f>IF(A46="","",VLOOKUP(A46,MO,2,FALSE))</f>
        <v>Cuadrilla NN: Instalaciones hidrosanitarias. (1 Of.Insta.+ 2 Ayud.).</v>
      </c>
      <c r="C46" s="2193"/>
      <c r="D46" s="2194"/>
      <c r="E46" s="538" t="str">
        <f>IF(A46="","",VLOOKUP(A46,MO,13,FALSE))</f>
        <v>HC</v>
      </c>
      <c r="F46" s="544">
        <v>2</v>
      </c>
      <c r="G46" s="540">
        <f>IF(A46="","",VLOOKUP(A46,MO,15,FALSE))</f>
        <v>97342</v>
      </c>
      <c r="H46" s="542">
        <f>IF(A46="","",ROUND((G46/F46),0))</f>
        <v>48671</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48671</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134451</v>
      </c>
    </row>
    <row r="53" spans="1:8">
      <c r="A53" s="285"/>
      <c r="B53" s="285"/>
      <c r="C53" s="285"/>
      <c r="D53" s="285"/>
      <c r="E53" s="346"/>
      <c r="F53" s="347"/>
      <c r="G53" s="347"/>
      <c r="H53" s="349"/>
    </row>
    <row r="54" spans="1:8">
      <c r="A54" s="285"/>
      <c r="B54" s="285"/>
      <c r="C54" s="285"/>
      <c r="D54" s="285"/>
      <c r="E54" s="346"/>
      <c r="F54" s="347"/>
      <c r="G54" s="347"/>
      <c r="H54" s="349"/>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c r="A59" s="703" t="str">
        <f>+[14]PRESUPUESTO!$A$113</f>
        <v>__________________________________________</v>
      </c>
      <c r="B59" s="703"/>
      <c r="C59" s="703"/>
    </row>
    <row r="60" spans="1:8">
      <c r="A60" s="810" t="str">
        <f>+[14]PRESUPUESTO!$A$114</f>
        <v>Ing. JHON FREDY GARCIA MENDEZ</v>
      </c>
      <c r="B60" s="703"/>
      <c r="C60" s="703"/>
    </row>
    <row r="61" spans="1:8">
      <c r="A61" s="811" t="str">
        <f>+[14]PRESUPUESTO!$A$115</f>
        <v>M.P.  70268-326294 TLM.</v>
      </c>
      <c r="B61" s="703"/>
      <c r="C61" s="703"/>
    </row>
    <row r="62" spans="1:8">
      <c r="A62" s="811" t="str">
        <f>+[14]PRESUPUESTO!$A$116</f>
        <v>CONSULTOR</v>
      </c>
      <c r="B62" s="703"/>
      <c r="C62" s="703"/>
    </row>
  </sheetData>
  <mergeCells count="15">
    <mergeCell ref="B47:D47"/>
    <mergeCell ref="B48:D48"/>
    <mergeCell ref="B49:D49"/>
    <mergeCell ref="B6:D6"/>
    <mergeCell ref="B7:E7"/>
    <mergeCell ref="B8:E8"/>
    <mergeCell ref="B36:C36"/>
    <mergeCell ref="B45:D45"/>
    <mergeCell ref="B46:D46"/>
    <mergeCell ref="D2:E4"/>
    <mergeCell ref="F2:H2"/>
    <mergeCell ref="F3:H3"/>
    <mergeCell ref="F4:H4"/>
    <mergeCell ref="A5:E5"/>
    <mergeCell ref="F5:H5"/>
  </mergeCells>
  <pageMargins left="0.75" right="0.75" top="1" bottom="1" header="0" footer="0"/>
  <pageSetup paperSize="9" scale="70" orientation="portrait" r:id="rId1"/>
  <headerFooter alignWithMargins="0"/>
  <drawing r:id="rId2"/>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200-000000000000}">
  <sheetPr>
    <tabColor theme="6" tint="0.79998168889431442"/>
  </sheetPr>
  <dimension ref="A1:I62"/>
  <sheetViews>
    <sheetView workbookViewId="0"/>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4.570312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t="e">
        <f>PRESUPUESTO!#REF!</f>
        <v>#REF!</v>
      </c>
      <c r="B7" s="2185" t="e">
        <f>PRESUPUESTO!#REF!</f>
        <v>#REF!</v>
      </c>
      <c r="C7" s="2185"/>
      <c r="D7" s="2185"/>
      <c r="E7" s="2185"/>
      <c r="F7" s="289"/>
      <c r="G7" s="290" t="s">
        <v>525</v>
      </c>
      <c r="H7" s="97" t="e">
        <f>+PRESUPUESTO!#REF!</f>
        <v>#REF!</v>
      </c>
    </row>
    <row r="8" spans="1:9">
      <c r="A8" s="97" t="e">
        <f>+PRESUPUESTO!#REF!</f>
        <v>#REF!</v>
      </c>
      <c r="B8" s="2277" t="e">
        <f>+PRESUPUESTO!#REF!</f>
        <v>#REF!</v>
      </c>
      <c r="C8" s="2266"/>
      <c r="D8" s="2266"/>
      <c r="E8" s="2266"/>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966</v>
      </c>
      <c r="B13" s="305" t="str">
        <f t="shared" ref="B13:B18" si="0">IF(A13="","",VLOOKUP(A13,EQUI,2,FALSE))</f>
        <v>Herramienta Menor (5% de la mano de obra).</v>
      </c>
      <c r="C13" s="306"/>
      <c r="D13" s="306"/>
      <c r="E13" s="276" t="str">
        <f t="shared" ref="E13:E18" si="1">IF(A13="","",VLOOKUP(A13,EQUI,3,FALSE))</f>
        <v>%</v>
      </c>
      <c r="F13" s="433">
        <f>IF(A13="","",VLOOKUP(A13,EQUI,4,FALSE))</f>
        <v>0.05</v>
      </c>
      <c r="G13" s="307">
        <f>ROUND(F13*H50,0)</f>
        <v>1145</v>
      </c>
      <c r="H13" s="308">
        <f>+G13</f>
        <v>1145</v>
      </c>
      <c r="I13" s="309"/>
    </row>
    <row r="14" spans="1:9">
      <c r="A14" s="536"/>
      <c r="B14" s="305" t="str">
        <f t="shared" si="0"/>
        <v/>
      </c>
      <c r="C14" s="306"/>
      <c r="D14" s="306"/>
      <c r="E14" s="276" t="str">
        <f t="shared" si="1"/>
        <v/>
      </c>
      <c r="F14" s="405"/>
      <c r="G14" s="310" t="str">
        <f>IF(A14="","",VLOOKUP(A14,EQUI,4,FALSE))</f>
        <v/>
      </c>
      <c r="H14" s="311" t="str">
        <f>IF(A14="","",ROUND((G14/F14),0))</f>
        <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1145</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t="s">
        <v>1732</v>
      </c>
      <c r="B23" s="1033" t="s">
        <v>2447</v>
      </c>
      <c r="C23" s="305"/>
      <c r="D23" s="306"/>
      <c r="E23" s="276" t="str">
        <f>IF(A23="","",VLOOKUP(A23,MAT,3,FALSE))</f>
        <v>m.</v>
      </c>
      <c r="F23" s="405">
        <v>1.03</v>
      </c>
      <c r="G23" s="310">
        <v>66650</v>
      </c>
      <c r="H23" s="311">
        <f>IF(A23="","",ROUND((G23*F23),0))</f>
        <v>68650</v>
      </c>
    </row>
    <row r="24" spans="1:8">
      <c r="A24" s="534" t="s">
        <v>1381</v>
      </c>
      <c r="B24" s="353" t="str">
        <f>IF(A24="","",VLOOKUP(A24,MAT,2,FALSE))</f>
        <v>Soldadura PVC x 1/4 gal</v>
      </c>
      <c r="C24" s="305"/>
      <c r="D24" s="306"/>
      <c r="E24" s="276" t="str">
        <f>IF(A24="","",VLOOKUP(A24,MAT,3,FALSE))</f>
        <v>Gal.</v>
      </c>
      <c r="F24" s="1050">
        <v>0.02</v>
      </c>
      <c r="G24" s="310">
        <f>IF(A24="","",VLOOKUP(A24,MAT,5,FALSE))</f>
        <v>150369</v>
      </c>
      <c r="H24" s="311">
        <f>IF(A24="","",ROUND((G24*F24),0))</f>
        <v>3007</v>
      </c>
    </row>
    <row r="25" spans="1:8">
      <c r="A25" s="534" t="s">
        <v>1388</v>
      </c>
      <c r="B25" s="353" t="str">
        <f>IF(A25="","",VLOOKUP(A25,MAT,2,FALSE))</f>
        <v>Limpiador PVC x 1/4.</v>
      </c>
      <c r="C25" s="305"/>
      <c r="D25" s="306"/>
      <c r="E25" s="276" t="str">
        <f>IF(A25="","",VLOOKUP(A25,MAT,3,FALSE))</f>
        <v>1/4 Gal</v>
      </c>
      <c r="F25" s="405">
        <v>2.8000000000000001E-2</v>
      </c>
      <c r="G25" s="310">
        <f>IF(A25="","",VLOOKUP(A25,MAT,5,FALSE))</f>
        <v>72505</v>
      </c>
      <c r="H25" s="311">
        <f>IF(A25="","",ROUND((G25*F25),0))</f>
        <v>2030</v>
      </c>
    </row>
    <row r="26" spans="1:8">
      <c r="A26" s="534"/>
      <c r="B26" s="305" t="str">
        <f t="shared" ref="B26:B32" si="2">IF(A26="","",VLOOKUP(A26,MAT,2,FALSE))</f>
        <v/>
      </c>
      <c r="C26" s="305"/>
      <c r="D26" s="306"/>
      <c r="E26" s="276" t="str">
        <f t="shared" ref="E26:E32" si="3">IF(A26="","",VLOOKUP(A26,MAT,3,FALSE))</f>
        <v/>
      </c>
      <c r="F26" s="405"/>
      <c r="G26" s="310" t="str">
        <f t="shared" ref="G26:G32" si="4">IF(A26="","",VLOOKUP(A26,MAT,5,FALSE))</f>
        <v/>
      </c>
      <c r="H26" s="311" t="str">
        <f t="shared" ref="H26:H32" si="5">IF(A26="","",ROUND((G26*F26),0))</f>
        <v/>
      </c>
    </row>
    <row r="27" spans="1:8">
      <c r="A27" s="534"/>
      <c r="B27" s="305" t="str">
        <f t="shared" si="2"/>
        <v/>
      </c>
      <c r="C27" s="305"/>
      <c r="D27" s="306"/>
      <c r="E27" s="276" t="str">
        <f t="shared" si="3"/>
        <v/>
      </c>
      <c r="F27" s="405"/>
      <c r="G27" s="310" t="str">
        <f t="shared" si="4"/>
        <v/>
      </c>
      <c r="H27" s="311" t="str">
        <f t="shared" si="5"/>
        <v/>
      </c>
    </row>
    <row r="28" spans="1:8">
      <c r="A28" s="534"/>
      <c r="B28" s="305" t="str">
        <f t="shared" si="2"/>
        <v/>
      </c>
      <c r="C28" s="305"/>
      <c r="D28" s="306"/>
      <c r="E28" s="276" t="str">
        <f t="shared" si="3"/>
        <v/>
      </c>
      <c r="F28" s="405"/>
      <c r="G28" s="310" t="str">
        <f t="shared" si="4"/>
        <v/>
      </c>
      <c r="H28" s="311" t="str">
        <f t="shared" si="5"/>
        <v/>
      </c>
    </row>
    <row r="29" spans="1:8">
      <c r="A29" s="534"/>
      <c r="B29" s="305" t="str">
        <f t="shared" si="2"/>
        <v/>
      </c>
      <c r="C29" s="305"/>
      <c r="D29" s="306"/>
      <c r="E29" s="276" t="str">
        <f t="shared" si="3"/>
        <v/>
      </c>
      <c r="F29" s="405"/>
      <c r="G29" s="310" t="str">
        <f t="shared" si="4"/>
        <v/>
      </c>
      <c r="H29" s="311" t="str">
        <f t="shared" si="5"/>
        <v/>
      </c>
    </row>
    <row r="30" spans="1:8">
      <c r="A30" s="534"/>
      <c r="B30" s="305" t="str">
        <f t="shared" si="2"/>
        <v/>
      </c>
      <c r="C30" s="305"/>
      <c r="D30" s="306"/>
      <c r="E30" s="276" t="str">
        <f t="shared" si="3"/>
        <v/>
      </c>
      <c r="F30" s="405"/>
      <c r="G30" s="310" t="str">
        <f t="shared" si="4"/>
        <v/>
      </c>
      <c r="H30" s="311" t="str">
        <f t="shared" si="5"/>
        <v/>
      </c>
    </row>
    <row r="31" spans="1:8">
      <c r="A31" s="534"/>
      <c r="B31" s="305" t="str">
        <f t="shared" si="2"/>
        <v/>
      </c>
      <c r="C31" s="305"/>
      <c r="D31" s="306"/>
      <c r="E31" s="276" t="str">
        <f t="shared" si="3"/>
        <v/>
      </c>
      <c r="F31" s="405"/>
      <c r="G31" s="310" t="str">
        <f t="shared" si="4"/>
        <v/>
      </c>
      <c r="H31" s="311" t="str">
        <f t="shared" si="5"/>
        <v/>
      </c>
    </row>
    <row r="32" spans="1:8" ht="13.5" thickBot="1">
      <c r="A32" s="535"/>
      <c r="B32" s="326" t="str">
        <f t="shared" si="2"/>
        <v/>
      </c>
      <c r="C32" s="314"/>
      <c r="D32" s="314"/>
      <c r="E32" s="315" t="str">
        <f t="shared" si="3"/>
        <v/>
      </c>
      <c r="F32" s="406"/>
      <c r="G32" s="327" t="str">
        <f t="shared" si="4"/>
        <v/>
      </c>
      <c r="H32" s="311" t="str">
        <f t="shared" si="5"/>
        <v/>
      </c>
    </row>
    <row r="33" spans="1:8" ht="13.5" thickBot="1">
      <c r="A33" s="285"/>
      <c r="B33" s="285"/>
      <c r="C33" s="285"/>
      <c r="D33" s="285"/>
      <c r="E33" s="286"/>
      <c r="F33" s="285"/>
      <c r="G33" s="210" t="s">
        <v>529</v>
      </c>
      <c r="H33" s="328">
        <f>ROUND(SUM(H23:H32),0)</f>
        <v>73687</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546" t="str">
        <f>A23</f>
        <v>TA6</v>
      </c>
      <c r="B37" s="305" t="str">
        <f>IF(A37="","",VLOOKUP(A37,MAT,2,FALSE))</f>
        <v xml:space="preserve">Tubería Corrugada Alcantarillado RS8 de 160 mm </v>
      </c>
      <c r="C37" s="333"/>
      <c r="D37" s="409" t="str">
        <f>IF(A37="","",VLOOKUP(A37,MAT,3,FALSE))</f>
        <v>m.</v>
      </c>
      <c r="E37" s="419">
        <f>IF(A37="","",VLOOKUP(A37,MAT,6,FALSE))</f>
        <v>160</v>
      </c>
      <c r="F37" s="413">
        <f>IF(A37="","",VLOOKUP(A37,$A$23:$H$32,6,FALSE))</f>
        <v>1.03</v>
      </c>
      <c r="G37" s="334">
        <f>IF(A37="","",VLOOKUP(A37,MAT,7,FALSE))</f>
        <v>15</v>
      </c>
      <c r="H37" s="311">
        <f>(ROUND((G37*F37*E37),0))</f>
        <v>2472</v>
      </c>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t="str">
        <f>IF(A39="","",ROUND((G39*F39*E39),0))</f>
        <v/>
      </c>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2472</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940</v>
      </c>
      <c r="B46" s="2192" t="str">
        <f>IF(A46="","",VLOOKUP(A46,MO,2,FALSE))</f>
        <v>Cuadrilla NN: Instalaciones hidrosanitarias. (1 Of.Insta.+ 2 Ayud.).</v>
      </c>
      <c r="C46" s="2193"/>
      <c r="D46" s="2194"/>
      <c r="E46" s="538" t="str">
        <f>IF(A46="","",VLOOKUP(A46,MO,13,FALSE))</f>
        <v>HC</v>
      </c>
      <c r="F46" s="544">
        <v>4.25</v>
      </c>
      <c r="G46" s="540">
        <f>IF(A46="","",VLOOKUP(A46,MO,15,FALSE))</f>
        <v>97342</v>
      </c>
      <c r="H46" s="542">
        <f>IF(A46="","",ROUND((G46/F46),0))</f>
        <v>22904</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22904</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100208</v>
      </c>
    </row>
    <row r="53" spans="1:8">
      <c r="A53" s="285"/>
      <c r="B53" s="285"/>
      <c r="C53" s="285"/>
      <c r="D53" s="285"/>
      <c r="E53" s="346"/>
      <c r="F53" s="347"/>
      <c r="G53" s="347"/>
      <c r="H53" s="349"/>
    </row>
    <row r="54" spans="1:8">
      <c r="A54" s="285"/>
      <c r="B54" s="285"/>
      <c r="C54" s="285"/>
      <c r="D54" s="285"/>
      <c r="E54" s="346"/>
      <c r="F54" s="347"/>
      <c r="G54" s="347"/>
      <c r="H54" s="349"/>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c r="A59" s="703" t="str">
        <f>+[14]PRESUPUESTO!$A$113</f>
        <v>__________________________________________</v>
      </c>
      <c r="B59" s="703"/>
      <c r="C59" s="703"/>
    </row>
    <row r="60" spans="1:8">
      <c r="A60" s="810" t="str">
        <f>+[14]PRESUPUESTO!$A$114</f>
        <v>Ing. JHON FREDY GARCIA MENDEZ</v>
      </c>
      <c r="B60" s="703"/>
      <c r="C60" s="703"/>
    </row>
    <row r="61" spans="1:8">
      <c r="A61" s="811" t="str">
        <f>+[14]PRESUPUESTO!$A$115</f>
        <v>M.P.  70268-326294 TLM.</v>
      </c>
      <c r="B61" s="703"/>
      <c r="C61" s="703"/>
    </row>
    <row r="62" spans="1:8">
      <c r="A62" s="811" t="str">
        <f>+[14]PRESUPUESTO!$A$116</f>
        <v>CONSULTOR</v>
      </c>
      <c r="B62" s="703"/>
      <c r="C62" s="703"/>
    </row>
  </sheetData>
  <mergeCells count="15">
    <mergeCell ref="B47:D47"/>
    <mergeCell ref="B48:D48"/>
    <mergeCell ref="B49:D49"/>
    <mergeCell ref="B6:D6"/>
    <mergeCell ref="B7:E7"/>
    <mergeCell ref="B8:E8"/>
    <mergeCell ref="B36:C36"/>
    <mergeCell ref="B45:D45"/>
    <mergeCell ref="B46:D46"/>
    <mergeCell ref="D2:E4"/>
    <mergeCell ref="F2:H2"/>
    <mergeCell ref="F3:H3"/>
    <mergeCell ref="F4:H4"/>
    <mergeCell ref="A5:E5"/>
    <mergeCell ref="F5:H5"/>
  </mergeCells>
  <pageMargins left="0.75" right="0.75" top="1" bottom="1" header="0" footer="0"/>
  <pageSetup paperSize="9" scale="70" orientation="portrait" r:id="rId1"/>
  <headerFooter alignWithMargins="0"/>
  <drawing r:id="rId2"/>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300-000000000000}">
  <sheetPr>
    <tabColor theme="6" tint="0.79998168889431442"/>
  </sheetPr>
  <dimension ref="A1:I62"/>
  <sheetViews>
    <sheetView workbookViewId="0"/>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2.710937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t="e">
        <f>PRESUPUESTO!#REF!</f>
        <v>#REF!</v>
      </c>
      <c r="B7" s="2185" t="e">
        <f>PRESUPUESTO!#REF!</f>
        <v>#REF!</v>
      </c>
      <c r="C7" s="2185"/>
      <c r="D7" s="2185"/>
      <c r="E7" s="2185"/>
      <c r="F7" s="289"/>
      <c r="G7" s="290" t="s">
        <v>525</v>
      </c>
      <c r="H7" s="97" t="e">
        <f>+PRESUPUESTO!#REF!</f>
        <v>#REF!</v>
      </c>
    </row>
    <row r="8" spans="1:9" ht="54.75" customHeight="1">
      <c r="A8" s="97" t="e">
        <f>+PRESUPUESTO!#REF!</f>
        <v>#REF!</v>
      </c>
      <c r="B8" s="2217" t="e">
        <f>+PRESUPUESTO!#REF!</f>
        <v>#REF!</v>
      </c>
      <c r="C8" s="2217"/>
      <c r="D8" s="2217"/>
      <c r="E8" s="221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966</v>
      </c>
      <c r="B13" s="305" t="str">
        <f t="shared" ref="B13:B18" si="0">IF(A13="","",VLOOKUP(A13,EQUI,2,FALSE))</f>
        <v>Herramienta Menor (5% de la mano de obra).</v>
      </c>
      <c r="C13" s="306"/>
      <c r="D13" s="306"/>
      <c r="E13" s="276" t="str">
        <f t="shared" ref="E13:E18" si="1">IF(A13="","",VLOOKUP(A13,EQUI,3,FALSE))</f>
        <v>%</v>
      </c>
      <c r="F13" s="433">
        <f>IF(A13="","",VLOOKUP(A13,EQUI,4,FALSE))</f>
        <v>0.05</v>
      </c>
      <c r="G13" s="307">
        <f>ROUND(F13*H50,0)</f>
        <v>1180</v>
      </c>
      <c r="H13" s="308">
        <f>+G13</f>
        <v>1180</v>
      </c>
      <c r="I13" s="309"/>
    </row>
    <row r="14" spans="1:9">
      <c r="A14" s="536" t="s">
        <v>481</v>
      </c>
      <c r="B14" s="305" t="str">
        <f t="shared" si="0"/>
        <v>Apisonador tipo canguro</v>
      </c>
      <c r="C14" s="306"/>
      <c r="D14" s="306"/>
      <c r="E14" s="276" t="str">
        <f t="shared" si="1"/>
        <v>Dia</v>
      </c>
      <c r="F14" s="405">
        <v>20</v>
      </c>
      <c r="G14" s="310">
        <f>IF(A14="","",VLOOKUP(A14,EQUI,4,FALSE))</f>
        <v>95693</v>
      </c>
      <c r="H14" s="311">
        <f>IF(A14="","",ROUND((G14/F14),0))</f>
        <v>4785</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5965</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c r="B23" s="353" t="str">
        <f t="shared" ref="B23:B32" si="2">IF(A23="","",VLOOKUP(A23,MAT,2,FALSE))</f>
        <v/>
      </c>
      <c r="C23" s="305"/>
      <c r="D23" s="306"/>
      <c r="E23" s="276" t="str">
        <f t="shared" ref="E23:E32" si="3">IF(A23="","",VLOOKUP(A23,MAT,3,FALSE))</f>
        <v/>
      </c>
      <c r="F23" s="405"/>
      <c r="G23" s="310" t="str">
        <f t="shared" ref="G23:G32" si="4">IF(A23="","",VLOOKUP(A23,MAT,5,FALSE))</f>
        <v/>
      </c>
      <c r="H23" s="311" t="str">
        <f t="shared" ref="H23:H32" si="5">IF(A23="","",ROUND((G23*F23),0))</f>
        <v/>
      </c>
    </row>
    <row r="24" spans="1:8">
      <c r="A24" s="534"/>
      <c r="B24" s="353" t="str">
        <f t="shared" si="2"/>
        <v/>
      </c>
      <c r="C24" s="305"/>
      <c r="D24" s="306"/>
      <c r="E24" s="276" t="str">
        <f t="shared" si="3"/>
        <v/>
      </c>
      <c r="F24" s="405"/>
      <c r="G24" s="310" t="str">
        <f t="shared" si="4"/>
        <v/>
      </c>
      <c r="H24" s="311" t="str">
        <f t="shared" si="5"/>
        <v/>
      </c>
    </row>
    <row r="25" spans="1:8">
      <c r="A25" s="534"/>
      <c r="B25" s="353" t="str">
        <f t="shared" si="2"/>
        <v/>
      </c>
      <c r="C25" s="305"/>
      <c r="D25" s="306"/>
      <c r="E25" s="276" t="str">
        <f t="shared" si="3"/>
        <v/>
      </c>
      <c r="F25" s="405"/>
      <c r="G25" s="310" t="str">
        <f t="shared" si="4"/>
        <v/>
      </c>
      <c r="H25" s="311" t="str">
        <f t="shared" si="5"/>
        <v/>
      </c>
    </row>
    <row r="26" spans="1:8">
      <c r="A26" s="534"/>
      <c r="B26" s="305" t="str">
        <f t="shared" si="2"/>
        <v/>
      </c>
      <c r="C26" s="305"/>
      <c r="D26" s="306"/>
      <c r="E26" s="276" t="str">
        <f t="shared" si="3"/>
        <v/>
      </c>
      <c r="F26" s="405"/>
      <c r="G26" s="310" t="str">
        <f t="shared" si="4"/>
        <v/>
      </c>
      <c r="H26" s="311" t="str">
        <f t="shared" si="5"/>
        <v/>
      </c>
    </row>
    <row r="27" spans="1:8">
      <c r="A27" s="534"/>
      <c r="B27" s="305" t="str">
        <f t="shared" si="2"/>
        <v/>
      </c>
      <c r="C27" s="305"/>
      <c r="D27" s="306"/>
      <c r="E27" s="276" t="str">
        <f t="shared" si="3"/>
        <v/>
      </c>
      <c r="F27" s="405"/>
      <c r="G27" s="310" t="str">
        <f t="shared" si="4"/>
        <v/>
      </c>
      <c r="H27" s="311" t="str">
        <f t="shared" si="5"/>
        <v/>
      </c>
    </row>
    <row r="28" spans="1:8">
      <c r="A28" s="534"/>
      <c r="B28" s="305" t="str">
        <f t="shared" si="2"/>
        <v/>
      </c>
      <c r="C28" s="305"/>
      <c r="D28" s="306"/>
      <c r="E28" s="276" t="str">
        <f t="shared" si="3"/>
        <v/>
      </c>
      <c r="F28" s="405"/>
      <c r="G28" s="310" t="str">
        <f t="shared" si="4"/>
        <v/>
      </c>
      <c r="H28" s="311" t="str">
        <f t="shared" si="5"/>
        <v/>
      </c>
    </row>
    <row r="29" spans="1:8">
      <c r="A29" s="534"/>
      <c r="B29" s="305" t="str">
        <f t="shared" si="2"/>
        <v/>
      </c>
      <c r="C29" s="305"/>
      <c r="D29" s="306"/>
      <c r="E29" s="276" t="str">
        <f t="shared" si="3"/>
        <v/>
      </c>
      <c r="F29" s="405"/>
      <c r="G29" s="310" t="str">
        <f t="shared" si="4"/>
        <v/>
      </c>
      <c r="H29" s="311" t="str">
        <f t="shared" si="5"/>
        <v/>
      </c>
    </row>
    <row r="30" spans="1:8">
      <c r="A30" s="534"/>
      <c r="B30" s="305" t="str">
        <f t="shared" si="2"/>
        <v/>
      </c>
      <c r="C30" s="305"/>
      <c r="D30" s="306"/>
      <c r="E30" s="276" t="str">
        <f t="shared" si="3"/>
        <v/>
      </c>
      <c r="F30" s="405"/>
      <c r="G30" s="310" t="str">
        <f t="shared" si="4"/>
        <v/>
      </c>
      <c r="H30" s="311" t="str">
        <f t="shared" si="5"/>
        <v/>
      </c>
    </row>
    <row r="31" spans="1:8">
      <c r="A31" s="534"/>
      <c r="B31" s="305" t="str">
        <f t="shared" si="2"/>
        <v/>
      </c>
      <c r="C31" s="305"/>
      <c r="D31" s="306"/>
      <c r="E31" s="276" t="str">
        <f t="shared" si="3"/>
        <v/>
      </c>
      <c r="F31" s="405"/>
      <c r="G31" s="310" t="str">
        <f t="shared" si="4"/>
        <v/>
      </c>
      <c r="H31" s="311" t="str">
        <f t="shared" si="5"/>
        <v/>
      </c>
    </row>
    <row r="32" spans="1:8" ht="13.5" thickBot="1">
      <c r="A32" s="535"/>
      <c r="B32" s="326" t="str">
        <f t="shared" si="2"/>
        <v/>
      </c>
      <c r="C32" s="314"/>
      <c r="D32" s="314"/>
      <c r="E32" s="315" t="str">
        <f t="shared" si="3"/>
        <v/>
      </c>
      <c r="F32" s="406"/>
      <c r="G32" s="327" t="str">
        <f t="shared" si="4"/>
        <v/>
      </c>
      <c r="H32" s="311" t="str">
        <f t="shared" si="5"/>
        <v/>
      </c>
    </row>
    <row r="33" spans="1:8" ht="13.5" thickBot="1">
      <c r="A33" s="285"/>
      <c r="B33" s="285"/>
      <c r="C33" s="285"/>
      <c r="D33" s="285"/>
      <c r="E33" s="286"/>
      <c r="F33" s="285"/>
      <c r="G33" s="210" t="s">
        <v>529</v>
      </c>
      <c r="H33" s="328">
        <f>ROUND(SUM(H23:H32),0)</f>
        <v>0</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546"/>
      <c r="B37" s="305" t="str">
        <f>IF(A37="","",VLOOKUP(A37,MAT,2,FALSE))</f>
        <v/>
      </c>
      <c r="C37" s="333"/>
      <c r="D37" s="409" t="str">
        <f>IF(A37="","",VLOOKUP(A37,MAT,3,FALSE))</f>
        <v/>
      </c>
      <c r="E37" s="419" t="str">
        <f>IF(A37="","",VLOOKUP(A37,MAT,6,FALSE))</f>
        <v/>
      </c>
      <c r="F37" s="413"/>
      <c r="G37" s="334" t="str">
        <f>IF(A37="","",VLOOKUP(A37,MAT,7,FALSE))</f>
        <v/>
      </c>
      <c r="H37" s="311" t="str">
        <f>IF(A37="","",ROUND((G37*F37*E37),0))</f>
        <v/>
      </c>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t="str">
        <f>IF(A39="","",ROUND((G39*F39*E39),0))</f>
        <v/>
      </c>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0</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883</v>
      </c>
      <c r="B46" s="2192" t="str">
        <f>IF(A46="","",VLOOKUP(A46,MO,2,FALSE))</f>
        <v>Cuadrilla AA: Albañilería. (1 Of. + 1 Ayud.).</v>
      </c>
      <c r="C46" s="2193"/>
      <c r="D46" s="2194"/>
      <c r="E46" s="538" t="str">
        <f>IF(A46="","",VLOOKUP(A46,MO,13,FALSE))</f>
        <v>HC</v>
      </c>
      <c r="F46" s="544">
        <v>1.65</v>
      </c>
      <c r="G46" s="540">
        <f>IF(A46="","",VLOOKUP(A46,MO,15,FALSE))</f>
        <v>38949</v>
      </c>
      <c r="H46" s="542">
        <f>IF(A46="","",ROUND((G46/F46),0))</f>
        <v>23605</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23605</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29570</v>
      </c>
    </row>
    <row r="53" spans="1:8">
      <c r="A53" s="285"/>
      <c r="B53" s="285"/>
      <c r="C53" s="285"/>
      <c r="D53" s="285"/>
      <c r="E53" s="346"/>
      <c r="F53" s="347"/>
      <c r="G53" s="347"/>
      <c r="H53" s="349"/>
    </row>
    <row r="54" spans="1:8">
      <c r="A54" s="285"/>
      <c r="B54" s="285"/>
      <c r="C54" s="285"/>
      <c r="D54" s="285"/>
      <c r="E54" s="346"/>
      <c r="F54" s="347"/>
      <c r="G54" s="347"/>
      <c r="H54" s="349"/>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c r="A59" s="703" t="str">
        <f>+[14]PRESUPUESTO!$A$113</f>
        <v>__________________________________________</v>
      </c>
      <c r="B59" s="703"/>
      <c r="C59" s="703"/>
    </row>
    <row r="60" spans="1:8">
      <c r="A60" s="810" t="str">
        <f>+[14]PRESUPUESTO!$A$114</f>
        <v>Ing. JHON FREDY GARCIA MENDEZ</v>
      </c>
      <c r="B60" s="703"/>
      <c r="C60" s="703"/>
    </row>
    <row r="61" spans="1:8">
      <c r="A61" s="811" t="str">
        <f>+[14]PRESUPUESTO!$A$115</f>
        <v>M.P.  70268-326294 TLM.</v>
      </c>
      <c r="B61" s="703"/>
      <c r="C61" s="703"/>
    </row>
    <row r="62" spans="1:8">
      <c r="A62" s="811" t="str">
        <f>+[14]PRESUPUESTO!$A$116</f>
        <v>CONSULTOR</v>
      </c>
      <c r="B62" s="703"/>
      <c r="C62" s="703"/>
    </row>
  </sheetData>
  <mergeCells count="15">
    <mergeCell ref="B47:D47"/>
    <mergeCell ref="B48:D48"/>
    <mergeCell ref="B49:D49"/>
    <mergeCell ref="B6:D6"/>
    <mergeCell ref="B7:E7"/>
    <mergeCell ref="B8:E8"/>
    <mergeCell ref="B36:C36"/>
    <mergeCell ref="B45:D45"/>
    <mergeCell ref="B46:D46"/>
    <mergeCell ref="D2:E4"/>
    <mergeCell ref="F2:H2"/>
    <mergeCell ref="F3:H3"/>
    <mergeCell ref="F4:H4"/>
    <mergeCell ref="A5:E5"/>
    <mergeCell ref="F5:H5"/>
  </mergeCells>
  <pageMargins left="0.75" right="0.75" top="1" bottom="1" header="0" footer="0"/>
  <pageSetup paperSize="9" scale="70" orientation="portrait" r:id="rId1"/>
  <headerFooter alignWithMargins="0"/>
  <drawing r:id="rId2"/>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400-000000000000}">
  <sheetPr>
    <tabColor theme="8" tint="0.79998168889431442"/>
  </sheetPr>
  <dimension ref="A1:I62"/>
  <sheetViews>
    <sheetView workbookViewId="0"/>
  </sheetViews>
  <sheetFormatPr baseColWidth="10" defaultColWidth="11.42578125" defaultRowHeight="12.75"/>
  <cols>
    <col min="1" max="1" width="9.140625" style="703" customWidth="1"/>
    <col min="2" max="2" width="12.28515625" style="703" bestFit="1" customWidth="1"/>
    <col min="3" max="3" width="25.85546875" style="703" customWidth="1"/>
    <col min="4" max="4" width="21" style="703" customWidth="1"/>
    <col min="5" max="5" width="13" style="703" customWidth="1"/>
    <col min="6" max="6" width="11.7109375" style="703" bestFit="1" customWidth="1"/>
    <col min="7" max="7" width="14" style="703" customWidth="1"/>
    <col min="8" max="8" width="12.7109375" style="703" customWidth="1"/>
    <col min="9" max="256" width="11.42578125" style="703"/>
    <col min="257" max="257" width="9.140625" style="703" customWidth="1"/>
    <col min="258" max="258" width="12.28515625" style="703" bestFit="1" customWidth="1"/>
    <col min="259" max="259" width="25.85546875" style="703" customWidth="1"/>
    <col min="260" max="260" width="21" style="703" customWidth="1"/>
    <col min="261" max="261" width="13" style="703" customWidth="1"/>
    <col min="262" max="262" width="11.7109375" style="703" bestFit="1" customWidth="1"/>
    <col min="263" max="263" width="14" style="703" customWidth="1"/>
    <col min="264" max="264" width="12.7109375" style="703" customWidth="1"/>
    <col min="265" max="512" width="11.42578125" style="703"/>
    <col min="513" max="513" width="9.140625" style="703" customWidth="1"/>
    <col min="514" max="514" width="12.28515625" style="703" bestFit="1" customWidth="1"/>
    <col min="515" max="515" width="25.85546875" style="703" customWidth="1"/>
    <col min="516" max="516" width="21" style="703" customWidth="1"/>
    <col min="517" max="517" width="13" style="703" customWidth="1"/>
    <col min="518" max="518" width="11.7109375" style="703" bestFit="1" customWidth="1"/>
    <col min="519" max="519" width="14" style="703" customWidth="1"/>
    <col min="520" max="520" width="12.7109375" style="703" customWidth="1"/>
    <col min="521" max="768" width="11.42578125" style="703"/>
    <col min="769" max="769" width="9.140625" style="703" customWidth="1"/>
    <col min="770" max="770" width="12.28515625" style="703" bestFit="1" customWidth="1"/>
    <col min="771" max="771" width="25.85546875" style="703" customWidth="1"/>
    <col min="772" max="772" width="21" style="703" customWidth="1"/>
    <col min="773" max="773" width="13" style="703" customWidth="1"/>
    <col min="774" max="774" width="11.7109375" style="703" bestFit="1" customWidth="1"/>
    <col min="775" max="775" width="14" style="703" customWidth="1"/>
    <col min="776" max="776" width="12.7109375" style="703" customWidth="1"/>
    <col min="777" max="1024" width="11.42578125" style="703"/>
    <col min="1025" max="1025" width="9.140625" style="703" customWidth="1"/>
    <col min="1026" max="1026" width="12.28515625" style="703" bestFit="1" customWidth="1"/>
    <col min="1027" max="1027" width="25.85546875" style="703" customWidth="1"/>
    <col min="1028" max="1028" width="21" style="703" customWidth="1"/>
    <col min="1029" max="1029" width="13" style="703" customWidth="1"/>
    <col min="1030" max="1030" width="11.7109375" style="703" bestFit="1" customWidth="1"/>
    <col min="1031" max="1031" width="14" style="703" customWidth="1"/>
    <col min="1032" max="1032" width="12.7109375" style="703" customWidth="1"/>
    <col min="1033" max="1280" width="11.42578125" style="703"/>
    <col min="1281" max="1281" width="9.140625" style="703" customWidth="1"/>
    <col min="1282" max="1282" width="12.28515625" style="703" bestFit="1" customWidth="1"/>
    <col min="1283" max="1283" width="25.85546875" style="703" customWidth="1"/>
    <col min="1284" max="1284" width="21" style="703" customWidth="1"/>
    <col min="1285" max="1285" width="13" style="703" customWidth="1"/>
    <col min="1286" max="1286" width="11.7109375" style="703" bestFit="1" customWidth="1"/>
    <col min="1287" max="1287" width="14" style="703" customWidth="1"/>
    <col min="1288" max="1288" width="12.7109375" style="703" customWidth="1"/>
    <col min="1289" max="1536" width="11.42578125" style="703"/>
    <col min="1537" max="1537" width="9.140625" style="703" customWidth="1"/>
    <col min="1538" max="1538" width="12.28515625" style="703" bestFit="1" customWidth="1"/>
    <col min="1539" max="1539" width="25.85546875" style="703" customWidth="1"/>
    <col min="1540" max="1540" width="21" style="703" customWidth="1"/>
    <col min="1541" max="1541" width="13" style="703" customWidth="1"/>
    <col min="1542" max="1542" width="11.7109375" style="703" bestFit="1" customWidth="1"/>
    <col min="1543" max="1543" width="14" style="703" customWidth="1"/>
    <col min="1544" max="1544" width="12.7109375" style="703" customWidth="1"/>
    <col min="1545" max="1792" width="11.42578125" style="703"/>
    <col min="1793" max="1793" width="9.140625" style="703" customWidth="1"/>
    <col min="1794" max="1794" width="12.28515625" style="703" bestFit="1" customWidth="1"/>
    <col min="1795" max="1795" width="25.85546875" style="703" customWidth="1"/>
    <col min="1796" max="1796" width="21" style="703" customWidth="1"/>
    <col min="1797" max="1797" width="13" style="703" customWidth="1"/>
    <col min="1798" max="1798" width="11.7109375" style="703" bestFit="1" customWidth="1"/>
    <col min="1799" max="1799" width="14" style="703" customWidth="1"/>
    <col min="1800" max="1800" width="12.7109375" style="703" customWidth="1"/>
    <col min="1801" max="2048" width="11.42578125" style="703"/>
    <col min="2049" max="2049" width="9.140625" style="703" customWidth="1"/>
    <col min="2050" max="2050" width="12.28515625" style="703" bestFit="1" customWidth="1"/>
    <col min="2051" max="2051" width="25.85546875" style="703" customWidth="1"/>
    <col min="2052" max="2052" width="21" style="703" customWidth="1"/>
    <col min="2053" max="2053" width="13" style="703" customWidth="1"/>
    <col min="2054" max="2054" width="11.7109375" style="703" bestFit="1" customWidth="1"/>
    <col min="2055" max="2055" width="14" style="703" customWidth="1"/>
    <col min="2056" max="2056" width="12.7109375" style="703" customWidth="1"/>
    <col min="2057" max="2304" width="11.42578125" style="703"/>
    <col min="2305" max="2305" width="9.140625" style="703" customWidth="1"/>
    <col min="2306" max="2306" width="12.28515625" style="703" bestFit="1" customWidth="1"/>
    <col min="2307" max="2307" width="25.85546875" style="703" customWidth="1"/>
    <col min="2308" max="2308" width="21" style="703" customWidth="1"/>
    <col min="2309" max="2309" width="13" style="703" customWidth="1"/>
    <col min="2310" max="2310" width="11.7109375" style="703" bestFit="1" customWidth="1"/>
    <col min="2311" max="2311" width="14" style="703" customWidth="1"/>
    <col min="2312" max="2312" width="12.7109375" style="703" customWidth="1"/>
    <col min="2313" max="2560" width="11.42578125" style="703"/>
    <col min="2561" max="2561" width="9.140625" style="703" customWidth="1"/>
    <col min="2562" max="2562" width="12.28515625" style="703" bestFit="1" customWidth="1"/>
    <col min="2563" max="2563" width="25.85546875" style="703" customWidth="1"/>
    <col min="2564" max="2564" width="21" style="703" customWidth="1"/>
    <col min="2565" max="2565" width="13" style="703" customWidth="1"/>
    <col min="2566" max="2566" width="11.7109375" style="703" bestFit="1" customWidth="1"/>
    <col min="2567" max="2567" width="14" style="703" customWidth="1"/>
    <col min="2568" max="2568" width="12.7109375" style="703" customWidth="1"/>
    <col min="2569" max="2816" width="11.42578125" style="703"/>
    <col min="2817" max="2817" width="9.140625" style="703" customWidth="1"/>
    <col min="2818" max="2818" width="12.28515625" style="703" bestFit="1" customWidth="1"/>
    <col min="2819" max="2819" width="25.85546875" style="703" customWidth="1"/>
    <col min="2820" max="2820" width="21" style="703" customWidth="1"/>
    <col min="2821" max="2821" width="13" style="703" customWidth="1"/>
    <col min="2822" max="2822" width="11.7109375" style="703" bestFit="1" customWidth="1"/>
    <col min="2823" max="2823" width="14" style="703" customWidth="1"/>
    <col min="2824" max="2824" width="12.7109375" style="703" customWidth="1"/>
    <col min="2825" max="3072" width="11.42578125" style="703"/>
    <col min="3073" max="3073" width="9.140625" style="703" customWidth="1"/>
    <col min="3074" max="3074" width="12.28515625" style="703" bestFit="1" customWidth="1"/>
    <col min="3075" max="3075" width="25.85546875" style="703" customWidth="1"/>
    <col min="3076" max="3076" width="21" style="703" customWidth="1"/>
    <col min="3077" max="3077" width="13" style="703" customWidth="1"/>
    <col min="3078" max="3078" width="11.7109375" style="703" bestFit="1" customWidth="1"/>
    <col min="3079" max="3079" width="14" style="703" customWidth="1"/>
    <col min="3080" max="3080" width="12.7109375" style="703" customWidth="1"/>
    <col min="3081" max="3328" width="11.42578125" style="703"/>
    <col min="3329" max="3329" width="9.140625" style="703" customWidth="1"/>
    <col min="3330" max="3330" width="12.28515625" style="703" bestFit="1" customWidth="1"/>
    <col min="3331" max="3331" width="25.85546875" style="703" customWidth="1"/>
    <col min="3332" max="3332" width="21" style="703" customWidth="1"/>
    <col min="3333" max="3333" width="13" style="703" customWidth="1"/>
    <col min="3334" max="3334" width="11.7109375" style="703" bestFit="1" customWidth="1"/>
    <col min="3335" max="3335" width="14" style="703" customWidth="1"/>
    <col min="3336" max="3336" width="12.7109375" style="703" customWidth="1"/>
    <col min="3337" max="3584" width="11.42578125" style="703"/>
    <col min="3585" max="3585" width="9.140625" style="703" customWidth="1"/>
    <col min="3586" max="3586" width="12.28515625" style="703" bestFit="1" customWidth="1"/>
    <col min="3587" max="3587" width="25.85546875" style="703" customWidth="1"/>
    <col min="3588" max="3588" width="21" style="703" customWidth="1"/>
    <col min="3589" max="3589" width="13" style="703" customWidth="1"/>
    <col min="3590" max="3590" width="11.7109375" style="703" bestFit="1" customWidth="1"/>
    <col min="3591" max="3591" width="14" style="703" customWidth="1"/>
    <col min="3592" max="3592" width="12.7109375" style="703" customWidth="1"/>
    <col min="3593" max="3840" width="11.42578125" style="703"/>
    <col min="3841" max="3841" width="9.140625" style="703" customWidth="1"/>
    <col min="3842" max="3842" width="12.28515625" style="703" bestFit="1" customWidth="1"/>
    <col min="3843" max="3843" width="25.85546875" style="703" customWidth="1"/>
    <col min="3844" max="3844" width="21" style="703" customWidth="1"/>
    <col min="3845" max="3845" width="13" style="703" customWidth="1"/>
    <col min="3846" max="3846" width="11.7109375" style="703" bestFit="1" customWidth="1"/>
    <col min="3847" max="3847" width="14" style="703" customWidth="1"/>
    <col min="3848" max="3848" width="12.7109375" style="703" customWidth="1"/>
    <col min="3849" max="4096" width="11.42578125" style="703"/>
    <col min="4097" max="4097" width="9.140625" style="703" customWidth="1"/>
    <col min="4098" max="4098" width="12.28515625" style="703" bestFit="1" customWidth="1"/>
    <col min="4099" max="4099" width="25.85546875" style="703" customWidth="1"/>
    <col min="4100" max="4100" width="21" style="703" customWidth="1"/>
    <col min="4101" max="4101" width="13" style="703" customWidth="1"/>
    <col min="4102" max="4102" width="11.7109375" style="703" bestFit="1" customWidth="1"/>
    <col min="4103" max="4103" width="14" style="703" customWidth="1"/>
    <col min="4104" max="4104" width="12.7109375" style="703" customWidth="1"/>
    <col min="4105" max="4352" width="11.42578125" style="703"/>
    <col min="4353" max="4353" width="9.140625" style="703" customWidth="1"/>
    <col min="4354" max="4354" width="12.28515625" style="703" bestFit="1" customWidth="1"/>
    <col min="4355" max="4355" width="25.85546875" style="703" customWidth="1"/>
    <col min="4356" max="4356" width="21" style="703" customWidth="1"/>
    <col min="4357" max="4357" width="13" style="703" customWidth="1"/>
    <col min="4358" max="4358" width="11.7109375" style="703" bestFit="1" customWidth="1"/>
    <col min="4359" max="4359" width="14" style="703" customWidth="1"/>
    <col min="4360" max="4360" width="12.7109375" style="703" customWidth="1"/>
    <col min="4361" max="4608" width="11.42578125" style="703"/>
    <col min="4609" max="4609" width="9.140625" style="703" customWidth="1"/>
    <col min="4610" max="4610" width="12.28515625" style="703" bestFit="1" customWidth="1"/>
    <col min="4611" max="4611" width="25.85546875" style="703" customWidth="1"/>
    <col min="4612" max="4612" width="21" style="703" customWidth="1"/>
    <col min="4613" max="4613" width="13" style="703" customWidth="1"/>
    <col min="4614" max="4614" width="11.7109375" style="703" bestFit="1" customWidth="1"/>
    <col min="4615" max="4615" width="14" style="703" customWidth="1"/>
    <col min="4616" max="4616" width="12.7109375" style="703" customWidth="1"/>
    <col min="4617" max="4864" width="11.42578125" style="703"/>
    <col min="4865" max="4865" width="9.140625" style="703" customWidth="1"/>
    <col min="4866" max="4866" width="12.28515625" style="703" bestFit="1" customWidth="1"/>
    <col min="4867" max="4867" width="25.85546875" style="703" customWidth="1"/>
    <col min="4868" max="4868" width="21" style="703" customWidth="1"/>
    <col min="4869" max="4869" width="13" style="703" customWidth="1"/>
    <col min="4870" max="4870" width="11.7109375" style="703" bestFit="1" customWidth="1"/>
    <col min="4871" max="4871" width="14" style="703" customWidth="1"/>
    <col min="4872" max="4872" width="12.7109375" style="703" customWidth="1"/>
    <col min="4873" max="5120" width="11.42578125" style="703"/>
    <col min="5121" max="5121" width="9.140625" style="703" customWidth="1"/>
    <col min="5122" max="5122" width="12.28515625" style="703" bestFit="1" customWidth="1"/>
    <col min="5123" max="5123" width="25.85546875" style="703" customWidth="1"/>
    <col min="5124" max="5124" width="21" style="703" customWidth="1"/>
    <col min="5125" max="5125" width="13" style="703" customWidth="1"/>
    <col min="5126" max="5126" width="11.7109375" style="703" bestFit="1" customWidth="1"/>
    <col min="5127" max="5127" width="14" style="703" customWidth="1"/>
    <col min="5128" max="5128" width="12.7109375" style="703" customWidth="1"/>
    <col min="5129" max="5376" width="11.42578125" style="703"/>
    <col min="5377" max="5377" width="9.140625" style="703" customWidth="1"/>
    <col min="5378" max="5378" width="12.28515625" style="703" bestFit="1" customWidth="1"/>
    <col min="5379" max="5379" width="25.85546875" style="703" customWidth="1"/>
    <col min="5380" max="5380" width="21" style="703" customWidth="1"/>
    <col min="5381" max="5381" width="13" style="703" customWidth="1"/>
    <col min="5382" max="5382" width="11.7109375" style="703" bestFit="1" customWidth="1"/>
    <col min="5383" max="5383" width="14" style="703" customWidth="1"/>
    <col min="5384" max="5384" width="12.7109375" style="703" customWidth="1"/>
    <col min="5385" max="5632" width="11.42578125" style="703"/>
    <col min="5633" max="5633" width="9.140625" style="703" customWidth="1"/>
    <col min="5634" max="5634" width="12.28515625" style="703" bestFit="1" customWidth="1"/>
    <col min="5635" max="5635" width="25.85546875" style="703" customWidth="1"/>
    <col min="5636" max="5636" width="21" style="703" customWidth="1"/>
    <col min="5637" max="5637" width="13" style="703" customWidth="1"/>
    <col min="5638" max="5638" width="11.7109375" style="703" bestFit="1" customWidth="1"/>
    <col min="5639" max="5639" width="14" style="703" customWidth="1"/>
    <col min="5640" max="5640" width="12.7109375" style="703" customWidth="1"/>
    <col min="5641" max="5888" width="11.42578125" style="703"/>
    <col min="5889" max="5889" width="9.140625" style="703" customWidth="1"/>
    <col min="5890" max="5890" width="12.28515625" style="703" bestFit="1" customWidth="1"/>
    <col min="5891" max="5891" width="25.85546875" style="703" customWidth="1"/>
    <col min="5892" max="5892" width="21" style="703" customWidth="1"/>
    <col min="5893" max="5893" width="13" style="703" customWidth="1"/>
    <col min="5894" max="5894" width="11.7109375" style="703" bestFit="1" customWidth="1"/>
    <col min="5895" max="5895" width="14" style="703" customWidth="1"/>
    <col min="5896" max="5896" width="12.7109375" style="703" customWidth="1"/>
    <col min="5897" max="6144" width="11.42578125" style="703"/>
    <col min="6145" max="6145" width="9.140625" style="703" customWidth="1"/>
    <col min="6146" max="6146" width="12.28515625" style="703" bestFit="1" customWidth="1"/>
    <col min="6147" max="6147" width="25.85546875" style="703" customWidth="1"/>
    <col min="6148" max="6148" width="21" style="703" customWidth="1"/>
    <col min="6149" max="6149" width="13" style="703" customWidth="1"/>
    <col min="6150" max="6150" width="11.7109375" style="703" bestFit="1" customWidth="1"/>
    <col min="6151" max="6151" width="14" style="703" customWidth="1"/>
    <col min="6152" max="6152" width="12.7109375" style="703" customWidth="1"/>
    <col min="6153" max="6400" width="11.42578125" style="703"/>
    <col min="6401" max="6401" width="9.140625" style="703" customWidth="1"/>
    <col min="6402" max="6402" width="12.28515625" style="703" bestFit="1" customWidth="1"/>
    <col min="6403" max="6403" width="25.85546875" style="703" customWidth="1"/>
    <col min="6404" max="6404" width="21" style="703" customWidth="1"/>
    <col min="6405" max="6405" width="13" style="703" customWidth="1"/>
    <col min="6406" max="6406" width="11.7109375" style="703" bestFit="1" customWidth="1"/>
    <col min="6407" max="6407" width="14" style="703" customWidth="1"/>
    <col min="6408" max="6408" width="12.7109375" style="703" customWidth="1"/>
    <col min="6409" max="6656" width="11.42578125" style="703"/>
    <col min="6657" max="6657" width="9.140625" style="703" customWidth="1"/>
    <col min="6658" max="6658" width="12.28515625" style="703" bestFit="1" customWidth="1"/>
    <col min="6659" max="6659" width="25.85546875" style="703" customWidth="1"/>
    <col min="6660" max="6660" width="21" style="703" customWidth="1"/>
    <col min="6661" max="6661" width="13" style="703" customWidth="1"/>
    <col min="6662" max="6662" width="11.7109375" style="703" bestFit="1" customWidth="1"/>
    <col min="6663" max="6663" width="14" style="703" customWidth="1"/>
    <col min="6664" max="6664" width="12.7109375" style="703" customWidth="1"/>
    <col min="6665" max="6912" width="11.42578125" style="703"/>
    <col min="6913" max="6913" width="9.140625" style="703" customWidth="1"/>
    <col min="6914" max="6914" width="12.28515625" style="703" bestFit="1" customWidth="1"/>
    <col min="6915" max="6915" width="25.85546875" style="703" customWidth="1"/>
    <col min="6916" max="6916" width="21" style="703" customWidth="1"/>
    <col min="6917" max="6917" width="13" style="703" customWidth="1"/>
    <col min="6918" max="6918" width="11.7109375" style="703" bestFit="1" customWidth="1"/>
    <col min="6919" max="6919" width="14" style="703" customWidth="1"/>
    <col min="6920" max="6920" width="12.7109375" style="703" customWidth="1"/>
    <col min="6921" max="7168" width="11.42578125" style="703"/>
    <col min="7169" max="7169" width="9.140625" style="703" customWidth="1"/>
    <col min="7170" max="7170" width="12.28515625" style="703" bestFit="1" customWidth="1"/>
    <col min="7171" max="7171" width="25.85546875" style="703" customWidth="1"/>
    <col min="7172" max="7172" width="21" style="703" customWidth="1"/>
    <col min="7173" max="7173" width="13" style="703" customWidth="1"/>
    <col min="7174" max="7174" width="11.7109375" style="703" bestFit="1" customWidth="1"/>
    <col min="7175" max="7175" width="14" style="703" customWidth="1"/>
    <col min="7176" max="7176" width="12.7109375" style="703" customWidth="1"/>
    <col min="7177" max="7424" width="11.42578125" style="703"/>
    <col min="7425" max="7425" width="9.140625" style="703" customWidth="1"/>
    <col min="7426" max="7426" width="12.28515625" style="703" bestFit="1" customWidth="1"/>
    <col min="7427" max="7427" width="25.85546875" style="703" customWidth="1"/>
    <col min="7428" max="7428" width="21" style="703" customWidth="1"/>
    <col min="7429" max="7429" width="13" style="703" customWidth="1"/>
    <col min="7430" max="7430" width="11.7109375" style="703" bestFit="1" customWidth="1"/>
    <col min="7431" max="7431" width="14" style="703" customWidth="1"/>
    <col min="7432" max="7432" width="12.7109375" style="703" customWidth="1"/>
    <col min="7433" max="7680" width="11.42578125" style="703"/>
    <col min="7681" max="7681" width="9.140625" style="703" customWidth="1"/>
    <col min="7682" max="7682" width="12.28515625" style="703" bestFit="1" customWidth="1"/>
    <col min="7683" max="7683" width="25.85546875" style="703" customWidth="1"/>
    <col min="7684" max="7684" width="21" style="703" customWidth="1"/>
    <col min="7685" max="7685" width="13" style="703" customWidth="1"/>
    <col min="7686" max="7686" width="11.7109375" style="703" bestFit="1" customWidth="1"/>
    <col min="7687" max="7687" width="14" style="703" customWidth="1"/>
    <col min="7688" max="7688" width="12.7109375" style="703" customWidth="1"/>
    <col min="7689" max="7936" width="11.42578125" style="703"/>
    <col min="7937" max="7937" width="9.140625" style="703" customWidth="1"/>
    <col min="7938" max="7938" width="12.28515625" style="703" bestFit="1" customWidth="1"/>
    <col min="7939" max="7939" width="25.85546875" style="703" customWidth="1"/>
    <col min="7940" max="7940" width="21" style="703" customWidth="1"/>
    <col min="7941" max="7941" width="13" style="703" customWidth="1"/>
    <col min="7942" max="7942" width="11.7109375" style="703" bestFit="1" customWidth="1"/>
    <col min="7943" max="7943" width="14" style="703" customWidth="1"/>
    <col min="7944" max="7944" width="12.7109375" style="703" customWidth="1"/>
    <col min="7945" max="8192" width="11.42578125" style="703"/>
    <col min="8193" max="8193" width="9.140625" style="703" customWidth="1"/>
    <col min="8194" max="8194" width="12.28515625" style="703" bestFit="1" customWidth="1"/>
    <col min="8195" max="8195" width="25.85546875" style="703" customWidth="1"/>
    <col min="8196" max="8196" width="21" style="703" customWidth="1"/>
    <col min="8197" max="8197" width="13" style="703" customWidth="1"/>
    <col min="8198" max="8198" width="11.7109375" style="703" bestFit="1" customWidth="1"/>
    <col min="8199" max="8199" width="14" style="703" customWidth="1"/>
    <col min="8200" max="8200" width="12.7109375" style="703" customWidth="1"/>
    <col min="8201" max="8448" width="11.42578125" style="703"/>
    <col min="8449" max="8449" width="9.140625" style="703" customWidth="1"/>
    <col min="8450" max="8450" width="12.28515625" style="703" bestFit="1" customWidth="1"/>
    <col min="8451" max="8451" width="25.85546875" style="703" customWidth="1"/>
    <col min="8452" max="8452" width="21" style="703" customWidth="1"/>
    <col min="8453" max="8453" width="13" style="703" customWidth="1"/>
    <col min="8454" max="8454" width="11.7109375" style="703" bestFit="1" customWidth="1"/>
    <col min="8455" max="8455" width="14" style="703" customWidth="1"/>
    <col min="8456" max="8456" width="12.7109375" style="703" customWidth="1"/>
    <col min="8457" max="8704" width="11.42578125" style="703"/>
    <col min="8705" max="8705" width="9.140625" style="703" customWidth="1"/>
    <col min="8706" max="8706" width="12.28515625" style="703" bestFit="1" customWidth="1"/>
    <col min="8707" max="8707" width="25.85546875" style="703" customWidth="1"/>
    <col min="8708" max="8708" width="21" style="703" customWidth="1"/>
    <col min="8709" max="8709" width="13" style="703" customWidth="1"/>
    <col min="8710" max="8710" width="11.7109375" style="703" bestFit="1" customWidth="1"/>
    <col min="8711" max="8711" width="14" style="703" customWidth="1"/>
    <col min="8712" max="8712" width="12.7109375" style="703" customWidth="1"/>
    <col min="8713" max="8960" width="11.42578125" style="703"/>
    <col min="8961" max="8961" width="9.140625" style="703" customWidth="1"/>
    <col min="8962" max="8962" width="12.28515625" style="703" bestFit="1" customWidth="1"/>
    <col min="8963" max="8963" width="25.85546875" style="703" customWidth="1"/>
    <col min="8964" max="8964" width="21" style="703" customWidth="1"/>
    <col min="8965" max="8965" width="13" style="703" customWidth="1"/>
    <col min="8966" max="8966" width="11.7109375" style="703" bestFit="1" customWidth="1"/>
    <col min="8967" max="8967" width="14" style="703" customWidth="1"/>
    <col min="8968" max="8968" width="12.7109375" style="703" customWidth="1"/>
    <col min="8969" max="9216" width="11.42578125" style="703"/>
    <col min="9217" max="9217" width="9.140625" style="703" customWidth="1"/>
    <col min="9218" max="9218" width="12.28515625" style="703" bestFit="1" customWidth="1"/>
    <col min="9219" max="9219" width="25.85546875" style="703" customWidth="1"/>
    <col min="9220" max="9220" width="21" style="703" customWidth="1"/>
    <col min="9221" max="9221" width="13" style="703" customWidth="1"/>
    <col min="9222" max="9222" width="11.7109375" style="703" bestFit="1" customWidth="1"/>
    <col min="9223" max="9223" width="14" style="703" customWidth="1"/>
    <col min="9224" max="9224" width="12.7109375" style="703" customWidth="1"/>
    <col min="9225" max="9472" width="11.42578125" style="703"/>
    <col min="9473" max="9473" width="9.140625" style="703" customWidth="1"/>
    <col min="9474" max="9474" width="12.28515625" style="703" bestFit="1" customWidth="1"/>
    <col min="9475" max="9475" width="25.85546875" style="703" customWidth="1"/>
    <col min="9476" max="9476" width="21" style="703" customWidth="1"/>
    <col min="9477" max="9477" width="13" style="703" customWidth="1"/>
    <col min="9478" max="9478" width="11.7109375" style="703" bestFit="1" customWidth="1"/>
    <col min="9479" max="9479" width="14" style="703" customWidth="1"/>
    <col min="9480" max="9480" width="12.7109375" style="703" customWidth="1"/>
    <col min="9481" max="9728" width="11.42578125" style="703"/>
    <col min="9729" max="9729" width="9.140625" style="703" customWidth="1"/>
    <col min="9730" max="9730" width="12.28515625" style="703" bestFit="1" customWidth="1"/>
    <col min="9731" max="9731" width="25.85546875" style="703" customWidth="1"/>
    <col min="9732" max="9732" width="21" style="703" customWidth="1"/>
    <col min="9733" max="9733" width="13" style="703" customWidth="1"/>
    <col min="9734" max="9734" width="11.7109375" style="703" bestFit="1" customWidth="1"/>
    <col min="9735" max="9735" width="14" style="703" customWidth="1"/>
    <col min="9736" max="9736" width="12.7109375" style="703" customWidth="1"/>
    <col min="9737" max="9984" width="11.42578125" style="703"/>
    <col min="9985" max="9985" width="9.140625" style="703" customWidth="1"/>
    <col min="9986" max="9986" width="12.28515625" style="703" bestFit="1" customWidth="1"/>
    <col min="9987" max="9987" width="25.85546875" style="703" customWidth="1"/>
    <col min="9988" max="9988" width="21" style="703" customWidth="1"/>
    <col min="9989" max="9989" width="13" style="703" customWidth="1"/>
    <col min="9990" max="9990" width="11.7109375" style="703" bestFit="1" customWidth="1"/>
    <col min="9991" max="9991" width="14" style="703" customWidth="1"/>
    <col min="9992" max="9992" width="12.7109375" style="703" customWidth="1"/>
    <col min="9993" max="10240" width="11.42578125" style="703"/>
    <col min="10241" max="10241" width="9.140625" style="703" customWidth="1"/>
    <col min="10242" max="10242" width="12.28515625" style="703" bestFit="1" customWidth="1"/>
    <col min="10243" max="10243" width="25.85546875" style="703" customWidth="1"/>
    <col min="10244" max="10244" width="21" style="703" customWidth="1"/>
    <col min="10245" max="10245" width="13" style="703" customWidth="1"/>
    <col min="10246" max="10246" width="11.7109375" style="703" bestFit="1" customWidth="1"/>
    <col min="10247" max="10247" width="14" style="703" customWidth="1"/>
    <col min="10248" max="10248" width="12.7109375" style="703" customWidth="1"/>
    <col min="10249" max="10496" width="11.42578125" style="703"/>
    <col min="10497" max="10497" width="9.140625" style="703" customWidth="1"/>
    <col min="10498" max="10498" width="12.28515625" style="703" bestFit="1" customWidth="1"/>
    <col min="10499" max="10499" width="25.85546875" style="703" customWidth="1"/>
    <col min="10500" max="10500" width="21" style="703" customWidth="1"/>
    <col min="10501" max="10501" width="13" style="703" customWidth="1"/>
    <col min="10502" max="10502" width="11.7109375" style="703" bestFit="1" customWidth="1"/>
    <col min="10503" max="10503" width="14" style="703" customWidth="1"/>
    <col min="10504" max="10504" width="12.7109375" style="703" customWidth="1"/>
    <col min="10505" max="10752" width="11.42578125" style="703"/>
    <col min="10753" max="10753" width="9.140625" style="703" customWidth="1"/>
    <col min="10754" max="10754" width="12.28515625" style="703" bestFit="1" customWidth="1"/>
    <col min="10755" max="10755" width="25.85546875" style="703" customWidth="1"/>
    <col min="10756" max="10756" width="21" style="703" customWidth="1"/>
    <col min="10757" max="10757" width="13" style="703" customWidth="1"/>
    <col min="10758" max="10758" width="11.7109375" style="703" bestFit="1" customWidth="1"/>
    <col min="10759" max="10759" width="14" style="703" customWidth="1"/>
    <col min="10760" max="10760" width="12.7109375" style="703" customWidth="1"/>
    <col min="10761" max="11008" width="11.42578125" style="703"/>
    <col min="11009" max="11009" width="9.140625" style="703" customWidth="1"/>
    <col min="11010" max="11010" width="12.28515625" style="703" bestFit="1" customWidth="1"/>
    <col min="11011" max="11011" width="25.85546875" style="703" customWidth="1"/>
    <col min="11012" max="11012" width="21" style="703" customWidth="1"/>
    <col min="11013" max="11013" width="13" style="703" customWidth="1"/>
    <col min="11014" max="11014" width="11.7109375" style="703" bestFit="1" customWidth="1"/>
    <col min="11015" max="11015" width="14" style="703" customWidth="1"/>
    <col min="11016" max="11016" width="12.7109375" style="703" customWidth="1"/>
    <col min="11017" max="11264" width="11.42578125" style="703"/>
    <col min="11265" max="11265" width="9.140625" style="703" customWidth="1"/>
    <col min="11266" max="11266" width="12.28515625" style="703" bestFit="1" customWidth="1"/>
    <col min="11267" max="11267" width="25.85546875" style="703" customWidth="1"/>
    <col min="11268" max="11268" width="21" style="703" customWidth="1"/>
    <col min="11269" max="11269" width="13" style="703" customWidth="1"/>
    <col min="11270" max="11270" width="11.7109375" style="703" bestFit="1" customWidth="1"/>
    <col min="11271" max="11271" width="14" style="703" customWidth="1"/>
    <col min="11272" max="11272" width="12.7109375" style="703" customWidth="1"/>
    <col min="11273" max="11520" width="11.42578125" style="703"/>
    <col min="11521" max="11521" width="9.140625" style="703" customWidth="1"/>
    <col min="11522" max="11522" width="12.28515625" style="703" bestFit="1" customWidth="1"/>
    <col min="11523" max="11523" width="25.85546875" style="703" customWidth="1"/>
    <col min="11524" max="11524" width="21" style="703" customWidth="1"/>
    <col min="11525" max="11525" width="13" style="703" customWidth="1"/>
    <col min="11526" max="11526" width="11.7109375" style="703" bestFit="1" customWidth="1"/>
    <col min="11527" max="11527" width="14" style="703" customWidth="1"/>
    <col min="11528" max="11528" width="12.7109375" style="703" customWidth="1"/>
    <col min="11529" max="11776" width="11.42578125" style="703"/>
    <col min="11777" max="11777" width="9.140625" style="703" customWidth="1"/>
    <col min="11778" max="11778" width="12.28515625" style="703" bestFit="1" customWidth="1"/>
    <col min="11779" max="11779" width="25.85546875" style="703" customWidth="1"/>
    <col min="11780" max="11780" width="21" style="703" customWidth="1"/>
    <col min="11781" max="11781" width="13" style="703" customWidth="1"/>
    <col min="11782" max="11782" width="11.7109375" style="703" bestFit="1" customWidth="1"/>
    <col min="11783" max="11783" width="14" style="703" customWidth="1"/>
    <col min="11784" max="11784" width="12.7109375" style="703" customWidth="1"/>
    <col min="11785" max="12032" width="11.42578125" style="703"/>
    <col min="12033" max="12033" width="9.140625" style="703" customWidth="1"/>
    <col min="12034" max="12034" width="12.28515625" style="703" bestFit="1" customWidth="1"/>
    <col min="12035" max="12035" width="25.85546875" style="703" customWidth="1"/>
    <col min="12036" max="12036" width="21" style="703" customWidth="1"/>
    <col min="12037" max="12037" width="13" style="703" customWidth="1"/>
    <col min="12038" max="12038" width="11.7109375" style="703" bestFit="1" customWidth="1"/>
    <col min="12039" max="12039" width="14" style="703" customWidth="1"/>
    <col min="12040" max="12040" width="12.7109375" style="703" customWidth="1"/>
    <col min="12041" max="12288" width="11.42578125" style="703"/>
    <col min="12289" max="12289" width="9.140625" style="703" customWidth="1"/>
    <col min="12290" max="12290" width="12.28515625" style="703" bestFit="1" customWidth="1"/>
    <col min="12291" max="12291" width="25.85546875" style="703" customWidth="1"/>
    <col min="12292" max="12292" width="21" style="703" customWidth="1"/>
    <col min="12293" max="12293" width="13" style="703" customWidth="1"/>
    <col min="12294" max="12294" width="11.7109375" style="703" bestFit="1" customWidth="1"/>
    <col min="12295" max="12295" width="14" style="703" customWidth="1"/>
    <col min="12296" max="12296" width="12.7109375" style="703" customWidth="1"/>
    <col min="12297" max="12544" width="11.42578125" style="703"/>
    <col min="12545" max="12545" width="9.140625" style="703" customWidth="1"/>
    <col min="12546" max="12546" width="12.28515625" style="703" bestFit="1" customWidth="1"/>
    <col min="12547" max="12547" width="25.85546875" style="703" customWidth="1"/>
    <col min="12548" max="12548" width="21" style="703" customWidth="1"/>
    <col min="12549" max="12549" width="13" style="703" customWidth="1"/>
    <col min="12550" max="12550" width="11.7109375" style="703" bestFit="1" customWidth="1"/>
    <col min="12551" max="12551" width="14" style="703" customWidth="1"/>
    <col min="12552" max="12552" width="12.7109375" style="703" customWidth="1"/>
    <col min="12553" max="12800" width="11.42578125" style="703"/>
    <col min="12801" max="12801" width="9.140625" style="703" customWidth="1"/>
    <col min="12802" max="12802" width="12.28515625" style="703" bestFit="1" customWidth="1"/>
    <col min="12803" max="12803" width="25.85546875" style="703" customWidth="1"/>
    <col min="12804" max="12804" width="21" style="703" customWidth="1"/>
    <col min="12805" max="12805" width="13" style="703" customWidth="1"/>
    <col min="12806" max="12806" width="11.7109375" style="703" bestFit="1" customWidth="1"/>
    <col min="12807" max="12807" width="14" style="703" customWidth="1"/>
    <col min="12808" max="12808" width="12.7109375" style="703" customWidth="1"/>
    <col min="12809" max="13056" width="11.42578125" style="703"/>
    <col min="13057" max="13057" width="9.140625" style="703" customWidth="1"/>
    <col min="13058" max="13058" width="12.28515625" style="703" bestFit="1" customWidth="1"/>
    <col min="13059" max="13059" width="25.85546875" style="703" customWidth="1"/>
    <col min="13060" max="13060" width="21" style="703" customWidth="1"/>
    <col min="13061" max="13061" width="13" style="703" customWidth="1"/>
    <col min="13062" max="13062" width="11.7109375" style="703" bestFit="1" customWidth="1"/>
    <col min="13063" max="13063" width="14" style="703" customWidth="1"/>
    <col min="13064" max="13064" width="12.7109375" style="703" customWidth="1"/>
    <col min="13065" max="13312" width="11.42578125" style="703"/>
    <col min="13313" max="13313" width="9.140625" style="703" customWidth="1"/>
    <col min="13314" max="13314" width="12.28515625" style="703" bestFit="1" customWidth="1"/>
    <col min="13315" max="13315" width="25.85546875" style="703" customWidth="1"/>
    <col min="13316" max="13316" width="21" style="703" customWidth="1"/>
    <col min="13317" max="13317" width="13" style="703" customWidth="1"/>
    <col min="13318" max="13318" width="11.7109375" style="703" bestFit="1" customWidth="1"/>
    <col min="13319" max="13319" width="14" style="703" customWidth="1"/>
    <col min="13320" max="13320" width="12.7109375" style="703" customWidth="1"/>
    <col min="13321" max="13568" width="11.42578125" style="703"/>
    <col min="13569" max="13569" width="9.140625" style="703" customWidth="1"/>
    <col min="13570" max="13570" width="12.28515625" style="703" bestFit="1" customWidth="1"/>
    <col min="13571" max="13571" width="25.85546875" style="703" customWidth="1"/>
    <col min="13572" max="13572" width="21" style="703" customWidth="1"/>
    <col min="13573" max="13573" width="13" style="703" customWidth="1"/>
    <col min="13574" max="13574" width="11.7109375" style="703" bestFit="1" customWidth="1"/>
    <col min="13575" max="13575" width="14" style="703" customWidth="1"/>
    <col min="13576" max="13576" width="12.7109375" style="703" customWidth="1"/>
    <col min="13577" max="13824" width="11.42578125" style="703"/>
    <col min="13825" max="13825" width="9.140625" style="703" customWidth="1"/>
    <col min="13826" max="13826" width="12.28515625" style="703" bestFit="1" customWidth="1"/>
    <col min="13827" max="13827" width="25.85546875" style="703" customWidth="1"/>
    <col min="13828" max="13828" width="21" style="703" customWidth="1"/>
    <col min="13829" max="13829" width="13" style="703" customWidth="1"/>
    <col min="13830" max="13830" width="11.7109375" style="703" bestFit="1" customWidth="1"/>
    <col min="13831" max="13831" width="14" style="703" customWidth="1"/>
    <col min="13832" max="13832" width="12.7109375" style="703" customWidth="1"/>
    <col min="13833" max="14080" width="11.42578125" style="703"/>
    <col min="14081" max="14081" width="9.140625" style="703" customWidth="1"/>
    <col min="14082" max="14082" width="12.28515625" style="703" bestFit="1" customWidth="1"/>
    <col min="14083" max="14083" width="25.85546875" style="703" customWidth="1"/>
    <col min="14084" max="14084" width="21" style="703" customWidth="1"/>
    <col min="14085" max="14085" width="13" style="703" customWidth="1"/>
    <col min="14086" max="14086" width="11.7109375" style="703" bestFit="1" customWidth="1"/>
    <col min="14087" max="14087" width="14" style="703" customWidth="1"/>
    <col min="14088" max="14088" width="12.7109375" style="703" customWidth="1"/>
    <col min="14089" max="14336" width="11.42578125" style="703"/>
    <col min="14337" max="14337" width="9.140625" style="703" customWidth="1"/>
    <col min="14338" max="14338" width="12.28515625" style="703" bestFit="1" customWidth="1"/>
    <col min="14339" max="14339" width="25.85546875" style="703" customWidth="1"/>
    <col min="14340" max="14340" width="21" style="703" customWidth="1"/>
    <col min="14341" max="14341" width="13" style="703" customWidth="1"/>
    <col min="14342" max="14342" width="11.7109375" style="703" bestFit="1" customWidth="1"/>
    <col min="14343" max="14343" width="14" style="703" customWidth="1"/>
    <col min="14344" max="14344" width="12.7109375" style="703" customWidth="1"/>
    <col min="14345" max="14592" width="11.42578125" style="703"/>
    <col min="14593" max="14593" width="9.140625" style="703" customWidth="1"/>
    <col min="14594" max="14594" width="12.28515625" style="703" bestFit="1" customWidth="1"/>
    <col min="14595" max="14595" width="25.85546875" style="703" customWidth="1"/>
    <col min="14596" max="14596" width="21" style="703" customWidth="1"/>
    <col min="14597" max="14597" width="13" style="703" customWidth="1"/>
    <col min="14598" max="14598" width="11.7109375" style="703" bestFit="1" customWidth="1"/>
    <col min="14599" max="14599" width="14" style="703" customWidth="1"/>
    <col min="14600" max="14600" width="12.7109375" style="703" customWidth="1"/>
    <col min="14601" max="14848" width="11.42578125" style="703"/>
    <col min="14849" max="14849" width="9.140625" style="703" customWidth="1"/>
    <col min="14850" max="14850" width="12.28515625" style="703" bestFit="1" customWidth="1"/>
    <col min="14851" max="14851" width="25.85546875" style="703" customWidth="1"/>
    <col min="14852" max="14852" width="21" style="703" customWidth="1"/>
    <col min="14853" max="14853" width="13" style="703" customWidth="1"/>
    <col min="14854" max="14854" width="11.7109375" style="703" bestFit="1" customWidth="1"/>
    <col min="14855" max="14855" width="14" style="703" customWidth="1"/>
    <col min="14856" max="14856" width="12.7109375" style="703" customWidth="1"/>
    <col min="14857" max="15104" width="11.42578125" style="703"/>
    <col min="15105" max="15105" width="9.140625" style="703" customWidth="1"/>
    <col min="15106" max="15106" width="12.28515625" style="703" bestFit="1" customWidth="1"/>
    <col min="15107" max="15107" width="25.85546875" style="703" customWidth="1"/>
    <col min="15108" max="15108" width="21" style="703" customWidth="1"/>
    <col min="15109" max="15109" width="13" style="703" customWidth="1"/>
    <col min="15110" max="15110" width="11.7109375" style="703" bestFit="1" customWidth="1"/>
    <col min="15111" max="15111" width="14" style="703" customWidth="1"/>
    <col min="15112" max="15112" width="12.7109375" style="703" customWidth="1"/>
    <col min="15113" max="15360" width="11.42578125" style="703"/>
    <col min="15361" max="15361" width="9.140625" style="703" customWidth="1"/>
    <col min="15362" max="15362" width="12.28515625" style="703" bestFit="1" customWidth="1"/>
    <col min="15363" max="15363" width="25.85546875" style="703" customWidth="1"/>
    <col min="15364" max="15364" width="21" style="703" customWidth="1"/>
    <col min="15365" max="15365" width="13" style="703" customWidth="1"/>
    <col min="15366" max="15366" width="11.7109375" style="703" bestFit="1" customWidth="1"/>
    <col min="15367" max="15367" width="14" style="703" customWidth="1"/>
    <col min="15368" max="15368" width="12.7109375" style="703" customWidth="1"/>
    <col min="15369" max="15616" width="11.42578125" style="703"/>
    <col min="15617" max="15617" width="9.140625" style="703" customWidth="1"/>
    <col min="15618" max="15618" width="12.28515625" style="703" bestFit="1" customWidth="1"/>
    <col min="15619" max="15619" width="25.85546875" style="703" customWidth="1"/>
    <col min="15620" max="15620" width="21" style="703" customWidth="1"/>
    <col min="15621" max="15621" width="13" style="703" customWidth="1"/>
    <col min="15622" max="15622" width="11.7109375" style="703" bestFit="1" customWidth="1"/>
    <col min="15623" max="15623" width="14" style="703" customWidth="1"/>
    <col min="15624" max="15624" width="12.7109375" style="703" customWidth="1"/>
    <col min="15625" max="15872" width="11.42578125" style="703"/>
    <col min="15873" max="15873" width="9.140625" style="703" customWidth="1"/>
    <col min="15874" max="15874" width="12.28515625" style="703" bestFit="1" customWidth="1"/>
    <col min="15875" max="15875" width="25.85546875" style="703" customWidth="1"/>
    <col min="15876" max="15876" width="21" style="703" customWidth="1"/>
    <col min="15877" max="15877" width="13" style="703" customWidth="1"/>
    <col min="15878" max="15878" width="11.7109375" style="703" bestFit="1" customWidth="1"/>
    <col min="15879" max="15879" width="14" style="703" customWidth="1"/>
    <col min="15880" max="15880" width="12.7109375" style="703" customWidth="1"/>
    <col min="15881" max="16128" width="11.42578125" style="703"/>
    <col min="16129" max="16129" width="9.140625" style="703" customWidth="1"/>
    <col min="16130" max="16130" width="12.28515625" style="703" bestFit="1" customWidth="1"/>
    <col min="16131" max="16131" width="25.85546875" style="703" customWidth="1"/>
    <col min="16132" max="16132" width="21" style="703" customWidth="1"/>
    <col min="16133" max="16133" width="13" style="703" customWidth="1"/>
    <col min="16134" max="16134" width="11.7109375" style="703" bestFit="1" customWidth="1"/>
    <col min="16135" max="16135" width="14" style="703" customWidth="1"/>
    <col min="16136" max="16136" width="12.7109375" style="703" customWidth="1"/>
    <col min="16137" max="16384" width="11.42578125" style="703"/>
  </cols>
  <sheetData>
    <row r="1" spans="1:9" ht="48.75" customHeight="1" thickBot="1"/>
    <row r="2" spans="1:9" ht="33.75"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3.25" customHeight="1" thickBot="1">
      <c r="A3" s="281"/>
      <c r="B3" s="282"/>
      <c r="C3" s="282"/>
      <c r="D3" s="2213"/>
      <c r="E3" s="2214"/>
      <c r="F3" s="2202" t="e">
        <f>+PRESUPUESTO!#REF!</f>
        <v>#REF!</v>
      </c>
      <c r="G3" s="2203"/>
      <c r="H3" s="2204"/>
    </row>
    <row r="4" spans="1:9" ht="24.75" customHeight="1" thickBot="1">
      <c r="A4" s="98"/>
      <c r="B4" s="99"/>
      <c r="C4" s="283"/>
      <c r="D4" s="2215"/>
      <c r="E4" s="2216"/>
      <c r="F4" s="2202" t="s">
        <v>524</v>
      </c>
      <c r="G4" s="2203"/>
      <c r="H4" s="2204"/>
    </row>
    <row r="5" spans="1:9" ht="13.5" thickBot="1">
      <c r="A5" s="2218" t="s">
        <v>558</v>
      </c>
      <c r="B5" s="2219"/>
      <c r="C5" s="2219"/>
      <c r="D5" s="2219"/>
      <c r="E5" s="2220"/>
      <c r="F5" s="2208" t="e">
        <f>+PRESUPUESTO!#REF!</f>
        <v>#REF!</v>
      </c>
      <c r="G5" s="2209"/>
      <c r="H5" s="2210"/>
    </row>
    <row r="6" spans="1:9">
      <c r="A6" s="711"/>
      <c r="B6" s="2227"/>
      <c r="C6" s="2228"/>
      <c r="D6" s="2228"/>
      <c r="E6" s="711"/>
      <c r="F6" s="712"/>
      <c r="G6" s="713"/>
      <c r="H6" s="714"/>
      <c r="I6" s="288"/>
    </row>
    <row r="7" spans="1:9" ht="12.75" customHeight="1">
      <c r="A7" s="96" t="e">
        <f>PRESUPUESTO!#REF!</f>
        <v>#REF!</v>
      </c>
      <c r="B7" s="2185" t="e">
        <f>PRESUPUESTO!#REF!</f>
        <v>#REF!</v>
      </c>
      <c r="C7" s="2185"/>
      <c r="D7" s="2185"/>
      <c r="E7" s="2185"/>
      <c r="F7" s="289"/>
      <c r="G7" s="290" t="s">
        <v>525</v>
      </c>
      <c r="H7" s="97" t="e">
        <f>+PRESUPUESTO!#REF!</f>
        <v>#REF!</v>
      </c>
    </row>
    <row r="8" spans="1:9">
      <c r="A8" s="97" t="e">
        <f>+PRESUPUESTO!#REF!</f>
        <v>#REF!</v>
      </c>
      <c r="B8" s="2217" t="e">
        <f>+PRESUPUESTO!#REF!</f>
        <v>#REF!</v>
      </c>
      <c r="C8" s="2217"/>
      <c r="D8" s="2217"/>
      <c r="E8" s="2217"/>
      <c r="F8" s="291"/>
      <c r="G8" s="290"/>
      <c r="H8" s="97"/>
    </row>
    <row r="9" spans="1:9">
      <c r="A9" s="715"/>
      <c r="B9" s="720"/>
      <c r="C9" s="721"/>
      <c r="D9" s="722"/>
      <c r="E9" s="721"/>
      <c r="F9" s="723"/>
      <c r="G9" s="713"/>
      <c r="H9" s="714"/>
    </row>
    <row r="10" spans="1:9">
      <c r="A10" s="718"/>
      <c r="B10" s="724"/>
      <c r="C10" s="724"/>
      <c r="D10" s="724"/>
      <c r="E10" s="724"/>
      <c r="F10" s="724"/>
      <c r="G10" s="725"/>
      <c r="H10" s="725"/>
    </row>
    <row r="11" spans="1:9" ht="13.5" thickBot="1">
      <c r="A11" s="726" t="s">
        <v>526</v>
      </c>
      <c r="B11" s="726"/>
      <c r="C11" s="712"/>
      <c r="D11" s="727"/>
      <c r="E11" s="727"/>
      <c r="F11" s="727"/>
      <c r="G11" s="727"/>
      <c r="H11" s="727"/>
    </row>
    <row r="12" spans="1:9" ht="13.5" thickBot="1">
      <c r="A12" s="728" t="s">
        <v>527</v>
      </c>
      <c r="B12" s="729"/>
      <c r="C12" s="730" t="s">
        <v>521</v>
      </c>
      <c r="D12" s="731"/>
      <c r="E12" s="732" t="s">
        <v>515</v>
      </c>
      <c r="F12" s="733" t="s">
        <v>528</v>
      </c>
      <c r="G12" s="734" t="s">
        <v>832</v>
      </c>
      <c r="H12" s="735" t="s">
        <v>831</v>
      </c>
    </row>
    <row r="13" spans="1:9">
      <c r="A13" s="736" t="s">
        <v>966</v>
      </c>
      <c r="B13" s="737" t="str">
        <f t="shared" ref="B13:B18" si="0">IF(A13="","",VLOOKUP(A13,EQUI,2,FALSE))</f>
        <v>Herramienta Menor (5% de la mano de obra).</v>
      </c>
      <c r="C13" s="738"/>
      <c r="D13" s="738"/>
      <c r="E13" s="739" t="str">
        <f t="shared" ref="E13:E18" si="1">IF(A13="","",VLOOKUP(A13,EQUI,3,FALSE))</f>
        <v>%</v>
      </c>
      <c r="F13" s="740">
        <f>IF(A13="","",VLOOKUP(A13,EQUI,4,FALSE))</f>
        <v>0.05</v>
      </c>
      <c r="G13" s="741">
        <f>ROUND(F13*H50,0)</f>
        <v>41</v>
      </c>
      <c r="H13" s="742">
        <f>+G13</f>
        <v>41</v>
      </c>
      <c r="I13" s="743"/>
    </row>
    <row r="14" spans="1:9">
      <c r="A14" s="736" t="s">
        <v>1622</v>
      </c>
      <c r="B14" s="737" t="str">
        <f t="shared" si="0"/>
        <v>Equipo de topografía.</v>
      </c>
      <c r="C14" s="738"/>
      <c r="D14" s="738"/>
      <c r="E14" s="739" t="str">
        <f t="shared" si="1"/>
        <v>Día</v>
      </c>
      <c r="F14" s="744">
        <v>80</v>
      </c>
      <c r="G14" s="745">
        <f>IF(A14="","",VLOOKUP(A14,EQUI,4,FALSE))</f>
        <v>160000</v>
      </c>
      <c r="H14" s="746">
        <f>IF(A14="","",ROUND((G14/F14),0))</f>
        <v>2000</v>
      </c>
    </row>
    <row r="15" spans="1:9">
      <c r="A15" s="736"/>
      <c r="B15" s="737" t="str">
        <f t="shared" si="0"/>
        <v/>
      </c>
      <c r="C15" s="738"/>
      <c r="D15" s="738"/>
      <c r="E15" s="739" t="str">
        <f t="shared" si="1"/>
        <v/>
      </c>
      <c r="F15" s="744"/>
      <c r="G15" s="745" t="str">
        <f>IF(A15="","",VLOOKUP(A15,EQUI,4,FALSE))</f>
        <v/>
      </c>
      <c r="H15" s="746" t="str">
        <f>IF(A15="","",ROUND((G15/F15),0))</f>
        <v/>
      </c>
    </row>
    <row r="16" spans="1:9">
      <c r="A16" s="736"/>
      <c r="B16" s="737" t="str">
        <f t="shared" si="0"/>
        <v/>
      </c>
      <c r="C16" s="738"/>
      <c r="D16" s="738"/>
      <c r="E16" s="739" t="str">
        <f t="shared" si="1"/>
        <v/>
      </c>
      <c r="F16" s="744"/>
      <c r="G16" s="745" t="str">
        <f>IF(A16="","",VLOOKUP(A16,EQUI,4,FALSE))</f>
        <v/>
      </c>
      <c r="H16" s="746" t="str">
        <f>IF(A16="","",ROUND((G16/F16),0))</f>
        <v/>
      </c>
    </row>
    <row r="17" spans="1:8">
      <c r="A17" s="736"/>
      <c r="B17" s="737" t="str">
        <f t="shared" si="0"/>
        <v/>
      </c>
      <c r="C17" s="738"/>
      <c r="D17" s="738"/>
      <c r="E17" s="739" t="str">
        <f t="shared" si="1"/>
        <v/>
      </c>
      <c r="F17" s="744"/>
      <c r="G17" s="745" t="str">
        <f>IF(A17="","",VLOOKUP(A17,EQUI,4,FALSE))</f>
        <v/>
      </c>
      <c r="H17" s="746" t="str">
        <f>IF(A17="","",ROUND((G17/F17),0))</f>
        <v/>
      </c>
    </row>
    <row r="18" spans="1:8" ht="13.5" thickBot="1">
      <c r="A18" s="747"/>
      <c r="B18" s="748" t="str">
        <f t="shared" si="0"/>
        <v/>
      </c>
      <c r="C18" s="748"/>
      <c r="D18" s="749"/>
      <c r="E18" s="750" t="str">
        <f t="shared" si="1"/>
        <v/>
      </c>
      <c r="F18" s="751"/>
      <c r="G18" s="752" t="str">
        <f>IF(A18="","",VLOOKUP(A18,EQUI,4,FALSE))</f>
        <v/>
      </c>
      <c r="H18" s="746" t="str">
        <f>IF(A18="","",ROUND((G18/F18),0))</f>
        <v/>
      </c>
    </row>
    <row r="19" spans="1:8" ht="13.5" thickBot="1">
      <c r="A19" s="712"/>
      <c r="B19" s="712"/>
      <c r="C19" s="712"/>
      <c r="D19" s="712"/>
      <c r="E19" s="713"/>
      <c r="F19" s="712"/>
      <c r="G19" s="753" t="s">
        <v>529</v>
      </c>
      <c r="H19" s="754">
        <f>ROUND(SUM(H13:H18),0)</f>
        <v>2041</v>
      </c>
    </row>
    <row r="20" spans="1:8">
      <c r="A20" s="712"/>
      <c r="B20" s="712"/>
      <c r="C20" s="712"/>
      <c r="D20" s="712"/>
      <c r="E20" s="713"/>
      <c r="F20" s="712"/>
      <c r="G20" s="713"/>
      <c r="H20" s="755"/>
    </row>
    <row r="21" spans="1:8" ht="13.5" thickBot="1">
      <c r="A21" s="726" t="s">
        <v>530</v>
      </c>
      <c r="B21" s="726"/>
      <c r="C21" s="726"/>
      <c r="D21" s="726"/>
      <c r="E21" s="756"/>
      <c r="F21" s="749"/>
      <c r="G21" s="749"/>
      <c r="H21" s="749"/>
    </row>
    <row r="22" spans="1:8" ht="13.5" thickBot="1">
      <c r="A22" s="728" t="s">
        <v>527</v>
      </c>
      <c r="B22" s="729"/>
      <c r="C22" s="730" t="s">
        <v>521</v>
      </c>
      <c r="D22" s="730"/>
      <c r="E22" s="757" t="s">
        <v>515</v>
      </c>
      <c r="F22" s="758" t="s">
        <v>7</v>
      </c>
      <c r="G22" s="734" t="s">
        <v>832</v>
      </c>
      <c r="H22" s="735" t="s">
        <v>831</v>
      </c>
    </row>
    <row r="23" spans="1:8">
      <c r="A23" s="812" t="s">
        <v>2280</v>
      </c>
      <c r="B23" s="760" t="str">
        <f t="shared" ref="B23:B32" si="2">IF(A23="","",VLOOKUP(A23,MAT,2,FALSE))</f>
        <v>Puntilla variada</v>
      </c>
      <c r="C23" s="737"/>
      <c r="D23" s="738"/>
      <c r="E23" s="739" t="str">
        <f t="shared" ref="E23:E32" si="3">IF(A23="","",VLOOKUP(A23,MAT,3,FALSE))</f>
        <v>Lb</v>
      </c>
      <c r="F23" s="744">
        <v>0.08</v>
      </c>
      <c r="G23" s="745">
        <f t="shared" ref="G23:G32" si="4">IF(A23="","",VLOOKUP(A23,MAT,5,FALSE))</f>
        <v>2380</v>
      </c>
      <c r="H23" s="746">
        <f t="shared" ref="H23:H32" si="5">IF(A23="","",ROUND((G23*F23),0))</f>
        <v>190</v>
      </c>
    </row>
    <row r="24" spans="1:8">
      <c r="A24" s="759" t="s">
        <v>2281</v>
      </c>
      <c r="B24" s="760" t="str">
        <f t="shared" si="2"/>
        <v>Madera medio cerco</v>
      </c>
      <c r="C24" s="737"/>
      <c r="D24" s="738"/>
      <c r="E24" s="739" t="str">
        <f t="shared" si="3"/>
        <v>m</v>
      </c>
      <c r="F24" s="744">
        <v>0.2</v>
      </c>
      <c r="G24" s="745">
        <f t="shared" si="4"/>
        <v>2883</v>
      </c>
      <c r="H24" s="746">
        <f t="shared" si="5"/>
        <v>577</v>
      </c>
    </row>
    <row r="25" spans="1:8">
      <c r="A25" s="759"/>
      <c r="B25" s="760" t="str">
        <f t="shared" si="2"/>
        <v/>
      </c>
      <c r="C25" s="737"/>
      <c r="D25" s="738"/>
      <c r="E25" s="739" t="str">
        <f t="shared" si="3"/>
        <v/>
      </c>
      <c r="F25" s="744"/>
      <c r="G25" s="745" t="str">
        <f t="shared" si="4"/>
        <v/>
      </c>
      <c r="H25" s="746" t="str">
        <f t="shared" si="5"/>
        <v/>
      </c>
    </row>
    <row r="26" spans="1:8">
      <c r="A26" s="759"/>
      <c r="B26" s="737" t="str">
        <f t="shared" si="2"/>
        <v/>
      </c>
      <c r="C26" s="737"/>
      <c r="D26" s="738"/>
      <c r="E26" s="739" t="str">
        <f t="shared" si="3"/>
        <v/>
      </c>
      <c r="F26" s="744"/>
      <c r="G26" s="745" t="str">
        <f t="shared" si="4"/>
        <v/>
      </c>
      <c r="H26" s="746" t="str">
        <f t="shared" si="5"/>
        <v/>
      </c>
    </row>
    <row r="27" spans="1:8">
      <c r="A27" s="759"/>
      <c r="B27" s="737" t="str">
        <f t="shared" si="2"/>
        <v/>
      </c>
      <c r="C27" s="737"/>
      <c r="D27" s="738"/>
      <c r="E27" s="739" t="str">
        <f t="shared" si="3"/>
        <v/>
      </c>
      <c r="F27" s="744"/>
      <c r="G27" s="745" t="str">
        <f t="shared" si="4"/>
        <v/>
      </c>
      <c r="H27" s="746" t="str">
        <f t="shared" si="5"/>
        <v/>
      </c>
    </row>
    <row r="28" spans="1:8">
      <c r="A28" s="759"/>
      <c r="B28" s="737" t="str">
        <f t="shared" si="2"/>
        <v/>
      </c>
      <c r="C28" s="737"/>
      <c r="D28" s="738"/>
      <c r="E28" s="739" t="str">
        <f t="shared" si="3"/>
        <v/>
      </c>
      <c r="F28" s="744"/>
      <c r="G28" s="745" t="str">
        <f t="shared" si="4"/>
        <v/>
      </c>
      <c r="H28" s="746" t="str">
        <f t="shared" si="5"/>
        <v/>
      </c>
    </row>
    <row r="29" spans="1:8">
      <c r="A29" s="759"/>
      <c r="B29" s="737" t="str">
        <f t="shared" si="2"/>
        <v/>
      </c>
      <c r="C29" s="737"/>
      <c r="D29" s="738"/>
      <c r="E29" s="739" t="str">
        <f t="shared" si="3"/>
        <v/>
      </c>
      <c r="F29" s="744"/>
      <c r="G29" s="745" t="str">
        <f t="shared" si="4"/>
        <v/>
      </c>
      <c r="H29" s="746" t="str">
        <f t="shared" si="5"/>
        <v/>
      </c>
    </row>
    <row r="30" spans="1:8">
      <c r="A30" s="759"/>
      <c r="B30" s="737" t="str">
        <f t="shared" si="2"/>
        <v/>
      </c>
      <c r="C30" s="737"/>
      <c r="D30" s="738"/>
      <c r="E30" s="739" t="str">
        <f t="shared" si="3"/>
        <v/>
      </c>
      <c r="F30" s="744"/>
      <c r="G30" s="745" t="str">
        <f t="shared" si="4"/>
        <v/>
      </c>
      <c r="H30" s="746" t="str">
        <f t="shared" si="5"/>
        <v/>
      </c>
    </row>
    <row r="31" spans="1:8">
      <c r="A31" s="759"/>
      <c r="B31" s="737" t="str">
        <f t="shared" si="2"/>
        <v/>
      </c>
      <c r="C31" s="737"/>
      <c r="D31" s="738"/>
      <c r="E31" s="739" t="str">
        <f t="shared" si="3"/>
        <v/>
      </c>
      <c r="F31" s="744"/>
      <c r="G31" s="745" t="str">
        <f t="shared" si="4"/>
        <v/>
      </c>
      <c r="H31" s="746" t="str">
        <f t="shared" si="5"/>
        <v/>
      </c>
    </row>
    <row r="32" spans="1:8" ht="13.5" thickBot="1">
      <c r="A32" s="761"/>
      <c r="B32" s="762" t="str">
        <f t="shared" si="2"/>
        <v/>
      </c>
      <c r="C32" s="749"/>
      <c r="D32" s="749"/>
      <c r="E32" s="750" t="str">
        <f t="shared" si="3"/>
        <v/>
      </c>
      <c r="F32" s="763"/>
      <c r="G32" s="764" t="str">
        <f t="shared" si="4"/>
        <v/>
      </c>
      <c r="H32" s="746" t="str">
        <f t="shared" si="5"/>
        <v/>
      </c>
    </row>
    <row r="33" spans="1:8" ht="13.5" thickBot="1">
      <c r="A33" s="712"/>
      <c r="B33" s="712"/>
      <c r="C33" s="712"/>
      <c r="D33" s="712"/>
      <c r="E33" s="713"/>
      <c r="F33" s="712"/>
      <c r="G33" s="765" t="s">
        <v>529</v>
      </c>
      <c r="H33" s="766">
        <f>ROUND(SUM(H23:H32),0)</f>
        <v>767</v>
      </c>
    </row>
    <row r="34" spans="1:8">
      <c r="A34" s="712"/>
      <c r="B34" s="712"/>
      <c r="C34" s="712"/>
      <c r="D34" s="712"/>
      <c r="E34" s="713"/>
      <c r="F34" s="712"/>
      <c r="G34" s="713"/>
      <c r="H34" s="767"/>
    </row>
    <row r="35" spans="1:8" ht="13.5" thickBot="1">
      <c r="A35" s="726" t="s">
        <v>531</v>
      </c>
      <c r="B35" s="712"/>
      <c r="C35" s="712"/>
      <c r="D35" s="712"/>
      <c r="E35" s="713"/>
      <c r="F35" s="712"/>
      <c r="G35" s="713"/>
      <c r="H35" s="768"/>
    </row>
    <row r="36" spans="1:8" ht="13.5" thickBot="1">
      <c r="A36" s="728" t="s">
        <v>527</v>
      </c>
      <c r="B36" s="2230" t="s">
        <v>532</v>
      </c>
      <c r="C36" s="2231"/>
      <c r="D36" s="769" t="s">
        <v>821</v>
      </c>
      <c r="E36" s="769" t="s">
        <v>820</v>
      </c>
      <c r="F36" s="769" t="s">
        <v>823</v>
      </c>
      <c r="G36" s="769" t="s">
        <v>822</v>
      </c>
      <c r="H36" s="770" t="s">
        <v>831</v>
      </c>
    </row>
    <row r="37" spans="1:8">
      <c r="A37" s="813"/>
      <c r="B37" s="737"/>
      <c r="C37" s="814"/>
      <c r="D37" s="773"/>
      <c r="E37" s="774"/>
      <c r="F37" s="777"/>
      <c r="G37" s="776"/>
      <c r="H37" s="746"/>
    </row>
    <row r="38" spans="1:8">
      <c r="A38" s="771"/>
      <c r="B38" s="737" t="str">
        <f>IF(A38="","",VLOOKUP(A38,MAT,2,FALSE))</f>
        <v/>
      </c>
      <c r="C38" s="772"/>
      <c r="D38" s="773" t="str">
        <f>IF(A38="","",VLOOKUP(A38,MAT,3,FALSE))</f>
        <v/>
      </c>
      <c r="E38" s="774" t="str">
        <f>IF(A38="","",VLOOKUP(A38,MAT,6,FALSE))</f>
        <v/>
      </c>
      <c r="F38" s="777" t="str">
        <f>IF(A38="","",VLOOKUP(A38,$A$23:$H$32,6,FALSE))</f>
        <v/>
      </c>
      <c r="G38" s="776" t="str">
        <f>IF(A38="","",VLOOKUP(A38,MAT,7,FALSE))</f>
        <v/>
      </c>
      <c r="H38" s="746" t="str">
        <f>IF(A38="","",ROUND((G38*F38*E38),0))</f>
        <v/>
      </c>
    </row>
    <row r="39" spans="1:8">
      <c r="A39" s="771"/>
      <c r="B39" s="737" t="str">
        <f>IF(A39="","",VLOOKUP(A39,MAT,2,FALSE))</f>
        <v/>
      </c>
      <c r="C39" s="772"/>
      <c r="D39" s="773" t="str">
        <f>IF(A39="","",VLOOKUP(A39,MAT,3,FALSE))</f>
        <v/>
      </c>
      <c r="E39" s="774" t="str">
        <f>IF(A39="","",VLOOKUP(A39,MAT,6,FALSE))</f>
        <v/>
      </c>
      <c r="F39" s="777" t="str">
        <f>IF(A39="","",VLOOKUP(A39,$A$23:$H$32,6,FALSE))</f>
        <v/>
      </c>
      <c r="G39" s="776" t="str">
        <f>IF(A39="","",VLOOKUP(A39,MAT,7,FALSE))</f>
        <v/>
      </c>
      <c r="H39" s="746" t="str">
        <f>IF(A39="","",ROUND((G39*F39*E39),0))</f>
        <v/>
      </c>
    </row>
    <row r="40" spans="1:8">
      <c r="A40" s="778"/>
      <c r="B40" s="737" t="str">
        <f>IF(A40="","",VLOOKUP(A40,MAT,2,FALSE))</f>
        <v/>
      </c>
      <c r="D40" s="779" t="str">
        <f>IF(A40="","",VLOOKUP(A40,MAT,3,FALSE))</f>
        <v/>
      </c>
      <c r="E40" s="774" t="str">
        <f>IF(A40="","",VLOOKUP(A40,MAT,6,FALSE))</f>
        <v/>
      </c>
      <c r="F40" s="777" t="str">
        <f>IF(A40="","",VLOOKUP(A40,$A$23:$H$32,6,FALSE))</f>
        <v/>
      </c>
      <c r="G40" s="780" t="str">
        <f>IF(A40="","",VLOOKUP(A40,MAT,7,FALSE))</f>
        <v/>
      </c>
      <c r="H40" s="746" t="str">
        <f>IF(A40="","",ROUND((G40*F40*E40),0))</f>
        <v/>
      </c>
    </row>
    <row r="41" spans="1:8" ht="13.5" thickBot="1">
      <c r="A41" s="781"/>
      <c r="B41" s="710" t="str">
        <f>IF(A41="","",VLOOKUP(A41,MAT,2,FALSE))</f>
        <v/>
      </c>
      <c r="C41" s="710"/>
      <c r="D41" s="782" t="str">
        <f>IF(A41="","",VLOOKUP(A41,MAT,3,FALSE))</f>
        <v/>
      </c>
      <c r="E41" s="783" t="str">
        <f>IF(A41="","",VLOOKUP(A41,MAT,6,FALSE))</f>
        <v/>
      </c>
      <c r="F41" s="784" t="str">
        <f>IF(A41="","",VLOOKUP(A41,$A$23:$H$32,6,FALSE))</f>
        <v/>
      </c>
      <c r="G41" s="785" t="str">
        <f>IF(A41="","",VLOOKUP(A41,MAT,7,FALSE))</f>
        <v/>
      </c>
      <c r="H41" s="786" t="str">
        <f>IF(A41="","",ROUND((G41*F41*E41),0))</f>
        <v/>
      </c>
    </row>
    <row r="42" spans="1:8" ht="13.5" thickBot="1">
      <c r="E42" s="787"/>
      <c r="F42" s="788"/>
      <c r="G42" s="789" t="s">
        <v>529</v>
      </c>
      <c r="H42" s="790">
        <f>ROUND(SUM(H37:H41),0)</f>
        <v>0</v>
      </c>
    </row>
    <row r="43" spans="1:8">
      <c r="E43" s="787"/>
      <c r="F43" s="788"/>
      <c r="G43" s="713"/>
      <c r="H43" s="791"/>
    </row>
    <row r="44" spans="1:8" ht="13.5" thickBot="1">
      <c r="A44" s="726" t="s">
        <v>534</v>
      </c>
      <c r="B44" s="726"/>
      <c r="C44" s="726"/>
      <c r="D44" s="712"/>
      <c r="E44" s="713"/>
      <c r="F44" s="712"/>
      <c r="G44" s="712"/>
      <c r="H44" s="749"/>
    </row>
    <row r="45" spans="1:8" ht="13.5" thickBot="1">
      <c r="A45" s="728" t="s">
        <v>527</v>
      </c>
      <c r="B45" s="2232" t="s">
        <v>514</v>
      </c>
      <c r="C45" s="2233"/>
      <c r="D45" s="2234"/>
      <c r="E45" s="792" t="s">
        <v>515</v>
      </c>
      <c r="F45" s="792" t="s">
        <v>535</v>
      </c>
      <c r="G45" s="793" t="s">
        <v>944</v>
      </c>
      <c r="H45" s="770" t="s">
        <v>831</v>
      </c>
    </row>
    <row r="46" spans="1:8">
      <c r="A46" s="794" t="s">
        <v>908</v>
      </c>
      <c r="B46" s="2235" t="str">
        <f>IF(A46="","",VLOOKUP(A46,MO,2,FALSE))</f>
        <v>Cuadrilla II: Topografía. (1 Top. + 1 Aux.Top.+ 1 Cade.).</v>
      </c>
      <c r="C46" s="2236"/>
      <c r="D46" s="2237"/>
      <c r="E46" s="795" t="str">
        <f>IF(A46="","",VLOOKUP(A46,MO,13,FALSE))</f>
        <v>HC</v>
      </c>
      <c r="F46" s="796">
        <f>+F14</f>
        <v>80</v>
      </c>
      <c r="G46" s="797">
        <f>IF(A46="","",VLOOKUP(A46,MO,15,FALSE))</f>
        <v>65003</v>
      </c>
      <c r="H46" s="798">
        <f>IF(A46="","",ROUND((G46/F46),0))</f>
        <v>813</v>
      </c>
    </row>
    <row r="47" spans="1:8">
      <c r="A47" s="794"/>
      <c r="B47" s="2221" t="str">
        <f>IF(A47="","",VLOOKUP(A47,MO,2,FALSE))</f>
        <v/>
      </c>
      <c r="C47" s="2222"/>
      <c r="D47" s="2223"/>
      <c r="E47" s="795" t="str">
        <f>IF(A47="","",VLOOKUP(A47,MO,13,FALSE))</f>
        <v/>
      </c>
      <c r="F47" s="796"/>
      <c r="G47" s="797" t="str">
        <f>IF(A47="","",VLOOKUP(A47,MO,15,FALSE))</f>
        <v/>
      </c>
      <c r="H47" s="798" t="str">
        <f>IF(A47="","",ROUND((G47/F47),0))</f>
        <v/>
      </c>
    </row>
    <row r="48" spans="1:8">
      <c r="A48" s="794"/>
      <c r="B48" s="2221" t="str">
        <f>IF(A48="","",VLOOKUP(A48,MO,2,FALSE))</f>
        <v/>
      </c>
      <c r="C48" s="2222"/>
      <c r="D48" s="2223"/>
      <c r="E48" s="795" t="str">
        <f>IF(A48="","",VLOOKUP(A48,MO,13,FALSE))</f>
        <v/>
      </c>
      <c r="F48" s="796"/>
      <c r="G48" s="799" t="str">
        <f>IF(A48="","",VLOOKUP(A48,MO,15,FALSE))</f>
        <v/>
      </c>
      <c r="H48" s="798" t="str">
        <f>IF(A48="","",ROUND((G48/F48),0))</f>
        <v/>
      </c>
    </row>
    <row r="49" spans="1:8" ht="13.5" thickBot="1">
      <c r="A49" s="800"/>
      <c r="B49" s="2224" t="str">
        <f>IF(A49="","",VLOOKUP(A49,MO,2,FALSE))</f>
        <v/>
      </c>
      <c r="C49" s="2225"/>
      <c r="D49" s="2226"/>
      <c r="E49" s="801" t="str">
        <f>IF(A49="","",VLOOKUP(A49,MO,13,FALSE))</f>
        <v/>
      </c>
      <c r="F49" s="802"/>
      <c r="G49" s="803" t="str">
        <f>IF(A49="","",VLOOKUP(A49,MO,15,FALSE))</f>
        <v/>
      </c>
      <c r="H49" s="804" t="str">
        <f>IF(A49="","",ROUND((G49/F49),0))</f>
        <v/>
      </c>
    </row>
    <row r="50" spans="1:8" ht="13.5" thickBot="1">
      <c r="A50" s="712"/>
      <c r="B50" s="712"/>
      <c r="C50" s="712"/>
      <c r="D50" s="712"/>
      <c r="E50" s="713"/>
      <c r="F50" s="712"/>
      <c r="G50" s="753" t="s">
        <v>529</v>
      </c>
      <c r="H50" s="805">
        <f>ROUND(SUM(H46:H49),0)</f>
        <v>813</v>
      </c>
    </row>
    <row r="51" spans="1:8" ht="13.5" thickBot="1">
      <c r="A51" s="712"/>
      <c r="B51" s="712"/>
      <c r="C51" s="712"/>
      <c r="D51" s="712"/>
      <c r="E51" s="713"/>
      <c r="F51" s="712"/>
      <c r="G51" s="712"/>
      <c r="H51" s="712"/>
    </row>
    <row r="52" spans="1:8" ht="13.5" thickBot="1">
      <c r="A52" s="712"/>
      <c r="B52" s="712"/>
      <c r="C52" s="712"/>
      <c r="D52" s="712"/>
      <c r="E52" s="806" t="s">
        <v>536</v>
      </c>
      <c r="F52" s="807"/>
      <c r="G52" s="807"/>
      <c r="H52" s="808">
        <f>+ROUND(H19+H33+H42+H50,0)</f>
        <v>3621</v>
      </c>
    </row>
    <row r="53" spans="1:8">
      <c r="A53" s="712"/>
      <c r="B53" s="712"/>
      <c r="C53" s="712"/>
      <c r="D53" s="712"/>
      <c r="E53" s="806"/>
      <c r="F53" s="807"/>
      <c r="G53" s="807"/>
      <c r="H53" s="809"/>
    </row>
    <row r="54" spans="1:8">
      <c r="A54" s="712"/>
      <c r="B54" s="712"/>
      <c r="C54" s="712"/>
      <c r="D54" s="712"/>
      <c r="E54" s="806"/>
      <c r="F54" s="807"/>
      <c r="G54" s="807"/>
      <c r="H54" s="809"/>
    </row>
    <row r="55" spans="1:8">
      <c r="A55" s="712"/>
      <c r="B55" s="712"/>
      <c r="C55" s="712"/>
      <c r="D55" s="712"/>
      <c r="E55" s="806"/>
      <c r="F55" s="807"/>
      <c r="G55" s="807"/>
      <c r="H55" s="809"/>
    </row>
    <row r="56" spans="1:8">
      <c r="A56" s="712"/>
      <c r="B56" s="712"/>
      <c r="C56" s="712"/>
      <c r="D56" s="712"/>
      <c r="E56" s="806"/>
      <c r="F56" s="807"/>
      <c r="G56" s="807"/>
      <c r="H56" s="809"/>
    </row>
    <row r="57" spans="1:8">
      <c r="A57" s="712"/>
      <c r="B57" s="712"/>
      <c r="C57" s="712"/>
      <c r="D57" s="712"/>
      <c r="E57" s="806"/>
      <c r="F57" s="807"/>
      <c r="G57" s="807"/>
      <c r="H57" s="809"/>
    </row>
    <row r="59" spans="1:8">
      <c r="A59" s="703" t="str">
        <f>+[14]PRESUPUESTO!$A$113</f>
        <v>__________________________________________</v>
      </c>
    </row>
    <row r="60" spans="1:8">
      <c r="A60" s="810" t="str">
        <f>+[14]PRESUPUESTO!$A$114</f>
        <v>Ing. JHON FREDY GARCIA MENDEZ</v>
      </c>
    </row>
    <row r="61" spans="1:8">
      <c r="A61" s="811" t="str">
        <f>+[14]PRESUPUESTO!$A$115</f>
        <v>M.P.  70268-326294 TLM.</v>
      </c>
    </row>
    <row r="62" spans="1:8">
      <c r="A62" s="811" t="str">
        <f>+[14]PRESUPUESTO!$A$116</f>
        <v>CONSULTOR</v>
      </c>
    </row>
  </sheetData>
  <mergeCells count="15">
    <mergeCell ref="B47:D47"/>
    <mergeCell ref="B48:D48"/>
    <mergeCell ref="B49:D49"/>
    <mergeCell ref="B6:D6"/>
    <mergeCell ref="B7:E7"/>
    <mergeCell ref="B8:E8"/>
    <mergeCell ref="B36:C36"/>
    <mergeCell ref="B45:D45"/>
    <mergeCell ref="B46:D46"/>
    <mergeCell ref="D2:E4"/>
    <mergeCell ref="F2:H2"/>
    <mergeCell ref="F3:H3"/>
    <mergeCell ref="F4:H4"/>
    <mergeCell ref="A5:E5"/>
    <mergeCell ref="F5:H5"/>
  </mergeCells>
  <pageMargins left="0.75" right="0.75" top="1" bottom="1" header="0" footer="0"/>
  <pageSetup paperSize="9" scale="70" orientation="portrait" r:id="rId1"/>
  <headerFooter alignWithMargins="0"/>
  <drawing r:id="rId2"/>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500-000000000000}">
  <sheetPr>
    <tabColor theme="6" tint="0.79998168889431442"/>
  </sheetPr>
  <dimension ref="A1:I62"/>
  <sheetViews>
    <sheetView workbookViewId="0"/>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2.710937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t="e">
        <f>PRESUPUESTO!#REF!</f>
        <v>#REF!</v>
      </c>
      <c r="B7" s="2185" t="e">
        <f>PRESUPUESTO!#REF!</f>
        <v>#REF!</v>
      </c>
      <c r="C7" s="2185"/>
      <c r="D7" s="2185"/>
      <c r="E7" s="2185"/>
      <c r="F7" s="289"/>
      <c r="G7" s="290" t="s">
        <v>525</v>
      </c>
      <c r="H7" s="97" t="e">
        <f>+PRESUPUESTO!#REF!</f>
        <v>#REF!</v>
      </c>
    </row>
    <row r="8" spans="1:9">
      <c r="A8" s="97" t="e">
        <f>+PRESUPUESTO!#REF!</f>
        <v>#REF!</v>
      </c>
      <c r="B8" s="2217" t="e">
        <f>+PRESUPUESTO!#REF!</f>
        <v>#REF!</v>
      </c>
      <c r="C8" s="2217"/>
      <c r="D8" s="2217"/>
      <c r="E8" s="221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v>3</v>
      </c>
      <c r="H12" s="278" t="s">
        <v>831</v>
      </c>
    </row>
    <row r="13" spans="1:9">
      <c r="A13" s="536" t="s">
        <v>966</v>
      </c>
      <c r="B13" s="305" t="str">
        <f t="shared" ref="B13:B18" si="0">IF(A13="","",VLOOKUP(A13,EQUI,2,FALSE))</f>
        <v>Herramienta Menor (5% de la mano de obra).</v>
      </c>
      <c r="C13" s="306"/>
      <c r="D13" s="306"/>
      <c r="E13" s="276" t="str">
        <f t="shared" ref="E13:E18" si="1">IF(A13="","",VLOOKUP(A13,EQUI,3,FALSE))</f>
        <v>%</v>
      </c>
      <c r="F13" s="433">
        <f>IF(A13="","",VLOOKUP(A13,EQUI,4,FALSE))</f>
        <v>0.05</v>
      </c>
      <c r="G13" s="307">
        <f>ROUND(F13*H50,0)</f>
        <v>3895</v>
      </c>
      <c r="H13" s="308">
        <f>+G13</f>
        <v>3895</v>
      </c>
      <c r="I13" s="309"/>
    </row>
    <row r="14" spans="1:9">
      <c r="A14" s="536"/>
      <c r="B14" s="305" t="str">
        <f t="shared" si="0"/>
        <v/>
      </c>
      <c r="C14" s="306"/>
      <c r="D14" s="306"/>
      <c r="E14" s="276" t="str">
        <f t="shared" si="1"/>
        <v/>
      </c>
      <c r="F14" s="405"/>
      <c r="G14" s="310" t="str">
        <f>IF(A14="","",VLOOKUP(A14,EQUI,4,FALSE))</f>
        <v/>
      </c>
      <c r="H14" s="311" t="str">
        <f>IF(A14="","",ROUND((G14/F14),0))</f>
        <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3895</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c r="B23" s="353" t="str">
        <f t="shared" ref="B23:B32" si="2">IF(A23="","",VLOOKUP(A23,MAT,2,FALSE))</f>
        <v/>
      </c>
      <c r="C23" s="305"/>
      <c r="D23" s="306"/>
      <c r="E23" s="276" t="str">
        <f t="shared" ref="E23:E32" si="3">IF(A23="","",VLOOKUP(A23,MAT,3,FALSE))</f>
        <v/>
      </c>
      <c r="F23" s="405"/>
      <c r="G23" s="310" t="str">
        <f t="shared" ref="G23:G32" si="4">IF(A23="","",VLOOKUP(A23,MAT,5,FALSE))</f>
        <v/>
      </c>
      <c r="H23" s="311" t="str">
        <f t="shared" ref="H23:H32" si="5">IF(A23="","",ROUND((G23*F23),0))</f>
        <v/>
      </c>
    </row>
    <row r="24" spans="1:8">
      <c r="A24" s="534"/>
      <c r="B24" s="353" t="str">
        <f t="shared" si="2"/>
        <v/>
      </c>
      <c r="C24" s="305"/>
      <c r="D24" s="306"/>
      <c r="E24" s="276" t="str">
        <f t="shared" si="3"/>
        <v/>
      </c>
      <c r="F24" s="405"/>
      <c r="G24" s="310" t="str">
        <f t="shared" si="4"/>
        <v/>
      </c>
      <c r="H24" s="311" t="str">
        <f t="shared" si="5"/>
        <v/>
      </c>
    </row>
    <row r="25" spans="1:8">
      <c r="A25" s="534"/>
      <c r="B25" s="353" t="str">
        <f t="shared" si="2"/>
        <v/>
      </c>
      <c r="C25" s="305"/>
      <c r="D25" s="306"/>
      <c r="E25" s="276" t="str">
        <f t="shared" si="3"/>
        <v/>
      </c>
      <c r="F25" s="405"/>
      <c r="G25" s="310" t="str">
        <f t="shared" si="4"/>
        <v/>
      </c>
      <c r="H25" s="311" t="str">
        <f t="shared" si="5"/>
        <v/>
      </c>
    </row>
    <row r="26" spans="1:8">
      <c r="A26" s="534"/>
      <c r="B26" s="305" t="str">
        <f t="shared" si="2"/>
        <v/>
      </c>
      <c r="C26" s="305"/>
      <c r="D26" s="306"/>
      <c r="E26" s="276" t="str">
        <f t="shared" si="3"/>
        <v/>
      </c>
      <c r="F26" s="405"/>
      <c r="G26" s="310" t="str">
        <f t="shared" si="4"/>
        <v/>
      </c>
      <c r="H26" s="311" t="str">
        <f t="shared" si="5"/>
        <v/>
      </c>
    </row>
    <row r="27" spans="1:8">
      <c r="A27" s="534"/>
      <c r="B27" s="305" t="str">
        <f t="shared" si="2"/>
        <v/>
      </c>
      <c r="C27" s="305"/>
      <c r="D27" s="306"/>
      <c r="E27" s="276" t="str">
        <f t="shared" si="3"/>
        <v/>
      </c>
      <c r="F27" s="405"/>
      <c r="G27" s="310" t="str">
        <f t="shared" si="4"/>
        <v/>
      </c>
      <c r="H27" s="311" t="str">
        <f t="shared" si="5"/>
        <v/>
      </c>
    </row>
    <row r="28" spans="1:8">
      <c r="A28" s="534"/>
      <c r="B28" s="305" t="str">
        <f t="shared" si="2"/>
        <v/>
      </c>
      <c r="C28" s="305"/>
      <c r="D28" s="306"/>
      <c r="E28" s="276" t="str">
        <f t="shared" si="3"/>
        <v/>
      </c>
      <c r="F28" s="405"/>
      <c r="G28" s="310" t="str">
        <f t="shared" si="4"/>
        <v/>
      </c>
      <c r="H28" s="311" t="str">
        <f t="shared" si="5"/>
        <v/>
      </c>
    </row>
    <row r="29" spans="1:8">
      <c r="A29" s="534"/>
      <c r="B29" s="305" t="str">
        <f t="shared" si="2"/>
        <v/>
      </c>
      <c r="C29" s="305"/>
      <c r="D29" s="306"/>
      <c r="E29" s="276" t="str">
        <f t="shared" si="3"/>
        <v/>
      </c>
      <c r="F29" s="405"/>
      <c r="G29" s="310" t="str">
        <f t="shared" si="4"/>
        <v/>
      </c>
      <c r="H29" s="311" t="str">
        <f t="shared" si="5"/>
        <v/>
      </c>
    </row>
    <row r="30" spans="1:8">
      <c r="A30" s="534"/>
      <c r="B30" s="305" t="str">
        <f t="shared" si="2"/>
        <v/>
      </c>
      <c r="C30" s="305"/>
      <c r="D30" s="306"/>
      <c r="E30" s="276" t="str">
        <f t="shared" si="3"/>
        <v/>
      </c>
      <c r="F30" s="405"/>
      <c r="G30" s="310" t="str">
        <f t="shared" si="4"/>
        <v/>
      </c>
      <c r="H30" s="311" t="str">
        <f t="shared" si="5"/>
        <v/>
      </c>
    </row>
    <row r="31" spans="1:8">
      <c r="A31" s="534"/>
      <c r="B31" s="305" t="str">
        <f t="shared" si="2"/>
        <v/>
      </c>
      <c r="C31" s="305"/>
      <c r="D31" s="306"/>
      <c r="E31" s="276" t="str">
        <f t="shared" si="3"/>
        <v/>
      </c>
      <c r="F31" s="405"/>
      <c r="G31" s="310" t="str">
        <f t="shared" si="4"/>
        <v/>
      </c>
      <c r="H31" s="311" t="str">
        <f t="shared" si="5"/>
        <v/>
      </c>
    </row>
    <row r="32" spans="1:8" ht="13.5" thickBot="1">
      <c r="A32" s="535"/>
      <c r="B32" s="326" t="str">
        <f t="shared" si="2"/>
        <v/>
      </c>
      <c r="C32" s="314"/>
      <c r="D32" s="314"/>
      <c r="E32" s="315" t="str">
        <f t="shared" si="3"/>
        <v/>
      </c>
      <c r="F32" s="406"/>
      <c r="G32" s="327" t="str">
        <f t="shared" si="4"/>
        <v/>
      </c>
      <c r="H32" s="311" t="str">
        <f t="shared" si="5"/>
        <v/>
      </c>
    </row>
    <row r="33" spans="1:8" ht="13.5" thickBot="1">
      <c r="A33" s="285"/>
      <c r="B33" s="285"/>
      <c r="C33" s="285"/>
      <c r="D33" s="285"/>
      <c r="E33" s="286"/>
      <c r="F33" s="285"/>
      <c r="G33" s="210" t="s">
        <v>529</v>
      </c>
      <c r="H33" s="328">
        <f>ROUND(SUM(H23:H32),0)</f>
        <v>0</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546"/>
      <c r="B37" s="305" t="str">
        <f>IF(A37="","",VLOOKUP(A37,MAT,2,FALSE))</f>
        <v/>
      </c>
      <c r="C37" s="333"/>
      <c r="D37" s="409" t="str">
        <f>IF(A37="","",VLOOKUP(A37,MAT,3,FALSE))</f>
        <v/>
      </c>
      <c r="E37" s="419" t="str">
        <f>IF(A37="","",VLOOKUP(A37,MAT,6,FALSE))</f>
        <v/>
      </c>
      <c r="F37" s="413"/>
      <c r="G37" s="334" t="str">
        <f>IF(A37="","",VLOOKUP(A37,MAT,7,FALSE))</f>
        <v/>
      </c>
      <c r="H37" s="311" t="str">
        <f>IF(A37="","",ROUND((G37*F37*E37),0))</f>
        <v/>
      </c>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t="str">
        <f>IF(A39="","",ROUND((G39*F39*E39),0))</f>
        <v/>
      </c>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0</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883</v>
      </c>
      <c r="B46" s="2192" t="str">
        <f>IF(A46="","",VLOOKUP(A46,MO,2,FALSE))</f>
        <v>Cuadrilla AA: Albañilería. (1 Of. + 1 Ayud.).</v>
      </c>
      <c r="C46" s="2193"/>
      <c r="D46" s="2194"/>
      <c r="E46" s="538" t="str">
        <f>IF(A46="","",VLOOKUP(A46,MO,13,FALSE))</f>
        <v>HC</v>
      </c>
      <c r="F46" s="544">
        <v>0.5</v>
      </c>
      <c r="G46" s="540">
        <f>IF(A46="","",VLOOKUP(A46,MO,15,FALSE))</f>
        <v>38949</v>
      </c>
      <c r="H46" s="542">
        <f>IF(A46="","",ROUND((G46/F46),0))</f>
        <v>77898</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77898</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81793</v>
      </c>
    </row>
    <row r="53" spans="1:8">
      <c r="A53" s="285"/>
      <c r="B53" s="285"/>
      <c r="C53" s="285"/>
      <c r="D53" s="285"/>
      <c r="E53" s="346"/>
      <c r="F53" s="347"/>
      <c r="G53" s="347"/>
      <c r="H53" s="349"/>
    </row>
    <row r="54" spans="1:8">
      <c r="A54" s="285"/>
      <c r="B54" s="285"/>
      <c r="C54" s="285"/>
      <c r="D54" s="285"/>
      <c r="E54" s="346"/>
      <c r="F54" s="347"/>
      <c r="G54" s="347"/>
      <c r="H54" s="349"/>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c r="A59" s="703" t="str">
        <f>+[14]PRESUPUESTO!$A$113</f>
        <v>__________________________________________</v>
      </c>
      <c r="B59" s="703"/>
    </row>
    <row r="60" spans="1:8">
      <c r="A60" s="810" t="str">
        <f>+[14]PRESUPUESTO!$A$114</f>
        <v>Ing. JHON FREDY GARCIA MENDEZ</v>
      </c>
      <c r="B60" s="703"/>
    </row>
    <row r="61" spans="1:8">
      <c r="A61" s="811" t="str">
        <f>+[14]PRESUPUESTO!$A$115</f>
        <v>M.P.  70268-326294 TLM.</v>
      </c>
      <c r="B61" s="703"/>
    </row>
    <row r="62" spans="1:8">
      <c r="A62" s="811" t="str">
        <f>+[14]PRESUPUESTO!$A$116</f>
        <v>CONSULTOR</v>
      </c>
      <c r="B62" s="703"/>
    </row>
  </sheetData>
  <mergeCells count="15">
    <mergeCell ref="B47:D47"/>
    <mergeCell ref="B48:D48"/>
    <mergeCell ref="B49:D49"/>
    <mergeCell ref="B6:D6"/>
    <mergeCell ref="B7:E7"/>
    <mergeCell ref="B8:E8"/>
    <mergeCell ref="B36:C36"/>
    <mergeCell ref="B45:D45"/>
    <mergeCell ref="B46:D46"/>
    <mergeCell ref="D2:E4"/>
    <mergeCell ref="F2:H2"/>
    <mergeCell ref="F3:H3"/>
    <mergeCell ref="F4:H4"/>
    <mergeCell ref="A5:E5"/>
    <mergeCell ref="F5:H5"/>
  </mergeCells>
  <pageMargins left="0.75" right="0.75" top="1" bottom="1" header="0" footer="0"/>
  <pageSetup paperSize="9" scale="70" orientation="portrait" r:id="rId1"/>
  <headerFooter alignWithMargins="0"/>
  <drawing r:id="rId2"/>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600-000000000000}">
  <sheetPr>
    <tabColor theme="6" tint="0.79998168889431442"/>
  </sheetPr>
  <dimension ref="A1:I62"/>
  <sheetViews>
    <sheetView workbookViewId="0"/>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2.710937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t="e">
        <f>PRESUPUESTO!#REF!</f>
        <v>#REF!</v>
      </c>
      <c r="B7" s="2185" t="e">
        <f>PRESUPUESTO!#REF!</f>
        <v>#REF!</v>
      </c>
      <c r="C7" s="2185"/>
      <c r="D7" s="2185"/>
      <c r="E7" s="2185"/>
      <c r="F7" s="289"/>
      <c r="G7" s="290" t="s">
        <v>525</v>
      </c>
      <c r="H7" s="97" t="e">
        <f>+PRESUPUESTO!#REF!</f>
        <v>#REF!</v>
      </c>
    </row>
    <row r="8" spans="1:9" ht="26.25" customHeight="1">
      <c r="A8" s="97" t="e">
        <f>+PRESUPUESTO!#REF!</f>
        <v>#REF!</v>
      </c>
      <c r="B8" s="2273" t="e">
        <f>+PRESUPUESTO!#REF!</f>
        <v>#REF!</v>
      </c>
      <c r="C8" s="2217"/>
      <c r="D8" s="2217"/>
      <c r="E8" s="221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966</v>
      </c>
      <c r="B13" s="305" t="str">
        <f t="shared" ref="B13:B18" si="0">IF(A13="","",VLOOKUP(A13,EQUI,2,FALSE))</f>
        <v>Herramienta Menor (5% de la mano de obra).</v>
      </c>
      <c r="C13" s="306"/>
      <c r="D13" s="306"/>
      <c r="E13" s="276" t="str">
        <f t="shared" ref="E13:E18" si="1">IF(A13="","",VLOOKUP(A13,EQUI,3,FALSE))</f>
        <v>%</v>
      </c>
      <c r="F13" s="433">
        <f>IF(A13="","",VLOOKUP(A13,EQUI,4,FALSE))</f>
        <v>0.05</v>
      </c>
      <c r="G13" s="307">
        <f>ROUND(F13*H50,0)</f>
        <v>1146</v>
      </c>
      <c r="H13" s="308">
        <f>+G13</f>
        <v>1146</v>
      </c>
      <c r="I13" s="309"/>
    </row>
    <row r="14" spans="1:9">
      <c r="A14" s="536" t="s">
        <v>481</v>
      </c>
      <c r="B14" s="305" t="str">
        <f t="shared" si="0"/>
        <v>Apisonador tipo canguro</v>
      </c>
      <c r="C14" s="306"/>
      <c r="D14" s="306"/>
      <c r="E14" s="276" t="str">
        <f t="shared" si="1"/>
        <v>Dia</v>
      </c>
      <c r="F14" s="405">
        <v>20</v>
      </c>
      <c r="G14" s="310">
        <f>IF(A14="","",VLOOKUP(A14,EQUI,4,FALSE))</f>
        <v>95693</v>
      </c>
      <c r="H14" s="311">
        <f>IF(A14="","",ROUND((G14/F14),0))</f>
        <v>4785</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5931</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t="s">
        <v>563</v>
      </c>
      <c r="B23" s="353" t="str">
        <f t="shared" ref="B23:B32" si="2">IF(A23="","",VLOOKUP(A23,MAT,2,FALSE))</f>
        <v>Recebo granular seleccionado IP&lt;10%.</v>
      </c>
      <c r="C23" s="305"/>
      <c r="D23" s="306"/>
      <c r="E23" s="276" t="str">
        <f t="shared" ref="E23:E32" si="3">IF(A23="","",VLOOKUP(A23,MAT,3,FALSE))</f>
        <v>m3</v>
      </c>
      <c r="F23" s="405">
        <v>1.25</v>
      </c>
      <c r="G23" s="310">
        <f t="shared" ref="G23:G32" si="4">IF(A23="","",VLOOKUP(A23,MAT,5,FALSE))</f>
        <v>102340</v>
      </c>
      <c r="H23" s="311">
        <f t="shared" ref="H23:H32" si="5">IF(A23="","",ROUND((G23*F23),0))</f>
        <v>127925</v>
      </c>
    </row>
    <row r="24" spans="1:8">
      <c r="A24" s="534"/>
      <c r="B24" s="353" t="str">
        <f t="shared" si="2"/>
        <v/>
      </c>
      <c r="C24" s="305"/>
      <c r="D24" s="306"/>
      <c r="E24" s="276" t="str">
        <f t="shared" si="3"/>
        <v/>
      </c>
      <c r="F24" s="405"/>
      <c r="G24" s="310" t="str">
        <f t="shared" si="4"/>
        <v/>
      </c>
      <c r="H24" s="311" t="str">
        <f t="shared" si="5"/>
        <v/>
      </c>
    </row>
    <row r="25" spans="1:8">
      <c r="A25" s="534"/>
      <c r="B25" s="353" t="str">
        <f t="shared" si="2"/>
        <v/>
      </c>
      <c r="C25" s="305"/>
      <c r="D25" s="306"/>
      <c r="E25" s="276" t="str">
        <f t="shared" si="3"/>
        <v/>
      </c>
      <c r="F25" s="405"/>
      <c r="G25" s="310" t="str">
        <f t="shared" si="4"/>
        <v/>
      </c>
      <c r="H25" s="311" t="str">
        <f t="shared" si="5"/>
        <v/>
      </c>
    </row>
    <row r="26" spans="1:8">
      <c r="A26" s="534"/>
      <c r="B26" s="305" t="str">
        <f t="shared" si="2"/>
        <v/>
      </c>
      <c r="C26" s="305"/>
      <c r="D26" s="306"/>
      <c r="E26" s="276" t="str">
        <f t="shared" si="3"/>
        <v/>
      </c>
      <c r="F26" s="405"/>
      <c r="G26" s="310" t="str">
        <f t="shared" si="4"/>
        <v/>
      </c>
      <c r="H26" s="311" t="str">
        <f t="shared" si="5"/>
        <v/>
      </c>
    </row>
    <row r="27" spans="1:8">
      <c r="A27" s="534"/>
      <c r="B27" s="305" t="str">
        <f t="shared" si="2"/>
        <v/>
      </c>
      <c r="C27" s="305"/>
      <c r="D27" s="306"/>
      <c r="E27" s="276" t="str">
        <f t="shared" si="3"/>
        <v/>
      </c>
      <c r="F27" s="405"/>
      <c r="G27" s="310" t="str">
        <f t="shared" si="4"/>
        <v/>
      </c>
      <c r="H27" s="311" t="str">
        <f t="shared" si="5"/>
        <v/>
      </c>
    </row>
    <row r="28" spans="1:8">
      <c r="A28" s="534"/>
      <c r="B28" s="305" t="str">
        <f t="shared" si="2"/>
        <v/>
      </c>
      <c r="C28" s="305"/>
      <c r="D28" s="306"/>
      <c r="E28" s="276" t="str">
        <f t="shared" si="3"/>
        <v/>
      </c>
      <c r="F28" s="405"/>
      <c r="G28" s="310" t="str">
        <f t="shared" si="4"/>
        <v/>
      </c>
      <c r="H28" s="311" t="str">
        <f t="shared" si="5"/>
        <v/>
      </c>
    </row>
    <row r="29" spans="1:8">
      <c r="A29" s="534"/>
      <c r="B29" s="305" t="str">
        <f t="shared" si="2"/>
        <v/>
      </c>
      <c r="C29" s="305"/>
      <c r="D29" s="306"/>
      <c r="E29" s="276" t="str">
        <f t="shared" si="3"/>
        <v/>
      </c>
      <c r="F29" s="405"/>
      <c r="G29" s="310" t="str">
        <f t="shared" si="4"/>
        <v/>
      </c>
      <c r="H29" s="311" t="str">
        <f t="shared" si="5"/>
        <v/>
      </c>
    </row>
    <row r="30" spans="1:8">
      <c r="A30" s="534"/>
      <c r="B30" s="305" t="str">
        <f t="shared" si="2"/>
        <v/>
      </c>
      <c r="C30" s="305"/>
      <c r="D30" s="306"/>
      <c r="E30" s="276" t="str">
        <f t="shared" si="3"/>
        <v/>
      </c>
      <c r="F30" s="405"/>
      <c r="G30" s="310" t="str">
        <f t="shared" si="4"/>
        <v/>
      </c>
      <c r="H30" s="311" t="str">
        <f t="shared" si="5"/>
        <v/>
      </c>
    </row>
    <row r="31" spans="1:8">
      <c r="A31" s="534"/>
      <c r="B31" s="305" t="str">
        <f t="shared" si="2"/>
        <v/>
      </c>
      <c r="C31" s="305"/>
      <c r="D31" s="306"/>
      <c r="E31" s="276" t="str">
        <f t="shared" si="3"/>
        <v/>
      </c>
      <c r="F31" s="405"/>
      <c r="G31" s="310" t="str">
        <f t="shared" si="4"/>
        <v/>
      </c>
      <c r="H31" s="311" t="str">
        <f t="shared" si="5"/>
        <v/>
      </c>
    </row>
    <row r="32" spans="1:8" ht="13.5" thickBot="1">
      <c r="A32" s="535"/>
      <c r="B32" s="326" t="str">
        <f t="shared" si="2"/>
        <v/>
      </c>
      <c r="C32" s="314"/>
      <c r="D32" s="314"/>
      <c r="E32" s="315" t="str">
        <f t="shared" si="3"/>
        <v/>
      </c>
      <c r="F32" s="406"/>
      <c r="G32" s="327" t="str">
        <f t="shared" si="4"/>
        <v/>
      </c>
      <c r="H32" s="311" t="str">
        <f t="shared" si="5"/>
        <v/>
      </c>
    </row>
    <row r="33" spans="1:8" ht="13.5" thickBot="1">
      <c r="A33" s="285"/>
      <c r="B33" s="285"/>
      <c r="C33" s="285"/>
      <c r="D33" s="285"/>
      <c r="E33" s="286"/>
      <c r="F33" s="285"/>
      <c r="G33" s="210" t="s">
        <v>529</v>
      </c>
      <c r="H33" s="328">
        <f>ROUND(SUM(H23:H32),0)</f>
        <v>127925</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546" t="str">
        <f>+A23</f>
        <v>REC</v>
      </c>
      <c r="B37" s="305" t="str">
        <f>IF(A37="","",VLOOKUP(A37,MAT,2,FALSE))</f>
        <v>Recebo granular seleccionado IP&lt;10%.</v>
      </c>
      <c r="C37" s="333"/>
      <c r="D37" s="409" t="str">
        <f>IF(A37="","",VLOOKUP(A37,MAT,3,FALSE))</f>
        <v>m3</v>
      </c>
      <c r="E37" s="419">
        <f>IF(A37="","",VLOOKUP(A37,MAT,6,FALSE))</f>
        <v>60.5</v>
      </c>
      <c r="F37" s="413">
        <v>1.03</v>
      </c>
      <c r="G37" s="334">
        <f>IF(A37="","",VLOOKUP(A37,MAT,7,FALSE))</f>
        <v>1500</v>
      </c>
      <c r="H37" s="311">
        <f>IF(A37="","",ROUND((G37*F37*E37),0))</f>
        <v>93473</v>
      </c>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t="str">
        <f>IF(A39="","",ROUND((G39*F39*E39),0))</f>
        <v/>
      </c>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93473</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883</v>
      </c>
      <c r="B46" s="2192" t="str">
        <f>IF(A46="","",VLOOKUP(A46,MO,2,FALSE))</f>
        <v>Cuadrilla AA: Albañilería. (1 Of. + 1 Ayud.).</v>
      </c>
      <c r="C46" s="2193"/>
      <c r="D46" s="2194"/>
      <c r="E46" s="538" t="str">
        <f>IF(A46="","",VLOOKUP(A46,MO,13,FALSE))</f>
        <v>HC</v>
      </c>
      <c r="F46" s="544">
        <v>1.7</v>
      </c>
      <c r="G46" s="540">
        <f>IF(A46="","",VLOOKUP(A46,MO,15,FALSE))</f>
        <v>38949</v>
      </c>
      <c r="H46" s="542">
        <f>IF(A46="","",ROUND((G46/F46),0))</f>
        <v>22911</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22911</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250240</v>
      </c>
    </row>
    <row r="53" spans="1:8">
      <c r="A53" s="285"/>
      <c r="B53" s="285"/>
      <c r="C53" s="285"/>
      <c r="D53" s="285"/>
      <c r="E53" s="346"/>
      <c r="F53" s="347"/>
      <c r="G53" s="347"/>
      <c r="H53" s="349"/>
    </row>
    <row r="54" spans="1:8">
      <c r="A54" s="285"/>
      <c r="B54" s="285"/>
      <c r="C54" s="285"/>
      <c r="D54" s="285"/>
      <c r="E54" s="346"/>
      <c r="F54" s="347"/>
      <c r="G54" s="347"/>
      <c r="H54" s="349"/>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c r="A59" s="703" t="str">
        <f>+[14]PRESUPUESTO!$A$113</f>
        <v>__________________________________________</v>
      </c>
      <c r="B59" s="703"/>
    </row>
    <row r="60" spans="1:8">
      <c r="A60" s="810" t="str">
        <f>+[14]PRESUPUESTO!$A$114</f>
        <v>Ing. JHON FREDY GARCIA MENDEZ</v>
      </c>
      <c r="B60" s="703"/>
    </row>
    <row r="61" spans="1:8">
      <c r="A61" s="811" t="str">
        <f>+[14]PRESUPUESTO!$A$115</f>
        <v>M.P.  70268-326294 TLM.</v>
      </c>
      <c r="B61" s="703"/>
    </row>
    <row r="62" spans="1:8">
      <c r="A62" s="811" t="str">
        <f>+[14]PRESUPUESTO!$A$116</f>
        <v>CONSULTOR</v>
      </c>
      <c r="B62" s="703"/>
    </row>
  </sheetData>
  <mergeCells count="15">
    <mergeCell ref="B47:D47"/>
    <mergeCell ref="B48:D48"/>
    <mergeCell ref="B49:D49"/>
    <mergeCell ref="B6:D6"/>
    <mergeCell ref="B7:E7"/>
    <mergeCell ref="B8:E8"/>
    <mergeCell ref="B36:C36"/>
    <mergeCell ref="B45:D45"/>
    <mergeCell ref="B46:D46"/>
    <mergeCell ref="D2:E4"/>
    <mergeCell ref="F2:H2"/>
    <mergeCell ref="F3:H3"/>
    <mergeCell ref="F4:H4"/>
    <mergeCell ref="A5:E5"/>
    <mergeCell ref="F5:H5"/>
  </mergeCells>
  <pageMargins left="0.75" right="0.75" top="1" bottom="1" header="0" footer="0"/>
  <pageSetup paperSize="9" scale="70" orientation="portrait" r:id="rId1"/>
  <headerFooter alignWithMargins="0"/>
  <drawing r:id="rId2"/>
</worksheet>
</file>

<file path=xl/worksheets/sheet1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700-000000000000}">
  <sheetPr>
    <tabColor theme="6" tint="0.79998168889431442"/>
  </sheetPr>
  <dimension ref="A1:I62"/>
  <sheetViews>
    <sheetView workbookViewId="0"/>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4.570312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t="e">
        <f>PRESUPUESTO!#REF!</f>
        <v>#REF!</v>
      </c>
      <c r="B7" s="2185" t="e">
        <f>PRESUPUESTO!#REF!</f>
        <v>#REF!</v>
      </c>
      <c r="C7" s="2185"/>
      <c r="D7" s="2185"/>
      <c r="E7" s="2185"/>
      <c r="F7" s="289"/>
      <c r="G7" s="290" t="s">
        <v>525</v>
      </c>
      <c r="H7" s="97" t="e">
        <f>+PRESUPUESTO!#REF!</f>
        <v>#REF!</v>
      </c>
    </row>
    <row r="8" spans="1:9">
      <c r="A8" s="97" t="e">
        <f>+PRESUPUESTO!#REF!</f>
        <v>#REF!</v>
      </c>
      <c r="B8" s="2272" t="e">
        <f>+PRESUPUESTO!#REF!</f>
        <v>#REF!</v>
      </c>
      <c r="C8" s="2257"/>
      <c r="D8" s="2257"/>
      <c r="E8" s="225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967</v>
      </c>
      <c r="B13" s="305" t="str">
        <f t="shared" ref="B13:B18" si="0">IF(A13="","",VLOOKUP(A13,EQUI,2,FALSE))</f>
        <v>Herramienta Menor (10% de la mano de obra).</v>
      </c>
      <c r="C13" s="306"/>
      <c r="D13" s="306"/>
      <c r="E13" s="276" t="str">
        <f t="shared" ref="E13:E18" si="1">IF(A13="","",VLOOKUP(A13,EQUI,3,FALSE))</f>
        <v>%</v>
      </c>
      <c r="F13" s="433">
        <f>IF(A13="","",VLOOKUP(A13,EQUI,4,FALSE))</f>
        <v>0.1</v>
      </c>
      <c r="G13" s="307">
        <f>ROUND(F13*H50,0)</f>
        <v>4750</v>
      </c>
      <c r="H13" s="308">
        <f>+G13</f>
        <v>4750</v>
      </c>
      <c r="I13" s="309"/>
    </row>
    <row r="14" spans="1:9">
      <c r="A14" s="536"/>
      <c r="B14" s="305"/>
      <c r="C14" s="306"/>
      <c r="D14" s="306"/>
      <c r="E14" s="276" t="str">
        <f t="shared" si="1"/>
        <v/>
      </c>
      <c r="F14" s="405"/>
      <c r="G14" s="310" t="str">
        <f>IF(A14="","",VLOOKUP(A14,EQUI,4,FALSE))</f>
        <v/>
      </c>
      <c r="H14" s="311" t="str">
        <f>IF(A14="","",ROUND((G14/F14),0))</f>
        <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4750</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t="s">
        <v>553</v>
      </c>
      <c r="B23" s="353" t="str">
        <f>IF(A23="","",VLOOKUP(A23,MAT,2,FALSE))</f>
        <v>Concreto de 140 Kg/cm2 (2000 PSI)</v>
      </c>
      <c r="C23" s="305"/>
      <c r="D23" s="306"/>
      <c r="E23" s="276" t="str">
        <f>IF(A23="","",VLOOKUP(A23,MAT,3,FALSE))</f>
        <v>m3</v>
      </c>
      <c r="F23" s="405">
        <v>1.05</v>
      </c>
      <c r="G23" s="310">
        <f>IF(A23="","",VLOOKUP(A23,MAT,5,FALSE))</f>
        <v>670945</v>
      </c>
      <c r="H23" s="311">
        <f>IF(A23="","",ROUND((G23*F23),0))</f>
        <v>704492</v>
      </c>
    </row>
    <row r="24" spans="1:8">
      <c r="A24" s="534"/>
      <c r="B24" s="353"/>
      <c r="C24" s="305"/>
      <c r="D24" s="306"/>
      <c r="E24" s="276"/>
      <c r="F24" s="405"/>
      <c r="G24" s="310"/>
      <c r="H24" s="311"/>
    </row>
    <row r="25" spans="1:8">
      <c r="A25" s="534"/>
      <c r="B25" s="353"/>
      <c r="C25" s="305"/>
      <c r="D25" s="306"/>
      <c r="E25" s="276"/>
      <c r="F25" s="405"/>
      <c r="G25" s="310"/>
      <c r="H25" s="311"/>
    </row>
    <row r="26" spans="1:8">
      <c r="A26" s="534"/>
      <c r="B26" s="305" t="str">
        <f t="shared" ref="B26:B32" si="2">IF(A26="","",VLOOKUP(A26,MAT,2,FALSE))</f>
        <v/>
      </c>
      <c r="C26" s="305"/>
      <c r="D26" s="306"/>
      <c r="E26" s="276" t="str">
        <f t="shared" ref="E26:E32" si="3">IF(A26="","",VLOOKUP(A26,MAT,3,FALSE))</f>
        <v/>
      </c>
      <c r="F26" s="405"/>
      <c r="G26" s="310" t="str">
        <f t="shared" ref="G26:G32" si="4">IF(A26="","",VLOOKUP(A26,MAT,5,FALSE))</f>
        <v/>
      </c>
      <c r="H26" s="311" t="str">
        <f t="shared" ref="H26:H32" si="5">IF(A26="","",ROUND((G26*F26),0))</f>
        <v/>
      </c>
    </row>
    <row r="27" spans="1:8">
      <c r="A27" s="534"/>
      <c r="B27" s="305" t="str">
        <f t="shared" si="2"/>
        <v/>
      </c>
      <c r="C27" s="305"/>
      <c r="D27" s="306"/>
      <c r="E27" s="276" t="str">
        <f t="shared" si="3"/>
        <v/>
      </c>
      <c r="F27" s="405"/>
      <c r="G27" s="310" t="str">
        <f t="shared" si="4"/>
        <v/>
      </c>
      <c r="H27" s="311" t="str">
        <f t="shared" si="5"/>
        <v/>
      </c>
    </row>
    <row r="28" spans="1:8">
      <c r="A28" s="534"/>
      <c r="B28" s="305" t="str">
        <f t="shared" si="2"/>
        <v/>
      </c>
      <c r="C28" s="305"/>
      <c r="D28" s="306"/>
      <c r="E28" s="276" t="str">
        <f t="shared" si="3"/>
        <v/>
      </c>
      <c r="F28" s="405"/>
      <c r="G28" s="310" t="str">
        <f t="shared" si="4"/>
        <v/>
      </c>
      <c r="H28" s="311" t="str">
        <f t="shared" si="5"/>
        <v/>
      </c>
    </row>
    <row r="29" spans="1:8">
      <c r="A29" s="534"/>
      <c r="B29" s="305" t="str">
        <f t="shared" si="2"/>
        <v/>
      </c>
      <c r="C29" s="305"/>
      <c r="D29" s="306"/>
      <c r="E29" s="276" t="str">
        <f t="shared" si="3"/>
        <v/>
      </c>
      <c r="F29" s="405"/>
      <c r="G29" s="310" t="str">
        <f t="shared" si="4"/>
        <v/>
      </c>
      <c r="H29" s="311" t="str">
        <f t="shared" si="5"/>
        <v/>
      </c>
    </row>
    <row r="30" spans="1:8">
      <c r="A30" s="534"/>
      <c r="B30" s="305" t="str">
        <f t="shared" si="2"/>
        <v/>
      </c>
      <c r="C30" s="305"/>
      <c r="D30" s="306"/>
      <c r="E30" s="276" t="str">
        <f t="shared" si="3"/>
        <v/>
      </c>
      <c r="F30" s="405"/>
      <c r="G30" s="310" t="str">
        <f t="shared" si="4"/>
        <v/>
      </c>
      <c r="H30" s="311" t="str">
        <f t="shared" si="5"/>
        <v/>
      </c>
    </row>
    <row r="31" spans="1:8">
      <c r="A31" s="534"/>
      <c r="B31" s="305" t="str">
        <f t="shared" si="2"/>
        <v/>
      </c>
      <c r="C31" s="305"/>
      <c r="D31" s="306"/>
      <c r="E31" s="276" t="str">
        <f t="shared" si="3"/>
        <v/>
      </c>
      <c r="F31" s="405"/>
      <c r="G31" s="310" t="str">
        <f t="shared" si="4"/>
        <v/>
      </c>
      <c r="H31" s="311" t="str">
        <f t="shared" si="5"/>
        <v/>
      </c>
    </row>
    <row r="32" spans="1:8" ht="13.5" thickBot="1">
      <c r="A32" s="535"/>
      <c r="B32" s="326" t="str">
        <f t="shared" si="2"/>
        <v/>
      </c>
      <c r="C32" s="314"/>
      <c r="D32" s="314"/>
      <c r="E32" s="315" t="str">
        <f t="shared" si="3"/>
        <v/>
      </c>
      <c r="F32" s="406"/>
      <c r="G32" s="327" t="str">
        <f t="shared" si="4"/>
        <v/>
      </c>
      <c r="H32" s="311" t="str">
        <f t="shared" si="5"/>
        <v/>
      </c>
    </row>
    <row r="33" spans="1:8" ht="13.5" thickBot="1">
      <c r="A33" s="285"/>
      <c r="B33" s="285"/>
      <c r="C33" s="285"/>
      <c r="D33" s="285"/>
      <c r="E33" s="286"/>
      <c r="F33" s="285"/>
      <c r="G33" s="210" t="s">
        <v>529</v>
      </c>
      <c r="H33" s="328">
        <f>ROUND(SUM(H23:H32),0)</f>
        <v>704492</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546"/>
      <c r="B37" s="305" t="str">
        <f>IF(A37="","",VLOOKUP(A37,MAT,2,FALSE))</f>
        <v/>
      </c>
      <c r="C37" s="333"/>
      <c r="D37" s="409" t="str">
        <f>IF(A37="","",VLOOKUP(A37,MAT,3,FALSE))</f>
        <v/>
      </c>
      <c r="E37" s="419" t="str">
        <f>IF(A37="","",VLOOKUP(A37,MAT,6,FALSE))</f>
        <v/>
      </c>
      <c r="F37" s="413" t="str">
        <f>IF(A37="","",VLOOKUP(A37,$A$23:$H$32,6,FALSE))</f>
        <v/>
      </c>
      <c r="G37" s="334" t="str">
        <f>IF(A37="","",VLOOKUP(A37,MAT,7,FALSE))</f>
        <v/>
      </c>
      <c r="H37" s="311" t="str">
        <f>IF(A37="","",ROUND((G37*F37*E37),0))</f>
        <v/>
      </c>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0</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883</v>
      </c>
      <c r="B46" s="2192" t="str">
        <f>IF(A46="","",VLOOKUP(A46,MO,2,FALSE))</f>
        <v>Cuadrilla AA: Albañilería. (1 Of. + 1 Ayud.).</v>
      </c>
      <c r="C46" s="2193"/>
      <c r="D46" s="2194"/>
      <c r="E46" s="538" t="str">
        <f>IF(A46="","",VLOOKUP(A46,MO,13,FALSE))</f>
        <v>HC</v>
      </c>
      <c r="F46" s="544">
        <v>0.82</v>
      </c>
      <c r="G46" s="540">
        <f>IF(A46="","",VLOOKUP(A46,MO,15,FALSE))</f>
        <v>38949</v>
      </c>
      <c r="H46" s="542">
        <f>IF(A46="","",ROUND((G46/F46),0))</f>
        <v>47499</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47499</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756741</v>
      </c>
    </row>
    <row r="53" spans="1:8">
      <c r="A53" s="285"/>
      <c r="B53" s="285"/>
      <c r="C53" s="285"/>
      <c r="D53" s="285"/>
      <c r="E53" s="346"/>
      <c r="F53" s="347"/>
      <c r="G53" s="347"/>
      <c r="H53" s="349"/>
    </row>
    <row r="54" spans="1:8">
      <c r="A54" s="285"/>
      <c r="B54" s="285"/>
      <c r="C54" s="285"/>
      <c r="D54" s="285"/>
      <c r="E54" s="346"/>
      <c r="F54" s="347"/>
      <c r="G54" s="347"/>
      <c r="H54" s="349"/>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c r="A59" s="703" t="str">
        <f>+[14]PRESUPUESTO!$A$113</f>
        <v>__________________________________________</v>
      </c>
      <c r="B59" s="703"/>
    </row>
    <row r="60" spans="1:8">
      <c r="A60" s="810" t="str">
        <f>+[14]PRESUPUESTO!$A$114</f>
        <v>Ing. JHON FREDY GARCIA MENDEZ</v>
      </c>
      <c r="B60" s="703"/>
    </row>
    <row r="61" spans="1:8">
      <c r="A61" s="811" t="str">
        <f>+[14]PRESUPUESTO!$A$115</f>
        <v>M.P.  70268-326294 TLM.</v>
      </c>
      <c r="B61" s="703"/>
    </row>
    <row r="62" spans="1:8">
      <c r="A62" s="811" t="str">
        <f>+[14]PRESUPUESTO!$A$116</f>
        <v>CONSULTOR</v>
      </c>
      <c r="B62" s="703"/>
    </row>
  </sheetData>
  <mergeCells count="15">
    <mergeCell ref="B47:D47"/>
    <mergeCell ref="B48:D48"/>
    <mergeCell ref="B49:D49"/>
    <mergeCell ref="B6:D6"/>
    <mergeCell ref="B7:E7"/>
    <mergeCell ref="B8:E8"/>
    <mergeCell ref="B36:C36"/>
    <mergeCell ref="B45:D45"/>
    <mergeCell ref="B46:D46"/>
    <mergeCell ref="D2:E4"/>
    <mergeCell ref="F2:H2"/>
    <mergeCell ref="F3:H3"/>
    <mergeCell ref="F4:H4"/>
    <mergeCell ref="A5:E5"/>
    <mergeCell ref="F5:H5"/>
  </mergeCells>
  <pageMargins left="0.75" right="0.75" top="1" bottom="1" header="0" footer="0"/>
  <pageSetup paperSize="9" scale="70" orientation="portrait" r:id="rId1"/>
  <headerFooter alignWithMargins="0"/>
  <drawing r:id="rId2"/>
</worksheet>
</file>

<file path=xl/worksheets/sheet1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800-000000000000}">
  <sheetPr>
    <tabColor theme="6" tint="0.79998168889431442"/>
  </sheetPr>
  <dimension ref="A1:I62"/>
  <sheetViews>
    <sheetView workbookViewId="0"/>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4.570312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t="e">
        <f>PRESUPUESTO!#REF!</f>
        <v>#REF!</v>
      </c>
      <c r="B7" s="2185" t="e">
        <f>PRESUPUESTO!#REF!</f>
        <v>#REF!</v>
      </c>
      <c r="C7" s="2185"/>
      <c r="D7" s="2185"/>
      <c r="E7" s="2185"/>
      <c r="F7" s="289"/>
      <c r="G7" s="290" t="s">
        <v>525</v>
      </c>
      <c r="H7" s="97" t="e">
        <f>+PRESUPUESTO!#REF!</f>
        <v>#REF!</v>
      </c>
    </row>
    <row r="8" spans="1:9" ht="25.5" customHeight="1">
      <c r="A8" s="97" t="e">
        <f>+PRESUPUESTO!#REF!</f>
        <v>#REF!</v>
      </c>
      <c r="B8" s="2272" t="e">
        <f>+PRESUPUESTO!#REF!</f>
        <v>#REF!</v>
      </c>
      <c r="C8" s="2257"/>
      <c r="D8" s="2257"/>
      <c r="E8" s="225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967</v>
      </c>
      <c r="B13" s="305" t="str">
        <f t="shared" ref="B13:B18" si="0">IF(A13="","",VLOOKUP(A13,EQUI,2,FALSE))</f>
        <v>Herramienta Menor (10% de la mano de obra).</v>
      </c>
      <c r="C13" s="306"/>
      <c r="D13" s="306"/>
      <c r="E13" s="276" t="str">
        <f t="shared" ref="E13:E18" si="1">IF(A13="","",VLOOKUP(A13,EQUI,3,FALSE))</f>
        <v>%</v>
      </c>
      <c r="F13" s="433">
        <f>IF(A13="","",VLOOKUP(A13,EQUI,4,FALSE))</f>
        <v>0.1</v>
      </c>
      <c r="G13" s="307">
        <f>ROUND(F13*H50,0)</f>
        <v>6833</v>
      </c>
      <c r="H13" s="308">
        <f>+G13</f>
        <v>6833</v>
      </c>
      <c r="I13" s="309"/>
    </row>
    <row r="14" spans="1:9">
      <c r="A14" s="536"/>
      <c r="B14" s="305"/>
      <c r="C14" s="306"/>
      <c r="D14" s="306"/>
      <c r="E14" s="276" t="str">
        <f t="shared" si="1"/>
        <v/>
      </c>
      <c r="F14" s="405"/>
      <c r="G14" s="310" t="str">
        <f>IF(A14="","",VLOOKUP(A14,EQUI,4,FALSE))</f>
        <v/>
      </c>
      <c r="H14" s="311" t="str">
        <f>IF(A14="","",ROUND((G14/F14),0))</f>
        <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6833</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t="s">
        <v>2448</v>
      </c>
      <c r="B23" s="353" t="str">
        <f>IF(A23="","",VLOOKUP(A23,MAT,2,FALSE))</f>
        <v xml:space="preserve">Concreto de 210 Kg/cm2 (3000 PSI) Impermeabilizado </v>
      </c>
      <c r="C23" s="305"/>
      <c r="D23" s="306"/>
      <c r="E23" s="276" t="str">
        <f>IF(A23="","",VLOOKUP(A23,MAT,3,FALSE))</f>
        <v>m3</v>
      </c>
      <c r="F23" s="405">
        <v>2.5000000000000001E-2</v>
      </c>
      <c r="G23" s="310">
        <f>IF(A23="","",VLOOKUP(A23,MAT,5,FALSE))</f>
        <v>762896</v>
      </c>
      <c r="H23" s="311">
        <f>IF(A23="","",ROUND((G23*F23),0))</f>
        <v>19072</v>
      </c>
    </row>
    <row r="24" spans="1:8">
      <c r="A24" s="534" t="s">
        <v>565</v>
      </c>
      <c r="B24" s="353" t="str">
        <f>IF(A24="","",VLOOKUP(A24,MAT,2,FALSE))</f>
        <v>Acero de refuerzo de 60.000psi</v>
      </c>
      <c r="C24" s="305"/>
      <c r="D24" s="306"/>
      <c r="E24" s="276" t="str">
        <f>IF(A24="","",VLOOKUP(A24,MAT,3,FALSE))</f>
        <v>Kg.</v>
      </c>
      <c r="F24" s="405">
        <v>6</v>
      </c>
      <c r="G24" s="310">
        <f>IF(A24="","",VLOOKUP(A24,MAT,5,FALSE))</f>
        <v>5200</v>
      </c>
      <c r="H24" s="311">
        <f>IF(A24="","",ROUND((G24*F24),0))</f>
        <v>31200</v>
      </c>
    </row>
    <row r="25" spans="1:8">
      <c r="A25" s="534" t="s">
        <v>568</v>
      </c>
      <c r="B25" s="353" t="str">
        <f>IF(A25="","",VLOOKUP(A25,MAT,2,FALSE))</f>
        <v>Alambre cal. 18</v>
      </c>
      <c r="C25" s="305"/>
      <c r="D25" s="306"/>
      <c r="E25" s="276" t="str">
        <f>IF(A25="","",VLOOKUP(A25,MAT,3,FALSE))</f>
        <v>Kg.</v>
      </c>
      <c r="F25" s="405">
        <v>0.5</v>
      </c>
      <c r="G25" s="310">
        <f>IF(A25="","",VLOOKUP(A25,MAT,5,FALSE))</f>
        <v>8500</v>
      </c>
      <c r="H25" s="311">
        <f>IF(A25="","",ROUND((G25*F25),0))</f>
        <v>4250</v>
      </c>
    </row>
    <row r="26" spans="1:8">
      <c r="A26" s="534"/>
      <c r="B26" s="305" t="str">
        <f t="shared" ref="B26:B32" si="2">IF(A26="","",VLOOKUP(A26,MAT,2,FALSE))</f>
        <v/>
      </c>
      <c r="C26" s="305"/>
      <c r="D26" s="306"/>
      <c r="E26" s="276" t="str">
        <f t="shared" ref="E26:E32" si="3">IF(A26="","",VLOOKUP(A26,MAT,3,FALSE))</f>
        <v/>
      </c>
      <c r="F26" s="405"/>
      <c r="G26" s="310" t="str">
        <f t="shared" ref="G26:G32" si="4">IF(A26="","",VLOOKUP(A26,MAT,5,FALSE))</f>
        <v/>
      </c>
      <c r="H26" s="311" t="str">
        <f t="shared" ref="H26:H32" si="5">IF(A26="","",ROUND((G26*F26),0))</f>
        <v/>
      </c>
    </row>
    <row r="27" spans="1:8">
      <c r="A27" s="534"/>
      <c r="B27" s="305" t="str">
        <f t="shared" si="2"/>
        <v/>
      </c>
      <c r="C27" s="305"/>
      <c r="D27" s="306"/>
      <c r="E27" s="276" t="str">
        <f t="shared" si="3"/>
        <v/>
      </c>
      <c r="F27" s="405"/>
      <c r="G27" s="310" t="str">
        <f t="shared" si="4"/>
        <v/>
      </c>
      <c r="H27" s="311" t="str">
        <f t="shared" si="5"/>
        <v/>
      </c>
    </row>
    <row r="28" spans="1:8">
      <c r="A28" s="534"/>
      <c r="B28" s="305" t="str">
        <f t="shared" si="2"/>
        <v/>
      </c>
      <c r="C28" s="305"/>
      <c r="D28" s="306"/>
      <c r="E28" s="276" t="str">
        <f t="shared" si="3"/>
        <v/>
      </c>
      <c r="F28" s="405"/>
      <c r="G28" s="310" t="str">
        <f t="shared" si="4"/>
        <v/>
      </c>
      <c r="H28" s="311" t="str">
        <f t="shared" si="5"/>
        <v/>
      </c>
    </row>
    <row r="29" spans="1:8">
      <c r="A29" s="534"/>
      <c r="B29" s="305" t="str">
        <f t="shared" si="2"/>
        <v/>
      </c>
      <c r="C29" s="305"/>
      <c r="D29" s="306"/>
      <c r="E29" s="276" t="str">
        <f t="shared" si="3"/>
        <v/>
      </c>
      <c r="F29" s="405"/>
      <c r="G29" s="310" t="str">
        <f t="shared" si="4"/>
        <v/>
      </c>
      <c r="H29" s="311" t="str">
        <f t="shared" si="5"/>
        <v/>
      </c>
    </row>
    <row r="30" spans="1:8">
      <c r="A30" s="534"/>
      <c r="B30" s="305" t="str">
        <f t="shared" si="2"/>
        <v/>
      </c>
      <c r="C30" s="305"/>
      <c r="D30" s="306"/>
      <c r="E30" s="276" t="str">
        <f t="shared" si="3"/>
        <v/>
      </c>
      <c r="F30" s="405"/>
      <c r="G30" s="310" t="str">
        <f t="shared" si="4"/>
        <v/>
      </c>
      <c r="H30" s="311" t="str">
        <f t="shared" si="5"/>
        <v/>
      </c>
    </row>
    <row r="31" spans="1:8">
      <c r="A31" s="534"/>
      <c r="B31" s="305" t="str">
        <f t="shared" si="2"/>
        <v/>
      </c>
      <c r="C31" s="305"/>
      <c r="D31" s="306"/>
      <c r="E31" s="276" t="str">
        <f t="shared" si="3"/>
        <v/>
      </c>
      <c r="F31" s="405"/>
      <c r="G31" s="310" t="str">
        <f t="shared" si="4"/>
        <v/>
      </c>
      <c r="H31" s="311" t="str">
        <f t="shared" si="5"/>
        <v/>
      </c>
    </row>
    <row r="32" spans="1:8" ht="13.5" thickBot="1">
      <c r="A32" s="535"/>
      <c r="B32" s="326" t="str">
        <f t="shared" si="2"/>
        <v/>
      </c>
      <c r="C32" s="314"/>
      <c r="D32" s="314"/>
      <c r="E32" s="315" t="str">
        <f t="shared" si="3"/>
        <v/>
      </c>
      <c r="F32" s="406"/>
      <c r="G32" s="327" t="str">
        <f t="shared" si="4"/>
        <v/>
      </c>
      <c r="H32" s="311" t="str">
        <f t="shared" si="5"/>
        <v/>
      </c>
    </row>
    <row r="33" spans="1:8" ht="13.5" thickBot="1">
      <c r="A33" s="285"/>
      <c r="B33" s="285"/>
      <c r="C33" s="285"/>
      <c r="D33" s="285"/>
      <c r="E33" s="286"/>
      <c r="F33" s="285"/>
      <c r="G33" s="210" t="s">
        <v>529</v>
      </c>
      <c r="H33" s="328">
        <f>ROUND(SUM(H23:H32),0)</f>
        <v>54522</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546"/>
      <c r="B37" s="737"/>
      <c r="C37" s="772"/>
      <c r="D37" s="773"/>
      <c r="E37" s="774"/>
      <c r="F37" s="775"/>
      <c r="G37" s="776"/>
      <c r="H37" s="746"/>
    </row>
    <row r="38" spans="1:8">
      <c r="A38" s="532"/>
      <c r="B38" s="305"/>
      <c r="C38" s="530"/>
      <c r="D38" s="409"/>
      <c r="E38" s="419"/>
      <c r="F38" s="413"/>
      <c r="G38" s="334"/>
      <c r="H38" s="311"/>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0</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883</v>
      </c>
      <c r="B46" s="2192" t="str">
        <f>IF(A46="","",VLOOKUP(A46,MO,2,FALSE))</f>
        <v>Cuadrilla AA: Albañilería. (1 Of. + 1 Ayud.).</v>
      </c>
      <c r="C46" s="2193"/>
      <c r="D46" s="2194"/>
      <c r="E46" s="538" t="str">
        <f>IF(A46="","",VLOOKUP(A46,MO,13,FALSE))</f>
        <v>HC</v>
      </c>
      <c r="F46" s="544">
        <v>0.56999999999999995</v>
      </c>
      <c r="G46" s="540">
        <f>IF(A46="","",VLOOKUP(A46,MO,15,FALSE))</f>
        <v>38949</v>
      </c>
      <c r="H46" s="542">
        <f>IF(A46="","",ROUND((G46/F46),0))</f>
        <v>68332</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68332</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129687</v>
      </c>
    </row>
    <row r="53" spans="1:8">
      <c r="A53" s="285"/>
      <c r="B53" s="285"/>
      <c r="C53" s="285"/>
      <c r="D53" s="285"/>
      <c r="E53" s="346"/>
      <c r="F53" s="347"/>
      <c r="G53" s="347"/>
      <c r="H53" s="349"/>
    </row>
    <row r="54" spans="1:8">
      <c r="A54" s="285"/>
      <c r="B54" s="285"/>
      <c r="C54" s="285"/>
      <c r="D54" s="285"/>
      <c r="E54" s="346"/>
      <c r="F54" s="347"/>
      <c r="G54" s="347"/>
      <c r="H54" s="349"/>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c r="A59" s="703" t="str">
        <f>+[14]PRESUPUESTO!$A$113</f>
        <v>__________________________________________</v>
      </c>
      <c r="B59" s="703"/>
    </row>
    <row r="60" spans="1:8">
      <c r="A60" s="810" t="str">
        <f>+[14]PRESUPUESTO!$A$114</f>
        <v>Ing. JHON FREDY GARCIA MENDEZ</v>
      </c>
      <c r="B60" s="703"/>
    </row>
    <row r="61" spans="1:8">
      <c r="A61" s="811" t="str">
        <f>+[14]PRESUPUESTO!$A$115</f>
        <v>M.P.  70268-326294 TLM.</v>
      </c>
      <c r="B61" s="703"/>
    </row>
    <row r="62" spans="1:8">
      <c r="A62" s="811" t="str">
        <f>+[14]PRESUPUESTO!$A$116</f>
        <v>CONSULTOR</v>
      </c>
      <c r="B62" s="703"/>
    </row>
  </sheetData>
  <mergeCells count="15">
    <mergeCell ref="B47:D47"/>
    <mergeCell ref="B48:D48"/>
    <mergeCell ref="B49:D49"/>
    <mergeCell ref="B6:D6"/>
    <mergeCell ref="B7:E7"/>
    <mergeCell ref="B8:E8"/>
    <mergeCell ref="B36:C36"/>
    <mergeCell ref="B45:D45"/>
    <mergeCell ref="B46:D46"/>
    <mergeCell ref="D2:E4"/>
    <mergeCell ref="F2:H2"/>
    <mergeCell ref="F3:H3"/>
    <mergeCell ref="F4:H4"/>
    <mergeCell ref="A5:E5"/>
    <mergeCell ref="F5:H5"/>
  </mergeCells>
  <phoneticPr fontId="22" type="noConversion"/>
  <pageMargins left="0.75" right="0.75" top="1" bottom="1" header="0" footer="0"/>
  <pageSetup paperSize="9" scale="70" orientation="portrait" r:id="rId1"/>
  <headerFooter alignWithMargins="0"/>
  <drawing r:id="rId2"/>
</worksheet>
</file>

<file path=xl/worksheets/sheet1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900-000000000000}">
  <sheetPr>
    <tabColor theme="6" tint="0.79998168889431442"/>
  </sheetPr>
  <dimension ref="A1:I62"/>
  <sheetViews>
    <sheetView workbookViewId="0"/>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4.570312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t="e">
        <f>PRESUPUESTO!#REF!</f>
        <v>#REF!</v>
      </c>
      <c r="B7" s="2185" t="e">
        <f>PRESUPUESTO!#REF!</f>
        <v>#REF!</v>
      </c>
      <c r="C7" s="2185"/>
      <c r="D7" s="2185"/>
      <c r="E7" s="2185"/>
      <c r="F7" s="289"/>
      <c r="G7" s="290" t="s">
        <v>525</v>
      </c>
      <c r="H7" s="97" t="e">
        <f>+PRESUPUESTO!#REF!</f>
        <v>#REF!</v>
      </c>
    </row>
    <row r="8" spans="1:9" ht="26.25" customHeight="1">
      <c r="A8" s="97" t="e">
        <f>+PRESUPUESTO!#REF!</f>
        <v>#REF!</v>
      </c>
      <c r="B8" s="2272" t="e">
        <f>+PRESUPUESTO!#REF!</f>
        <v>#REF!</v>
      </c>
      <c r="C8" s="2257"/>
      <c r="D8" s="2257"/>
      <c r="E8" s="225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967</v>
      </c>
      <c r="B13" s="305" t="str">
        <f t="shared" ref="B13:B18" si="0">IF(A13="","",VLOOKUP(A13,EQUI,2,FALSE))</f>
        <v>Herramienta Menor (10% de la mano de obra).</v>
      </c>
      <c r="C13" s="306"/>
      <c r="D13" s="306"/>
      <c r="E13" s="276" t="str">
        <f t="shared" ref="E13:E18" si="1">IF(A13="","",VLOOKUP(A13,EQUI,3,FALSE))</f>
        <v>%</v>
      </c>
      <c r="F13" s="433">
        <f>IF(A13="","",VLOOKUP(A13,EQUI,4,FALSE))</f>
        <v>0.1</v>
      </c>
      <c r="G13" s="307">
        <f>ROUND(F13*H50,0)</f>
        <v>43763</v>
      </c>
      <c r="H13" s="308">
        <f>+G13</f>
        <v>43763</v>
      </c>
      <c r="I13" s="309"/>
    </row>
    <row r="14" spans="1:9">
      <c r="A14" s="536"/>
      <c r="B14" s="305"/>
      <c r="C14" s="306"/>
      <c r="D14" s="306"/>
      <c r="E14" s="276" t="str">
        <f t="shared" si="1"/>
        <v/>
      </c>
      <c r="F14" s="405"/>
      <c r="G14" s="310" t="str">
        <f>IF(A14="","",VLOOKUP(A14,EQUI,4,FALSE))</f>
        <v/>
      </c>
      <c r="H14" s="311" t="str">
        <f>IF(A14="","",ROUND((G14/F14),0))</f>
        <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43763</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t="s">
        <v>2420</v>
      </c>
      <c r="B23" s="353" t="str">
        <f>IF(A23="","",VLOOKUP(A23,MAT,2,FALSE))</f>
        <v>Concreto de 280 Kg/cm2 (4000 PSI) Impermeabilizado</v>
      </c>
      <c r="C23" s="305"/>
      <c r="D23" s="306"/>
      <c r="E23" s="276" t="str">
        <f>IF(A23="","",VLOOKUP(A23,MAT,3,FALSE))</f>
        <v>m3</v>
      </c>
      <c r="F23" s="405">
        <v>1.03</v>
      </c>
      <c r="G23" s="310">
        <f>IF(A23="","",VLOOKUP(A23,MAT,5,FALSE))</f>
        <v>837338</v>
      </c>
      <c r="H23" s="311">
        <f>IF(A23="","",ROUND((G23*F23),0))</f>
        <v>862458</v>
      </c>
    </row>
    <row r="24" spans="1:8">
      <c r="A24" s="534"/>
      <c r="B24" s="305" t="s">
        <v>1768</v>
      </c>
      <c r="C24" s="305"/>
      <c r="D24" s="306"/>
      <c r="E24" s="276" t="s">
        <v>1654</v>
      </c>
      <c r="F24" s="585">
        <v>0.6</v>
      </c>
      <c r="G24" s="310">
        <v>24000</v>
      </c>
      <c r="H24" s="311">
        <f>ROUND(G24*F24,0)</f>
        <v>14400</v>
      </c>
    </row>
    <row r="25" spans="1:8">
      <c r="A25" s="534"/>
      <c r="B25" s="305" t="s">
        <v>1767</v>
      </c>
      <c r="C25" s="305"/>
      <c r="D25" s="306"/>
      <c r="E25" s="276" t="s">
        <v>293</v>
      </c>
      <c r="F25" s="585">
        <v>0.4</v>
      </c>
      <c r="G25" s="310">
        <v>2900</v>
      </c>
      <c r="H25" s="311">
        <f t="shared" ref="H25" si="2">ROUND(G25*F25,0)</f>
        <v>1160</v>
      </c>
    </row>
    <row r="26" spans="1:8">
      <c r="A26" s="534"/>
      <c r="B26" s="305" t="str">
        <f t="shared" ref="B26:B32" si="3">IF(A26="","",VLOOKUP(A26,MAT,2,FALSE))</f>
        <v/>
      </c>
      <c r="C26" s="305"/>
      <c r="D26" s="306"/>
      <c r="E26" s="276" t="str">
        <f t="shared" ref="E26:E32" si="4">IF(A26="","",VLOOKUP(A26,MAT,3,FALSE))</f>
        <v/>
      </c>
      <c r="F26" s="405"/>
      <c r="G26" s="310" t="str">
        <f t="shared" ref="G26:G32" si="5">IF(A26="","",VLOOKUP(A26,MAT,5,FALSE))</f>
        <v/>
      </c>
      <c r="H26" s="311" t="str">
        <f t="shared" ref="H26:H32" si="6">IF(A26="","",ROUND((G26*F26),0))</f>
        <v/>
      </c>
    </row>
    <row r="27" spans="1:8">
      <c r="A27" s="534"/>
      <c r="B27" s="305" t="str">
        <f t="shared" si="3"/>
        <v/>
      </c>
      <c r="C27" s="305"/>
      <c r="D27" s="306"/>
      <c r="E27" s="276" t="str">
        <f t="shared" si="4"/>
        <v/>
      </c>
      <c r="F27" s="405"/>
      <c r="G27" s="310" t="str">
        <f t="shared" si="5"/>
        <v/>
      </c>
      <c r="H27" s="311" t="str">
        <f t="shared" si="6"/>
        <v/>
      </c>
    </row>
    <row r="28" spans="1:8">
      <c r="A28" s="534"/>
      <c r="B28" s="305" t="str">
        <f t="shared" si="3"/>
        <v/>
      </c>
      <c r="C28" s="305"/>
      <c r="D28" s="306"/>
      <c r="E28" s="276" t="str">
        <f t="shared" si="4"/>
        <v/>
      </c>
      <c r="F28" s="405"/>
      <c r="G28" s="310" t="str">
        <f t="shared" si="5"/>
        <v/>
      </c>
      <c r="H28" s="311" t="str">
        <f t="shared" si="6"/>
        <v/>
      </c>
    </row>
    <row r="29" spans="1:8">
      <c r="A29" s="534"/>
      <c r="B29" s="305" t="str">
        <f t="shared" si="3"/>
        <v/>
      </c>
      <c r="C29" s="305"/>
      <c r="D29" s="306"/>
      <c r="E29" s="276" t="str">
        <f t="shared" si="4"/>
        <v/>
      </c>
      <c r="F29" s="405"/>
      <c r="G29" s="310" t="str">
        <f t="shared" si="5"/>
        <v/>
      </c>
      <c r="H29" s="311" t="str">
        <f t="shared" si="6"/>
        <v/>
      </c>
    </row>
    <row r="30" spans="1:8">
      <c r="A30" s="534"/>
      <c r="B30" s="305" t="str">
        <f t="shared" si="3"/>
        <v/>
      </c>
      <c r="C30" s="305"/>
      <c r="D30" s="306"/>
      <c r="E30" s="276" t="str">
        <f t="shared" si="4"/>
        <v/>
      </c>
      <c r="F30" s="405"/>
      <c r="G30" s="310" t="str">
        <f t="shared" si="5"/>
        <v/>
      </c>
      <c r="H30" s="311" t="str">
        <f t="shared" si="6"/>
        <v/>
      </c>
    </row>
    <row r="31" spans="1:8">
      <c r="A31" s="534"/>
      <c r="B31" s="305" t="str">
        <f t="shared" si="3"/>
        <v/>
      </c>
      <c r="C31" s="305"/>
      <c r="D31" s="306"/>
      <c r="E31" s="276" t="str">
        <f t="shared" si="4"/>
        <v/>
      </c>
      <c r="F31" s="405"/>
      <c r="G31" s="310" t="str">
        <f t="shared" si="5"/>
        <v/>
      </c>
      <c r="H31" s="311" t="str">
        <f t="shared" si="6"/>
        <v/>
      </c>
    </row>
    <row r="32" spans="1:8" ht="13.5" thickBot="1">
      <c r="A32" s="535"/>
      <c r="B32" s="326" t="str">
        <f t="shared" si="3"/>
        <v/>
      </c>
      <c r="C32" s="314"/>
      <c r="D32" s="314"/>
      <c r="E32" s="315" t="str">
        <f t="shared" si="4"/>
        <v/>
      </c>
      <c r="F32" s="406"/>
      <c r="G32" s="327" t="str">
        <f t="shared" si="5"/>
        <v/>
      </c>
      <c r="H32" s="311" t="str">
        <f t="shared" si="6"/>
        <v/>
      </c>
    </row>
    <row r="33" spans="1:8" ht="13.5" thickBot="1">
      <c r="A33" s="285"/>
      <c r="B33" s="285"/>
      <c r="C33" s="285"/>
      <c r="D33" s="285"/>
      <c r="E33" s="286"/>
      <c r="F33" s="285"/>
      <c r="G33" s="210" t="s">
        <v>529</v>
      </c>
      <c r="H33" s="328">
        <f>ROUND(SUM(H23:H32),0)</f>
        <v>878018</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771"/>
      <c r="B37" s="737" t="str">
        <f>IF(A37="","",VLOOKUP(A37,MAT,2,FALSE))</f>
        <v/>
      </c>
      <c r="C37" s="772"/>
      <c r="D37" s="773" t="str">
        <f>IF(A37="","",VLOOKUP(A37,MAT,3,FALSE))</f>
        <v/>
      </c>
      <c r="E37" s="774" t="str">
        <f>IF(A37="","",VLOOKUP(A37,MAT,6,FALSE))</f>
        <v/>
      </c>
      <c r="F37" s="775"/>
      <c r="G37" s="776"/>
      <c r="H37" s="746" t="str">
        <f>IF(A37="","",ROUND((G37*F37*E37),0))</f>
        <v/>
      </c>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0</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883</v>
      </c>
      <c r="B46" s="2192" t="str">
        <f>IF(A46="","",VLOOKUP(A46,MO,2,FALSE))</f>
        <v>Cuadrilla AA: Albañilería. (1 Of. + 1 Ayud.).</v>
      </c>
      <c r="C46" s="2193"/>
      <c r="D46" s="2194"/>
      <c r="E46" s="538" t="str">
        <f>IF(A46="","",VLOOKUP(A46,MO,13,FALSE))</f>
        <v>HC</v>
      </c>
      <c r="F46" s="544">
        <v>8.8999999999999996E-2</v>
      </c>
      <c r="G46" s="540">
        <f>IF(A46="","",VLOOKUP(A46,MO,15,FALSE))</f>
        <v>38949</v>
      </c>
      <c r="H46" s="542">
        <f>IF(A46="","",ROUND((G46/F46),0))</f>
        <v>437629</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437629</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1359410</v>
      </c>
    </row>
    <row r="53" spans="1:8">
      <c r="A53" s="285"/>
      <c r="B53" s="285"/>
      <c r="C53" s="285"/>
      <c r="D53" s="285"/>
      <c r="E53" s="346"/>
      <c r="F53" s="347"/>
      <c r="G53" s="347"/>
      <c r="H53" s="349"/>
    </row>
    <row r="54" spans="1:8">
      <c r="A54" s="285"/>
      <c r="B54" s="285"/>
      <c r="C54" s="285"/>
      <c r="D54" s="285"/>
      <c r="E54" s="346"/>
      <c r="F54" s="347"/>
      <c r="G54" s="347"/>
      <c r="H54" s="349"/>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c r="A59" s="703" t="str">
        <f>+[14]PRESUPUESTO!$A$113</f>
        <v>__________________________________________</v>
      </c>
    </row>
    <row r="60" spans="1:8">
      <c r="A60" s="810" t="str">
        <f>+[14]PRESUPUESTO!$A$114</f>
        <v>Ing. JHON FREDY GARCIA MENDEZ</v>
      </c>
    </row>
    <row r="61" spans="1:8">
      <c r="A61" s="811" t="str">
        <f>+[14]PRESUPUESTO!$A$115</f>
        <v>M.P.  70268-326294 TLM.</v>
      </c>
    </row>
    <row r="62" spans="1:8">
      <c r="A62" s="811" t="str">
        <f>+[14]PRESUPUESTO!$A$116</f>
        <v>CONSULTOR</v>
      </c>
    </row>
  </sheetData>
  <mergeCells count="15">
    <mergeCell ref="B47:D47"/>
    <mergeCell ref="B48:D48"/>
    <mergeCell ref="B49:D49"/>
    <mergeCell ref="B6:D6"/>
    <mergeCell ref="B7:E7"/>
    <mergeCell ref="B8:E8"/>
    <mergeCell ref="B36:C36"/>
    <mergeCell ref="B45:D45"/>
    <mergeCell ref="B46:D46"/>
    <mergeCell ref="D2:E4"/>
    <mergeCell ref="F2:H2"/>
    <mergeCell ref="F3:H3"/>
    <mergeCell ref="F4:H4"/>
    <mergeCell ref="A5:E5"/>
    <mergeCell ref="F5:H5"/>
  </mergeCells>
  <pageMargins left="0.75" right="0.75" top="1" bottom="1" header="0" footer="0"/>
  <pageSetup paperSize="9" scale="70" orientation="portrait" r:id="rId1"/>
  <headerFooter alignWithMargins="0"/>
  <drawing r:id="rId2"/>
</worksheet>
</file>

<file path=xl/worksheets/sheet1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A00-000000000000}">
  <sheetPr>
    <tabColor theme="6" tint="0.79998168889431442"/>
  </sheetPr>
  <dimension ref="A1:I62"/>
  <sheetViews>
    <sheetView workbookViewId="0"/>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2.710937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t="e">
        <f>PRESUPUESTO!#REF!</f>
        <v>#REF!</v>
      </c>
      <c r="B7" s="2185" t="e">
        <f>PRESUPUESTO!#REF!</f>
        <v>#REF!</v>
      </c>
      <c r="C7" s="2185"/>
      <c r="D7" s="2185"/>
      <c r="E7" s="2185"/>
      <c r="F7" s="289"/>
      <c r="G7" s="290" t="s">
        <v>525</v>
      </c>
      <c r="H7" s="97" t="e">
        <f>+PRESUPUESTO!#REF!</f>
        <v>#REF!</v>
      </c>
    </row>
    <row r="8" spans="1:9">
      <c r="A8" s="97" t="e">
        <f>+PRESUPUESTO!#REF!</f>
        <v>#REF!</v>
      </c>
      <c r="B8" s="2217" t="e">
        <f>+PRESUPUESTO!#REF!</f>
        <v>#REF!</v>
      </c>
      <c r="C8" s="2217"/>
      <c r="D8" s="2217"/>
      <c r="E8" s="221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v>3</v>
      </c>
      <c r="H12" s="278" t="s">
        <v>831</v>
      </c>
    </row>
    <row r="13" spans="1:9">
      <c r="A13" s="536" t="s">
        <v>966</v>
      </c>
      <c r="B13" s="305" t="str">
        <f t="shared" ref="B13:B18" si="0">IF(A13="","",VLOOKUP(A13,EQUI,2,FALSE))</f>
        <v>Herramienta Menor (5% de la mano de obra).</v>
      </c>
      <c r="C13" s="306"/>
      <c r="D13" s="306"/>
      <c r="E13" s="276" t="str">
        <f t="shared" ref="E13:E18" si="1">IF(A13="","",VLOOKUP(A13,EQUI,3,FALSE))</f>
        <v>%</v>
      </c>
      <c r="F13" s="433">
        <f>IF(A13="","",VLOOKUP(A13,EQUI,4,FALSE))</f>
        <v>0.05</v>
      </c>
      <c r="G13" s="307">
        <f>ROUND(F13*H50,0)</f>
        <v>513</v>
      </c>
      <c r="H13" s="308">
        <f>+G13</f>
        <v>513</v>
      </c>
      <c r="I13" s="309"/>
    </row>
    <row r="14" spans="1:9">
      <c r="A14" s="536"/>
      <c r="B14" s="305" t="str">
        <f t="shared" si="0"/>
        <v/>
      </c>
      <c r="C14" s="306"/>
      <c r="D14" s="306"/>
      <c r="E14" s="276" t="str">
        <f t="shared" si="1"/>
        <v/>
      </c>
      <c r="F14" s="405"/>
      <c r="G14" s="310" t="str">
        <f>IF(A14="","",VLOOKUP(A14,EQUI,4,FALSE))</f>
        <v/>
      </c>
      <c r="H14" s="311" t="str">
        <f>IF(A14="","",ROUND((G14/F14),0))</f>
        <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513</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c r="B23" s="1033" t="s">
        <v>2451</v>
      </c>
      <c r="C23" s="305"/>
      <c r="D23" s="306"/>
      <c r="E23" s="815" t="s">
        <v>1681</v>
      </c>
      <c r="F23" s="405">
        <v>1</v>
      </c>
      <c r="G23" s="310">
        <v>28490</v>
      </c>
      <c r="H23" s="311">
        <f>ROUND(F23*G23,0)</f>
        <v>28490</v>
      </c>
    </row>
    <row r="24" spans="1:8">
      <c r="A24" s="534"/>
      <c r="B24" s="353" t="str">
        <f t="shared" ref="B24:B32" si="2">IF(A24="","",VLOOKUP(A24,MAT,2,FALSE))</f>
        <v/>
      </c>
      <c r="C24" s="305"/>
      <c r="D24" s="306"/>
      <c r="E24" s="276" t="str">
        <f t="shared" ref="E24:E32" si="3">IF(A24="","",VLOOKUP(A24,MAT,3,FALSE))</f>
        <v/>
      </c>
      <c r="F24" s="405"/>
      <c r="G24" s="310" t="str">
        <f t="shared" ref="G24:G32" si="4">IF(A24="","",VLOOKUP(A24,MAT,5,FALSE))</f>
        <v/>
      </c>
      <c r="H24" s="311" t="str">
        <f t="shared" ref="H24:H32" si="5">IF(A24="","",ROUND((G24*F24),0))</f>
        <v/>
      </c>
    </row>
    <row r="25" spans="1:8">
      <c r="A25" s="534"/>
      <c r="B25" s="353" t="str">
        <f t="shared" si="2"/>
        <v/>
      </c>
      <c r="C25" s="305"/>
      <c r="D25" s="306"/>
      <c r="E25" s="276" t="str">
        <f t="shared" si="3"/>
        <v/>
      </c>
      <c r="F25" s="405"/>
      <c r="G25" s="310" t="str">
        <f t="shared" si="4"/>
        <v/>
      </c>
      <c r="H25" s="311" t="str">
        <f t="shared" si="5"/>
        <v/>
      </c>
    </row>
    <row r="26" spans="1:8">
      <c r="A26" s="534"/>
      <c r="B26" s="305" t="str">
        <f t="shared" si="2"/>
        <v/>
      </c>
      <c r="C26" s="305"/>
      <c r="D26" s="306"/>
      <c r="E26" s="276" t="str">
        <f t="shared" si="3"/>
        <v/>
      </c>
      <c r="F26" s="405"/>
      <c r="G26" s="310" t="str">
        <f t="shared" si="4"/>
        <v/>
      </c>
      <c r="H26" s="311" t="str">
        <f t="shared" si="5"/>
        <v/>
      </c>
    </row>
    <row r="27" spans="1:8">
      <c r="A27" s="534"/>
      <c r="B27" s="305" t="str">
        <f t="shared" si="2"/>
        <v/>
      </c>
      <c r="C27" s="305"/>
      <c r="D27" s="306"/>
      <c r="E27" s="276" t="str">
        <f t="shared" si="3"/>
        <v/>
      </c>
      <c r="F27" s="405"/>
      <c r="G27" s="310" t="str">
        <f t="shared" si="4"/>
        <v/>
      </c>
      <c r="H27" s="311" t="str">
        <f t="shared" si="5"/>
        <v/>
      </c>
    </row>
    <row r="28" spans="1:8">
      <c r="A28" s="534"/>
      <c r="B28" s="305" t="str">
        <f t="shared" si="2"/>
        <v/>
      </c>
      <c r="C28" s="305"/>
      <c r="D28" s="306"/>
      <c r="E28" s="276" t="str">
        <f t="shared" si="3"/>
        <v/>
      </c>
      <c r="F28" s="405"/>
      <c r="G28" s="310" t="str">
        <f t="shared" si="4"/>
        <v/>
      </c>
      <c r="H28" s="311" t="str">
        <f t="shared" si="5"/>
        <v/>
      </c>
    </row>
    <row r="29" spans="1:8">
      <c r="A29" s="534"/>
      <c r="B29" s="305" t="str">
        <f t="shared" si="2"/>
        <v/>
      </c>
      <c r="C29" s="305"/>
      <c r="D29" s="306"/>
      <c r="E29" s="276" t="str">
        <f t="shared" si="3"/>
        <v/>
      </c>
      <c r="F29" s="405"/>
      <c r="G29" s="310" t="str">
        <f t="shared" si="4"/>
        <v/>
      </c>
      <c r="H29" s="311" t="str">
        <f t="shared" si="5"/>
        <v/>
      </c>
    </row>
    <row r="30" spans="1:8">
      <c r="A30" s="534"/>
      <c r="B30" s="305" t="str">
        <f t="shared" si="2"/>
        <v/>
      </c>
      <c r="C30" s="305"/>
      <c r="D30" s="306"/>
      <c r="E30" s="276" t="str">
        <f t="shared" si="3"/>
        <v/>
      </c>
      <c r="F30" s="405"/>
      <c r="G30" s="310" t="str">
        <f t="shared" si="4"/>
        <v/>
      </c>
      <c r="H30" s="311" t="str">
        <f t="shared" si="5"/>
        <v/>
      </c>
    </row>
    <row r="31" spans="1:8">
      <c r="A31" s="534"/>
      <c r="B31" s="305" t="str">
        <f t="shared" si="2"/>
        <v/>
      </c>
      <c r="C31" s="305"/>
      <c r="D31" s="306"/>
      <c r="E31" s="276" t="str">
        <f t="shared" si="3"/>
        <v/>
      </c>
      <c r="F31" s="405"/>
      <c r="G31" s="310" t="str">
        <f t="shared" si="4"/>
        <v/>
      </c>
      <c r="H31" s="311" t="str">
        <f t="shared" si="5"/>
        <v/>
      </c>
    </row>
    <row r="32" spans="1:8" ht="13.5" thickBot="1">
      <c r="A32" s="535"/>
      <c r="B32" s="326" t="str">
        <f t="shared" si="2"/>
        <v/>
      </c>
      <c r="C32" s="314"/>
      <c r="D32" s="314"/>
      <c r="E32" s="315" t="str">
        <f t="shared" si="3"/>
        <v/>
      </c>
      <c r="F32" s="406"/>
      <c r="G32" s="327" t="str">
        <f t="shared" si="4"/>
        <v/>
      </c>
      <c r="H32" s="311" t="str">
        <f t="shared" si="5"/>
        <v/>
      </c>
    </row>
    <row r="33" spans="1:8" ht="13.5" thickBot="1">
      <c r="A33" s="285"/>
      <c r="B33" s="285"/>
      <c r="C33" s="285"/>
      <c r="D33" s="285"/>
      <c r="E33" s="286"/>
      <c r="F33" s="285"/>
      <c r="G33" s="210" t="s">
        <v>529</v>
      </c>
      <c r="H33" s="328">
        <f>ROUND(SUM(H23:H32),0)</f>
        <v>28490</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546"/>
      <c r="B37" s="305" t="str">
        <f>IF(A37="","",VLOOKUP(A37,MAT,2,FALSE))</f>
        <v/>
      </c>
      <c r="C37" s="333"/>
      <c r="D37" s="409" t="str">
        <f>IF(A37="","",VLOOKUP(A37,MAT,3,FALSE))</f>
        <v/>
      </c>
      <c r="E37" s="419" t="str">
        <f>IF(A37="","",VLOOKUP(A37,MAT,6,FALSE))</f>
        <v/>
      </c>
      <c r="F37" s="413"/>
      <c r="G37" s="334" t="str">
        <f>IF(A37="","",VLOOKUP(A37,MAT,7,FALSE))</f>
        <v/>
      </c>
      <c r="H37" s="311" t="str">
        <f>IF(A37="","",ROUND((G37*F37*E37),0))</f>
        <v/>
      </c>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t="str">
        <f>IF(A39="","",ROUND((G39*F39*E39),0))</f>
        <v/>
      </c>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0</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883</v>
      </c>
      <c r="B46" s="2192" t="str">
        <f>IF(A46="","",VLOOKUP(A46,MO,2,FALSE))</f>
        <v>Cuadrilla AA: Albañilería. (1 Of. + 1 Ayud.).</v>
      </c>
      <c r="C46" s="2193"/>
      <c r="D46" s="2194"/>
      <c r="E46" s="538" t="str">
        <f>IF(A46="","",VLOOKUP(A46,MO,13,FALSE))</f>
        <v>HC</v>
      </c>
      <c r="F46" s="544">
        <v>3.8</v>
      </c>
      <c r="G46" s="540">
        <f>IF(A46="","",VLOOKUP(A46,MO,15,FALSE))</f>
        <v>38949</v>
      </c>
      <c r="H46" s="542">
        <f>IF(A46="","",ROUND((G46/F46),0))</f>
        <v>10250</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10250</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39253</v>
      </c>
    </row>
    <row r="53" spans="1:8">
      <c r="A53" s="285"/>
      <c r="B53" s="285"/>
      <c r="C53" s="285"/>
      <c r="D53" s="285"/>
      <c r="E53" s="346"/>
      <c r="F53" s="347"/>
      <c r="G53" s="347"/>
      <c r="H53" s="349"/>
    </row>
    <row r="54" spans="1:8">
      <c r="A54" s="285"/>
      <c r="B54" s="285"/>
      <c r="C54" s="285"/>
      <c r="D54" s="285"/>
      <c r="E54" s="346"/>
      <c r="F54" s="347"/>
      <c r="G54" s="347"/>
      <c r="H54" s="349"/>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c r="A59" s="703" t="str">
        <f>+[14]PRESUPUESTO!$A$113</f>
        <v>__________________________________________</v>
      </c>
      <c r="B59" s="703"/>
    </row>
    <row r="60" spans="1:8">
      <c r="A60" s="810" t="str">
        <f>+[14]PRESUPUESTO!$A$114</f>
        <v>Ing. JHON FREDY GARCIA MENDEZ</v>
      </c>
      <c r="B60" s="703"/>
    </row>
    <row r="61" spans="1:8">
      <c r="A61" s="811" t="str">
        <f>+[14]PRESUPUESTO!$A$115</f>
        <v>M.P.  70268-326294 TLM.</v>
      </c>
      <c r="B61" s="703"/>
    </row>
    <row r="62" spans="1:8">
      <c r="A62" s="811" t="str">
        <f>+[14]PRESUPUESTO!$A$116</f>
        <v>CONSULTOR</v>
      </c>
      <c r="B62" s="703"/>
    </row>
  </sheetData>
  <mergeCells count="15">
    <mergeCell ref="B47:D47"/>
    <mergeCell ref="B48:D48"/>
    <mergeCell ref="B49:D49"/>
    <mergeCell ref="B6:D6"/>
    <mergeCell ref="B7:E7"/>
    <mergeCell ref="B8:E8"/>
    <mergeCell ref="B36:C36"/>
    <mergeCell ref="B45:D45"/>
    <mergeCell ref="B46:D46"/>
    <mergeCell ref="D2:E4"/>
    <mergeCell ref="F2:H2"/>
    <mergeCell ref="F3:H3"/>
    <mergeCell ref="F4:H4"/>
    <mergeCell ref="A5:E5"/>
    <mergeCell ref="F5:H5"/>
  </mergeCells>
  <pageMargins left="0.75" right="0.75" top="1" bottom="1" header="0" footer="0"/>
  <pageSetup paperSize="9" scale="70" orientation="portrait" r:id="rId1"/>
  <headerFooter alignWithMargins="0"/>
  <drawing r:id="rId2"/>
</worksheet>
</file>

<file path=xl/worksheets/sheet1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B00-000000000000}">
  <sheetPr>
    <tabColor theme="6" tint="0.79998168889431442"/>
  </sheetPr>
  <dimension ref="A1:I63"/>
  <sheetViews>
    <sheetView workbookViewId="0"/>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2.710937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t="e">
        <f>PRESUPUESTO!#REF!</f>
        <v>#REF!</v>
      </c>
      <c r="B7" s="2185" t="e">
        <f>PRESUPUESTO!#REF!</f>
        <v>#REF!</v>
      </c>
      <c r="C7" s="2185"/>
      <c r="D7" s="2185"/>
      <c r="E7" s="2185"/>
      <c r="F7" s="289"/>
      <c r="G7" s="290" t="s">
        <v>525</v>
      </c>
      <c r="H7" s="97" t="e">
        <f>+PRESUPUESTO!#REF!</f>
        <v>#REF!</v>
      </c>
    </row>
    <row r="8" spans="1:9">
      <c r="A8" s="97" t="e">
        <f>+PRESUPUESTO!#REF!</f>
        <v>#REF!</v>
      </c>
      <c r="B8" s="2217" t="e">
        <f>+PRESUPUESTO!#REF!</f>
        <v>#REF!</v>
      </c>
      <c r="C8" s="2217"/>
      <c r="D8" s="2217"/>
      <c r="E8" s="221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v>3</v>
      </c>
      <c r="H12" s="278" t="s">
        <v>831</v>
      </c>
    </row>
    <row r="13" spans="1:9">
      <c r="A13" s="536" t="s">
        <v>966</v>
      </c>
      <c r="B13" s="305" t="str">
        <f t="shared" ref="B13:B18" si="0">IF(A13="","",VLOOKUP(A13,EQUI,2,FALSE))</f>
        <v>Herramienta Menor (5% de la mano de obra).</v>
      </c>
      <c r="C13" s="306"/>
      <c r="D13" s="306"/>
      <c r="E13" s="276" t="str">
        <f t="shared" ref="E13:E18" si="1">IF(A13="","",VLOOKUP(A13,EQUI,3,FALSE))</f>
        <v>%</v>
      </c>
      <c r="F13" s="433">
        <f>IF(A13="","",VLOOKUP(A13,EQUI,4,FALSE))</f>
        <v>0.05</v>
      </c>
      <c r="G13" s="307">
        <f>ROUND(F13*H51,0)</f>
        <v>513</v>
      </c>
      <c r="H13" s="308">
        <f>+G13</f>
        <v>513</v>
      </c>
      <c r="I13" s="309"/>
    </row>
    <row r="14" spans="1:9">
      <c r="A14" s="536"/>
      <c r="B14" s="305" t="str">
        <f t="shared" si="0"/>
        <v/>
      </c>
      <c r="C14" s="306"/>
      <c r="D14" s="306"/>
      <c r="E14" s="276" t="str">
        <f t="shared" si="1"/>
        <v/>
      </c>
      <c r="F14" s="405"/>
      <c r="G14" s="310" t="str">
        <f>IF(A14="","",VLOOKUP(A14,EQUI,4,FALSE))</f>
        <v/>
      </c>
      <c r="H14" s="311" t="str">
        <f>IF(A14="","",ROUND((G14/F14),0))</f>
        <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513</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c r="B23" s="1033" t="s">
        <v>2452</v>
      </c>
      <c r="C23" s="305"/>
      <c r="D23" s="306"/>
      <c r="E23" s="815" t="s">
        <v>1654</v>
      </c>
      <c r="F23" s="405">
        <v>3</v>
      </c>
      <c r="G23" s="310">
        <v>3375</v>
      </c>
      <c r="H23" s="311">
        <f>ROUND(F23*G23,0)</f>
        <v>10125</v>
      </c>
    </row>
    <row r="24" spans="1:8">
      <c r="A24" s="534"/>
      <c r="B24" s="1033" t="s">
        <v>2453</v>
      </c>
      <c r="C24" s="305"/>
      <c r="D24" s="306"/>
      <c r="E24" s="815" t="s">
        <v>1681</v>
      </c>
      <c r="F24" s="405">
        <v>1</v>
      </c>
      <c r="G24" s="310">
        <v>511</v>
      </c>
      <c r="H24" s="311">
        <f t="shared" ref="H24:H25" si="2">ROUND(F24*G24,0)</f>
        <v>511</v>
      </c>
    </row>
    <row r="25" spans="1:8">
      <c r="A25" s="534"/>
      <c r="B25" s="1033" t="s">
        <v>2454</v>
      </c>
      <c r="C25" s="305"/>
      <c r="D25" s="306"/>
      <c r="E25" s="815" t="s">
        <v>1681</v>
      </c>
      <c r="F25" s="405">
        <v>3</v>
      </c>
      <c r="G25" s="310">
        <v>641</v>
      </c>
      <c r="H25" s="311">
        <f t="shared" si="2"/>
        <v>1923</v>
      </c>
    </row>
    <row r="26" spans="1:8">
      <c r="A26" s="534" t="s">
        <v>579</v>
      </c>
      <c r="B26" s="305" t="str">
        <f t="shared" ref="B26:B33" si="3">IF(A26="","",VLOOKUP(A26,MAT,2,FALSE))</f>
        <v>Cinta teflón</v>
      </c>
      <c r="C26" s="305"/>
      <c r="D26" s="306"/>
      <c r="E26" s="815" t="s">
        <v>1681</v>
      </c>
      <c r="F26" s="405">
        <v>0.05</v>
      </c>
      <c r="G26" s="310">
        <f t="shared" ref="G26:G33" si="4">IF(A26="","",VLOOKUP(A26,MAT,5,FALSE))</f>
        <v>8580</v>
      </c>
      <c r="H26" s="311">
        <f t="shared" ref="H26:H33" si="5">IF(A26="","",ROUND((G26*F26),0))</f>
        <v>429</v>
      </c>
    </row>
    <row r="27" spans="1:8">
      <c r="A27" s="534"/>
      <c r="B27" s="305" t="str">
        <f t="shared" si="3"/>
        <v/>
      </c>
      <c r="C27" s="305"/>
      <c r="D27" s="306"/>
      <c r="E27" s="276" t="str">
        <f t="shared" ref="E27:E33" si="6">IF(A27="","",VLOOKUP(A27,MAT,3,FALSE))</f>
        <v/>
      </c>
      <c r="F27" s="405"/>
      <c r="G27" s="310" t="str">
        <f t="shared" si="4"/>
        <v/>
      </c>
      <c r="H27" s="311" t="str">
        <f t="shared" si="5"/>
        <v/>
      </c>
    </row>
    <row r="28" spans="1:8">
      <c r="A28" s="534"/>
      <c r="B28" s="305" t="str">
        <f t="shared" si="3"/>
        <v/>
      </c>
      <c r="C28" s="305"/>
      <c r="D28" s="306"/>
      <c r="E28" s="276" t="str">
        <f t="shared" si="6"/>
        <v/>
      </c>
      <c r="F28" s="405"/>
      <c r="G28" s="310" t="str">
        <f t="shared" si="4"/>
        <v/>
      </c>
      <c r="H28" s="311" t="str">
        <f t="shared" si="5"/>
        <v/>
      </c>
    </row>
    <row r="29" spans="1:8">
      <c r="A29" s="534"/>
      <c r="B29" s="305" t="str">
        <f t="shared" si="3"/>
        <v/>
      </c>
      <c r="C29" s="305"/>
      <c r="D29" s="306"/>
      <c r="E29" s="276" t="str">
        <f t="shared" si="6"/>
        <v/>
      </c>
      <c r="F29" s="405"/>
      <c r="G29" s="310" t="str">
        <f t="shared" si="4"/>
        <v/>
      </c>
      <c r="H29" s="311" t="str">
        <f t="shared" si="5"/>
        <v/>
      </c>
    </row>
    <row r="30" spans="1:8">
      <c r="A30" s="534"/>
      <c r="B30" s="305" t="str">
        <f t="shared" si="3"/>
        <v/>
      </c>
      <c r="C30" s="305"/>
      <c r="D30" s="306"/>
      <c r="E30" s="276" t="str">
        <f t="shared" si="6"/>
        <v/>
      </c>
      <c r="F30" s="405"/>
      <c r="G30" s="310" t="str">
        <f t="shared" si="4"/>
        <v/>
      </c>
      <c r="H30" s="311" t="str">
        <f t="shared" si="5"/>
        <v/>
      </c>
    </row>
    <row r="31" spans="1:8">
      <c r="A31" s="534"/>
      <c r="B31" s="305" t="str">
        <f t="shared" si="3"/>
        <v/>
      </c>
      <c r="C31" s="305"/>
      <c r="D31" s="306"/>
      <c r="E31" s="276" t="str">
        <f t="shared" si="6"/>
        <v/>
      </c>
      <c r="F31" s="405"/>
      <c r="G31" s="310" t="str">
        <f t="shared" si="4"/>
        <v/>
      </c>
      <c r="H31" s="311" t="str">
        <f t="shared" si="5"/>
        <v/>
      </c>
    </row>
    <row r="32" spans="1:8">
      <c r="A32" s="534"/>
      <c r="B32" s="305" t="str">
        <f t="shared" si="3"/>
        <v/>
      </c>
      <c r="C32" s="305"/>
      <c r="D32" s="306"/>
      <c r="E32" s="276" t="str">
        <f t="shared" si="6"/>
        <v/>
      </c>
      <c r="F32" s="405"/>
      <c r="G32" s="310" t="str">
        <f t="shared" si="4"/>
        <v/>
      </c>
      <c r="H32" s="311" t="str">
        <f t="shared" si="5"/>
        <v/>
      </c>
    </row>
    <row r="33" spans="1:8" ht="13.5" thickBot="1">
      <c r="A33" s="535"/>
      <c r="B33" s="326" t="str">
        <f t="shared" si="3"/>
        <v/>
      </c>
      <c r="C33" s="314"/>
      <c r="D33" s="314"/>
      <c r="E33" s="315" t="str">
        <f t="shared" si="6"/>
        <v/>
      </c>
      <c r="F33" s="406"/>
      <c r="G33" s="327" t="str">
        <f t="shared" si="4"/>
        <v/>
      </c>
      <c r="H33" s="311" t="str">
        <f t="shared" si="5"/>
        <v/>
      </c>
    </row>
    <row r="34" spans="1:8" ht="13.5" thickBot="1">
      <c r="A34" s="285"/>
      <c r="B34" s="285"/>
      <c r="C34" s="285"/>
      <c r="D34" s="285"/>
      <c r="E34" s="286"/>
      <c r="F34" s="285"/>
      <c r="G34" s="210" t="s">
        <v>529</v>
      </c>
      <c r="H34" s="328">
        <f>ROUND(SUM(H23:H33),0)</f>
        <v>12988</v>
      </c>
    </row>
    <row r="35" spans="1:8">
      <c r="A35" s="285"/>
      <c r="B35" s="285"/>
      <c r="C35" s="285"/>
      <c r="D35" s="285"/>
      <c r="E35" s="286"/>
      <c r="F35" s="285"/>
      <c r="G35" s="286"/>
      <c r="H35" s="329"/>
    </row>
    <row r="36" spans="1:8" ht="13.5" thickBot="1">
      <c r="A36" s="295" t="s">
        <v>531</v>
      </c>
      <c r="B36" s="285"/>
      <c r="C36" s="285"/>
      <c r="D36" s="285"/>
      <c r="E36" s="286"/>
      <c r="F36" s="285"/>
      <c r="G36" s="286"/>
      <c r="H36" s="330"/>
    </row>
    <row r="37" spans="1:8" ht="13.5" thickBot="1">
      <c r="A37" s="297" t="s">
        <v>527</v>
      </c>
      <c r="B37" s="2187" t="s">
        <v>532</v>
      </c>
      <c r="C37" s="2188"/>
      <c r="D37" s="331" t="s">
        <v>821</v>
      </c>
      <c r="E37" s="331" t="s">
        <v>820</v>
      </c>
      <c r="F37" s="331" t="s">
        <v>823</v>
      </c>
      <c r="G37" s="331" t="s">
        <v>822</v>
      </c>
      <c r="H37" s="416" t="s">
        <v>831</v>
      </c>
    </row>
    <row r="38" spans="1:8">
      <c r="A38" s="546"/>
      <c r="B38" s="737" t="s">
        <v>2493</v>
      </c>
      <c r="C38" s="772"/>
      <c r="D38" s="773"/>
      <c r="E38" s="774"/>
      <c r="F38" s="775"/>
      <c r="G38" s="1066">
        <v>0.06</v>
      </c>
      <c r="H38" s="746">
        <f>ROUND(G38*H34,0)</f>
        <v>779</v>
      </c>
    </row>
    <row r="39" spans="1:8">
      <c r="A39" s="532"/>
      <c r="B39" s="305" t="str">
        <f>IF(A39="","",VLOOKUP(A39,MAT,2,FALSE))</f>
        <v/>
      </c>
      <c r="C39" s="530"/>
      <c r="D39" s="409" t="str">
        <f>IF(A39="","",VLOOKUP(A39,MAT,3,FALSE))</f>
        <v/>
      </c>
      <c r="E39" s="419" t="str">
        <f>IF(A39="","",VLOOKUP(A39,MAT,6,FALSE))</f>
        <v/>
      </c>
      <c r="F39" s="413" t="str">
        <f>IF(A39="","",VLOOKUP(A39,$A$23:$H$33,6,FALSE))</f>
        <v/>
      </c>
      <c r="G39" s="334" t="str">
        <f>IF(A39="","",VLOOKUP(A39,MAT,7,FALSE))</f>
        <v/>
      </c>
      <c r="H39" s="311" t="str">
        <f>IF(A39="","",ROUND((G39*F39*E39),0))</f>
        <v/>
      </c>
    </row>
    <row r="40" spans="1:8">
      <c r="A40" s="532"/>
      <c r="B40" s="305" t="str">
        <f>IF(A40="","",VLOOKUP(A40,MAT,2,FALSE))</f>
        <v/>
      </c>
      <c r="C40" s="530"/>
      <c r="D40" s="409" t="str">
        <f>IF(A40="","",VLOOKUP(A40,MAT,3,FALSE))</f>
        <v/>
      </c>
      <c r="E40" s="419" t="str">
        <f>IF(A40="","",VLOOKUP(A40,MAT,6,FALSE))</f>
        <v/>
      </c>
      <c r="F40" s="413" t="str">
        <f>IF(A40="","",VLOOKUP(A40,$A$23:$H$33,6,FALSE))</f>
        <v/>
      </c>
      <c r="G40" s="334" t="str">
        <f>IF(A40="","",VLOOKUP(A40,MAT,7,FALSE))</f>
        <v/>
      </c>
      <c r="H40" s="311" t="str">
        <f>IF(A40="","",ROUND((G40*F40*E40),0))</f>
        <v/>
      </c>
    </row>
    <row r="41" spans="1:8">
      <c r="A41" s="547"/>
      <c r="B41" s="305" t="str">
        <f>IF(A41="","",VLOOKUP(A41,MAT,2,FALSE))</f>
        <v/>
      </c>
      <c r="D41" s="410" t="str">
        <f>IF(A41="","",VLOOKUP(A41,MAT,3,FALSE))</f>
        <v/>
      </c>
      <c r="E41" s="419" t="str">
        <f>IF(A41="","",VLOOKUP(A41,MAT,6,FALSE))</f>
        <v/>
      </c>
      <c r="F41" s="413" t="str">
        <f>IF(A41="","",VLOOKUP(A41,$A$23:$H$33,6,FALSE))</f>
        <v/>
      </c>
      <c r="G41" s="336" t="str">
        <f>IF(A41="","",VLOOKUP(A41,MAT,7,FALSE))</f>
        <v/>
      </c>
      <c r="H41" s="311" t="str">
        <f>IF(A41="","",ROUND((G41*F41*E41),0))</f>
        <v/>
      </c>
    </row>
    <row r="42" spans="1:8" ht="13.5" thickBot="1">
      <c r="A42" s="548"/>
      <c r="B42" s="338" t="str">
        <f>IF(A42="","",VLOOKUP(A42,MAT,2,FALSE))</f>
        <v/>
      </c>
      <c r="C42" s="338"/>
      <c r="D42" s="411" t="str">
        <f>IF(A42="","",VLOOKUP(A42,MAT,3,FALSE))</f>
        <v/>
      </c>
      <c r="E42" s="412" t="str">
        <f>IF(A42="","",VLOOKUP(A42,MAT,6,FALSE))</f>
        <v/>
      </c>
      <c r="F42" s="418" t="str">
        <f>IF(A42="","",VLOOKUP(A42,$A$23:$H$33,6,FALSE))</f>
        <v/>
      </c>
      <c r="G42" s="339" t="str">
        <f>IF(A42="","",VLOOKUP(A42,MAT,7,FALSE))</f>
        <v/>
      </c>
      <c r="H42" s="417" t="str">
        <f>IF(A42="","",ROUND((G42*F42*E42),0))</f>
        <v/>
      </c>
    </row>
    <row r="43" spans="1:8" ht="13.5" thickBot="1">
      <c r="E43" s="340"/>
      <c r="F43" s="341"/>
      <c r="G43" s="414" t="s">
        <v>529</v>
      </c>
      <c r="H43" s="415">
        <f>ROUND(SUM(H38:H42),0)</f>
        <v>779</v>
      </c>
    </row>
    <row r="44" spans="1:8">
      <c r="E44" s="340"/>
      <c r="F44" s="341"/>
      <c r="G44" s="286"/>
      <c r="H44" s="343"/>
    </row>
    <row r="45" spans="1:8" ht="13.5" thickBot="1">
      <c r="A45" s="295" t="s">
        <v>534</v>
      </c>
      <c r="B45" s="295"/>
      <c r="C45" s="295"/>
      <c r="D45" s="285"/>
      <c r="E45" s="286"/>
      <c r="F45" s="285"/>
      <c r="G45" s="285"/>
      <c r="H45" s="314"/>
    </row>
    <row r="46" spans="1:8" ht="13.5" thickBot="1">
      <c r="A46" s="297" t="s">
        <v>527</v>
      </c>
      <c r="B46" s="2189" t="s">
        <v>514</v>
      </c>
      <c r="C46" s="2190"/>
      <c r="D46" s="2191"/>
      <c r="E46" s="277" t="s">
        <v>515</v>
      </c>
      <c r="F46" s="277" t="s">
        <v>535</v>
      </c>
      <c r="G46" s="531" t="s">
        <v>944</v>
      </c>
      <c r="H46" s="416" t="s">
        <v>831</v>
      </c>
    </row>
    <row r="47" spans="1:8">
      <c r="A47" s="563" t="s">
        <v>883</v>
      </c>
      <c r="B47" s="2192" t="str">
        <f>IF(A47="","",VLOOKUP(A47,MO,2,FALSE))</f>
        <v>Cuadrilla AA: Albañilería. (1 Of. + 1 Ayud.).</v>
      </c>
      <c r="C47" s="2193"/>
      <c r="D47" s="2194"/>
      <c r="E47" s="538" t="str">
        <f>IF(A47="","",VLOOKUP(A47,MO,13,FALSE))</f>
        <v>HC</v>
      </c>
      <c r="F47" s="544">
        <v>3.8</v>
      </c>
      <c r="G47" s="540">
        <f>IF(A47="","",VLOOKUP(A47,MO,15,FALSE))</f>
        <v>38949</v>
      </c>
      <c r="H47" s="542">
        <f>IF(A47="","",ROUND((G47/F47),0))</f>
        <v>10250</v>
      </c>
    </row>
    <row r="48" spans="1:8">
      <c r="A48" s="563"/>
      <c r="B48" s="2179" t="str">
        <f>IF(A48="","",VLOOKUP(A48,MO,2,FALSE))</f>
        <v/>
      </c>
      <c r="C48" s="2180"/>
      <c r="D48" s="2181"/>
      <c r="E48" s="538" t="str">
        <f>IF(A48="","",VLOOKUP(A48,MO,13,FALSE))</f>
        <v/>
      </c>
      <c r="F48" s="544"/>
      <c r="G48" s="540" t="str">
        <f>IF(A48="","",VLOOKUP(A48,MO,15,FALSE))</f>
        <v/>
      </c>
      <c r="H48" s="542" t="str">
        <f>IF(A48="","",ROUND((G48/F48),0))</f>
        <v/>
      </c>
    </row>
    <row r="49" spans="1:8">
      <c r="A49" s="563"/>
      <c r="B49" s="2179" t="str">
        <f>IF(A49="","",VLOOKUP(A49,MO,2,FALSE))</f>
        <v/>
      </c>
      <c r="C49" s="2180"/>
      <c r="D49" s="2181"/>
      <c r="E49" s="538" t="str">
        <f>IF(A49="","",VLOOKUP(A49,MO,13,FALSE))</f>
        <v/>
      </c>
      <c r="F49" s="544"/>
      <c r="G49" s="541" t="str">
        <f>IF(A49="","",VLOOKUP(A49,MO,15,FALSE))</f>
        <v/>
      </c>
      <c r="H49" s="542" t="str">
        <f>IF(A49="","",ROUND((G49/F49),0))</f>
        <v/>
      </c>
    </row>
    <row r="50" spans="1:8" ht="13.5" thickBot="1">
      <c r="A50" s="564"/>
      <c r="B50" s="2182" t="str">
        <f>IF(A50="","",VLOOKUP(A50,MO,2,FALSE))</f>
        <v/>
      </c>
      <c r="C50" s="2183"/>
      <c r="D50" s="2184"/>
      <c r="E50" s="539" t="str">
        <f>IF(A50="","",VLOOKUP(A50,MO,13,FALSE))</f>
        <v/>
      </c>
      <c r="F50" s="545"/>
      <c r="G50" s="377" t="str">
        <f>IF(A50="","",VLOOKUP(A50,MO,15,FALSE))</f>
        <v/>
      </c>
      <c r="H50" s="543" t="str">
        <f>IF(A50="","",ROUND((G50/F50),0))</f>
        <v/>
      </c>
    </row>
    <row r="51" spans="1:8" ht="13.5" thickBot="1">
      <c r="A51" s="285"/>
      <c r="B51" s="285"/>
      <c r="C51" s="285"/>
      <c r="D51" s="285"/>
      <c r="E51" s="286"/>
      <c r="F51" s="285"/>
      <c r="G51" s="317" t="s">
        <v>529</v>
      </c>
      <c r="H51" s="342">
        <f>ROUND(SUM(H47:H50),0)</f>
        <v>10250</v>
      </c>
    </row>
    <row r="52" spans="1:8" ht="13.5" thickBot="1">
      <c r="A52" s="285"/>
      <c r="B52" s="285"/>
      <c r="C52" s="285"/>
      <c r="D52" s="285"/>
      <c r="E52" s="286"/>
      <c r="F52" s="285"/>
      <c r="G52" s="285"/>
      <c r="H52" s="285"/>
    </row>
    <row r="53" spans="1:8" ht="13.5" thickBot="1">
      <c r="A53" s="285"/>
      <c r="B53" s="285"/>
      <c r="C53" s="285"/>
      <c r="D53" s="285"/>
      <c r="E53" s="346" t="s">
        <v>536</v>
      </c>
      <c r="F53" s="347"/>
      <c r="G53" s="347"/>
      <c r="H53" s="348">
        <f>+ROUND(H19+H34+H43+H51,0)</f>
        <v>24530</v>
      </c>
    </row>
    <row r="54" spans="1:8">
      <c r="A54" s="285"/>
      <c r="B54" s="285"/>
      <c r="C54" s="285"/>
      <c r="D54" s="285"/>
      <c r="E54" s="346"/>
      <c r="F54" s="347"/>
      <c r="G54" s="347"/>
      <c r="H54" s="349"/>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8" spans="1:8">
      <c r="A58" s="285"/>
      <c r="B58" s="285"/>
      <c r="C58" s="285"/>
      <c r="D58" s="285"/>
      <c r="E58" s="346"/>
      <c r="F58" s="347"/>
      <c r="G58" s="347"/>
      <c r="H58" s="349"/>
    </row>
    <row r="60" spans="1:8">
      <c r="A60" s="703" t="str">
        <f>+[14]PRESUPUESTO!$A$113</f>
        <v>__________________________________________</v>
      </c>
      <c r="B60" s="703"/>
    </row>
    <row r="61" spans="1:8">
      <c r="A61" s="810" t="str">
        <f>+[14]PRESUPUESTO!$A$114</f>
        <v>Ing. JHON FREDY GARCIA MENDEZ</v>
      </c>
      <c r="B61" s="703"/>
    </row>
    <row r="62" spans="1:8">
      <c r="A62" s="811" t="str">
        <f>+[14]PRESUPUESTO!$A$115</f>
        <v>M.P.  70268-326294 TLM.</v>
      </c>
      <c r="B62" s="703"/>
    </row>
    <row r="63" spans="1:8">
      <c r="A63" s="811" t="str">
        <f>+[14]PRESUPUESTO!$A$116</f>
        <v>CONSULTOR</v>
      </c>
      <c r="B63" s="703"/>
    </row>
  </sheetData>
  <mergeCells count="15">
    <mergeCell ref="B48:D48"/>
    <mergeCell ref="B49:D49"/>
    <mergeCell ref="B50:D50"/>
    <mergeCell ref="B6:D6"/>
    <mergeCell ref="B7:E7"/>
    <mergeCell ref="B8:E8"/>
    <mergeCell ref="B37:C37"/>
    <mergeCell ref="B46:D46"/>
    <mergeCell ref="B47:D47"/>
    <mergeCell ref="D2:E4"/>
    <mergeCell ref="F2:H2"/>
    <mergeCell ref="F3:H3"/>
    <mergeCell ref="F4:H4"/>
    <mergeCell ref="A5:E5"/>
    <mergeCell ref="F5:H5"/>
  </mergeCells>
  <pageMargins left="0.75" right="0.75" top="1" bottom="1" header="0" footer="0"/>
  <pageSetup paperSize="9" scale="70" orientation="portrait" r:id="rId1"/>
  <headerFooter alignWithMargins="0"/>
  <drawing r:id="rId2"/>
</worksheet>
</file>

<file path=xl/worksheets/sheet1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C00-000000000000}">
  <sheetPr>
    <tabColor theme="6" tint="0.79998168889431442"/>
  </sheetPr>
  <dimension ref="A1:I63"/>
  <sheetViews>
    <sheetView workbookViewId="0"/>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2.710937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t="e">
        <f>PRESUPUESTO!#REF!</f>
        <v>#REF!</v>
      </c>
      <c r="B7" s="2185" t="e">
        <f>PRESUPUESTO!#REF!</f>
        <v>#REF!</v>
      </c>
      <c r="C7" s="2185"/>
      <c r="D7" s="2185"/>
      <c r="E7" s="2185"/>
      <c r="F7" s="289"/>
      <c r="G7" s="290" t="s">
        <v>525</v>
      </c>
      <c r="H7" s="97" t="e">
        <f>+PRESUPUESTO!#REF!</f>
        <v>#REF!</v>
      </c>
    </row>
    <row r="8" spans="1:9">
      <c r="A8" s="97" t="e">
        <f>+PRESUPUESTO!#REF!</f>
        <v>#REF!</v>
      </c>
      <c r="B8" s="2217" t="e">
        <f>+PRESUPUESTO!#REF!</f>
        <v>#REF!</v>
      </c>
      <c r="C8" s="2217"/>
      <c r="D8" s="2217"/>
      <c r="E8" s="221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v>3</v>
      </c>
      <c r="H12" s="278" t="s">
        <v>831</v>
      </c>
    </row>
    <row r="13" spans="1:9">
      <c r="A13" s="536" t="s">
        <v>966</v>
      </c>
      <c r="B13" s="305" t="str">
        <f t="shared" ref="B13:B18" si="0">IF(A13="","",VLOOKUP(A13,EQUI,2,FALSE))</f>
        <v>Herramienta Menor (5% de la mano de obra).</v>
      </c>
      <c r="C13" s="306"/>
      <c r="D13" s="306"/>
      <c r="E13" s="276" t="str">
        <f t="shared" ref="E13:E18" si="1">IF(A13="","",VLOOKUP(A13,EQUI,3,FALSE))</f>
        <v>%</v>
      </c>
      <c r="F13" s="433">
        <f>IF(A13="","",VLOOKUP(A13,EQUI,4,FALSE))</f>
        <v>0.05</v>
      </c>
      <c r="G13" s="307">
        <f>ROUND(F13*H51,0)</f>
        <v>1558</v>
      </c>
      <c r="H13" s="308">
        <f>+G13</f>
        <v>1558</v>
      </c>
      <c r="I13" s="309"/>
    </row>
    <row r="14" spans="1:9">
      <c r="A14" s="536"/>
      <c r="B14" s="305" t="str">
        <f t="shared" si="0"/>
        <v/>
      </c>
      <c r="C14" s="306"/>
      <c r="D14" s="306"/>
      <c r="E14" s="276" t="str">
        <f t="shared" si="1"/>
        <v/>
      </c>
      <c r="F14" s="405"/>
      <c r="G14" s="310" t="str">
        <f>IF(A14="","",VLOOKUP(A14,EQUI,4,FALSE))</f>
        <v/>
      </c>
      <c r="H14" s="311" t="str">
        <f>IF(A14="","",ROUND((G14/F14),0))</f>
        <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1558</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4" t="s">
        <v>2455</v>
      </c>
      <c r="B23" s="305" t="str">
        <f t="shared" ref="B23" si="2">IF(A23="","",VLOOKUP(A23,MAT,2,FALSE))</f>
        <v>Concreto de 175 Kg/cm2 (2500 PSI)</v>
      </c>
      <c r="C23" s="305"/>
      <c r="D23" s="306"/>
      <c r="E23" s="276" t="str">
        <f t="shared" ref="E23" si="3">IF(A23="","",VLOOKUP(A23,MAT,3,FALSE))</f>
        <v>m3</v>
      </c>
      <c r="F23" s="405">
        <v>8.5000000000000006E-2</v>
      </c>
      <c r="G23" s="310">
        <f t="shared" ref="G23" si="4">IF(A23="","",VLOOKUP(A23,MAT,5,FALSE))</f>
        <v>692114</v>
      </c>
      <c r="H23" s="1051">
        <f t="shared" ref="H23" si="5">IF(A23="","",ROUND((G23*F23),0))</f>
        <v>58830</v>
      </c>
    </row>
    <row r="24" spans="1:8">
      <c r="A24" s="534"/>
      <c r="B24" s="305"/>
      <c r="C24" s="305"/>
      <c r="D24" s="306"/>
      <c r="E24" s="276"/>
      <c r="F24" s="405"/>
      <c r="G24" s="310"/>
      <c r="H24" s="311"/>
    </row>
    <row r="25" spans="1:8">
      <c r="A25" s="534"/>
      <c r="B25" s="305"/>
      <c r="C25" s="305"/>
      <c r="D25" s="306"/>
      <c r="E25" s="276"/>
      <c r="F25" s="405"/>
      <c r="G25" s="310"/>
      <c r="H25" s="311"/>
    </row>
    <row r="26" spans="1:8">
      <c r="A26" s="534"/>
      <c r="B26" s="305"/>
      <c r="C26" s="305"/>
      <c r="D26" s="306"/>
      <c r="E26" s="815"/>
      <c r="F26" s="405"/>
      <c r="G26" s="310"/>
      <c r="H26" s="311"/>
    </row>
    <row r="27" spans="1:8">
      <c r="A27" s="534"/>
      <c r="B27" s="305" t="str">
        <f t="shared" ref="B27:B33" si="6">IF(A27="","",VLOOKUP(A27,MAT,2,FALSE))</f>
        <v/>
      </c>
      <c r="C27" s="305"/>
      <c r="D27" s="306"/>
      <c r="E27" s="276" t="str">
        <f t="shared" ref="E27:E33" si="7">IF(A27="","",VLOOKUP(A27,MAT,3,FALSE))</f>
        <v/>
      </c>
      <c r="F27" s="405"/>
      <c r="G27" s="310" t="str">
        <f t="shared" ref="G27:G33" si="8">IF(A27="","",VLOOKUP(A27,MAT,5,FALSE))</f>
        <v/>
      </c>
      <c r="H27" s="311" t="str">
        <f t="shared" ref="H27:H33" si="9">IF(A27="","",ROUND((G27*F27),0))</f>
        <v/>
      </c>
    </row>
    <row r="28" spans="1:8">
      <c r="A28" s="534"/>
      <c r="B28" s="305" t="str">
        <f t="shared" si="6"/>
        <v/>
      </c>
      <c r="C28" s="305"/>
      <c r="D28" s="306"/>
      <c r="E28" s="276" t="str">
        <f t="shared" si="7"/>
        <v/>
      </c>
      <c r="F28" s="405"/>
      <c r="G28" s="310" t="str">
        <f t="shared" si="8"/>
        <v/>
      </c>
      <c r="H28" s="311" t="str">
        <f t="shared" si="9"/>
        <v/>
      </c>
    </row>
    <row r="29" spans="1:8">
      <c r="A29" s="534"/>
      <c r="B29" s="305" t="str">
        <f t="shared" si="6"/>
        <v/>
      </c>
      <c r="C29" s="305"/>
      <c r="D29" s="306"/>
      <c r="E29" s="276" t="str">
        <f t="shared" si="7"/>
        <v/>
      </c>
      <c r="F29" s="405"/>
      <c r="G29" s="310" t="str">
        <f t="shared" si="8"/>
        <v/>
      </c>
      <c r="H29" s="311" t="str">
        <f t="shared" si="9"/>
        <v/>
      </c>
    </row>
    <row r="30" spans="1:8">
      <c r="A30" s="534"/>
      <c r="B30" s="305" t="str">
        <f t="shared" si="6"/>
        <v/>
      </c>
      <c r="C30" s="305"/>
      <c r="D30" s="306"/>
      <c r="E30" s="276" t="str">
        <f t="shared" si="7"/>
        <v/>
      </c>
      <c r="F30" s="405"/>
      <c r="G30" s="310" t="str">
        <f t="shared" si="8"/>
        <v/>
      </c>
      <c r="H30" s="311" t="str">
        <f t="shared" si="9"/>
        <v/>
      </c>
    </row>
    <row r="31" spans="1:8">
      <c r="A31" s="534"/>
      <c r="B31" s="305" t="str">
        <f t="shared" si="6"/>
        <v/>
      </c>
      <c r="C31" s="305"/>
      <c r="D31" s="306"/>
      <c r="E31" s="276" t="str">
        <f t="shared" si="7"/>
        <v/>
      </c>
      <c r="F31" s="405"/>
      <c r="G31" s="310" t="str">
        <f t="shared" si="8"/>
        <v/>
      </c>
      <c r="H31" s="311" t="str">
        <f t="shared" si="9"/>
        <v/>
      </c>
    </row>
    <row r="32" spans="1:8">
      <c r="A32" s="534"/>
      <c r="B32" s="305" t="str">
        <f t="shared" si="6"/>
        <v/>
      </c>
      <c r="C32" s="305"/>
      <c r="D32" s="306"/>
      <c r="E32" s="276" t="str">
        <f t="shared" si="7"/>
        <v/>
      </c>
      <c r="F32" s="405"/>
      <c r="G32" s="310" t="str">
        <f t="shared" si="8"/>
        <v/>
      </c>
      <c r="H32" s="311" t="str">
        <f t="shared" si="9"/>
        <v/>
      </c>
    </row>
    <row r="33" spans="1:8" ht="13.5" thickBot="1">
      <c r="A33" s="535"/>
      <c r="B33" s="326" t="str">
        <f t="shared" si="6"/>
        <v/>
      </c>
      <c r="C33" s="314"/>
      <c r="D33" s="314"/>
      <c r="E33" s="315" t="str">
        <f t="shared" si="7"/>
        <v/>
      </c>
      <c r="F33" s="406"/>
      <c r="G33" s="327" t="str">
        <f t="shared" si="8"/>
        <v/>
      </c>
      <c r="H33" s="311" t="str">
        <f t="shared" si="9"/>
        <v/>
      </c>
    </row>
    <row r="34" spans="1:8" ht="13.5" thickBot="1">
      <c r="A34" s="285"/>
      <c r="B34" s="285"/>
      <c r="C34" s="285"/>
      <c r="D34" s="285"/>
      <c r="E34" s="286"/>
      <c r="F34" s="285"/>
      <c r="G34" s="210" t="s">
        <v>529</v>
      </c>
      <c r="H34" s="328">
        <f>ROUND(SUM(H23:H33),0)</f>
        <v>58830</v>
      </c>
    </row>
    <row r="35" spans="1:8">
      <c r="A35" s="285"/>
      <c r="B35" s="285"/>
      <c r="C35" s="285"/>
      <c r="D35" s="285"/>
      <c r="E35" s="286"/>
      <c r="F35" s="285"/>
      <c r="G35" s="286"/>
      <c r="H35" s="329"/>
    </row>
    <row r="36" spans="1:8" ht="13.5" thickBot="1">
      <c r="A36" s="295" t="s">
        <v>531</v>
      </c>
      <c r="B36" s="285"/>
      <c r="C36" s="285"/>
      <c r="D36" s="285"/>
      <c r="E36" s="286"/>
      <c r="F36" s="285"/>
      <c r="G36" s="286"/>
      <c r="H36" s="330"/>
    </row>
    <row r="37" spans="1:8" ht="13.5" thickBot="1">
      <c r="A37" s="297" t="s">
        <v>527</v>
      </c>
      <c r="B37" s="2187" t="s">
        <v>532</v>
      </c>
      <c r="C37" s="2188"/>
      <c r="D37" s="331" t="s">
        <v>821</v>
      </c>
      <c r="E37" s="331" t="s">
        <v>820</v>
      </c>
      <c r="F37" s="331" t="s">
        <v>823</v>
      </c>
      <c r="G37" s="331" t="s">
        <v>822</v>
      </c>
      <c r="H37" s="416" t="s">
        <v>831</v>
      </c>
    </row>
    <row r="38" spans="1:8">
      <c r="A38" s="546"/>
      <c r="B38" s="737"/>
      <c r="C38" s="772"/>
      <c r="D38" s="773"/>
      <c r="E38" s="774"/>
      <c r="F38" s="775"/>
      <c r="G38" s="776"/>
      <c r="H38" s="746"/>
    </row>
    <row r="39" spans="1:8">
      <c r="A39" s="532"/>
      <c r="B39" s="305"/>
      <c r="C39" s="530"/>
      <c r="D39" s="409"/>
      <c r="E39" s="419"/>
      <c r="F39" s="413"/>
      <c r="G39" s="334"/>
      <c r="H39" s="311"/>
    </row>
    <row r="40" spans="1:8">
      <c r="A40" s="532"/>
      <c r="B40" s="305" t="str">
        <f>IF(A40="","",VLOOKUP(A40,MAT,2,FALSE))</f>
        <v/>
      </c>
      <c r="C40" s="530"/>
      <c r="D40" s="409" t="str">
        <f>IF(A40="","",VLOOKUP(A40,MAT,3,FALSE))</f>
        <v/>
      </c>
      <c r="E40" s="419" t="str">
        <f>IF(A40="","",VLOOKUP(A40,MAT,6,FALSE))</f>
        <v/>
      </c>
      <c r="F40" s="413" t="str">
        <f>IF(A40="","",VLOOKUP(A40,$A$23:$H$33,6,FALSE))</f>
        <v/>
      </c>
      <c r="G40" s="334" t="str">
        <f>IF(A40="","",VLOOKUP(A40,MAT,7,FALSE))</f>
        <v/>
      </c>
      <c r="H40" s="311" t="str">
        <f>IF(A40="","",ROUND((G40*F40*E40),0))</f>
        <v/>
      </c>
    </row>
    <row r="41" spans="1:8">
      <c r="A41" s="547"/>
      <c r="B41" s="305" t="str">
        <f>IF(A41="","",VLOOKUP(A41,MAT,2,FALSE))</f>
        <v/>
      </c>
      <c r="D41" s="410" t="str">
        <f>IF(A41="","",VLOOKUP(A41,MAT,3,FALSE))</f>
        <v/>
      </c>
      <c r="E41" s="419" t="str">
        <f>IF(A41="","",VLOOKUP(A41,MAT,6,FALSE))</f>
        <v/>
      </c>
      <c r="F41" s="413" t="str">
        <f>IF(A41="","",VLOOKUP(A41,$A$23:$H$33,6,FALSE))</f>
        <v/>
      </c>
      <c r="G41" s="336" t="str">
        <f>IF(A41="","",VLOOKUP(A41,MAT,7,FALSE))</f>
        <v/>
      </c>
      <c r="H41" s="311" t="str">
        <f>IF(A41="","",ROUND((G41*F41*E41),0))</f>
        <v/>
      </c>
    </row>
    <row r="42" spans="1:8" ht="13.5" thickBot="1">
      <c r="A42" s="548"/>
      <c r="B42" s="338" t="str">
        <f>IF(A42="","",VLOOKUP(A42,MAT,2,FALSE))</f>
        <v/>
      </c>
      <c r="C42" s="338"/>
      <c r="D42" s="411" t="str">
        <f>IF(A42="","",VLOOKUP(A42,MAT,3,FALSE))</f>
        <v/>
      </c>
      <c r="E42" s="412" t="str">
        <f>IF(A42="","",VLOOKUP(A42,MAT,6,FALSE))</f>
        <v/>
      </c>
      <c r="F42" s="418" t="str">
        <f>IF(A42="","",VLOOKUP(A42,$A$23:$H$33,6,FALSE))</f>
        <v/>
      </c>
      <c r="G42" s="339" t="str">
        <f>IF(A42="","",VLOOKUP(A42,MAT,7,FALSE))</f>
        <v/>
      </c>
      <c r="H42" s="417" t="str">
        <f>IF(A42="","",ROUND((G42*F42*E42),0))</f>
        <v/>
      </c>
    </row>
    <row r="43" spans="1:8" ht="13.5" thickBot="1">
      <c r="E43" s="340"/>
      <c r="F43" s="341"/>
      <c r="G43" s="414" t="s">
        <v>529</v>
      </c>
      <c r="H43" s="415">
        <f>ROUND(SUM(H38:H42),0)</f>
        <v>0</v>
      </c>
    </row>
    <row r="44" spans="1:8">
      <c r="E44" s="340"/>
      <c r="F44" s="341"/>
      <c r="G44" s="286"/>
      <c r="H44" s="343"/>
    </row>
    <row r="45" spans="1:8" ht="13.5" thickBot="1">
      <c r="A45" s="295" t="s">
        <v>534</v>
      </c>
      <c r="B45" s="295"/>
      <c r="C45" s="295"/>
      <c r="D45" s="285"/>
      <c r="E45" s="286"/>
      <c r="F45" s="285"/>
      <c r="G45" s="285"/>
      <c r="H45" s="314"/>
    </row>
    <row r="46" spans="1:8" ht="13.5" thickBot="1">
      <c r="A46" s="297" t="s">
        <v>527</v>
      </c>
      <c r="B46" s="2189" t="s">
        <v>514</v>
      </c>
      <c r="C46" s="2190"/>
      <c r="D46" s="2191"/>
      <c r="E46" s="277" t="s">
        <v>515</v>
      </c>
      <c r="F46" s="277" t="s">
        <v>535</v>
      </c>
      <c r="G46" s="531" t="s">
        <v>944</v>
      </c>
      <c r="H46" s="416" t="s">
        <v>831</v>
      </c>
    </row>
    <row r="47" spans="1:8">
      <c r="A47" s="563" t="s">
        <v>883</v>
      </c>
      <c r="B47" s="2192" t="str">
        <f>IF(A47="","",VLOOKUP(A47,MO,2,FALSE))</f>
        <v>Cuadrilla AA: Albañilería. (1 Of. + 1 Ayud.).</v>
      </c>
      <c r="C47" s="2193"/>
      <c r="D47" s="2194"/>
      <c r="E47" s="538" t="str">
        <f>IF(A47="","",VLOOKUP(A47,MO,13,FALSE))</f>
        <v>HC</v>
      </c>
      <c r="F47" s="544">
        <v>1.25</v>
      </c>
      <c r="G47" s="540">
        <f>IF(A47="","",VLOOKUP(A47,MO,15,FALSE))</f>
        <v>38949</v>
      </c>
      <c r="H47" s="542">
        <f>IF(A47="","",ROUND((G47/F47),0))</f>
        <v>31159</v>
      </c>
    </row>
    <row r="48" spans="1:8">
      <c r="A48" s="563"/>
      <c r="B48" s="2179" t="str">
        <f>IF(A48="","",VLOOKUP(A48,MO,2,FALSE))</f>
        <v/>
      </c>
      <c r="C48" s="2180"/>
      <c r="D48" s="2181"/>
      <c r="E48" s="538" t="str">
        <f>IF(A48="","",VLOOKUP(A48,MO,13,FALSE))</f>
        <v/>
      </c>
      <c r="F48" s="544"/>
      <c r="G48" s="540" t="str">
        <f>IF(A48="","",VLOOKUP(A48,MO,15,FALSE))</f>
        <v/>
      </c>
      <c r="H48" s="542" t="str">
        <f>IF(A48="","",ROUND((G48/F48),0))</f>
        <v/>
      </c>
    </row>
    <row r="49" spans="1:8">
      <c r="A49" s="563"/>
      <c r="B49" s="2179" t="str">
        <f>IF(A49="","",VLOOKUP(A49,MO,2,FALSE))</f>
        <v/>
      </c>
      <c r="C49" s="2180"/>
      <c r="D49" s="2181"/>
      <c r="E49" s="538" t="str">
        <f>IF(A49="","",VLOOKUP(A49,MO,13,FALSE))</f>
        <v/>
      </c>
      <c r="F49" s="544"/>
      <c r="G49" s="541" t="str">
        <f>IF(A49="","",VLOOKUP(A49,MO,15,FALSE))</f>
        <v/>
      </c>
      <c r="H49" s="542" t="str">
        <f>IF(A49="","",ROUND((G49/F49),0))</f>
        <v/>
      </c>
    </row>
    <row r="50" spans="1:8" ht="13.5" thickBot="1">
      <c r="A50" s="564"/>
      <c r="B50" s="2182" t="str">
        <f>IF(A50="","",VLOOKUP(A50,MO,2,FALSE))</f>
        <v/>
      </c>
      <c r="C50" s="2183"/>
      <c r="D50" s="2184"/>
      <c r="E50" s="539" t="str">
        <f>IF(A50="","",VLOOKUP(A50,MO,13,FALSE))</f>
        <v/>
      </c>
      <c r="F50" s="545"/>
      <c r="G50" s="377" t="str">
        <f>IF(A50="","",VLOOKUP(A50,MO,15,FALSE))</f>
        <v/>
      </c>
      <c r="H50" s="543" t="str">
        <f>IF(A50="","",ROUND((G50/F50),0))</f>
        <v/>
      </c>
    </row>
    <row r="51" spans="1:8" ht="13.5" thickBot="1">
      <c r="A51" s="285"/>
      <c r="B51" s="285"/>
      <c r="C51" s="285"/>
      <c r="D51" s="285"/>
      <c r="E51" s="286"/>
      <c r="F51" s="285"/>
      <c r="G51" s="317" t="s">
        <v>529</v>
      </c>
      <c r="H51" s="342">
        <f>ROUND(SUM(H47:H50),0)</f>
        <v>31159</v>
      </c>
    </row>
    <row r="52" spans="1:8" ht="13.5" thickBot="1">
      <c r="A52" s="285"/>
      <c r="B52" s="285"/>
      <c r="C52" s="285"/>
      <c r="D52" s="285"/>
      <c r="E52" s="286"/>
      <c r="F52" s="285"/>
      <c r="G52" s="285"/>
      <c r="H52" s="285"/>
    </row>
    <row r="53" spans="1:8" ht="13.5" thickBot="1">
      <c r="A53" s="285"/>
      <c r="B53" s="285"/>
      <c r="C53" s="285"/>
      <c r="D53" s="285"/>
      <c r="E53" s="346" t="s">
        <v>536</v>
      </c>
      <c r="F53" s="347"/>
      <c r="G53" s="347"/>
      <c r="H53" s="348">
        <f>+ROUND(H19+H34+H43+H51,0)</f>
        <v>91547</v>
      </c>
    </row>
    <row r="54" spans="1:8">
      <c r="A54" s="285"/>
      <c r="B54" s="285"/>
      <c r="C54" s="285"/>
      <c r="D54" s="285"/>
      <c r="E54" s="346"/>
      <c r="F54" s="347"/>
      <c r="G54" s="347"/>
      <c r="H54" s="349"/>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8" spans="1:8">
      <c r="A58" s="285"/>
      <c r="B58" s="285"/>
      <c r="C58" s="285"/>
      <c r="D58" s="285"/>
      <c r="E58" s="346"/>
      <c r="F58" s="347"/>
      <c r="G58" s="347"/>
      <c r="H58" s="349"/>
    </row>
    <row r="60" spans="1:8">
      <c r="A60" s="703" t="str">
        <f>+[14]PRESUPUESTO!$A$113</f>
        <v>__________________________________________</v>
      </c>
      <c r="B60" s="703"/>
    </row>
    <row r="61" spans="1:8">
      <c r="A61" s="810" t="str">
        <f>+[14]PRESUPUESTO!$A$114</f>
        <v>Ing. JHON FREDY GARCIA MENDEZ</v>
      </c>
      <c r="B61" s="703"/>
    </row>
    <row r="62" spans="1:8">
      <c r="A62" s="811" t="str">
        <f>+[14]PRESUPUESTO!$A$115</f>
        <v>M.P.  70268-326294 TLM.</v>
      </c>
      <c r="B62" s="703"/>
    </row>
    <row r="63" spans="1:8">
      <c r="A63" s="811" t="str">
        <f>+[14]PRESUPUESTO!$A$116</f>
        <v>CONSULTOR</v>
      </c>
      <c r="B63" s="703"/>
    </row>
  </sheetData>
  <mergeCells count="15">
    <mergeCell ref="B48:D48"/>
    <mergeCell ref="B49:D49"/>
    <mergeCell ref="B50:D50"/>
    <mergeCell ref="B6:D6"/>
    <mergeCell ref="B7:E7"/>
    <mergeCell ref="B8:E8"/>
    <mergeCell ref="B37:C37"/>
    <mergeCell ref="B46:D46"/>
    <mergeCell ref="B47:D47"/>
    <mergeCell ref="D2:E4"/>
    <mergeCell ref="F2:H2"/>
    <mergeCell ref="F3:H3"/>
    <mergeCell ref="F4:H4"/>
    <mergeCell ref="A5:E5"/>
    <mergeCell ref="F5:H5"/>
  </mergeCells>
  <phoneticPr fontId="22" type="noConversion"/>
  <pageMargins left="0.75" right="0.75" top="1" bottom="1" header="0" footer="0"/>
  <pageSetup paperSize="9" scale="70" orientation="portrait" r:id="rId1"/>
  <headerFooter alignWithMargins="0"/>
  <drawing r:id="rId2"/>
</worksheet>
</file>

<file path=xl/worksheets/sheet1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D00-000000000000}">
  <sheetPr>
    <tabColor theme="6" tint="0.79998168889431442"/>
  </sheetPr>
  <dimension ref="A1:I62"/>
  <sheetViews>
    <sheetView workbookViewId="0"/>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4.570312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t="e">
        <f>PRESUPUESTO!#REF!</f>
        <v>#REF!</v>
      </c>
      <c r="B7" s="2185" t="e">
        <f>PRESUPUESTO!#REF!</f>
        <v>#REF!</v>
      </c>
      <c r="C7" s="2185"/>
      <c r="D7" s="2185"/>
      <c r="E7" s="2185"/>
      <c r="F7" s="289"/>
      <c r="G7" s="290" t="s">
        <v>525</v>
      </c>
      <c r="H7" s="97" t="e">
        <f>+PRESUPUESTO!#REF!</f>
        <v>#REF!</v>
      </c>
    </row>
    <row r="8" spans="1:9">
      <c r="A8" s="97" t="e">
        <f>+PRESUPUESTO!#REF!</f>
        <v>#REF!</v>
      </c>
      <c r="B8" s="2277" t="e">
        <f>+PRESUPUESTO!#REF!</f>
        <v>#REF!</v>
      </c>
      <c r="C8" s="2266"/>
      <c r="D8" s="2266"/>
      <c r="E8" s="2266"/>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966</v>
      </c>
      <c r="B13" s="305" t="str">
        <f t="shared" ref="B13:B18" si="0">IF(A13="","",VLOOKUP(A13,EQUI,2,FALSE))</f>
        <v>Herramienta Menor (5% de la mano de obra).</v>
      </c>
      <c r="C13" s="306"/>
      <c r="D13" s="306"/>
      <c r="E13" s="276" t="str">
        <f t="shared" ref="E13:E18" si="1">IF(A13="","",VLOOKUP(A13,EQUI,3,FALSE))</f>
        <v>%</v>
      </c>
      <c r="F13" s="433">
        <f>IF(A13="","",VLOOKUP(A13,EQUI,4,FALSE))</f>
        <v>0.05</v>
      </c>
      <c r="G13" s="307">
        <f>ROUND(F13*H50,0)</f>
        <v>2496</v>
      </c>
      <c r="H13" s="308">
        <f>+G13</f>
        <v>2496</v>
      </c>
      <c r="I13" s="309"/>
    </row>
    <row r="14" spans="1:9">
      <c r="A14" s="536"/>
      <c r="B14" s="305" t="str">
        <f t="shared" si="0"/>
        <v/>
      </c>
      <c r="C14" s="306"/>
      <c r="D14" s="306"/>
      <c r="E14" s="276" t="str">
        <f t="shared" si="1"/>
        <v/>
      </c>
      <c r="F14" s="405"/>
      <c r="G14" s="310" t="str">
        <f>IF(A14="","",VLOOKUP(A14,EQUI,4,FALSE))</f>
        <v/>
      </c>
      <c r="H14" s="311" t="str">
        <f>IF(A14="","",ROUND((G14/F14),0))</f>
        <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2496</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c r="B23" s="1033" t="s">
        <v>2437</v>
      </c>
      <c r="C23" s="305"/>
      <c r="D23" s="306"/>
      <c r="E23" s="815" t="s">
        <v>205</v>
      </c>
      <c r="F23" s="405">
        <v>52</v>
      </c>
      <c r="G23" s="310">
        <v>900</v>
      </c>
      <c r="H23" s="311">
        <f>ROUND(F23*G23,0)</f>
        <v>46800</v>
      </c>
    </row>
    <row r="24" spans="1:8">
      <c r="A24" s="534" t="s">
        <v>556</v>
      </c>
      <c r="B24" s="353" t="str">
        <f>IF(A24="","",VLOOKUP(A24,MAT,2,FALSE))</f>
        <v>Mortero 1:4</v>
      </c>
      <c r="C24" s="305"/>
      <c r="D24" s="306"/>
      <c r="E24" s="815" t="s">
        <v>2419</v>
      </c>
      <c r="F24" s="1050">
        <v>44</v>
      </c>
      <c r="G24" s="310">
        <f>IF(A24="","",VLOOKUP(A24,MAT,5,FALSE))/1000</f>
        <v>462.36200000000002</v>
      </c>
      <c r="H24" s="311">
        <f>IF(A24="","",ROUND((G24*F24),0))</f>
        <v>20344</v>
      </c>
    </row>
    <row r="25" spans="1:8">
      <c r="A25" s="534"/>
      <c r="B25" s="353"/>
      <c r="C25" s="305"/>
      <c r="D25" s="306"/>
      <c r="E25" s="276" t="str">
        <f>IF(A25="","",VLOOKUP(A25,MAT,3,FALSE))</f>
        <v/>
      </c>
      <c r="F25" s="405"/>
      <c r="G25" s="310" t="str">
        <f>IF(A25="","",VLOOKUP(A25,MAT,5,FALSE))</f>
        <v/>
      </c>
      <c r="H25" s="311" t="str">
        <f>IF(A25="","",ROUND((G25*F25),0))</f>
        <v/>
      </c>
    </row>
    <row r="26" spans="1:8">
      <c r="A26" s="534"/>
      <c r="B26" s="305" t="str">
        <f t="shared" ref="B26:B32" si="2">IF(A26="","",VLOOKUP(A26,MAT,2,FALSE))</f>
        <v/>
      </c>
      <c r="C26" s="305"/>
      <c r="D26" s="306"/>
      <c r="E26" s="276" t="str">
        <f t="shared" ref="E26:E32" si="3">IF(A26="","",VLOOKUP(A26,MAT,3,FALSE))</f>
        <v/>
      </c>
      <c r="F26" s="405"/>
      <c r="G26" s="310" t="str">
        <f t="shared" ref="G26:G32" si="4">IF(A26="","",VLOOKUP(A26,MAT,5,FALSE))</f>
        <v/>
      </c>
      <c r="H26" s="311" t="str">
        <f t="shared" ref="H26:H32" si="5">IF(A26="","",ROUND((G26*F26),0))</f>
        <v/>
      </c>
    </row>
    <row r="27" spans="1:8">
      <c r="A27" s="534"/>
      <c r="B27" s="305" t="str">
        <f t="shared" si="2"/>
        <v/>
      </c>
      <c r="C27" s="305"/>
      <c r="D27" s="306"/>
      <c r="E27" s="276" t="str">
        <f t="shared" si="3"/>
        <v/>
      </c>
      <c r="F27" s="405"/>
      <c r="G27" s="310" t="str">
        <f t="shared" si="4"/>
        <v/>
      </c>
      <c r="H27" s="311" t="str">
        <f t="shared" si="5"/>
        <v/>
      </c>
    </row>
    <row r="28" spans="1:8">
      <c r="A28" s="534"/>
      <c r="B28" s="305" t="str">
        <f t="shared" si="2"/>
        <v/>
      </c>
      <c r="C28" s="305"/>
      <c r="D28" s="306"/>
      <c r="E28" s="276" t="str">
        <f t="shared" si="3"/>
        <v/>
      </c>
      <c r="F28" s="405"/>
      <c r="G28" s="310" t="str">
        <f t="shared" si="4"/>
        <v/>
      </c>
      <c r="H28" s="311" t="str">
        <f t="shared" si="5"/>
        <v/>
      </c>
    </row>
    <row r="29" spans="1:8">
      <c r="A29" s="534"/>
      <c r="B29" s="305" t="str">
        <f t="shared" si="2"/>
        <v/>
      </c>
      <c r="C29" s="305"/>
      <c r="D29" s="306"/>
      <c r="E29" s="276" t="str">
        <f t="shared" si="3"/>
        <v/>
      </c>
      <c r="F29" s="405"/>
      <c r="G29" s="310" t="str">
        <f t="shared" si="4"/>
        <v/>
      </c>
      <c r="H29" s="311" t="str">
        <f t="shared" si="5"/>
        <v/>
      </c>
    </row>
    <row r="30" spans="1:8">
      <c r="A30" s="534"/>
      <c r="B30" s="305" t="str">
        <f t="shared" si="2"/>
        <v/>
      </c>
      <c r="C30" s="305"/>
      <c r="D30" s="306"/>
      <c r="E30" s="276" t="str">
        <f t="shared" si="3"/>
        <v/>
      </c>
      <c r="F30" s="405"/>
      <c r="G30" s="310" t="str">
        <f t="shared" si="4"/>
        <v/>
      </c>
      <c r="H30" s="311" t="str">
        <f t="shared" si="5"/>
        <v/>
      </c>
    </row>
    <row r="31" spans="1:8">
      <c r="A31" s="534"/>
      <c r="B31" s="305" t="str">
        <f t="shared" si="2"/>
        <v/>
      </c>
      <c r="C31" s="305"/>
      <c r="D31" s="306"/>
      <c r="E31" s="276" t="str">
        <f t="shared" si="3"/>
        <v/>
      </c>
      <c r="F31" s="405"/>
      <c r="G31" s="310" t="str">
        <f t="shared" si="4"/>
        <v/>
      </c>
      <c r="H31" s="311" t="str">
        <f t="shared" si="5"/>
        <v/>
      </c>
    </row>
    <row r="32" spans="1:8" ht="13.5" thickBot="1">
      <c r="A32" s="535"/>
      <c r="B32" s="326" t="str">
        <f t="shared" si="2"/>
        <v/>
      </c>
      <c r="C32" s="314"/>
      <c r="D32" s="314"/>
      <c r="E32" s="315" t="str">
        <f t="shared" si="3"/>
        <v/>
      </c>
      <c r="F32" s="406"/>
      <c r="G32" s="327" t="str">
        <f t="shared" si="4"/>
        <v/>
      </c>
      <c r="H32" s="311" t="str">
        <f t="shared" si="5"/>
        <v/>
      </c>
    </row>
    <row r="33" spans="1:8" ht="13.5" thickBot="1">
      <c r="A33" s="285"/>
      <c r="B33" s="285"/>
      <c r="C33" s="285"/>
      <c r="D33" s="285"/>
      <c r="E33" s="286"/>
      <c r="F33" s="285"/>
      <c r="G33" s="210" t="s">
        <v>529</v>
      </c>
      <c r="H33" s="328">
        <f>ROUND(SUM(H23:H32),0)</f>
        <v>67144</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546"/>
      <c r="B37" s="737" t="s">
        <v>2493</v>
      </c>
      <c r="C37" s="772"/>
      <c r="D37" s="773"/>
      <c r="E37" s="774"/>
      <c r="F37" s="775"/>
      <c r="G37" s="1066">
        <v>0.06</v>
      </c>
      <c r="H37" s="746">
        <f>ROUND(G37*H33,0)</f>
        <v>4029</v>
      </c>
    </row>
    <row r="38" spans="1:8">
      <c r="A38" s="532"/>
      <c r="B38" s="305"/>
      <c r="C38" s="530"/>
      <c r="D38" s="409"/>
      <c r="E38" s="419"/>
      <c r="F38" s="413"/>
      <c r="G38" s="334"/>
      <c r="H38" s="311"/>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t="str">
        <f>IF(A39="","",ROUND((G39*F39*E39),0))</f>
        <v/>
      </c>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4029</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940</v>
      </c>
      <c r="B46" s="2192" t="str">
        <f>IF(A46="","",VLOOKUP(A46,MO,2,FALSE))</f>
        <v>Cuadrilla NN: Instalaciones hidrosanitarias. (1 Of.Insta.+ 2 Ayud.).</v>
      </c>
      <c r="C46" s="2193"/>
      <c r="D46" s="2194"/>
      <c r="E46" s="538" t="str">
        <f>IF(A46="","",VLOOKUP(A46,MO,13,FALSE))</f>
        <v>HC</v>
      </c>
      <c r="F46" s="544">
        <v>1.95</v>
      </c>
      <c r="G46" s="540">
        <f>IF(A46="","",VLOOKUP(A46,MO,15,FALSE))</f>
        <v>97342</v>
      </c>
      <c r="H46" s="542">
        <f>IF(A46="","",ROUND((G46/F46),0))</f>
        <v>49919</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49919</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123588</v>
      </c>
    </row>
    <row r="53" spans="1:8">
      <c r="A53" s="285"/>
      <c r="B53" s="285"/>
      <c r="C53" s="285"/>
      <c r="D53" s="285"/>
      <c r="E53" s="346"/>
      <c r="F53" s="347"/>
      <c r="G53" s="347"/>
      <c r="H53" s="349"/>
    </row>
    <row r="54" spans="1:8">
      <c r="A54" s="285"/>
      <c r="B54" s="285"/>
      <c r="C54" s="285"/>
      <c r="D54" s="285"/>
      <c r="E54" s="346"/>
      <c r="F54" s="347"/>
      <c r="G54" s="347"/>
      <c r="H54" s="349"/>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c r="A59" s="703" t="str">
        <f>+[14]PRESUPUESTO!$A$113</f>
        <v>__________________________________________</v>
      </c>
    </row>
    <row r="60" spans="1:8">
      <c r="A60" s="810" t="str">
        <f>+[14]PRESUPUESTO!$A$114</f>
        <v>Ing. JHON FREDY GARCIA MENDEZ</v>
      </c>
    </row>
    <row r="61" spans="1:8">
      <c r="A61" s="811" t="str">
        <f>+[14]PRESUPUESTO!$A$115</f>
        <v>M.P.  70268-326294 TLM.</v>
      </c>
    </row>
    <row r="62" spans="1:8">
      <c r="A62" s="811" t="str">
        <f>+[14]PRESUPUESTO!$A$116</f>
        <v>CONSULTOR</v>
      </c>
    </row>
  </sheetData>
  <mergeCells count="15">
    <mergeCell ref="B47:D47"/>
    <mergeCell ref="B48:D48"/>
    <mergeCell ref="B49:D49"/>
    <mergeCell ref="B6:D6"/>
    <mergeCell ref="B7:E7"/>
    <mergeCell ref="B8:E8"/>
    <mergeCell ref="B36:C36"/>
    <mergeCell ref="B45:D45"/>
    <mergeCell ref="B46:D46"/>
    <mergeCell ref="D2:E4"/>
    <mergeCell ref="F2:H2"/>
    <mergeCell ref="F3:H3"/>
    <mergeCell ref="F4:H4"/>
    <mergeCell ref="A5:E5"/>
    <mergeCell ref="F5:H5"/>
  </mergeCells>
  <pageMargins left="0.75" right="0.75" top="1" bottom="1" header="0" footer="0"/>
  <pageSetup paperSize="9" scale="70" orientation="portrait" r:id="rId1"/>
  <headerFooter alignWithMargins="0"/>
  <drawing r:id="rId2"/>
</worksheet>
</file>

<file path=xl/worksheets/sheet1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E00-000000000000}">
  <sheetPr>
    <tabColor theme="6" tint="0.79998168889431442"/>
  </sheetPr>
  <dimension ref="A1:I62"/>
  <sheetViews>
    <sheetView workbookViewId="0"/>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4.570312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t="e">
        <f>PRESUPUESTO!#REF!</f>
        <v>#REF!</v>
      </c>
      <c r="B7" s="2185" t="e">
        <f>PRESUPUESTO!#REF!</f>
        <v>#REF!</v>
      </c>
      <c r="C7" s="2185"/>
      <c r="D7" s="2185"/>
      <c r="E7" s="2185"/>
      <c r="F7" s="289"/>
      <c r="G7" s="290" t="s">
        <v>525</v>
      </c>
      <c r="H7" s="97" t="e">
        <f>+PRESUPUESTO!#REF!</f>
        <v>#REF!</v>
      </c>
    </row>
    <row r="8" spans="1:9" ht="27.75" customHeight="1">
      <c r="A8" s="97" t="e">
        <f>+PRESUPUESTO!#REF!</f>
        <v>#REF!</v>
      </c>
      <c r="B8" s="2277" t="e">
        <f>+PRESUPUESTO!#REF!</f>
        <v>#REF!</v>
      </c>
      <c r="C8" s="2266"/>
      <c r="D8" s="2266"/>
      <c r="E8" s="2266"/>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966</v>
      </c>
      <c r="B13" s="305" t="str">
        <f t="shared" ref="B13:B18" si="0">IF(A13="","",VLOOKUP(A13,EQUI,2,FALSE))</f>
        <v>Herramienta Menor (5% de la mano de obra).</v>
      </c>
      <c r="C13" s="306"/>
      <c r="D13" s="306"/>
      <c r="E13" s="276" t="str">
        <f t="shared" ref="E13:E18" si="1">IF(A13="","",VLOOKUP(A13,EQUI,3,FALSE))</f>
        <v>%</v>
      </c>
      <c r="F13" s="433">
        <f>IF(A13="","",VLOOKUP(A13,EQUI,4,FALSE))</f>
        <v>0.05</v>
      </c>
      <c r="G13" s="307">
        <f>ROUND(F13*H50,0)</f>
        <v>1391</v>
      </c>
      <c r="H13" s="308">
        <f>+G13</f>
        <v>1391</v>
      </c>
      <c r="I13" s="309"/>
    </row>
    <row r="14" spans="1:9">
      <c r="A14" s="536"/>
      <c r="B14" s="305" t="str">
        <f t="shared" si="0"/>
        <v/>
      </c>
      <c r="C14" s="306"/>
      <c r="D14" s="306"/>
      <c r="E14" s="276" t="str">
        <f t="shared" si="1"/>
        <v/>
      </c>
      <c r="F14" s="405"/>
      <c r="G14" s="310" t="str">
        <f>IF(A14="","",VLOOKUP(A14,EQUI,4,FALSE))</f>
        <v/>
      </c>
      <c r="H14" s="311" t="str">
        <f>IF(A14="","",ROUND((G14/F14),0))</f>
        <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1391</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4" t="s">
        <v>2438</v>
      </c>
      <c r="B23" s="353" t="str">
        <f>IF(A23="","",VLOOKUP(A23,MAT,2,FALSE))</f>
        <v>Mortero 1:4 - Impermeabilizado</v>
      </c>
      <c r="C23" s="305"/>
      <c r="D23" s="306"/>
      <c r="E23" s="815" t="s">
        <v>2419</v>
      </c>
      <c r="F23" s="1050">
        <v>0.03</v>
      </c>
      <c r="G23" s="310">
        <f>IF(A23="","",VLOOKUP(A23,MAT,5,FALSE))</f>
        <v>734947</v>
      </c>
      <c r="H23" s="1051">
        <f>IF(A23="","",ROUND((G23*F23),0))</f>
        <v>22048</v>
      </c>
    </row>
    <row r="24" spans="1:8">
      <c r="A24" s="534"/>
      <c r="B24" s="353" t="str">
        <f>IF(A24="","",VLOOKUP(A24,MAT,2,FALSE))</f>
        <v/>
      </c>
      <c r="C24" s="305"/>
      <c r="D24" s="306"/>
      <c r="E24" s="815"/>
      <c r="F24" s="1050"/>
      <c r="G24" s="310"/>
      <c r="H24" s="311" t="str">
        <f>IF(A24="","",ROUND((G24*F24),0))</f>
        <v/>
      </c>
    </row>
    <row r="25" spans="1:8">
      <c r="A25" s="534"/>
      <c r="B25" s="353"/>
      <c r="C25" s="305"/>
      <c r="D25" s="306"/>
      <c r="E25" s="276"/>
      <c r="F25" s="405"/>
      <c r="G25" s="310"/>
      <c r="H25" s="311" t="str">
        <f>IF(A25="","",ROUND((G25*F25),0))</f>
        <v/>
      </c>
    </row>
    <row r="26" spans="1:8">
      <c r="A26" s="534"/>
      <c r="B26" s="305" t="str">
        <f t="shared" ref="B26:B32" si="2">IF(A26="","",VLOOKUP(A26,MAT,2,FALSE))</f>
        <v/>
      </c>
      <c r="C26" s="305"/>
      <c r="D26" s="306"/>
      <c r="E26" s="276" t="str">
        <f t="shared" ref="E26:E32" si="3">IF(A26="","",VLOOKUP(A26,MAT,3,FALSE))</f>
        <v/>
      </c>
      <c r="F26" s="405"/>
      <c r="G26" s="310" t="str">
        <f t="shared" ref="G26:G32" si="4">IF(A26="","",VLOOKUP(A26,MAT,5,FALSE))</f>
        <v/>
      </c>
      <c r="H26" s="311" t="str">
        <f t="shared" ref="H26:H32" si="5">IF(A26="","",ROUND((G26*F26),0))</f>
        <v/>
      </c>
    </row>
    <row r="27" spans="1:8">
      <c r="A27" s="534"/>
      <c r="B27" s="305" t="str">
        <f t="shared" si="2"/>
        <v/>
      </c>
      <c r="C27" s="305"/>
      <c r="D27" s="306"/>
      <c r="E27" s="276" t="str">
        <f t="shared" si="3"/>
        <v/>
      </c>
      <c r="F27" s="405"/>
      <c r="G27" s="310" t="str">
        <f t="shared" si="4"/>
        <v/>
      </c>
      <c r="H27" s="311" t="str">
        <f t="shared" si="5"/>
        <v/>
      </c>
    </row>
    <row r="28" spans="1:8">
      <c r="A28" s="534"/>
      <c r="B28" s="305" t="str">
        <f t="shared" si="2"/>
        <v/>
      </c>
      <c r="C28" s="305"/>
      <c r="D28" s="306"/>
      <c r="E28" s="276" t="str">
        <f t="shared" si="3"/>
        <v/>
      </c>
      <c r="F28" s="405"/>
      <c r="G28" s="310" t="str">
        <f t="shared" si="4"/>
        <v/>
      </c>
      <c r="H28" s="311" t="str">
        <f t="shared" si="5"/>
        <v/>
      </c>
    </row>
    <row r="29" spans="1:8">
      <c r="A29" s="534"/>
      <c r="B29" s="305" t="str">
        <f t="shared" si="2"/>
        <v/>
      </c>
      <c r="C29" s="305"/>
      <c r="D29" s="306"/>
      <c r="E29" s="276" t="str">
        <f t="shared" si="3"/>
        <v/>
      </c>
      <c r="F29" s="405"/>
      <c r="G29" s="310" t="str">
        <f t="shared" si="4"/>
        <v/>
      </c>
      <c r="H29" s="311" t="str">
        <f t="shared" si="5"/>
        <v/>
      </c>
    </row>
    <row r="30" spans="1:8">
      <c r="A30" s="534"/>
      <c r="B30" s="305" t="str">
        <f t="shared" si="2"/>
        <v/>
      </c>
      <c r="C30" s="305"/>
      <c r="D30" s="306"/>
      <c r="E30" s="276" t="str">
        <f t="shared" si="3"/>
        <v/>
      </c>
      <c r="F30" s="405"/>
      <c r="G30" s="310" t="str">
        <f t="shared" si="4"/>
        <v/>
      </c>
      <c r="H30" s="311" t="str">
        <f t="shared" si="5"/>
        <v/>
      </c>
    </row>
    <row r="31" spans="1:8">
      <c r="A31" s="534"/>
      <c r="B31" s="305" t="str">
        <f t="shared" si="2"/>
        <v/>
      </c>
      <c r="C31" s="305"/>
      <c r="D31" s="306"/>
      <c r="E31" s="276" t="str">
        <f t="shared" si="3"/>
        <v/>
      </c>
      <c r="F31" s="405"/>
      <c r="G31" s="310" t="str">
        <f t="shared" si="4"/>
        <v/>
      </c>
      <c r="H31" s="311" t="str">
        <f t="shared" si="5"/>
        <v/>
      </c>
    </row>
    <row r="32" spans="1:8" ht="13.5" thickBot="1">
      <c r="A32" s="535"/>
      <c r="B32" s="326" t="str">
        <f t="shared" si="2"/>
        <v/>
      </c>
      <c r="C32" s="314"/>
      <c r="D32" s="314"/>
      <c r="E32" s="315" t="str">
        <f t="shared" si="3"/>
        <v/>
      </c>
      <c r="F32" s="406"/>
      <c r="G32" s="327" t="str">
        <f t="shared" si="4"/>
        <v/>
      </c>
      <c r="H32" s="311" t="str">
        <f t="shared" si="5"/>
        <v/>
      </c>
    </row>
    <row r="33" spans="1:8" ht="13.5" thickBot="1">
      <c r="A33" s="285"/>
      <c r="B33" s="285"/>
      <c r="C33" s="285"/>
      <c r="D33" s="285"/>
      <c r="E33" s="286"/>
      <c r="F33" s="285"/>
      <c r="G33" s="210" t="s">
        <v>529</v>
      </c>
      <c r="H33" s="328">
        <f>ROUND(SUM(H23:H32),0)</f>
        <v>22048</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546" t="str">
        <f>A23</f>
        <v>M14i</v>
      </c>
      <c r="B37" s="737"/>
      <c r="C37" s="772"/>
      <c r="D37" s="773"/>
      <c r="E37" s="774"/>
      <c r="F37" s="775"/>
      <c r="G37" s="776"/>
      <c r="H37" s="746"/>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t="str">
        <f>IF(A39="","",ROUND((G39*F39*E39),0))</f>
        <v/>
      </c>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0</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940</v>
      </c>
      <c r="B46" s="2192" t="str">
        <f>IF(A46="","",VLOOKUP(A46,MO,2,FALSE))</f>
        <v>Cuadrilla NN: Instalaciones hidrosanitarias. (1 Of.Insta.+ 2 Ayud.).</v>
      </c>
      <c r="C46" s="2193"/>
      <c r="D46" s="2194"/>
      <c r="E46" s="538" t="str">
        <f>IF(A46="","",VLOOKUP(A46,MO,13,FALSE))</f>
        <v>HC</v>
      </c>
      <c r="F46" s="544">
        <v>3.5</v>
      </c>
      <c r="G46" s="540">
        <f>IF(A46="","",VLOOKUP(A46,MO,15,FALSE))</f>
        <v>97342</v>
      </c>
      <c r="H46" s="542">
        <f>IF(A46="","",ROUND((G46/F46),0))</f>
        <v>27812</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27812</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51251</v>
      </c>
    </row>
    <row r="53" spans="1:8">
      <c r="A53" s="285"/>
      <c r="B53" s="285"/>
      <c r="C53" s="285"/>
      <c r="D53" s="285"/>
      <c r="E53" s="346"/>
      <c r="F53" s="347"/>
      <c r="G53" s="347"/>
      <c r="H53" s="349"/>
    </row>
    <row r="54" spans="1:8">
      <c r="A54" s="285"/>
      <c r="B54" s="285"/>
      <c r="C54" s="285"/>
      <c r="D54" s="285"/>
      <c r="E54" s="346"/>
      <c r="F54" s="347"/>
      <c r="G54" s="347"/>
      <c r="H54" s="349"/>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c r="A59" s="703" t="str">
        <f>+[14]PRESUPUESTO!$A$113</f>
        <v>__________________________________________</v>
      </c>
    </row>
    <row r="60" spans="1:8">
      <c r="A60" s="810" t="str">
        <f>+[14]PRESUPUESTO!$A$114</f>
        <v>Ing. JHON FREDY GARCIA MENDEZ</v>
      </c>
    </row>
    <row r="61" spans="1:8">
      <c r="A61" s="811" t="str">
        <f>+[14]PRESUPUESTO!$A$115</f>
        <v>M.P.  70268-326294 TLM.</v>
      </c>
    </row>
    <row r="62" spans="1:8">
      <c r="A62" s="811" t="str">
        <f>+[14]PRESUPUESTO!$A$116</f>
        <v>CONSULTOR</v>
      </c>
    </row>
  </sheetData>
  <mergeCells count="15">
    <mergeCell ref="B47:D47"/>
    <mergeCell ref="B48:D48"/>
    <mergeCell ref="B49:D49"/>
    <mergeCell ref="B6:D6"/>
    <mergeCell ref="B7:E7"/>
    <mergeCell ref="B8:E8"/>
    <mergeCell ref="B36:C36"/>
    <mergeCell ref="B45:D45"/>
    <mergeCell ref="B46:D46"/>
    <mergeCell ref="D2:E4"/>
    <mergeCell ref="F2:H2"/>
    <mergeCell ref="F3:H3"/>
    <mergeCell ref="F4:H4"/>
    <mergeCell ref="A5:E5"/>
    <mergeCell ref="F5:H5"/>
  </mergeCells>
  <pageMargins left="0.75" right="0.75" top="1" bottom="1" header="0" footer="0"/>
  <pageSetup paperSize="9" scale="70" orientation="portrait" r:id="rId1"/>
  <headerFooter alignWithMargins="0"/>
  <drawing r:id="rId2"/>
</worksheet>
</file>

<file path=xl/worksheets/sheet1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F00-000000000000}">
  <sheetPr>
    <tabColor theme="6" tint="0.79998168889431442"/>
  </sheetPr>
  <dimension ref="A1:I62"/>
  <sheetViews>
    <sheetView workbookViewId="0"/>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4.570312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t="e">
        <f>PRESUPUESTO!#REF!</f>
        <v>#REF!</v>
      </c>
      <c r="B7" s="2185" t="e">
        <f>PRESUPUESTO!#REF!</f>
        <v>#REF!</v>
      </c>
      <c r="C7" s="2185"/>
      <c r="D7" s="2185"/>
      <c r="E7" s="2185"/>
      <c r="F7" s="289"/>
      <c r="G7" s="290" t="s">
        <v>525</v>
      </c>
      <c r="H7" s="97" t="e">
        <f>+PRESUPUESTO!#REF!</f>
        <v>#REF!</v>
      </c>
    </row>
    <row r="8" spans="1:9">
      <c r="A8" s="97" t="e">
        <f>+PRESUPUESTO!#REF!</f>
        <v>#REF!</v>
      </c>
      <c r="B8" s="2277" t="e">
        <f>+PRESUPUESTO!#REF!</f>
        <v>#REF!</v>
      </c>
      <c r="C8" s="2266"/>
      <c r="D8" s="2266"/>
      <c r="E8" s="2266"/>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966</v>
      </c>
      <c r="B13" s="305" t="str">
        <f t="shared" ref="B13:B18" si="0">IF(A13="","",VLOOKUP(A13,EQUI,2,FALSE))</f>
        <v>Herramienta Menor (5% de la mano de obra).</v>
      </c>
      <c r="C13" s="306"/>
      <c r="D13" s="306"/>
      <c r="E13" s="276" t="str">
        <f t="shared" ref="E13:E18" si="1">IF(A13="","",VLOOKUP(A13,EQUI,3,FALSE))</f>
        <v>%</v>
      </c>
      <c r="F13" s="433">
        <f>IF(A13="","",VLOOKUP(A13,EQUI,4,FALSE))</f>
        <v>0.05</v>
      </c>
      <c r="G13" s="307">
        <f>ROUND(F13*H50,0)</f>
        <v>811</v>
      </c>
      <c r="H13" s="308">
        <f>+G13</f>
        <v>811</v>
      </c>
      <c r="I13" s="309"/>
    </row>
    <row r="14" spans="1:9">
      <c r="A14" s="536"/>
      <c r="B14" s="305" t="str">
        <f t="shared" si="0"/>
        <v/>
      </c>
      <c r="C14" s="306"/>
      <c r="D14" s="306"/>
      <c r="E14" s="276" t="str">
        <f t="shared" si="1"/>
        <v/>
      </c>
      <c r="F14" s="405"/>
      <c r="G14" s="310" t="str">
        <f>IF(A14="","",VLOOKUP(A14,EQUI,4,FALSE))</f>
        <v/>
      </c>
      <c r="H14" s="311" t="str">
        <f>IF(A14="","",ROUND((G14/F14),0))</f>
        <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811</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t="s">
        <v>1732</v>
      </c>
      <c r="B23" s="1033" t="s">
        <v>2456</v>
      </c>
      <c r="C23" s="305"/>
      <c r="D23" s="306"/>
      <c r="E23" s="276" t="str">
        <f>IF(A23="","",VLOOKUP(A23,MAT,3,FALSE))</f>
        <v>m.</v>
      </c>
      <c r="F23" s="405">
        <v>1.03</v>
      </c>
      <c r="G23" s="310">
        <v>31700</v>
      </c>
      <c r="H23" s="311">
        <f>IF(A23="","",ROUND((G23*F23),0))</f>
        <v>32651</v>
      </c>
    </row>
    <row r="24" spans="1:8">
      <c r="A24" s="534" t="s">
        <v>1381</v>
      </c>
      <c r="B24" s="353" t="str">
        <f>IF(A24="","",VLOOKUP(A24,MAT,2,FALSE))</f>
        <v>Soldadura PVC x 1/4 gal</v>
      </c>
      <c r="C24" s="305"/>
      <c r="D24" s="306"/>
      <c r="E24" s="276" t="str">
        <f>IF(A24="","",VLOOKUP(A24,MAT,3,FALSE))</f>
        <v>Gal.</v>
      </c>
      <c r="F24" s="1050">
        <v>0.02</v>
      </c>
      <c r="G24" s="310">
        <f>IF(A24="","",VLOOKUP(A24,MAT,5,FALSE))</f>
        <v>150369</v>
      </c>
      <c r="H24" s="311">
        <f>IF(A24="","",ROUND((G24*F24),0))</f>
        <v>3007</v>
      </c>
    </row>
    <row r="25" spans="1:8">
      <c r="A25" s="534" t="s">
        <v>1388</v>
      </c>
      <c r="B25" s="353" t="str">
        <f>IF(A25="","",VLOOKUP(A25,MAT,2,FALSE))</f>
        <v>Limpiador PVC x 1/4.</v>
      </c>
      <c r="C25" s="305"/>
      <c r="D25" s="306"/>
      <c r="E25" s="276" t="str">
        <f>IF(A25="","",VLOOKUP(A25,MAT,3,FALSE))</f>
        <v>1/4 Gal</v>
      </c>
      <c r="F25" s="405">
        <v>2.8000000000000001E-2</v>
      </c>
      <c r="G25" s="310">
        <f>IF(A25="","",VLOOKUP(A25,MAT,5,FALSE))</f>
        <v>72505</v>
      </c>
      <c r="H25" s="311">
        <f>IF(A25="","",ROUND((G25*F25),0))</f>
        <v>2030</v>
      </c>
    </row>
    <row r="26" spans="1:8">
      <c r="A26" s="534"/>
      <c r="B26" s="305" t="str">
        <f t="shared" ref="B26:B32" si="2">IF(A26="","",VLOOKUP(A26,MAT,2,FALSE))</f>
        <v/>
      </c>
      <c r="C26" s="305"/>
      <c r="D26" s="306"/>
      <c r="E26" s="276" t="str">
        <f t="shared" ref="E26:E32" si="3">IF(A26="","",VLOOKUP(A26,MAT,3,FALSE))</f>
        <v/>
      </c>
      <c r="F26" s="405"/>
      <c r="G26" s="310" t="str">
        <f t="shared" ref="G26:G32" si="4">IF(A26="","",VLOOKUP(A26,MAT,5,FALSE))</f>
        <v/>
      </c>
      <c r="H26" s="311" t="str">
        <f t="shared" ref="H26:H32" si="5">IF(A26="","",ROUND((G26*F26),0))</f>
        <v/>
      </c>
    </row>
    <row r="27" spans="1:8">
      <c r="A27" s="534"/>
      <c r="B27" s="305" t="str">
        <f t="shared" si="2"/>
        <v/>
      </c>
      <c r="C27" s="305"/>
      <c r="D27" s="306"/>
      <c r="E27" s="276" t="str">
        <f t="shared" si="3"/>
        <v/>
      </c>
      <c r="F27" s="405"/>
      <c r="G27" s="310" t="str">
        <f t="shared" si="4"/>
        <v/>
      </c>
      <c r="H27" s="311" t="str">
        <f t="shared" si="5"/>
        <v/>
      </c>
    </row>
    <row r="28" spans="1:8">
      <c r="A28" s="534"/>
      <c r="B28" s="305" t="str">
        <f t="shared" si="2"/>
        <v/>
      </c>
      <c r="C28" s="305"/>
      <c r="D28" s="306"/>
      <c r="E28" s="276" t="str">
        <f t="shared" si="3"/>
        <v/>
      </c>
      <c r="F28" s="405"/>
      <c r="G28" s="310" t="str">
        <f t="shared" si="4"/>
        <v/>
      </c>
      <c r="H28" s="311" t="str">
        <f t="shared" si="5"/>
        <v/>
      </c>
    </row>
    <row r="29" spans="1:8">
      <c r="A29" s="534"/>
      <c r="B29" s="305" t="str">
        <f t="shared" si="2"/>
        <v/>
      </c>
      <c r="C29" s="305"/>
      <c r="D29" s="306"/>
      <c r="E29" s="276" t="str">
        <f t="shared" si="3"/>
        <v/>
      </c>
      <c r="F29" s="405"/>
      <c r="G29" s="310" t="str">
        <f t="shared" si="4"/>
        <v/>
      </c>
      <c r="H29" s="311" t="str">
        <f t="shared" si="5"/>
        <v/>
      </c>
    </row>
    <row r="30" spans="1:8">
      <c r="A30" s="534"/>
      <c r="B30" s="305" t="str">
        <f t="shared" si="2"/>
        <v/>
      </c>
      <c r="C30" s="305"/>
      <c r="D30" s="306"/>
      <c r="E30" s="276" t="str">
        <f t="shared" si="3"/>
        <v/>
      </c>
      <c r="F30" s="405"/>
      <c r="G30" s="310" t="str">
        <f t="shared" si="4"/>
        <v/>
      </c>
      <c r="H30" s="311" t="str">
        <f t="shared" si="5"/>
        <v/>
      </c>
    </row>
    <row r="31" spans="1:8">
      <c r="A31" s="534"/>
      <c r="B31" s="305" t="str">
        <f t="shared" si="2"/>
        <v/>
      </c>
      <c r="C31" s="305"/>
      <c r="D31" s="306"/>
      <c r="E31" s="276" t="str">
        <f t="shared" si="3"/>
        <v/>
      </c>
      <c r="F31" s="405"/>
      <c r="G31" s="310" t="str">
        <f t="shared" si="4"/>
        <v/>
      </c>
      <c r="H31" s="311" t="str">
        <f t="shared" si="5"/>
        <v/>
      </c>
    </row>
    <row r="32" spans="1:8" ht="13.5" thickBot="1">
      <c r="A32" s="535"/>
      <c r="B32" s="326" t="str">
        <f t="shared" si="2"/>
        <v/>
      </c>
      <c r="C32" s="314"/>
      <c r="D32" s="314"/>
      <c r="E32" s="315" t="str">
        <f t="shared" si="3"/>
        <v/>
      </c>
      <c r="F32" s="406"/>
      <c r="G32" s="327" t="str">
        <f t="shared" si="4"/>
        <v/>
      </c>
      <c r="H32" s="311" t="str">
        <f t="shared" si="5"/>
        <v/>
      </c>
    </row>
    <row r="33" spans="1:8" ht="13.5" thickBot="1">
      <c r="A33" s="285"/>
      <c r="B33" s="285"/>
      <c r="C33" s="285"/>
      <c r="D33" s="285"/>
      <c r="E33" s="286"/>
      <c r="F33" s="285"/>
      <c r="G33" s="210" t="s">
        <v>529</v>
      </c>
      <c r="H33" s="328">
        <f>ROUND(SUM(H23:H32),0)</f>
        <v>37688</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546" t="str">
        <f>A23</f>
        <v>TA6</v>
      </c>
      <c r="B37" s="816" t="s">
        <v>2458</v>
      </c>
      <c r="C37" s="333"/>
      <c r="D37" s="409" t="str">
        <f>IF(A37="","",VLOOKUP(A37,MAT,3,FALSE))</f>
        <v>m.</v>
      </c>
      <c r="E37" s="419">
        <f>IF(A37="","",VLOOKUP(A37,MAT,6,FALSE))</f>
        <v>160</v>
      </c>
      <c r="F37" s="413">
        <f>IF(A37="","",VLOOKUP(A37,$A$23:$H$32,6,FALSE))</f>
        <v>1.03</v>
      </c>
      <c r="G37" s="334">
        <f>IF(A37="","",VLOOKUP(A37,MAT,7,FALSE))</f>
        <v>15</v>
      </c>
      <c r="H37" s="311">
        <f>(ROUND((G37*F37*E37),0))</f>
        <v>2472</v>
      </c>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t="str">
        <f>IF(A39="","",ROUND((G39*F39*E39),0))</f>
        <v/>
      </c>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2472</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940</v>
      </c>
      <c r="B46" s="2192" t="str">
        <f>IF(A46="","",VLOOKUP(A46,MO,2,FALSE))</f>
        <v>Cuadrilla NN: Instalaciones hidrosanitarias. (1 Of.Insta.+ 2 Ayud.).</v>
      </c>
      <c r="C46" s="2193"/>
      <c r="D46" s="2194"/>
      <c r="E46" s="538" t="str">
        <f>IF(A46="","",VLOOKUP(A46,MO,13,FALSE))</f>
        <v>HC</v>
      </c>
      <c r="F46" s="544">
        <v>6</v>
      </c>
      <c r="G46" s="540">
        <f>IF(A46="","",VLOOKUP(A46,MO,15,FALSE))</f>
        <v>97342</v>
      </c>
      <c r="H46" s="542">
        <f>IF(A46="","",ROUND((G46/F46),0))</f>
        <v>16224</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16224</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57195</v>
      </c>
    </row>
    <row r="53" spans="1:8">
      <c r="A53" s="285"/>
      <c r="B53" s="285"/>
      <c r="C53" s="285"/>
      <c r="D53" s="285"/>
      <c r="E53" s="346"/>
      <c r="F53" s="347"/>
      <c r="G53" s="347"/>
      <c r="H53" s="349"/>
    </row>
    <row r="54" spans="1:8">
      <c r="A54" s="285"/>
      <c r="B54" s="285"/>
      <c r="C54" s="285"/>
      <c r="D54" s="285"/>
      <c r="E54" s="346"/>
      <c r="F54" s="347"/>
      <c r="G54" s="347"/>
      <c r="H54" s="349"/>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c r="A59" s="703" t="str">
        <f>+[14]PRESUPUESTO!$A$113</f>
        <v>__________________________________________</v>
      </c>
      <c r="B59" s="703"/>
      <c r="C59" s="703"/>
    </row>
    <row r="60" spans="1:8">
      <c r="A60" s="810" t="str">
        <f>+[14]PRESUPUESTO!$A$114</f>
        <v>Ing. JHON FREDY GARCIA MENDEZ</v>
      </c>
      <c r="B60" s="703"/>
      <c r="C60" s="703"/>
    </row>
    <row r="61" spans="1:8">
      <c r="A61" s="811" t="str">
        <f>+[14]PRESUPUESTO!$A$115</f>
        <v>M.P.  70268-326294 TLM.</v>
      </c>
      <c r="B61" s="703"/>
      <c r="C61" s="703"/>
    </row>
    <row r="62" spans="1:8">
      <c r="A62" s="811" t="str">
        <f>+[14]PRESUPUESTO!$A$116</f>
        <v>CONSULTOR</v>
      </c>
      <c r="B62" s="703"/>
      <c r="C62" s="703"/>
    </row>
  </sheetData>
  <mergeCells count="15">
    <mergeCell ref="B47:D47"/>
    <mergeCell ref="B48:D48"/>
    <mergeCell ref="B49:D49"/>
    <mergeCell ref="B6:D6"/>
    <mergeCell ref="B7:E7"/>
    <mergeCell ref="B8:E8"/>
    <mergeCell ref="B36:C36"/>
    <mergeCell ref="B45:D45"/>
    <mergeCell ref="B46:D46"/>
    <mergeCell ref="D2:E4"/>
    <mergeCell ref="F2:H2"/>
    <mergeCell ref="F3:H3"/>
    <mergeCell ref="F4:H4"/>
    <mergeCell ref="A5:E5"/>
    <mergeCell ref="F5:H5"/>
  </mergeCells>
  <pageMargins left="0.75" right="0.75" top="1" bottom="1" header="0" footer="0"/>
  <pageSetup paperSize="9" scale="70" orientation="portrait" r:id="rId1"/>
  <headerFooter alignWithMargins="0"/>
  <drawing r:id="rId2"/>
</worksheet>
</file>

<file path=xl/worksheets/sheet1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000-000000000000}">
  <sheetPr>
    <tabColor theme="6" tint="0.79998168889431442"/>
  </sheetPr>
  <dimension ref="A1:I63"/>
  <sheetViews>
    <sheetView workbookViewId="0"/>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2.710937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t="e">
        <f>PRESUPUESTO!#REF!</f>
        <v>#REF!</v>
      </c>
      <c r="B7" s="2185" t="e">
        <f>PRESUPUESTO!#REF!</f>
        <v>#REF!</v>
      </c>
      <c r="C7" s="2185"/>
      <c r="D7" s="2185"/>
      <c r="E7" s="2185"/>
      <c r="F7" s="289"/>
      <c r="G7" s="290" t="s">
        <v>525</v>
      </c>
      <c r="H7" s="97" t="e">
        <f>+PRESUPUESTO!#REF!</f>
        <v>#REF!</v>
      </c>
    </row>
    <row r="8" spans="1:9">
      <c r="A8" s="97" t="e">
        <f>+PRESUPUESTO!#REF!</f>
        <v>#REF!</v>
      </c>
      <c r="B8" s="2217" t="e">
        <f>+PRESUPUESTO!#REF!</f>
        <v>#REF!</v>
      </c>
      <c r="C8" s="2217"/>
      <c r="D8" s="2217"/>
      <c r="E8" s="221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v>3</v>
      </c>
      <c r="H12" s="278" t="s">
        <v>831</v>
      </c>
    </row>
    <row r="13" spans="1:9">
      <c r="A13" s="536" t="s">
        <v>966</v>
      </c>
      <c r="B13" s="305" t="str">
        <f t="shared" ref="B13:B18" si="0">IF(A13="","",VLOOKUP(A13,EQUI,2,FALSE))</f>
        <v>Herramienta Menor (5% de la mano de obra).</v>
      </c>
      <c r="C13" s="306"/>
      <c r="D13" s="306"/>
      <c r="E13" s="276" t="str">
        <f t="shared" ref="E13:E18" si="1">IF(A13="","",VLOOKUP(A13,EQUI,3,FALSE))</f>
        <v>%</v>
      </c>
      <c r="F13" s="433">
        <f>IF(A13="","",VLOOKUP(A13,EQUI,4,FALSE))</f>
        <v>0.05</v>
      </c>
      <c r="G13" s="307">
        <f>ROUND(F13*H51,0)</f>
        <v>162</v>
      </c>
      <c r="H13" s="308">
        <f>+G13</f>
        <v>162</v>
      </c>
      <c r="I13" s="309"/>
    </row>
    <row r="14" spans="1:9">
      <c r="A14" s="536"/>
      <c r="B14" s="305" t="str">
        <f t="shared" si="0"/>
        <v/>
      </c>
      <c r="C14" s="306"/>
      <c r="D14" s="306"/>
      <c r="E14" s="276" t="str">
        <f t="shared" si="1"/>
        <v/>
      </c>
      <c r="F14" s="405"/>
      <c r="G14" s="310" t="str">
        <f>IF(A14="","",VLOOKUP(A14,EQUI,4,FALSE))</f>
        <v/>
      </c>
      <c r="H14" s="311" t="str">
        <f>IF(A14="","",ROUND((G14/F14),0))</f>
        <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162</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c r="B23" s="1033" t="s">
        <v>2457</v>
      </c>
      <c r="C23" s="305"/>
      <c r="D23" s="306"/>
      <c r="E23" s="815" t="s">
        <v>1654</v>
      </c>
      <c r="F23" s="405">
        <v>1.03</v>
      </c>
      <c r="G23" s="310">
        <v>4165</v>
      </c>
      <c r="H23" s="311">
        <f>ROUND(F23*G23,0)</f>
        <v>4290</v>
      </c>
    </row>
    <row r="24" spans="1:8">
      <c r="A24" s="534" t="s">
        <v>1388</v>
      </c>
      <c r="B24" s="305" t="str">
        <f t="shared" ref="B24:B25" si="2">IF(A24="","",VLOOKUP(A24,MAT,2,FALSE))</f>
        <v>Limpiador PVC x 1/4.</v>
      </c>
      <c r="C24" s="305"/>
      <c r="D24" s="306"/>
      <c r="E24" s="276" t="str">
        <f t="shared" ref="E24:E25" si="3">IF(A24="","",VLOOKUP(A24,MAT,3,FALSE))</f>
        <v>1/4 Gal</v>
      </c>
      <c r="F24" s="405">
        <v>0.02</v>
      </c>
      <c r="G24" s="310">
        <f t="shared" ref="G24:G25" si="4">IF(A24="","",VLOOKUP(A24,MAT,5,FALSE))</f>
        <v>72505</v>
      </c>
      <c r="H24" s="311">
        <f t="shared" ref="H24:H25" si="5">IF(A24="","",ROUND((G24*F24),0))</f>
        <v>1450</v>
      </c>
    </row>
    <row r="25" spans="1:8">
      <c r="A25" s="534" t="s">
        <v>1381</v>
      </c>
      <c r="B25" s="305" t="str">
        <f t="shared" si="2"/>
        <v>Soldadura PVC x 1/4 gal</v>
      </c>
      <c r="C25" s="305"/>
      <c r="D25" s="306"/>
      <c r="E25" s="276" t="str">
        <f t="shared" si="3"/>
        <v>Gal.</v>
      </c>
      <c r="F25" s="405">
        <v>0.02</v>
      </c>
      <c r="G25" s="310">
        <f t="shared" si="4"/>
        <v>150369</v>
      </c>
      <c r="H25" s="311">
        <f t="shared" si="5"/>
        <v>3007</v>
      </c>
    </row>
    <row r="26" spans="1:8">
      <c r="A26" s="534"/>
      <c r="B26" s="305"/>
      <c r="C26" s="305"/>
      <c r="D26" s="306"/>
      <c r="E26" s="815"/>
      <c r="F26" s="405"/>
      <c r="G26" s="310"/>
      <c r="H26" s="311"/>
    </row>
    <row r="27" spans="1:8">
      <c r="A27" s="534"/>
      <c r="B27" s="305" t="str">
        <f t="shared" ref="B27:B33" si="6">IF(A27="","",VLOOKUP(A27,MAT,2,FALSE))</f>
        <v/>
      </c>
      <c r="C27" s="305"/>
      <c r="D27" s="306"/>
      <c r="E27" s="276" t="str">
        <f t="shared" ref="E27:E33" si="7">IF(A27="","",VLOOKUP(A27,MAT,3,FALSE))</f>
        <v/>
      </c>
      <c r="F27" s="405"/>
      <c r="G27" s="310" t="str">
        <f t="shared" ref="G27:G33" si="8">IF(A27="","",VLOOKUP(A27,MAT,5,FALSE))</f>
        <v/>
      </c>
      <c r="H27" s="311" t="str">
        <f t="shared" ref="H27:H33" si="9">IF(A27="","",ROUND((G27*F27),0))</f>
        <v/>
      </c>
    </row>
    <row r="28" spans="1:8">
      <c r="A28" s="534"/>
      <c r="B28" s="305" t="str">
        <f t="shared" si="6"/>
        <v/>
      </c>
      <c r="C28" s="305"/>
      <c r="D28" s="306"/>
      <c r="E28" s="276" t="str">
        <f t="shared" si="7"/>
        <v/>
      </c>
      <c r="F28" s="405"/>
      <c r="G28" s="310" t="str">
        <f t="shared" si="8"/>
        <v/>
      </c>
      <c r="H28" s="311" t="str">
        <f t="shared" si="9"/>
        <v/>
      </c>
    </row>
    <row r="29" spans="1:8">
      <c r="A29" s="534"/>
      <c r="B29" s="305" t="str">
        <f t="shared" si="6"/>
        <v/>
      </c>
      <c r="C29" s="305"/>
      <c r="D29" s="306"/>
      <c r="E29" s="276" t="str">
        <f t="shared" si="7"/>
        <v/>
      </c>
      <c r="F29" s="405"/>
      <c r="G29" s="310" t="str">
        <f t="shared" si="8"/>
        <v/>
      </c>
      <c r="H29" s="311" t="str">
        <f t="shared" si="9"/>
        <v/>
      </c>
    </row>
    <row r="30" spans="1:8">
      <c r="A30" s="534"/>
      <c r="B30" s="305" t="str">
        <f t="shared" si="6"/>
        <v/>
      </c>
      <c r="C30" s="305"/>
      <c r="D30" s="306"/>
      <c r="E30" s="276" t="str">
        <f t="shared" si="7"/>
        <v/>
      </c>
      <c r="F30" s="405"/>
      <c r="G30" s="310" t="str">
        <f t="shared" si="8"/>
        <v/>
      </c>
      <c r="H30" s="311" t="str">
        <f t="shared" si="9"/>
        <v/>
      </c>
    </row>
    <row r="31" spans="1:8">
      <c r="A31" s="534"/>
      <c r="B31" s="305" t="str">
        <f t="shared" si="6"/>
        <v/>
      </c>
      <c r="C31" s="305"/>
      <c r="D31" s="306"/>
      <c r="E31" s="276" t="str">
        <f t="shared" si="7"/>
        <v/>
      </c>
      <c r="F31" s="405"/>
      <c r="G31" s="310" t="str">
        <f t="shared" si="8"/>
        <v/>
      </c>
      <c r="H31" s="311" t="str">
        <f t="shared" si="9"/>
        <v/>
      </c>
    </row>
    <row r="32" spans="1:8">
      <c r="A32" s="534"/>
      <c r="B32" s="305" t="str">
        <f t="shared" si="6"/>
        <v/>
      </c>
      <c r="C32" s="305"/>
      <c r="D32" s="306"/>
      <c r="E32" s="276" t="str">
        <f t="shared" si="7"/>
        <v/>
      </c>
      <c r="F32" s="405"/>
      <c r="G32" s="310" t="str">
        <f t="shared" si="8"/>
        <v/>
      </c>
      <c r="H32" s="311" t="str">
        <f t="shared" si="9"/>
        <v/>
      </c>
    </row>
    <row r="33" spans="1:8" ht="13.5" thickBot="1">
      <c r="A33" s="535"/>
      <c r="B33" s="326" t="str">
        <f t="shared" si="6"/>
        <v/>
      </c>
      <c r="C33" s="314"/>
      <c r="D33" s="314"/>
      <c r="E33" s="315" t="str">
        <f t="shared" si="7"/>
        <v/>
      </c>
      <c r="F33" s="406"/>
      <c r="G33" s="327" t="str">
        <f t="shared" si="8"/>
        <v/>
      </c>
      <c r="H33" s="311" t="str">
        <f t="shared" si="9"/>
        <v/>
      </c>
    </row>
    <row r="34" spans="1:8" ht="13.5" thickBot="1">
      <c r="A34" s="285"/>
      <c r="B34" s="285"/>
      <c r="C34" s="285"/>
      <c r="D34" s="285"/>
      <c r="E34" s="286"/>
      <c r="F34" s="285"/>
      <c r="G34" s="210" t="s">
        <v>529</v>
      </c>
      <c r="H34" s="328">
        <f>ROUND(SUM(H23:H33),0)</f>
        <v>8747</v>
      </c>
    </row>
    <row r="35" spans="1:8">
      <c r="A35" s="285"/>
      <c r="B35" s="285"/>
      <c r="C35" s="285"/>
      <c r="D35" s="285"/>
      <c r="E35" s="286"/>
      <c r="F35" s="285"/>
      <c r="G35" s="286"/>
      <c r="H35" s="329"/>
    </row>
    <row r="36" spans="1:8" ht="13.5" thickBot="1">
      <c r="A36" s="295" t="s">
        <v>531</v>
      </c>
      <c r="B36" s="285"/>
      <c r="C36" s="285"/>
      <c r="D36" s="285"/>
      <c r="E36" s="286"/>
      <c r="F36" s="285"/>
      <c r="G36" s="286"/>
      <c r="H36" s="330"/>
    </row>
    <row r="37" spans="1:8" ht="13.5" thickBot="1">
      <c r="A37" s="297" t="s">
        <v>527</v>
      </c>
      <c r="B37" s="2187" t="s">
        <v>532</v>
      </c>
      <c r="C37" s="2188"/>
      <c r="D37" s="331" t="s">
        <v>821</v>
      </c>
      <c r="E37" s="331" t="s">
        <v>820</v>
      </c>
      <c r="F37" s="331" t="s">
        <v>823</v>
      </c>
      <c r="G37" s="331" t="s">
        <v>822</v>
      </c>
      <c r="H37" s="416" t="s">
        <v>831</v>
      </c>
    </row>
    <row r="38" spans="1:8">
      <c r="A38" s="546" t="s">
        <v>1732</v>
      </c>
      <c r="B38" s="816" t="s">
        <v>2459</v>
      </c>
      <c r="C38" s="333"/>
      <c r="D38" s="409" t="str">
        <f>IF(A38="","",VLOOKUP(A38,MAT,3,FALSE))</f>
        <v>m.</v>
      </c>
      <c r="E38" s="419">
        <f>IF(A38="","",VLOOKUP(A38,MAT,6,FALSE))</f>
        <v>160</v>
      </c>
      <c r="F38" s="413">
        <f>+F23</f>
        <v>1.03</v>
      </c>
      <c r="G38" s="334">
        <f>IF(A38="","",VLOOKUP(A38,MAT,7,FALSE))</f>
        <v>15</v>
      </c>
      <c r="H38" s="311">
        <f>(ROUND((G38*F38*E38),0))</f>
        <v>2472</v>
      </c>
    </row>
    <row r="39" spans="1:8">
      <c r="A39" s="532"/>
      <c r="B39" s="305" t="str">
        <f>IF(A39="","",VLOOKUP(A39,MAT,2,FALSE))</f>
        <v/>
      </c>
      <c r="C39" s="530"/>
      <c r="D39" s="409" t="str">
        <f>IF(A39="","",VLOOKUP(A39,MAT,3,FALSE))</f>
        <v/>
      </c>
      <c r="E39" s="419" t="str">
        <f>IF(A39="","",VLOOKUP(A39,MAT,6,FALSE))</f>
        <v/>
      </c>
      <c r="F39" s="413" t="str">
        <f>IF(A39="","",VLOOKUP(A39,$A$23:$H$33,6,FALSE))</f>
        <v/>
      </c>
      <c r="G39" s="334" t="str">
        <f>IF(A39="","",VLOOKUP(A39,MAT,7,FALSE))</f>
        <v/>
      </c>
      <c r="H39" s="311" t="str">
        <f>IF(A39="","",ROUND((G39*F39*E39),0))</f>
        <v/>
      </c>
    </row>
    <row r="40" spans="1:8">
      <c r="A40" s="532"/>
      <c r="B40" s="305" t="str">
        <f>IF(A40="","",VLOOKUP(A40,MAT,2,FALSE))</f>
        <v/>
      </c>
      <c r="C40" s="530"/>
      <c r="D40" s="409" t="str">
        <f>IF(A40="","",VLOOKUP(A40,MAT,3,FALSE))</f>
        <v/>
      </c>
      <c r="E40" s="419" t="str">
        <f>IF(A40="","",VLOOKUP(A40,MAT,6,FALSE))</f>
        <v/>
      </c>
      <c r="F40" s="413" t="str">
        <f>IF(A40="","",VLOOKUP(A40,$A$23:$H$33,6,FALSE))</f>
        <v/>
      </c>
      <c r="G40" s="334" t="str">
        <f>IF(A40="","",VLOOKUP(A40,MAT,7,FALSE))</f>
        <v/>
      </c>
      <c r="H40" s="311" t="str">
        <f>IF(A40="","",ROUND((G40*F40*E40),0))</f>
        <v/>
      </c>
    </row>
    <row r="41" spans="1:8">
      <c r="A41" s="547"/>
      <c r="B41" s="305" t="str">
        <f>IF(A41="","",VLOOKUP(A41,MAT,2,FALSE))</f>
        <v/>
      </c>
      <c r="D41" s="410" t="str">
        <f>IF(A41="","",VLOOKUP(A41,MAT,3,FALSE))</f>
        <v/>
      </c>
      <c r="E41" s="419" t="str">
        <f>IF(A41="","",VLOOKUP(A41,MAT,6,FALSE))</f>
        <v/>
      </c>
      <c r="F41" s="413" t="str">
        <f>IF(A41="","",VLOOKUP(A41,$A$23:$H$33,6,FALSE))</f>
        <v/>
      </c>
      <c r="G41" s="336" t="str">
        <f>IF(A41="","",VLOOKUP(A41,MAT,7,FALSE))</f>
        <v/>
      </c>
      <c r="H41" s="311" t="str">
        <f>IF(A41="","",ROUND((G41*F41*E41),0))</f>
        <v/>
      </c>
    </row>
    <row r="42" spans="1:8" ht="13.5" thickBot="1">
      <c r="A42" s="548"/>
      <c r="B42" s="338" t="str">
        <f>IF(A42="","",VLOOKUP(A42,MAT,2,FALSE))</f>
        <v/>
      </c>
      <c r="C42" s="338"/>
      <c r="D42" s="411" t="str">
        <f>IF(A42="","",VLOOKUP(A42,MAT,3,FALSE))</f>
        <v/>
      </c>
      <c r="E42" s="412" t="str">
        <f>IF(A42="","",VLOOKUP(A42,MAT,6,FALSE))</f>
        <v/>
      </c>
      <c r="F42" s="418" t="str">
        <f>IF(A42="","",VLOOKUP(A42,$A$23:$H$33,6,FALSE))</f>
        <v/>
      </c>
      <c r="G42" s="339" t="str">
        <f>IF(A42="","",VLOOKUP(A42,MAT,7,FALSE))</f>
        <v/>
      </c>
      <c r="H42" s="417" t="str">
        <f>IF(A42="","",ROUND((G42*F42*E42),0))</f>
        <v/>
      </c>
    </row>
    <row r="43" spans="1:8" ht="13.5" thickBot="1">
      <c r="E43" s="340"/>
      <c r="F43" s="341"/>
      <c r="G43" s="414" t="s">
        <v>529</v>
      </c>
      <c r="H43" s="415">
        <f>ROUND(SUM(H38:H42),0)</f>
        <v>2472</v>
      </c>
    </row>
    <row r="44" spans="1:8">
      <c r="E44" s="340"/>
      <c r="F44" s="341"/>
      <c r="G44" s="286"/>
      <c r="H44" s="343"/>
    </row>
    <row r="45" spans="1:8" ht="13.5" thickBot="1">
      <c r="A45" s="295" t="s">
        <v>534</v>
      </c>
      <c r="B45" s="295"/>
      <c r="C45" s="295"/>
      <c r="D45" s="285"/>
      <c r="E45" s="286"/>
      <c r="F45" s="285"/>
      <c r="G45" s="285"/>
      <c r="H45" s="314"/>
    </row>
    <row r="46" spans="1:8" ht="13.5" thickBot="1">
      <c r="A46" s="297" t="s">
        <v>527</v>
      </c>
      <c r="B46" s="2189" t="s">
        <v>514</v>
      </c>
      <c r="C46" s="2190"/>
      <c r="D46" s="2191"/>
      <c r="E46" s="277" t="s">
        <v>515</v>
      </c>
      <c r="F46" s="277" t="s">
        <v>535</v>
      </c>
      <c r="G46" s="531" t="s">
        <v>944</v>
      </c>
      <c r="H46" s="416" t="s">
        <v>831</v>
      </c>
    </row>
    <row r="47" spans="1:8">
      <c r="A47" s="563" t="s">
        <v>883</v>
      </c>
      <c r="B47" s="2192" t="str">
        <f>IF(A47="","",VLOOKUP(A47,MO,2,FALSE))</f>
        <v>Cuadrilla AA: Albañilería. (1 Of. + 1 Ayud.).</v>
      </c>
      <c r="C47" s="2193"/>
      <c r="D47" s="2194"/>
      <c r="E47" s="538" t="str">
        <f>IF(A47="","",VLOOKUP(A47,MO,13,FALSE))</f>
        <v>HC</v>
      </c>
      <c r="F47" s="544">
        <v>12</v>
      </c>
      <c r="G47" s="540">
        <f>IF(A47="","",VLOOKUP(A47,MO,15,FALSE))</f>
        <v>38949</v>
      </c>
      <c r="H47" s="542">
        <f>IF(A47="","",ROUND((G47/F47),0))</f>
        <v>3246</v>
      </c>
    </row>
    <row r="48" spans="1:8">
      <c r="A48" s="563"/>
      <c r="B48" s="2179" t="str">
        <f>IF(A48="","",VLOOKUP(A48,MO,2,FALSE))</f>
        <v/>
      </c>
      <c r="C48" s="2180"/>
      <c r="D48" s="2181"/>
      <c r="E48" s="538" t="str">
        <f>IF(A48="","",VLOOKUP(A48,MO,13,FALSE))</f>
        <v/>
      </c>
      <c r="F48" s="544"/>
      <c r="G48" s="540" t="str">
        <f>IF(A48="","",VLOOKUP(A48,MO,15,FALSE))</f>
        <v/>
      </c>
      <c r="H48" s="542" t="str">
        <f>IF(A48="","",ROUND((G48/F48),0))</f>
        <v/>
      </c>
    </row>
    <row r="49" spans="1:8">
      <c r="A49" s="563"/>
      <c r="B49" s="2179" t="str">
        <f>IF(A49="","",VLOOKUP(A49,MO,2,FALSE))</f>
        <v/>
      </c>
      <c r="C49" s="2180"/>
      <c r="D49" s="2181"/>
      <c r="E49" s="538" t="str">
        <f>IF(A49="","",VLOOKUP(A49,MO,13,FALSE))</f>
        <v/>
      </c>
      <c r="F49" s="544"/>
      <c r="G49" s="541" t="str">
        <f>IF(A49="","",VLOOKUP(A49,MO,15,FALSE))</f>
        <v/>
      </c>
      <c r="H49" s="542" t="str">
        <f>IF(A49="","",ROUND((G49/F49),0))</f>
        <v/>
      </c>
    </row>
    <row r="50" spans="1:8" ht="13.5" thickBot="1">
      <c r="A50" s="564"/>
      <c r="B50" s="2182" t="str">
        <f>IF(A50="","",VLOOKUP(A50,MO,2,FALSE))</f>
        <v/>
      </c>
      <c r="C50" s="2183"/>
      <c r="D50" s="2184"/>
      <c r="E50" s="539" t="str">
        <f>IF(A50="","",VLOOKUP(A50,MO,13,FALSE))</f>
        <v/>
      </c>
      <c r="F50" s="545"/>
      <c r="G50" s="377" t="str">
        <f>IF(A50="","",VLOOKUP(A50,MO,15,FALSE))</f>
        <v/>
      </c>
      <c r="H50" s="543" t="str">
        <f>IF(A50="","",ROUND((G50/F50),0))</f>
        <v/>
      </c>
    </row>
    <row r="51" spans="1:8" ht="13.5" thickBot="1">
      <c r="A51" s="285"/>
      <c r="B51" s="285"/>
      <c r="C51" s="285"/>
      <c r="D51" s="285"/>
      <c r="E51" s="286"/>
      <c r="F51" s="285"/>
      <c r="G51" s="317" t="s">
        <v>529</v>
      </c>
      <c r="H51" s="342">
        <f>ROUND(SUM(H47:H50),0)</f>
        <v>3246</v>
      </c>
    </row>
    <row r="52" spans="1:8" ht="13.5" thickBot="1">
      <c r="A52" s="285"/>
      <c r="B52" s="285"/>
      <c r="C52" s="285"/>
      <c r="D52" s="285"/>
      <c r="E52" s="286"/>
      <c r="F52" s="285"/>
      <c r="G52" s="285"/>
      <c r="H52" s="285"/>
    </row>
    <row r="53" spans="1:8" ht="13.5" thickBot="1">
      <c r="A53" s="285"/>
      <c r="B53" s="285"/>
      <c r="C53" s="285"/>
      <c r="D53" s="285"/>
      <c r="E53" s="346" t="s">
        <v>536</v>
      </c>
      <c r="F53" s="347"/>
      <c r="G53" s="347"/>
      <c r="H53" s="348">
        <f>+ROUND(H19+H34+H43+H51,0)</f>
        <v>14627</v>
      </c>
    </row>
    <row r="54" spans="1:8">
      <c r="A54" s="285"/>
      <c r="B54" s="285"/>
      <c r="C54" s="285"/>
      <c r="D54" s="285"/>
      <c r="E54" s="346"/>
      <c r="F54" s="347"/>
      <c r="G54" s="347"/>
      <c r="H54" s="349"/>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8" spans="1:8">
      <c r="A58" s="285"/>
      <c r="B58" s="285"/>
      <c r="C58" s="285"/>
      <c r="D58" s="285"/>
      <c r="E58" s="346"/>
      <c r="F58" s="347"/>
      <c r="G58" s="347"/>
      <c r="H58" s="349"/>
    </row>
    <row r="60" spans="1:8">
      <c r="A60" s="703" t="str">
        <f>+[14]PRESUPUESTO!$A$113</f>
        <v>__________________________________________</v>
      </c>
      <c r="B60" s="703"/>
    </row>
    <row r="61" spans="1:8">
      <c r="A61" s="810" t="str">
        <f>+[14]PRESUPUESTO!$A$114</f>
        <v>Ing. JHON FREDY GARCIA MENDEZ</v>
      </c>
      <c r="B61" s="703"/>
    </row>
    <row r="62" spans="1:8">
      <c r="A62" s="811" t="str">
        <f>+[14]PRESUPUESTO!$A$115</f>
        <v>M.P.  70268-326294 TLM.</v>
      </c>
      <c r="B62" s="703"/>
    </row>
    <row r="63" spans="1:8">
      <c r="A63" s="811" t="str">
        <f>+[14]PRESUPUESTO!$A$116</f>
        <v>CONSULTOR</v>
      </c>
      <c r="B63" s="703"/>
    </row>
  </sheetData>
  <mergeCells count="15">
    <mergeCell ref="B48:D48"/>
    <mergeCell ref="B49:D49"/>
    <mergeCell ref="B50:D50"/>
    <mergeCell ref="B6:D6"/>
    <mergeCell ref="B7:E7"/>
    <mergeCell ref="B8:E8"/>
    <mergeCell ref="B37:C37"/>
    <mergeCell ref="B46:D46"/>
    <mergeCell ref="B47:D47"/>
    <mergeCell ref="D2:E4"/>
    <mergeCell ref="F2:H2"/>
    <mergeCell ref="F3:H3"/>
    <mergeCell ref="F4:H4"/>
    <mergeCell ref="A5:E5"/>
    <mergeCell ref="F5:H5"/>
  </mergeCells>
  <pageMargins left="0.75" right="0.75" top="1" bottom="1" header="0" footer="0"/>
  <pageSetup paperSize="9" scale="70" orientation="portrait" r:id="rId1"/>
  <headerFooter alignWithMargins="0"/>
  <drawing r:id="rId2"/>
</worksheet>
</file>

<file path=xl/worksheets/sheet1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100-000000000000}">
  <sheetPr>
    <tabColor theme="6" tint="0.79998168889431442"/>
  </sheetPr>
  <dimension ref="A1:I62"/>
  <sheetViews>
    <sheetView workbookViewId="0"/>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4.570312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t="e">
        <f>PRESUPUESTO!#REF!</f>
        <v>#REF!</v>
      </c>
      <c r="B7" s="2185" t="e">
        <f>PRESUPUESTO!#REF!</f>
        <v>#REF!</v>
      </c>
      <c r="C7" s="2185"/>
      <c r="D7" s="2185"/>
      <c r="E7" s="2185"/>
      <c r="F7" s="289"/>
      <c r="G7" s="290" t="s">
        <v>525</v>
      </c>
      <c r="H7" s="97" t="e">
        <f>+PRESUPUESTO!#REF!</f>
        <v>#REF!</v>
      </c>
    </row>
    <row r="8" spans="1:9">
      <c r="A8" s="97" t="e">
        <f>+PRESUPUESTO!#REF!</f>
        <v>#REF!</v>
      </c>
      <c r="B8" s="2277" t="e">
        <f>+PRESUPUESTO!#REF!</f>
        <v>#REF!</v>
      </c>
      <c r="C8" s="2266"/>
      <c r="D8" s="2266"/>
      <c r="E8" s="2266"/>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966</v>
      </c>
      <c r="B13" s="305" t="str">
        <f t="shared" ref="B13:B18" si="0">IF(A13="","",VLOOKUP(A13,EQUI,2,FALSE))</f>
        <v>Herramienta Menor (5% de la mano de obra).</v>
      </c>
      <c r="C13" s="306"/>
      <c r="D13" s="306"/>
      <c r="E13" s="276" t="str">
        <f t="shared" ref="E13:E18" si="1">IF(A13="","",VLOOKUP(A13,EQUI,3,FALSE))</f>
        <v>%</v>
      </c>
      <c r="F13" s="433">
        <f>IF(A13="","",VLOOKUP(A13,EQUI,4,FALSE))</f>
        <v>0.05</v>
      </c>
      <c r="G13" s="307">
        <f>ROUND(F13*H50,0)</f>
        <v>2434</v>
      </c>
      <c r="H13" s="308">
        <f>+G13</f>
        <v>2434</v>
      </c>
      <c r="I13" s="309"/>
    </row>
    <row r="14" spans="1:9">
      <c r="A14" s="536"/>
      <c r="B14" s="305" t="str">
        <f t="shared" si="0"/>
        <v/>
      </c>
      <c r="C14" s="306"/>
      <c r="D14" s="306"/>
      <c r="E14" s="276" t="str">
        <f t="shared" si="1"/>
        <v/>
      </c>
      <c r="F14" s="405"/>
      <c r="G14" s="310" t="str">
        <f>IF(A14="","",VLOOKUP(A14,EQUI,4,FALSE))</f>
        <v/>
      </c>
      <c r="H14" s="311" t="str">
        <f>IF(A14="","",ROUND((G14/F14),0))</f>
        <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2434</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4"/>
      <c r="B23" s="1054" t="s">
        <v>2446</v>
      </c>
      <c r="C23" s="1052"/>
      <c r="D23" s="1053"/>
      <c r="E23" s="1057" t="s">
        <v>205</v>
      </c>
      <c r="F23" s="1050">
        <v>1.05</v>
      </c>
      <c r="G23" s="310">
        <v>43775</v>
      </c>
      <c r="H23" s="1051">
        <f>ROUND(F23*G23,0)</f>
        <v>45964</v>
      </c>
    </row>
    <row r="24" spans="1:8">
      <c r="A24" s="534"/>
      <c r="B24" s="1056" t="s">
        <v>2445</v>
      </c>
      <c r="C24" s="1055"/>
      <c r="D24" s="501"/>
      <c r="E24" s="1058" t="s">
        <v>1681</v>
      </c>
      <c r="F24" s="1050">
        <v>3</v>
      </c>
      <c r="G24" s="310">
        <v>1110</v>
      </c>
      <c r="H24" s="1051">
        <f t="shared" ref="H24:H25" si="2">ROUND(F24*G24,0)</f>
        <v>3330</v>
      </c>
    </row>
    <row r="25" spans="1:8">
      <c r="A25" s="534"/>
      <c r="B25" s="1056" t="s">
        <v>2444</v>
      </c>
      <c r="C25" s="1055"/>
      <c r="D25" s="501"/>
      <c r="E25" s="1058" t="s">
        <v>1654</v>
      </c>
      <c r="F25" s="405">
        <v>2</v>
      </c>
      <c r="G25" s="310">
        <v>14667</v>
      </c>
      <c r="H25" s="1051">
        <f t="shared" si="2"/>
        <v>29334</v>
      </c>
    </row>
    <row r="26" spans="1:8">
      <c r="A26" s="534"/>
      <c r="B26" s="305" t="str">
        <f t="shared" ref="B26:B32" si="3">IF(A26="","",VLOOKUP(A26,MAT,2,FALSE))</f>
        <v/>
      </c>
      <c r="C26" s="305"/>
      <c r="D26" s="306"/>
      <c r="E26" s="276" t="str">
        <f t="shared" ref="E26:E32" si="4">IF(A26="","",VLOOKUP(A26,MAT,3,FALSE))</f>
        <v/>
      </c>
      <c r="F26" s="405"/>
      <c r="G26" s="310" t="str">
        <f t="shared" ref="G26:G32" si="5">IF(A26="","",VLOOKUP(A26,MAT,5,FALSE))</f>
        <v/>
      </c>
      <c r="H26" s="311" t="str">
        <f t="shared" ref="H26:H32" si="6">IF(A26="","",ROUND((G26*F26),0))</f>
        <v/>
      </c>
    </row>
    <row r="27" spans="1:8">
      <c r="A27" s="534"/>
      <c r="B27" s="305" t="str">
        <f t="shared" si="3"/>
        <v/>
      </c>
      <c r="C27" s="305"/>
      <c r="D27" s="306"/>
      <c r="E27" s="276" t="str">
        <f t="shared" si="4"/>
        <v/>
      </c>
      <c r="F27" s="405"/>
      <c r="G27" s="310" t="str">
        <f t="shared" si="5"/>
        <v/>
      </c>
      <c r="H27" s="311" t="str">
        <f t="shared" si="6"/>
        <v/>
      </c>
    </row>
    <row r="28" spans="1:8">
      <c r="A28" s="534"/>
      <c r="B28" s="305" t="str">
        <f t="shared" si="3"/>
        <v/>
      </c>
      <c r="C28" s="305"/>
      <c r="D28" s="306"/>
      <c r="E28" s="276" t="str">
        <f t="shared" si="4"/>
        <v/>
      </c>
      <c r="F28" s="405"/>
      <c r="G28" s="310" t="str">
        <f t="shared" si="5"/>
        <v/>
      </c>
      <c r="H28" s="311" t="str">
        <f t="shared" si="6"/>
        <v/>
      </c>
    </row>
    <row r="29" spans="1:8">
      <c r="A29" s="534"/>
      <c r="B29" s="305" t="str">
        <f t="shared" si="3"/>
        <v/>
      </c>
      <c r="C29" s="305"/>
      <c r="D29" s="306"/>
      <c r="E29" s="276" t="str">
        <f t="shared" si="4"/>
        <v/>
      </c>
      <c r="F29" s="405"/>
      <c r="G29" s="310" t="str">
        <f t="shared" si="5"/>
        <v/>
      </c>
      <c r="H29" s="311" t="str">
        <f t="shared" si="6"/>
        <v/>
      </c>
    </row>
    <row r="30" spans="1:8">
      <c r="A30" s="534"/>
      <c r="B30" s="305" t="str">
        <f t="shared" si="3"/>
        <v/>
      </c>
      <c r="C30" s="305"/>
      <c r="D30" s="306"/>
      <c r="E30" s="276" t="str">
        <f t="shared" si="4"/>
        <v/>
      </c>
      <c r="F30" s="405"/>
      <c r="G30" s="310" t="str">
        <f t="shared" si="5"/>
        <v/>
      </c>
      <c r="H30" s="311" t="str">
        <f t="shared" si="6"/>
        <v/>
      </c>
    </row>
    <row r="31" spans="1:8">
      <c r="A31" s="534"/>
      <c r="B31" s="305" t="str">
        <f t="shared" si="3"/>
        <v/>
      </c>
      <c r="C31" s="305"/>
      <c r="D31" s="306"/>
      <c r="E31" s="276" t="str">
        <f t="shared" si="4"/>
        <v/>
      </c>
      <c r="F31" s="405"/>
      <c r="G31" s="310" t="str">
        <f t="shared" si="5"/>
        <v/>
      </c>
      <c r="H31" s="311" t="str">
        <f t="shared" si="6"/>
        <v/>
      </c>
    </row>
    <row r="32" spans="1:8" ht="13.5" thickBot="1">
      <c r="A32" s="535"/>
      <c r="B32" s="326" t="str">
        <f t="shared" si="3"/>
        <v/>
      </c>
      <c r="C32" s="314"/>
      <c r="D32" s="314"/>
      <c r="E32" s="315" t="str">
        <f t="shared" si="4"/>
        <v/>
      </c>
      <c r="F32" s="406"/>
      <c r="G32" s="327" t="str">
        <f t="shared" si="5"/>
        <v/>
      </c>
      <c r="H32" s="311" t="str">
        <f t="shared" si="6"/>
        <v/>
      </c>
    </row>
    <row r="33" spans="1:8" ht="13.5" thickBot="1">
      <c r="A33" s="285"/>
      <c r="B33" s="285"/>
      <c r="C33" s="285"/>
      <c r="D33" s="285"/>
      <c r="E33" s="286"/>
      <c r="F33" s="285"/>
      <c r="G33" s="210" t="s">
        <v>529</v>
      </c>
      <c r="H33" s="328">
        <f>ROUND(SUM(H23:H32),0)</f>
        <v>78628</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546"/>
      <c r="B37" s="737" t="s">
        <v>2493</v>
      </c>
      <c r="C37" s="772"/>
      <c r="D37" s="773"/>
      <c r="E37" s="774"/>
      <c r="F37" s="775"/>
      <c r="G37" s="1066">
        <v>0.06</v>
      </c>
      <c r="H37" s="746">
        <f>ROUND(G37*H33,0)</f>
        <v>4718</v>
      </c>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t="str">
        <f>IF(A39="","",ROUND((G39*F39*E39),0))</f>
        <v/>
      </c>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4718</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940</v>
      </c>
      <c r="B46" s="2192" t="str">
        <f>IF(A46="","",VLOOKUP(A46,MO,2,FALSE))</f>
        <v>Cuadrilla NN: Instalaciones hidrosanitarias. (1 Of.Insta.+ 2 Ayud.).</v>
      </c>
      <c r="C46" s="2193"/>
      <c r="D46" s="2194"/>
      <c r="E46" s="538" t="str">
        <f>IF(A46="","",VLOOKUP(A46,MO,13,FALSE))</f>
        <v>HC</v>
      </c>
      <c r="F46" s="544">
        <v>2</v>
      </c>
      <c r="G46" s="540">
        <f>IF(A46="","",VLOOKUP(A46,MO,15,FALSE))</f>
        <v>97342</v>
      </c>
      <c r="H46" s="542">
        <f>IF(A46="","",ROUND((G46/F46),0))</f>
        <v>48671</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48671</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134451</v>
      </c>
    </row>
    <row r="53" spans="1:8">
      <c r="A53" s="285"/>
      <c r="B53" s="285"/>
      <c r="C53" s="285"/>
      <c r="D53" s="285"/>
      <c r="E53" s="346"/>
      <c r="F53" s="347"/>
      <c r="G53" s="347"/>
      <c r="H53" s="349"/>
    </row>
    <row r="54" spans="1:8">
      <c r="A54" s="285"/>
      <c r="B54" s="285"/>
      <c r="C54" s="285"/>
      <c r="D54" s="285"/>
      <c r="E54" s="346"/>
      <c r="F54" s="347"/>
      <c r="G54" s="347"/>
      <c r="H54" s="349"/>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c r="A59" s="703" t="str">
        <f>+[14]PRESUPUESTO!$A$113</f>
        <v>__________________________________________</v>
      </c>
      <c r="B59" s="703"/>
      <c r="C59" s="703"/>
    </row>
    <row r="60" spans="1:8">
      <c r="A60" s="810" t="str">
        <f>+[14]PRESUPUESTO!$A$114</f>
        <v>Ing. JHON FREDY GARCIA MENDEZ</v>
      </c>
      <c r="B60" s="703"/>
      <c r="C60" s="703"/>
    </row>
    <row r="61" spans="1:8">
      <c r="A61" s="811" t="str">
        <f>+[14]PRESUPUESTO!$A$115</f>
        <v>M.P.  70268-326294 TLM.</v>
      </c>
      <c r="B61" s="703"/>
      <c r="C61" s="703"/>
    </row>
    <row r="62" spans="1:8">
      <c r="A62" s="811" t="str">
        <f>+[14]PRESUPUESTO!$A$116</f>
        <v>CONSULTOR</v>
      </c>
      <c r="B62" s="703"/>
      <c r="C62" s="703"/>
    </row>
  </sheetData>
  <mergeCells count="15">
    <mergeCell ref="B47:D47"/>
    <mergeCell ref="B48:D48"/>
    <mergeCell ref="B49:D49"/>
    <mergeCell ref="B6:D6"/>
    <mergeCell ref="B7:E7"/>
    <mergeCell ref="B8:E8"/>
    <mergeCell ref="B36:C36"/>
    <mergeCell ref="B45:D45"/>
    <mergeCell ref="B46:D46"/>
    <mergeCell ref="D2:E4"/>
    <mergeCell ref="F2:H2"/>
    <mergeCell ref="F3:H3"/>
    <mergeCell ref="F4:H4"/>
    <mergeCell ref="A5:E5"/>
    <mergeCell ref="F5:H5"/>
  </mergeCells>
  <pageMargins left="0.75" right="0.75" top="1" bottom="1" header="0" footer="0"/>
  <pageSetup paperSize="9" scale="70" orientation="portrait" r:id="rId1"/>
  <headerFooter alignWithMargins="0"/>
  <drawing r:id="rId2"/>
</worksheet>
</file>

<file path=xl/worksheets/sheet1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200-000000000000}">
  <sheetPr>
    <tabColor theme="6" tint="0.79998168889431442"/>
  </sheetPr>
  <dimension ref="A1:I61"/>
  <sheetViews>
    <sheetView workbookViewId="0"/>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2.710937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t="e">
        <f>PRESUPUESTO!#REF!</f>
        <v>#REF!</v>
      </c>
      <c r="B7" s="2185" t="e">
        <f>PRESUPUESTO!#REF!</f>
        <v>#REF!</v>
      </c>
      <c r="C7" s="2185"/>
      <c r="D7" s="2185"/>
      <c r="E7" s="2185"/>
      <c r="F7" s="289"/>
      <c r="G7" s="290" t="s">
        <v>525</v>
      </c>
      <c r="H7" s="97" t="e">
        <f>+PRESUPUESTO!#REF!</f>
        <v>#REF!</v>
      </c>
    </row>
    <row r="8" spans="1:9">
      <c r="A8" s="97" t="e">
        <f>+PRESUPUESTO!#REF!</f>
        <v>#REF!</v>
      </c>
      <c r="B8" s="2217" t="e">
        <f>+PRESUPUESTO!#REF!</f>
        <v>#REF!</v>
      </c>
      <c r="C8" s="2217"/>
      <c r="D8" s="2217"/>
      <c r="E8" s="221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v>3</v>
      </c>
      <c r="H12" s="278" t="s">
        <v>831</v>
      </c>
    </row>
    <row r="13" spans="1:9">
      <c r="A13" s="536" t="s">
        <v>966</v>
      </c>
      <c r="B13" s="305" t="str">
        <f t="shared" ref="B13:B18" si="0">IF(A13="","",VLOOKUP(A13,EQUI,2,FALSE))</f>
        <v>Herramienta Menor (5% de la mano de obra).</v>
      </c>
      <c r="C13" s="306"/>
      <c r="D13" s="306"/>
      <c r="E13" s="276" t="str">
        <f t="shared" ref="E13:E18" si="1">IF(A13="","",VLOOKUP(A13,EQUI,3,FALSE))</f>
        <v>%</v>
      </c>
      <c r="F13" s="433">
        <f>IF(A13="","",VLOOKUP(A13,EQUI,4,FALSE))</f>
        <v>0.05</v>
      </c>
      <c r="G13" s="307">
        <f>ROUND(F13*H49,0)</f>
        <v>974</v>
      </c>
      <c r="H13" s="308">
        <f>+G13</f>
        <v>974</v>
      </c>
      <c r="I13" s="309"/>
    </row>
    <row r="14" spans="1:9">
      <c r="A14" s="536"/>
      <c r="B14" s="305" t="str">
        <f t="shared" si="0"/>
        <v/>
      </c>
      <c r="C14" s="306"/>
      <c r="D14" s="306"/>
      <c r="E14" s="276" t="str">
        <f t="shared" si="1"/>
        <v/>
      </c>
      <c r="F14" s="405"/>
      <c r="G14" s="310" t="str">
        <f>IF(A14="","",VLOOKUP(A14,EQUI,4,FALSE))</f>
        <v/>
      </c>
      <c r="H14" s="311" t="str">
        <f>IF(A14="","",ROUND((G14/F14),0))</f>
        <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974</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c r="B23" s="1033" t="s">
        <v>2460</v>
      </c>
      <c r="C23" s="305"/>
      <c r="D23" s="306"/>
      <c r="E23" s="815" t="s">
        <v>1654</v>
      </c>
      <c r="F23" s="405">
        <v>0.6</v>
      </c>
      <c r="G23" s="310">
        <v>31700</v>
      </c>
      <c r="H23" s="311">
        <f>ROUND(F23*G23,0)</f>
        <v>19020</v>
      </c>
    </row>
    <row r="24" spans="1:8">
      <c r="A24" s="534"/>
      <c r="B24" s="1033" t="s">
        <v>2461</v>
      </c>
      <c r="C24" s="305"/>
      <c r="D24" s="306"/>
      <c r="E24" s="815" t="s">
        <v>1654</v>
      </c>
      <c r="F24" s="1050">
        <v>0.6</v>
      </c>
      <c r="G24" s="310">
        <v>22584</v>
      </c>
      <c r="H24" s="311">
        <f t="shared" ref="H24:H25" si="2">ROUND(F24*G24,0)</f>
        <v>13550</v>
      </c>
    </row>
    <row r="25" spans="1:8">
      <c r="A25" s="534"/>
      <c r="B25" s="1033" t="s">
        <v>2462</v>
      </c>
      <c r="C25" s="305"/>
      <c r="D25" s="306"/>
      <c r="E25" s="815" t="s">
        <v>1654</v>
      </c>
      <c r="F25" s="405">
        <v>0.7</v>
      </c>
      <c r="G25" s="310">
        <v>15117</v>
      </c>
      <c r="H25" s="311">
        <f t="shared" si="2"/>
        <v>10582</v>
      </c>
    </row>
    <row r="26" spans="1:8">
      <c r="A26" s="534"/>
      <c r="B26" s="305" t="str">
        <f t="shared" ref="B26:B31" si="3">IF(A26="","",VLOOKUP(A26,MAT,2,FALSE))</f>
        <v/>
      </c>
      <c r="C26" s="305"/>
      <c r="D26" s="306"/>
      <c r="E26" s="276" t="str">
        <f t="shared" ref="E26:E31" si="4">IF(A26="","",VLOOKUP(A26,MAT,3,FALSE))</f>
        <v/>
      </c>
      <c r="F26" s="405"/>
      <c r="G26" s="310" t="str">
        <f t="shared" ref="G26:G31" si="5">IF(A26="","",VLOOKUP(A26,MAT,5,FALSE))</f>
        <v/>
      </c>
      <c r="H26" s="311" t="str">
        <f t="shared" ref="H26:H31" si="6">IF(A26="","",ROUND((G26*F26),0))</f>
        <v/>
      </c>
    </row>
    <row r="27" spans="1:8">
      <c r="A27" s="534"/>
      <c r="B27" s="305" t="str">
        <f t="shared" si="3"/>
        <v/>
      </c>
      <c r="C27" s="305"/>
      <c r="D27" s="306"/>
      <c r="E27" s="276" t="str">
        <f t="shared" si="4"/>
        <v/>
      </c>
      <c r="F27" s="405"/>
      <c r="G27" s="310" t="str">
        <f t="shared" si="5"/>
        <v/>
      </c>
      <c r="H27" s="311" t="str">
        <f t="shared" si="6"/>
        <v/>
      </c>
    </row>
    <row r="28" spans="1:8">
      <c r="A28" s="534"/>
      <c r="B28" s="305" t="str">
        <f t="shared" si="3"/>
        <v/>
      </c>
      <c r="C28" s="305"/>
      <c r="D28" s="306"/>
      <c r="E28" s="276" t="str">
        <f t="shared" si="4"/>
        <v/>
      </c>
      <c r="F28" s="405"/>
      <c r="G28" s="310" t="str">
        <f t="shared" si="5"/>
        <v/>
      </c>
      <c r="H28" s="311" t="str">
        <f t="shared" si="6"/>
        <v/>
      </c>
    </row>
    <row r="29" spans="1:8">
      <c r="A29" s="534"/>
      <c r="B29" s="305" t="str">
        <f t="shared" si="3"/>
        <v/>
      </c>
      <c r="C29" s="305"/>
      <c r="D29" s="306"/>
      <c r="E29" s="276" t="str">
        <f t="shared" si="4"/>
        <v/>
      </c>
      <c r="F29" s="405"/>
      <c r="G29" s="310" t="str">
        <f t="shared" si="5"/>
        <v/>
      </c>
      <c r="H29" s="311" t="str">
        <f t="shared" si="6"/>
        <v/>
      </c>
    </row>
    <row r="30" spans="1:8">
      <c r="A30" s="534"/>
      <c r="B30" s="305" t="str">
        <f t="shared" si="3"/>
        <v/>
      </c>
      <c r="C30" s="305"/>
      <c r="D30" s="306"/>
      <c r="E30" s="276" t="str">
        <f t="shared" si="4"/>
        <v/>
      </c>
      <c r="F30" s="405"/>
      <c r="G30" s="310" t="str">
        <f t="shared" si="5"/>
        <v/>
      </c>
      <c r="H30" s="311" t="str">
        <f t="shared" si="6"/>
        <v/>
      </c>
    </row>
    <row r="31" spans="1:8" ht="13.5" thickBot="1">
      <c r="A31" s="535"/>
      <c r="B31" s="326" t="str">
        <f t="shared" si="3"/>
        <v/>
      </c>
      <c r="C31" s="314"/>
      <c r="D31" s="314"/>
      <c r="E31" s="315" t="str">
        <f t="shared" si="4"/>
        <v/>
      </c>
      <c r="F31" s="406"/>
      <c r="G31" s="327" t="str">
        <f t="shared" si="5"/>
        <v/>
      </c>
      <c r="H31" s="311" t="str">
        <f t="shared" si="6"/>
        <v/>
      </c>
    </row>
    <row r="32" spans="1:8" ht="13.5" thickBot="1">
      <c r="A32" s="285"/>
      <c r="B32" s="285"/>
      <c r="C32" s="285"/>
      <c r="D32" s="285"/>
      <c r="E32" s="286"/>
      <c r="F32" s="285"/>
      <c r="G32" s="210" t="s">
        <v>529</v>
      </c>
      <c r="H32" s="328">
        <f>ROUND(SUM(H23:H31),0)</f>
        <v>43152</v>
      </c>
    </row>
    <row r="33" spans="1:8">
      <c r="A33" s="285"/>
      <c r="B33" s="285"/>
      <c r="C33" s="285"/>
      <c r="D33" s="285"/>
      <c r="E33" s="286"/>
      <c r="F33" s="285"/>
      <c r="G33" s="286"/>
      <c r="H33" s="329"/>
    </row>
    <row r="34" spans="1:8" ht="13.5" thickBot="1">
      <c r="A34" s="295" t="s">
        <v>531</v>
      </c>
      <c r="B34" s="285"/>
      <c r="C34" s="285"/>
      <c r="D34" s="285"/>
      <c r="E34" s="286"/>
      <c r="F34" s="285"/>
      <c r="G34" s="286"/>
      <c r="H34" s="330"/>
    </row>
    <row r="35" spans="1:8" ht="13.5" thickBot="1">
      <c r="A35" s="297" t="s">
        <v>527</v>
      </c>
      <c r="B35" s="2187" t="s">
        <v>532</v>
      </c>
      <c r="C35" s="2188"/>
      <c r="D35" s="331" t="s">
        <v>821</v>
      </c>
      <c r="E35" s="331" t="s">
        <v>820</v>
      </c>
      <c r="F35" s="331" t="s">
        <v>823</v>
      </c>
      <c r="G35" s="331" t="s">
        <v>822</v>
      </c>
      <c r="H35" s="416" t="s">
        <v>831</v>
      </c>
    </row>
    <row r="36" spans="1:8">
      <c r="A36" s="546" t="s">
        <v>2463</v>
      </c>
      <c r="B36" s="816" t="s">
        <v>2458</v>
      </c>
      <c r="C36" s="333"/>
      <c r="D36" s="409" t="str">
        <f>IF(A36="","",VLOOKUP(A36,MAT,3,FALSE))</f>
        <v>m.</v>
      </c>
      <c r="E36" s="419">
        <f>IF(A36="","",VLOOKUP(A36,MAT,6,FALSE))</f>
        <v>160</v>
      </c>
      <c r="F36" s="413">
        <f>0.6*3</f>
        <v>1.7999999999999998</v>
      </c>
      <c r="G36" s="334">
        <f>IF(A36="","",VLOOKUP(A36,MAT,7,FALSE))</f>
        <v>15</v>
      </c>
      <c r="H36" s="311">
        <f>(ROUND((G36*F36*E36),0))</f>
        <v>4320</v>
      </c>
    </row>
    <row r="37" spans="1:8">
      <c r="A37" s="532"/>
      <c r="B37" s="305" t="str">
        <f>IF(A37="","",VLOOKUP(A37,MAT,2,FALSE))</f>
        <v/>
      </c>
      <c r="C37" s="530"/>
      <c r="D37" s="409" t="str">
        <f>IF(A37="","",VLOOKUP(A37,MAT,3,FALSE))</f>
        <v/>
      </c>
      <c r="E37" s="419" t="str">
        <f>IF(A37="","",VLOOKUP(A37,MAT,6,FALSE))</f>
        <v/>
      </c>
      <c r="F37" s="413" t="str">
        <f>IF(A37="","",VLOOKUP(A37,$A$23:$H$31,6,FALSE))</f>
        <v/>
      </c>
      <c r="G37" s="334" t="str">
        <f>IF(A37="","",VLOOKUP(A37,MAT,7,FALSE))</f>
        <v/>
      </c>
      <c r="H37" s="311" t="str">
        <f>IF(A37="","",ROUND((G37*F37*E37),0))</f>
        <v/>
      </c>
    </row>
    <row r="38" spans="1:8">
      <c r="A38" s="532"/>
      <c r="B38" s="305" t="str">
        <f>IF(A38="","",VLOOKUP(A38,MAT,2,FALSE))</f>
        <v/>
      </c>
      <c r="C38" s="530"/>
      <c r="D38" s="409" t="str">
        <f>IF(A38="","",VLOOKUP(A38,MAT,3,FALSE))</f>
        <v/>
      </c>
      <c r="E38" s="419" t="str">
        <f>IF(A38="","",VLOOKUP(A38,MAT,6,FALSE))</f>
        <v/>
      </c>
      <c r="F38" s="413" t="str">
        <f>IF(A38="","",VLOOKUP(A38,$A$23:$H$31,6,FALSE))</f>
        <v/>
      </c>
      <c r="G38" s="334" t="str">
        <f>IF(A38="","",VLOOKUP(A38,MAT,7,FALSE))</f>
        <v/>
      </c>
      <c r="H38" s="311" t="str">
        <f>IF(A38="","",ROUND((G38*F38*E38),0))</f>
        <v/>
      </c>
    </row>
    <row r="39" spans="1:8">
      <c r="A39" s="547"/>
      <c r="B39" s="305" t="str">
        <f>IF(A39="","",VLOOKUP(A39,MAT,2,FALSE))</f>
        <v/>
      </c>
      <c r="D39" s="410" t="str">
        <f>IF(A39="","",VLOOKUP(A39,MAT,3,FALSE))</f>
        <v/>
      </c>
      <c r="E39" s="419" t="str">
        <f>IF(A39="","",VLOOKUP(A39,MAT,6,FALSE))</f>
        <v/>
      </c>
      <c r="F39" s="413" t="str">
        <f>IF(A39="","",VLOOKUP(A39,$A$23:$H$31,6,FALSE))</f>
        <v/>
      </c>
      <c r="G39" s="336" t="str">
        <f>IF(A39="","",VLOOKUP(A39,MAT,7,FALSE))</f>
        <v/>
      </c>
      <c r="H39" s="311" t="str">
        <f>IF(A39="","",ROUND((G39*F39*E39),0))</f>
        <v/>
      </c>
    </row>
    <row r="40" spans="1:8" ht="13.5" thickBot="1">
      <c r="A40" s="548"/>
      <c r="B40" s="338" t="str">
        <f>IF(A40="","",VLOOKUP(A40,MAT,2,FALSE))</f>
        <v/>
      </c>
      <c r="C40" s="338"/>
      <c r="D40" s="411" t="str">
        <f>IF(A40="","",VLOOKUP(A40,MAT,3,FALSE))</f>
        <v/>
      </c>
      <c r="E40" s="412" t="str">
        <f>IF(A40="","",VLOOKUP(A40,MAT,6,FALSE))</f>
        <v/>
      </c>
      <c r="F40" s="418" t="str">
        <f>IF(A40="","",VLOOKUP(A40,$A$23:$H$31,6,FALSE))</f>
        <v/>
      </c>
      <c r="G40" s="339" t="str">
        <f>IF(A40="","",VLOOKUP(A40,MAT,7,FALSE))</f>
        <v/>
      </c>
      <c r="H40" s="417" t="str">
        <f>IF(A40="","",ROUND((G40*F40*E40),0))</f>
        <v/>
      </c>
    </row>
    <row r="41" spans="1:8" ht="13.5" thickBot="1">
      <c r="E41" s="340"/>
      <c r="F41" s="341"/>
      <c r="G41" s="414" t="s">
        <v>529</v>
      </c>
      <c r="H41" s="415">
        <f>ROUND(SUM(H36:H40),0)</f>
        <v>4320</v>
      </c>
    </row>
    <row r="42" spans="1:8">
      <c r="E42" s="340"/>
      <c r="F42" s="341"/>
      <c r="G42" s="286"/>
      <c r="H42" s="343"/>
    </row>
    <row r="43" spans="1:8" ht="13.5" thickBot="1">
      <c r="A43" s="295" t="s">
        <v>534</v>
      </c>
      <c r="B43" s="295"/>
      <c r="C43" s="295"/>
      <c r="D43" s="285"/>
      <c r="E43" s="286"/>
      <c r="F43" s="285"/>
      <c r="G43" s="285"/>
      <c r="H43" s="314"/>
    </row>
    <row r="44" spans="1:8" ht="13.5" thickBot="1">
      <c r="A44" s="297" t="s">
        <v>527</v>
      </c>
      <c r="B44" s="2189" t="s">
        <v>514</v>
      </c>
      <c r="C44" s="2190"/>
      <c r="D44" s="2191"/>
      <c r="E44" s="277" t="s">
        <v>515</v>
      </c>
      <c r="F44" s="277" t="s">
        <v>535</v>
      </c>
      <c r="G44" s="531" t="s">
        <v>944</v>
      </c>
      <c r="H44" s="416" t="s">
        <v>831</v>
      </c>
    </row>
    <row r="45" spans="1:8">
      <c r="A45" s="563" t="s">
        <v>883</v>
      </c>
      <c r="B45" s="2192" t="str">
        <f>IF(A45="","",VLOOKUP(A45,MO,2,FALSE))</f>
        <v>Cuadrilla AA: Albañilería. (1 Of. + 1 Ayud.).</v>
      </c>
      <c r="C45" s="2193"/>
      <c r="D45" s="2194"/>
      <c r="E45" s="538" t="str">
        <f>IF(A45="","",VLOOKUP(A45,MO,13,FALSE))</f>
        <v>HC</v>
      </c>
      <c r="F45" s="544">
        <v>2</v>
      </c>
      <c r="G45" s="540">
        <f>IF(A45="","",VLOOKUP(A45,MO,15,FALSE))</f>
        <v>38949</v>
      </c>
      <c r="H45" s="542">
        <f>IF(A45="","",ROUND((G45/F45),0))</f>
        <v>19475</v>
      </c>
    </row>
    <row r="46" spans="1:8">
      <c r="A46" s="563"/>
      <c r="B46" s="2179" t="str">
        <f>IF(A46="","",VLOOKUP(A46,MO,2,FALSE))</f>
        <v/>
      </c>
      <c r="C46" s="2180"/>
      <c r="D46" s="2181"/>
      <c r="E46" s="538" t="str">
        <f>IF(A46="","",VLOOKUP(A46,MO,13,FALSE))</f>
        <v/>
      </c>
      <c r="F46" s="544"/>
      <c r="G46" s="540" t="str">
        <f>IF(A46="","",VLOOKUP(A46,MO,15,FALSE))</f>
        <v/>
      </c>
      <c r="H46" s="542" t="str">
        <f>IF(A46="","",ROUND((G46/F46),0))</f>
        <v/>
      </c>
    </row>
    <row r="47" spans="1:8">
      <c r="A47" s="563"/>
      <c r="B47" s="2179" t="str">
        <f>IF(A47="","",VLOOKUP(A47,MO,2,FALSE))</f>
        <v/>
      </c>
      <c r="C47" s="2180"/>
      <c r="D47" s="2181"/>
      <c r="E47" s="538" t="str">
        <f>IF(A47="","",VLOOKUP(A47,MO,13,FALSE))</f>
        <v/>
      </c>
      <c r="F47" s="544"/>
      <c r="G47" s="541" t="str">
        <f>IF(A47="","",VLOOKUP(A47,MO,15,FALSE))</f>
        <v/>
      </c>
      <c r="H47" s="542" t="str">
        <f>IF(A47="","",ROUND((G47/F47),0))</f>
        <v/>
      </c>
    </row>
    <row r="48" spans="1:8" ht="13.5" thickBot="1">
      <c r="A48" s="564"/>
      <c r="B48" s="2182" t="str">
        <f>IF(A48="","",VLOOKUP(A48,MO,2,FALSE))</f>
        <v/>
      </c>
      <c r="C48" s="2183"/>
      <c r="D48" s="2184"/>
      <c r="E48" s="539" t="str">
        <f>IF(A48="","",VLOOKUP(A48,MO,13,FALSE))</f>
        <v/>
      </c>
      <c r="F48" s="545"/>
      <c r="G48" s="377" t="str">
        <f>IF(A48="","",VLOOKUP(A48,MO,15,FALSE))</f>
        <v/>
      </c>
      <c r="H48" s="543" t="str">
        <f>IF(A48="","",ROUND((G48/F48),0))</f>
        <v/>
      </c>
    </row>
    <row r="49" spans="1:8" ht="13.5" thickBot="1">
      <c r="A49" s="285"/>
      <c r="B49" s="285"/>
      <c r="C49" s="285"/>
      <c r="D49" s="285"/>
      <c r="E49" s="286"/>
      <c r="F49" s="285"/>
      <c r="G49" s="317" t="s">
        <v>529</v>
      </c>
      <c r="H49" s="342">
        <f>ROUND(SUM(H45:H48),0)</f>
        <v>19475</v>
      </c>
    </row>
    <row r="50" spans="1:8" ht="13.5" thickBot="1">
      <c r="A50" s="285"/>
      <c r="B50" s="285"/>
      <c r="C50" s="285"/>
      <c r="D50" s="285"/>
      <c r="E50" s="286"/>
      <c r="F50" s="285"/>
      <c r="G50" s="285"/>
      <c r="H50" s="285"/>
    </row>
    <row r="51" spans="1:8" ht="13.5" thickBot="1">
      <c r="A51" s="285"/>
      <c r="B51" s="285"/>
      <c r="C51" s="285"/>
      <c r="D51" s="285"/>
      <c r="E51" s="346" t="s">
        <v>536</v>
      </c>
      <c r="F51" s="347"/>
      <c r="G51" s="347"/>
      <c r="H51" s="348">
        <f>+ROUND(H19+H32+H41+H49,0)</f>
        <v>67921</v>
      </c>
    </row>
    <row r="52" spans="1:8">
      <c r="A52" s="285"/>
      <c r="B52" s="285"/>
      <c r="C52" s="285"/>
      <c r="D52" s="285"/>
      <c r="E52" s="346"/>
      <c r="F52" s="347"/>
      <c r="G52" s="347"/>
      <c r="H52" s="349"/>
    </row>
    <row r="53" spans="1:8">
      <c r="A53" s="285"/>
      <c r="B53" s="285"/>
      <c r="C53" s="285"/>
      <c r="D53" s="285"/>
      <c r="E53" s="346"/>
      <c r="F53" s="347"/>
      <c r="G53" s="347"/>
      <c r="H53" s="349"/>
    </row>
    <row r="54" spans="1:8">
      <c r="A54" s="285"/>
      <c r="B54" s="285"/>
      <c r="C54" s="285"/>
      <c r="D54" s="285"/>
      <c r="E54" s="346"/>
      <c r="F54" s="347"/>
      <c r="G54" s="347"/>
      <c r="H54" s="349"/>
    </row>
    <row r="55" spans="1:8">
      <c r="A55" s="285"/>
      <c r="B55" s="285"/>
      <c r="C55" s="285"/>
      <c r="D55" s="285"/>
      <c r="E55" s="346"/>
      <c r="F55" s="347"/>
      <c r="G55" s="347"/>
      <c r="H55" s="349"/>
    </row>
    <row r="56" spans="1:8">
      <c r="A56" s="285"/>
      <c r="B56" s="285"/>
      <c r="C56" s="285"/>
      <c r="D56" s="285"/>
      <c r="E56" s="346"/>
      <c r="F56" s="347"/>
      <c r="G56" s="347"/>
      <c r="H56" s="349"/>
    </row>
    <row r="58" spans="1:8">
      <c r="A58" s="703" t="str">
        <f>+[14]PRESUPUESTO!$A$113</f>
        <v>__________________________________________</v>
      </c>
      <c r="B58" s="703"/>
    </row>
    <row r="59" spans="1:8">
      <c r="A59" s="810" t="str">
        <f>+[14]PRESUPUESTO!$A$114</f>
        <v>Ing. JHON FREDY GARCIA MENDEZ</v>
      </c>
      <c r="B59" s="703"/>
    </row>
    <row r="60" spans="1:8">
      <c r="A60" s="811" t="str">
        <f>+[14]PRESUPUESTO!$A$115</f>
        <v>M.P.  70268-326294 TLM.</v>
      </c>
      <c r="B60" s="703"/>
    </row>
    <row r="61" spans="1:8">
      <c r="A61" s="811" t="str">
        <f>+[14]PRESUPUESTO!$A$116</f>
        <v>CONSULTOR</v>
      </c>
      <c r="B61" s="703"/>
    </row>
  </sheetData>
  <mergeCells count="15">
    <mergeCell ref="B46:D46"/>
    <mergeCell ref="B47:D47"/>
    <mergeCell ref="B48:D48"/>
    <mergeCell ref="B6:D6"/>
    <mergeCell ref="B7:E7"/>
    <mergeCell ref="B8:E8"/>
    <mergeCell ref="B35:C35"/>
    <mergeCell ref="B44:D44"/>
    <mergeCell ref="B45:D45"/>
    <mergeCell ref="D2:E4"/>
    <mergeCell ref="F2:H2"/>
    <mergeCell ref="F3:H3"/>
    <mergeCell ref="F4:H4"/>
    <mergeCell ref="A5:E5"/>
    <mergeCell ref="F5:H5"/>
  </mergeCells>
  <pageMargins left="0.75" right="0.75" top="1" bottom="1" header="0" footer="0"/>
  <pageSetup paperSize="9" scale="70" orientation="portrait" r:id="rId1"/>
  <headerFooter alignWithMargins="0"/>
  <drawing r:id="rId2"/>
</worksheet>
</file>

<file path=xl/worksheets/sheet1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300-000000000000}">
  <sheetPr>
    <tabColor theme="6" tint="0.79998168889431442"/>
  </sheetPr>
  <dimension ref="A1:I62"/>
  <sheetViews>
    <sheetView workbookViewId="0"/>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4.570312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t="e">
        <f>PRESUPUESTO!#REF!</f>
        <v>#REF!</v>
      </c>
      <c r="B7" s="2185" t="e">
        <f>PRESUPUESTO!#REF!</f>
        <v>#REF!</v>
      </c>
      <c r="C7" s="2185"/>
      <c r="D7" s="2185"/>
      <c r="E7" s="2185"/>
      <c r="F7" s="289"/>
      <c r="G7" s="290" t="s">
        <v>525</v>
      </c>
      <c r="H7" s="97" t="e">
        <f>+PRESUPUESTO!#REF!</f>
        <v>#REF!</v>
      </c>
    </row>
    <row r="8" spans="1:9" ht="40.5" customHeight="1">
      <c r="A8" s="97" t="e">
        <f>+PRESUPUESTO!#REF!</f>
        <v>#REF!</v>
      </c>
      <c r="B8" s="2272" t="e">
        <f>+PRESUPUESTO!#REF!</f>
        <v>#REF!</v>
      </c>
      <c r="C8" s="2257"/>
      <c r="D8" s="2257"/>
      <c r="E8" s="225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967</v>
      </c>
      <c r="B13" s="305" t="str">
        <f t="shared" ref="B13:B18" si="0">IF(A13="","",VLOOKUP(A13,EQUI,2,FALSE))</f>
        <v>Herramienta Menor (10% de la mano de obra).</v>
      </c>
      <c r="C13" s="306"/>
      <c r="D13" s="306"/>
      <c r="E13" s="276" t="str">
        <f t="shared" ref="E13:E18" si="1">IF(A13="","",VLOOKUP(A13,EQUI,3,FALSE))</f>
        <v>%</v>
      </c>
      <c r="F13" s="433">
        <f>IF(A13="","",VLOOKUP(A13,EQUI,4,FALSE))</f>
        <v>0.1</v>
      </c>
      <c r="G13" s="307">
        <f>ROUND(F13*H50,0)</f>
        <v>33869</v>
      </c>
      <c r="H13" s="308">
        <f>+G13</f>
        <v>33869</v>
      </c>
      <c r="I13" s="309"/>
    </row>
    <row r="14" spans="1:9">
      <c r="A14" s="536"/>
      <c r="B14" s="305"/>
      <c r="C14" s="306"/>
      <c r="D14" s="306"/>
      <c r="E14" s="276" t="str">
        <f t="shared" si="1"/>
        <v/>
      </c>
      <c r="F14" s="405"/>
      <c r="G14" s="310" t="str">
        <f>IF(A14="","",VLOOKUP(A14,EQUI,4,FALSE))</f>
        <v/>
      </c>
      <c r="H14" s="311" t="str">
        <f>IF(A14="","",ROUND((G14/F14),0))</f>
        <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33869</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t="s">
        <v>551</v>
      </c>
      <c r="B23" s="353" t="str">
        <f>IF(A23="","",VLOOKUP(A23,MAT,2,FALSE))</f>
        <v>Concreto de 210 Kg/cm2 (3000 PSI)</v>
      </c>
      <c r="C23" s="305"/>
      <c r="D23" s="306"/>
      <c r="E23" s="276" t="str">
        <f>IF(A23="","",VLOOKUP(A23,MAT,3,FALSE))</f>
        <v>m3</v>
      </c>
      <c r="F23" s="405">
        <v>0.54</v>
      </c>
      <c r="G23" s="310">
        <f>IF(A23="","",VLOOKUP(A23,MAT,5,FALSE))</f>
        <v>719212</v>
      </c>
      <c r="H23" s="311">
        <f>IF(A23="","",ROUND((G23*F23),0))</f>
        <v>388374</v>
      </c>
    </row>
    <row r="24" spans="1:8">
      <c r="A24" s="534" t="s">
        <v>1703</v>
      </c>
      <c r="B24" s="353" t="str">
        <f>IF(A24="","",VLOOKUP(A24,MAT,2,FALSE))</f>
        <v>Acero  de refuerzo de 60000 psi.</v>
      </c>
      <c r="C24" s="305"/>
      <c r="D24" s="306"/>
      <c r="E24" s="276" t="str">
        <f>IF(A24="","",VLOOKUP(A24,MAT,3,FALSE))</f>
        <v>kg</v>
      </c>
      <c r="F24" s="405">
        <v>7.2</v>
      </c>
      <c r="G24" s="310">
        <f>IF(A24="","",VLOOKUP(A24,MAT,5,FALSE))</f>
        <v>5200</v>
      </c>
      <c r="H24" s="311">
        <f>IF(A24="","",ROUND((G24*F24),0))</f>
        <v>37440</v>
      </c>
    </row>
    <row r="25" spans="1:8">
      <c r="A25" s="534" t="s">
        <v>568</v>
      </c>
      <c r="B25" s="353" t="str">
        <f>IF(A25="","",VLOOKUP(A25,MAT,2,FALSE))</f>
        <v>Alambre cal. 18</v>
      </c>
      <c r="C25" s="305"/>
      <c r="D25" s="306"/>
      <c r="E25" s="276" t="str">
        <f>IF(A25="","",VLOOKUP(A25,MAT,3,FALSE))</f>
        <v>Kg.</v>
      </c>
      <c r="F25" s="405">
        <v>0.36</v>
      </c>
      <c r="G25" s="310">
        <f>IF(A25="","",VLOOKUP(A25,MAT,5,FALSE))</f>
        <v>8500</v>
      </c>
      <c r="H25" s="311">
        <f>IF(A25="","",ROUND((G25*F25),0))</f>
        <v>3060</v>
      </c>
    </row>
    <row r="26" spans="1:8">
      <c r="A26" s="534"/>
      <c r="B26" s="305" t="str">
        <f t="shared" ref="B26:B32" si="2">IF(A26="","",VLOOKUP(A26,MAT,2,FALSE))</f>
        <v/>
      </c>
      <c r="C26" s="305"/>
      <c r="D26" s="306"/>
      <c r="E26" s="276" t="str">
        <f t="shared" ref="E26:E32" si="3">IF(A26="","",VLOOKUP(A26,MAT,3,FALSE))</f>
        <v/>
      </c>
      <c r="F26" s="405"/>
      <c r="G26" s="310" t="str">
        <f t="shared" ref="G26:G32" si="4">IF(A26="","",VLOOKUP(A26,MAT,5,FALSE))</f>
        <v/>
      </c>
      <c r="H26" s="311" t="str">
        <f t="shared" ref="H26:H32" si="5">IF(A26="","",ROUND((G26*F26),0))</f>
        <v/>
      </c>
    </row>
    <row r="27" spans="1:8">
      <c r="A27" s="534"/>
      <c r="B27" s="305" t="str">
        <f t="shared" si="2"/>
        <v/>
      </c>
      <c r="C27" s="305"/>
      <c r="D27" s="306"/>
      <c r="E27" s="276" t="str">
        <f t="shared" si="3"/>
        <v/>
      </c>
      <c r="F27" s="405"/>
      <c r="G27" s="310" t="str">
        <f t="shared" si="4"/>
        <v/>
      </c>
      <c r="H27" s="311" t="str">
        <f t="shared" si="5"/>
        <v/>
      </c>
    </row>
    <row r="28" spans="1:8">
      <c r="A28" s="534"/>
      <c r="B28" s="305" t="str">
        <f t="shared" si="2"/>
        <v/>
      </c>
      <c r="C28" s="305"/>
      <c r="D28" s="306"/>
      <c r="E28" s="276" t="str">
        <f t="shared" si="3"/>
        <v/>
      </c>
      <c r="F28" s="405"/>
      <c r="G28" s="310" t="str">
        <f t="shared" si="4"/>
        <v/>
      </c>
      <c r="H28" s="311" t="str">
        <f t="shared" si="5"/>
        <v/>
      </c>
    </row>
    <row r="29" spans="1:8">
      <c r="A29" s="534"/>
      <c r="B29" s="305" t="str">
        <f t="shared" si="2"/>
        <v/>
      </c>
      <c r="C29" s="305"/>
      <c r="D29" s="306"/>
      <c r="E29" s="276" t="str">
        <f t="shared" si="3"/>
        <v/>
      </c>
      <c r="F29" s="405"/>
      <c r="G29" s="310" t="str">
        <f t="shared" si="4"/>
        <v/>
      </c>
      <c r="H29" s="311" t="str">
        <f t="shared" si="5"/>
        <v/>
      </c>
    </row>
    <row r="30" spans="1:8">
      <c r="A30" s="534"/>
      <c r="B30" s="305" t="str">
        <f t="shared" si="2"/>
        <v/>
      </c>
      <c r="C30" s="305"/>
      <c r="D30" s="306"/>
      <c r="E30" s="276" t="str">
        <f t="shared" si="3"/>
        <v/>
      </c>
      <c r="F30" s="405"/>
      <c r="G30" s="310" t="str">
        <f t="shared" si="4"/>
        <v/>
      </c>
      <c r="H30" s="311" t="str">
        <f t="shared" si="5"/>
        <v/>
      </c>
    </row>
    <row r="31" spans="1:8">
      <c r="A31" s="534"/>
      <c r="B31" s="305" t="str">
        <f t="shared" si="2"/>
        <v/>
      </c>
      <c r="C31" s="305"/>
      <c r="D31" s="306"/>
      <c r="E31" s="276" t="str">
        <f t="shared" si="3"/>
        <v/>
      </c>
      <c r="F31" s="405"/>
      <c r="G31" s="310" t="str">
        <f t="shared" si="4"/>
        <v/>
      </c>
      <c r="H31" s="311" t="str">
        <f t="shared" si="5"/>
        <v/>
      </c>
    </row>
    <row r="32" spans="1:8" ht="13.5" thickBot="1">
      <c r="A32" s="535"/>
      <c r="B32" s="326" t="str">
        <f t="shared" si="2"/>
        <v/>
      </c>
      <c r="C32" s="314"/>
      <c r="D32" s="314"/>
      <c r="E32" s="315" t="str">
        <f t="shared" si="3"/>
        <v/>
      </c>
      <c r="F32" s="406"/>
      <c r="G32" s="327" t="str">
        <f t="shared" si="4"/>
        <v/>
      </c>
      <c r="H32" s="311" t="str">
        <f t="shared" si="5"/>
        <v/>
      </c>
    </row>
    <row r="33" spans="1:8" ht="13.5" thickBot="1">
      <c r="A33" s="285"/>
      <c r="B33" s="285"/>
      <c r="C33" s="285"/>
      <c r="D33" s="285"/>
      <c r="E33" s="286"/>
      <c r="F33" s="285"/>
      <c r="G33" s="210" t="s">
        <v>529</v>
      </c>
      <c r="H33" s="328">
        <f>ROUND(SUM(H23:H32),0)</f>
        <v>428874</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546"/>
      <c r="B37" s="737"/>
      <c r="C37" s="772"/>
      <c r="D37" s="773"/>
      <c r="E37" s="774"/>
      <c r="F37" s="775"/>
      <c r="G37" s="776"/>
      <c r="H37" s="746"/>
    </row>
    <row r="38" spans="1:8">
      <c r="A38" s="532"/>
      <c r="B38" s="305"/>
      <c r="C38" s="530"/>
      <c r="D38" s="409"/>
      <c r="E38" s="419"/>
      <c r="F38" s="413"/>
      <c r="G38" s="334"/>
      <c r="H38" s="311"/>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0</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883</v>
      </c>
      <c r="B46" s="2192" t="str">
        <f>IF(A46="","",VLOOKUP(A46,MO,2,FALSE))</f>
        <v>Cuadrilla AA: Albañilería. (1 Of. + 1 Ayud.).</v>
      </c>
      <c r="C46" s="2193"/>
      <c r="D46" s="2194"/>
      <c r="E46" s="538" t="str">
        <f>IF(A46="","",VLOOKUP(A46,MO,13,FALSE))</f>
        <v>HC</v>
      </c>
      <c r="F46" s="544">
        <v>0.115</v>
      </c>
      <c r="G46" s="540">
        <f>IF(A46="","",VLOOKUP(A46,MO,15,FALSE))</f>
        <v>38949</v>
      </c>
      <c r="H46" s="542">
        <f>IF(A46="","",ROUND((G46/F46),0))</f>
        <v>338687</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338687</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801430</v>
      </c>
    </row>
    <row r="53" spans="1:8">
      <c r="A53" s="285"/>
      <c r="B53" s="285"/>
      <c r="C53" s="285"/>
      <c r="D53" s="285"/>
      <c r="E53" s="346"/>
      <c r="F53" s="347"/>
      <c r="G53" s="347"/>
      <c r="H53" s="349"/>
    </row>
    <row r="54" spans="1:8">
      <c r="A54" s="285"/>
      <c r="B54" s="285"/>
      <c r="C54" s="285"/>
      <c r="D54" s="285"/>
      <c r="E54" s="346"/>
      <c r="F54" s="347"/>
      <c r="G54" s="347"/>
      <c r="H54" s="349"/>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c r="A59" s="703" t="str">
        <f>+[14]PRESUPUESTO!$A$113</f>
        <v>__________________________________________</v>
      </c>
      <c r="B59" s="703"/>
    </row>
    <row r="60" spans="1:8">
      <c r="A60" s="810" t="str">
        <f>+[14]PRESUPUESTO!$A$114</f>
        <v>Ing. JHON FREDY GARCIA MENDEZ</v>
      </c>
      <c r="B60" s="703"/>
    </row>
    <row r="61" spans="1:8">
      <c r="A61" s="811" t="str">
        <f>+[14]PRESUPUESTO!$A$115</f>
        <v>M.P.  70268-326294 TLM.</v>
      </c>
      <c r="B61" s="703"/>
    </row>
    <row r="62" spans="1:8">
      <c r="A62" s="811" t="str">
        <f>+[14]PRESUPUESTO!$A$116</f>
        <v>CONSULTOR</v>
      </c>
      <c r="B62" s="703"/>
    </row>
  </sheetData>
  <mergeCells count="15">
    <mergeCell ref="B47:D47"/>
    <mergeCell ref="B48:D48"/>
    <mergeCell ref="B49:D49"/>
    <mergeCell ref="B6:D6"/>
    <mergeCell ref="B7:E7"/>
    <mergeCell ref="B8:E8"/>
    <mergeCell ref="B36:C36"/>
    <mergeCell ref="B45:D45"/>
    <mergeCell ref="B46:D46"/>
    <mergeCell ref="D2:E4"/>
    <mergeCell ref="F2:H2"/>
    <mergeCell ref="F3:H3"/>
    <mergeCell ref="F4:H4"/>
    <mergeCell ref="A5:E5"/>
    <mergeCell ref="F5:H5"/>
  </mergeCells>
  <pageMargins left="0.75" right="0.75" top="1" bottom="1" header="0" footer="0"/>
  <pageSetup paperSize="9" scale="70" orientation="portrait" r:id="rId1"/>
  <headerFooter alignWithMargins="0"/>
  <drawing r:id="rId2"/>
</worksheet>
</file>

<file path=xl/worksheets/sheet1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400-000000000000}">
  <sheetPr>
    <tabColor theme="6" tint="0.79998168889431442"/>
  </sheetPr>
  <dimension ref="A1:I62"/>
  <sheetViews>
    <sheetView workbookViewId="0"/>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4.570312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t="e">
        <f>PRESUPUESTO!#REF!</f>
        <v>#REF!</v>
      </c>
      <c r="B7" s="2185" t="e">
        <f>PRESUPUESTO!#REF!</f>
        <v>#REF!</v>
      </c>
      <c r="C7" s="2185"/>
      <c r="D7" s="2185"/>
      <c r="E7" s="2185"/>
      <c r="F7" s="289"/>
      <c r="G7" s="290" t="s">
        <v>525</v>
      </c>
      <c r="H7" s="97" t="e">
        <f>+PRESUPUESTO!#REF!</f>
        <v>#REF!</v>
      </c>
    </row>
    <row r="8" spans="1:9">
      <c r="A8" s="97" t="e">
        <f>+PRESUPUESTO!#REF!</f>
        <v>#REF!</v>
      </c>
      <c r="B8" s="2272" t="e">
        <f>+PRESUPUESTO!#REF!</f>
        <v>#REF!</v>
      </c>
      <c r="C8" s="2257"/>
      <c r="D8" s="2257"/>
      <c r="E8" s="225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967</v>
      </c>
      <c r="B13" s="305" t="str">
        <f t="shared" ref="B13:B18" si="0">IF(A13="","",VLOOKUP(A13,EQUI,2,FALSE))</f>
        <v>Herramienta Menor (10% de la mano de obra).</v>
      </c>
      <c r="C13" s="306"/>
      <c r="D13" s="306"/>
      <c r="E13" s="276" t="str">
        <f t="shared" ref="E13:E18" si="1">IF(A13="","",VLOOKUP(A13,EQUI,3,FALSE))</f>
        <v>%</v>
      </c>
      <c r="F13" s="433">
        <f>IF(A13="","",VLOOKUP(A13,EQUI,4,FALSE))</f>
        <v>0.1</v>
      </c>
      <c r="G13" s="307">
        <f>ROUND(F13*H50,0)</f>
        <v>3895</v>
      </c>
      <c r="H13" s="308">
        <f>+G13</f>
        <v>3895</v>
      </c>
      <c r="I13" s="309"/>
    </row>
    <row r="14" spans="1:9">
      <c r="A14" s="536"/>
      <c r="B14" s="305"/>
      <c r="C14" s="306"/>
      <c r="D14" s="306"/>
      <c r="E14" s="276" t="str">
        <f t="shared" si="1"/>
        <v/>
      </c>
      <c r="F14" s="405"/>
      <c r="G14" s="310" t="str">
        <f>IF(A14="","",VLOOKUP(A14,EQUI,4,FALSE))</f>
        <v/>
      </c>
      <c r="H14" s="311" t="str">
        <f>IF(A14="","",ROUND((G14/F14),0))</f>
        <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3895</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c r="B23" s="1033" t="s">
        <v>2464</v>
      </c>
      <c r="C23" s="305"/>
      <c r="D23" s="306"/>
      <c r="E23" s="815" t="s">
        <v>205</v>
      </c>
      <c r="F23" s="405">
        <v>1.1000000000000001</v>
      </c>
      <c r="G23" s="310">
        <v>29728</v>
      </c>
      <c r="H23" s="311">
        <f>ROUND(F23*G23,0)</f>
        <v>32701</v>
      </c>
    </row>
    <row r="24" spans="1:8">
      <c r="A24" s="534" t="s">
        <v>576</v>
      </c>
      <c r="B24" s="353" t="str">
        <f>IF(A24="","",VLOOKUP(A24,MAT,2,FALSE))</f>
        <v>Cemento gris tipo Portland.</v>
      </c>
      <c r="C24" s="305"/>
      <c r="D24" s="306"/>
      <c r="E24" s="276" t="str">
        <f>IF(A24="","",VLOOKUP(A24,MAT,3,FALSE))</f>
        <v>Kg.</v>
      </c>
      <c r="F24" s="405">
        <v>3</v>
      </c>
      <c r="G24" s="310">
        <f>IF(A24="","",VLOOKUP(A24,MAT,5,FALSE))</f>
        <v>700</v>
      </c>
      <c r="H24" s="311">
        <f>IF(A24="","",ROUND((G24*F24),0))</f>
        <v>2100</v>
      </c>
    </row>
    <row r="25" spans="1:8">
      <c r="A25" s="534"/>
      <c r="B25" s="1033" t="s">
        <v>2465</v>
      </c>
      <c r="C25" s="305"/>
      <c r="D25" s="306"/>
      <c r="E25" s="815" t="s">
        <v>962</v>
      </c>
      <c r="F25" s="405">
        <v>1</v>
      </c>
      <c r="G25" s="310">
        <v>3190</v>
      </c>
      <c r="H25" s="311">
        <f>ROUND(F25*G25,0)</f>
        <v>3190</v>
      </c>
    </row>
    <row r="26" spans="1:8">
      <c r="A26" s="534"/>
      <c r="B26" s="305" t="str">
        <f t="shared" ref="B26:B32" si="2">IF(A26="","",VLOOKUP(A26,MAT,2,FALSE))</f>
        <v/>
      </c>
      <c r="C26" s="305"/>
      <c r="D26" s="306"/>
      <c r="E26" s="276" t="str">
        <f t="shared" ref="E26:E32" si="3">IF(A26="","",VLOOKUP(A26,MAT,3,FALSE))</f>
        <v/>
      </c>
      <c r="F26" s="405"/>
      <c r="G26" s="310" t="str">
        <f t="shared" ref="G26:G32" si="4">IF(A26="","",VLOOKUP(A26,MAT,5,FALSE))</f>
        <v/>
      </c>
      <c r="H26" s="311" t="str">
        <f t="shared" ref="H26:H32" si="5">IF(A26="","",ROUND((G26*F26),0))</f>
        <v/>
      </c>
    </row>
    <row r="27" spans="1:8">
      <c r="A27" s="534"/>
      <c r="B27" s="305" t="str">
        <f t="shared" si="2"/>
        <v/>
      </c>
      <c r="C27" s="305"/>
      <c r="D27" s="306"/>
      <c r="E27" s="276" t="str">
        <f t="shared" si="3"/>
        <v/>
      </c>
      <c r="F27" s="405"/>
      <c r="G27" s="310" t="str">
        <f t="shared" si="4"/>
        <v/>
      </c>
      <c r="H27" s="311" t="str">
        <f t="shared" si="5"/>
        <v/>
      </c>
    </row>
    <row r="28" spans="1:8">
      <c r="A28" s="534"/>
      <c r="B28" s="305" t="str">
        <f t="shared" si="2"/>
        <v/>
      </c>
      <c r="C28" s="305"/>
      <c r="D28" s="306"/>
      <c r="E28" s="276" t="str">
        <f t="shared" si="3"/>
        <v/>
      </c>
      <c r="F28" s="405"/>
      <c r="G28" s="310" t="str">
        <f t="shared" si="4"/>
        <v/>
      </c>
      <c r="H28" s="311" t="str">
        <f t="shared" si="5"/>
        <v/>
      </c>
    </row>
    <row r="29" spans="1:8">
      <c r="A29" s="534"/>
      <c r="B29" s="305" t="str">
        <f t="shared" si="2"/>
        <v/>
      </c>
      <c r="C29" s="305"/>
      <c r="D29" s="306"/>
      <c r="E29" s="276" t="str">
        <f t="shared" si="3"/>
        <v/>
      </c>
      <c r="F29" s="405"/>
      <c r="G29" s="310" t="str">
        <f t="shared" si="4"/>
        <v/>
      </c>
      <c r="H29" s="311" t="str">
        <f t="shared" si="5"/>
        <v/>
      </c>
    </row>
    <row r="30" spans="1:8">
      <c r="A30" s="534"/>
      <c r="B30" s="305" t="str">
        <f t="shared" si="2"/>
        <v/>
      </c>
      <c r="C30" s="305"/>
      <c r="D30" s="306"/>
      <c r="E30" s="276" t="str">
        <f t="shared" si="3"/>
        <v/>
      </c>
      <c r="F30" s="405"/>
      <c r="G30" s="310" t="str">
        <f t="shared" si="4"/>
        <v/>
      </c>
      <c r="H30" s="311" t="str">
        <f t="shared" si="5"/>
        <v/>
      </c>
    </row>
    <row r="31" spans="1:8">
      <c r="A31" s="534"/>
      <c r="B31" s="305" t="str">
        <f t="shared" si="2"/>
        <v/>
      </c>
      <c r="C31" s="305"/>
      <c r="D31" s="306"/>
      <c r="E31" s="276" t="str">
        <f t="shared" si="3"/>
        <v/>
      </c>
      <c r="F31" s="405"/>
      <c r="G31" s="310" t="str">
        <f t="shared" si="4"/>
        <v/>
      </c>
      <c r="H31" s="311" t="str">
        <f t="shared" si="5"/>
        <v/>
      </c>
    </row>
    <row r="32" spans="1:8" ht="13.5" thickBot="1">
      <c r="A32" s="535"/>
      <c r="B32" s="326" t="str">
        <f t="shared" si="2"/>
        <v/>
      </c>
      <c r="C32" s="314"/>
      <c r="D32" s="314"/>
      <c r="E32" s="315" t="str">
        <f t="shared" si="3"/>
        <v/>
      </c>
      <c r="F32" s="406"/>
      <c r="G32" s="327" t="str">
        <f t="shared" si="4"/>
        <v/>
      </c>
      <c r="H32" s="311" t="str">
        <f t="shared" si="5"/>
        <v/>
      </c>
    </row>
    <row r="33" spans="1:8" ht="13.5" thickBot="1">
      <c r="A33" s="285"/>
      <c r="B33" s="285"/>
      <c r="C33" s="285"/>
      <c r="D33" s="285"/>
      <c r="E33" s="286"/>
      <c r="F33" s="285"/>
      <c r="G33" s="210" t="s">
        <v>529</v>
      </c>
      <c r="H33" s="328">
        <f>ROUND(SUM(H23:H32),0)</f>
        <v>37991</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546"/>
      <c r="B37" s="737" t="s">
        <v>2493</v>
      </c>
      <c r="C37" s="772"/>
      <c r="D37" s="773"/>
      <c r="E37" s="774"/>
      <c r="F37" s="775"/>
      <c r="G37" s="1066">
        <v>0.06</v>
      </c>
      <c r="H37" s="746">
        <f>ROUND(H33*G37,0)</f>
        <v>2279</v>
      </c>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2279</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883</v>
      </c>
      <c r="B46" s="2192" t="str">
        <f>IF(A46="","",VLOOKUP(A46,MO,2,FALSE))</f>
        <v>Cuadrilla AA: Albañilería. (1 Of. + 1 Ayud.).</v>
      </c>
      <c r="C46" s="2193"/>
      <c r="D46" s="2194"/>
      <c r="E46" s="538" t="str">
        <f>IF(A46="","",VLOOKUP(A46,MO,13,FALSE))</f>
        <v>HC</v>
      </c>
      <c r="F46" s="544">
        <v>1</v>
      </c>
      <c r="G46" s="540">
        <f>IF(A46="","",VLOOKUP(A46,MO,15,FALSE))</f>
        <v>38949</v>
      </c>
      <c r="H46" s="542">
        <f>IF(A46="","",ROUND((G46/F46),0))</f>
        <v>38949</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38949</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83114</v>
      </c>
    </row>
    <row r="53" spans="1:8">
      <c r="A53" s="285"/>
      <c r="B53" s="285"/>
      <c r="C53" s="285"/>
      <c r="D53" s="285"/>
      <c r="E53" s="346"/>
      <c r="F53" s="347"/>
      <c r="G53" s="347"/>
      <c r="H53" s="349"/>
    </row>
    <row r="54" spans="1:8">
      <c r="A54" s="285"/>
      <c r="B54" s="285"/>
      <c r="C54" s="285"/>
      <c r="D54" s="285"/>
      <c r="E54" s="346"/>
      <c r="F54" s="347"/>
      <c r="G54" s="347"/>
      <c r="H54" s="349"/>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c r="A59" s="703" t="str">
        <f>+[14]PRESUPUESTO!$A$113</f>
        <v>__________________________________________</v>
      </c>
      <c r="B59" s="703"/>
    </row>
    <row r="60" spans="1:8">
      <c r="A60" s="810" t="str">
        <f>+[14]PRESUPUESTO!$A$114</f>
        <v>Ing. JHON FREDY GARCIA MENDEZ</v>
      </c>
      <c r="B60" s="703"/>
    </row>
    <row r="61" spans="1:8">
      <c r="A61" s="811" t="str">
        <f>+[14]PRESUPUESTO!$A$115</f>
        <v>M.P.  70268-326294 TLM.</v>
      </c>
      <c r="B61" s="703"/>
    </row>
    <row r="62" spans="1:8">
      <c r="A62" s="811" t="str">
        <f>+[14]PRESUPUESTO!$A$116</f>
        <v>CONSULTOR</v>
      </c>
      <c r="B62" s="703"/>
    </row>
  </sheetData>
  <mergeCells count="15">
    <mergeCell ref="B47:D47"/>
    <mergeCell ref="B48:D48"/>
    <mergeCell ref="B49:D49"/>
    <mergeCell ref="B6:D6"/>
    <mergeCell ref="B7:E7"/>
    <mergeCell ref="B8:E8"/>
    <mergeCell ref="B36:C36"/>
    <mergeCell ref="B45:D45"/>
    <mergeCell ref="B46:D46"/>
    <mergeCell ref="D2:E4"/>
    <mergeCell ref="F2:H2"/>
    <mergeCell ref="F3:H3"/>
    <mergeCell ref="F4:H4"/>
    <mergeCell ref="A5:E5"/>
    <mergeCell ref="F5:H5"/>
  </mergeCells>
  <pageMargins left="0.75" right="0.75" top="1" bottom="1" header="0" footer="0"/>
  <pageSetup paperSize="9" scale="70" orientation="portrait" r:id="rId1"/>
  <headerFooter alignWithMargins="0"/>
  <drawing r:id="rId2"/>
</worksheet>
</file>

<file path=xl/worksheets/sheet1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500-000000000000}">
  <sheetPr>
    <tabColor theme="6" tint="0.79998168889431442"/>
  </sheetPr>
  <dimension ref="A1:I62"/>
  <sheetViews>
    <sheetView workbookViewId="0"/>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4.570312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t="e">
        <f>PRESUPUESTO!#REF!</f>
        <v>#REF!</v>
      </c>
      <c r="B7" s="2185" t="e">
        <f>PRESUPUESTO!#REF!</f>
        <v>#REF!</v>
      </c>
      <c r="C7" s="2185"/>
      <c r="D7" s="2185"/>
      <c r="E7" s="2185"/>
      <c r="F7" s="289"/>
      <c r="G7" s="290" t="s">
        <v>525</v>
      </c>
      <c r="H7" s="97" t="e">
        <f>+PRESUPUESTO!#REF!</f>
        <v>#REF!</v>
      </c>
    </row>
    <row r="8" spans="1:9">
      <c r="A8" s="97" t="e">
        <f>+PRESUPUESTO!#REF!</f>
        <v>#REF!</v>
      </c>
      <c r="B8" s="2272" t="e">
        <f>+PRESUPUESTO!#REF!</f>
        <v>#REF!</v>
      </c>
      <c r="C8" s="2257"/>
      <c r="D8" s="2257"/>
      <c r="E8" s="225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967</v>
      </c>
      <c r="B13" s="305" t="str">
        <f t="shared" ref="B13:B18" si="0">IF(A13="","",VLOOKUP(A13,EQUI,2,FALSE))</f>
        <v>Herramienta Menor (10% de la mano de obra).</v>
      </c>
      <c r="C13" s="306"/>
      <c r="D13" s="306"/>
      <c r="E13" s="276" t="str">
        <f t="shared" ref="E13:E18" si="1">IF(A13="","",VLOOKUP(A13,EQUI,3,FALSE))</f>
        <v>%</v>
      </c>
      <c r="F13" s="433">
        <f>IF(A13="","",VLOOKUP(A13,EQUI,4,FALSE))</f>
        <v>0.1</v>
      </c>
      <c r="G13" s="307">
        <f>ROUND(F13*H50,0)</f>
        <v>16229</v>
      </c>
      <c r="H13" s="308">
        <f>+G13</f>
        <v>16229</v>
      </c>
      <c r="I13" s="309"/>
    </row>
    <row r="14" spans="1:9">
      <c r="A14" s="536"/>
      <c r="B14" s="305"/>
      <c r="C14" s="306"/>
      <c r="D14" s="306"/>
      <c r="E14" s="276" t="str">
        <f t="shared" si="1"/>
        <v/>
      </c>
      <c r="F14" s="405"/>
      <c r="G14" s="310" t="str">
        <f>IF(A14="","",VLOOKUP(A14,EQUI,4,FALSE))</f>
        <v/>
      </c>
      <c r="H14" s="311" t="str">
        <f>IF(A14="","",ROUND((G14/F14),0))</f>
        <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16229</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c r="B23" s="1033" t="s">
        <v>2466</v>
      </c>
      <c r="C23" s="305"/>
      <c r="D23" s="306"/>
      <c r="E23" s="815" t="s">
        <v>1681</v>
      </c>
      <c r="F23" s="405">
        <v>1</v>
      </c>
      <c r="G23" s="310">
        <v>423500</v>
      </c>
      <c r="H23" s="311">
        <f>ROUND(F23*G23,0)</f>
        <v>423500</v>
      </c>
    </row>
    <row r="24" spans="1:8">
      <c r="A24" s="534"/>
      <c r="B24" s="1033" t="s">
        <v>2467</v>
      </c>
      <c r="C24" s="305"/>
      <c r="D24" s="306"/>
      <c r="E24" s="815" t="s">
        <v>2469</v>
      </c>
      <c r="F24" s="405">
        <v>1</v>
      </c>
      <c r="G24" s="310">
        <v>16500</v>
      </c>
      <c r="H24" s="311">
        <f t="shared" ref="H24:H25" si="2">ROUND(F24*G24,0)</f>
        <v>16500</v>
      </c>
    </row>
    <row r="25" spans="1:8">
      <c r="A25" s="534"/>
      <c r="B25" s="1033" t="s">
        <v>2468</v>
      </c>
      <c r="C25" s="305"/>
      <c r="D25" s="306"/>
      <c r="E25" s="815" t="s">
        <v>2469</v>
      </c>
      <c r="F25" s="405">
        <v>1</v>
      </c>
      <c r="G25" s="310">
        <v>5600</v>
      </c>
      <c r="H25" s="311">
        <f t="shared" si="2"/>
        <v>5600</v>
      </c>
    </row>
    <row r="26" spans="1:8">
      <c r="A26" s="534"/>
      <c r="B26" s="305" t="str">
        <f t="shared" ref="B26:B32" si="3">IF(A26="","",VLOOKUP(A26,MAT,2,FALSE))</f>
        <v/>
      </c>
      <c r="C26" s="305"/>
      <c r="D26" s="306"/>
      <c r="E26" s="276" t="str">
        <f t="shared" ref="E26:E32" si="4">IF(A26="","",VLOOKUP(A26,MAT,3,FALSE))</f>
        <v/>
      </c>
      <c r="F26" s="405"/>
      <c r="G26" s="310" t="str">
        <f t="shared" ref="G26:G32" si="5">IF(A26="","",VLOOKUP(A26,MAT,5,FALSE))</f>
        <v/>
      </c>
      <c r="H26" s="311" t="str">
        <f t="shared" ref="H26:H32" si="6">IF(A26="","",ROUND((G26*F26),0))</f>
        <v/>
      </c>
    </row>
    <row r="27" spans="1:8">
      <c r="A27" s="534"/>
      <c r="B27" s="305" t="str">
        <f t="shared" si="3"/>
        <v/>
      </c>
      <c r="C27" s="305"/>
      <c r="D27" s="306"/>
      <c r="E27" s="276" t="str">
        <f t="shared" si="4"/>
        <v/>
      </c>
      <c r="F27" s="405"/>
      <c r="G27" s="310" t="str">
        <f t="shared" si="5"/>
        <v/>
      </c>
      <c r="H27" s="311" t="str">
        <f t="shared" si="6"/>
        <v/>
      </c>
    </row>
    <row r="28" spans="1:8">
      <c r="A28" s="534"/>
      <c r="B28" s="305" t="str">
        <f t="shared" si="3"/>
        <v/>
      </c>
      <c r="C28" s="305"/>
      <c r="D28" s="306"/>
      <c r="E28" s="276" t="str">
        <f t="shared" si="4"/>
        <v/>
      </c>
      <c r="F28" s="405"/>
      <c r="G28" s="310" t="str">
        <f t="shared" si="5"/>
        <v/>
      </c>
      <c r="H28" s="311" t="str">
        <f t="shared" si="6"/>
        <v/>
      </c>
    </row>
    <row r="29" spans="1:8">
      <c r="A29" s="534"/>
      <c r="B29" s="305" t="str">
        <f t="shared" si="3"/>
        <v/>
      </c>
      <c r="C29" s="305"/>
      <c r="D29" s="306"/>
      <c r="E29" s="276" t="str">
        <f t="shared" si="4"/>
        <v/>
      </c>
      <c r="F29" s="405"/>
      <c r="G29" s="310" t="str">
        <f t="shared" si="5"/>
        <v/>
      </c>
      <c r="H29" s="311" t="str">
        <f t="shared" si="6"/>
        <v/>
      </c>
    </row>
    <row r="30" spans="1:8">
      <c r="A30" s="534"/>
      <c r="B30" s="305" t="str">
        <f t="shared" si="3"/>
        <v/>
      </c>
      <c r="C30" s="305"/>
      <c r="D30" s="306"/>
      <c r="E30" s="276" t="str">
        <f t="shared" si="4"/>
        <v/>
      </c>
      <c r="F30" s="405"/>
      <c r="G30" s="310" t="str">
        <f t="shared" si="5"/>
        <v/>
      </c>
      <c r="H30" s="311" t="str">
        <f t="shared" si="6"/>
        <v/>
      </c>
    </row>
    <row r="31" spans="1:8">
      <c r="A31" s="534"/>
      <c r="B31" s="305" t="str">
        <f t="shared" si="3"/>
        <v/>
      </c>
      <c r="C31" s="305"/>
      <c r="D31" s="306"/>
      <c r="E31" s="276" t="str">
        <f t="shared" si="4"/>
        <v/>
      </c>
      <c r="F31" s="405"/>
      <c r="G31" s="310" t="str">
        <f t="shared" si="5"/>
        <v/>
      </c>
      <c r="H31" s="311" t="str">
        <f t="shared" si="6"/>
        <v/>
      </c>
    </row>
    <row r="32" spans="1:8" ht="13.5" thickBot="1">
      <c r="A32" s="535"/>
      <c r="B32" s="326" t="str">
        <f t="shared" si="3"/>
        <v/>
      </c>
      <c r="C32" s="314"/>
      <c r="D32" s="314"/>
      <c r="E32" s="315" t="str">
        <f t="shared" si="4"/>
        <v/>
      </c>
      <c r="F32" s="406"/>
      <c r="G32" s="327" t="str">
        <f t="shared" si="5"/>
        <v/>
      </c>
      <c r="H32" s="311" t="str">
        <f t="shared" si="6"/>
        <v/>
      </c>
    </row>
    <row r="33" spans="1:8" ht="13.5" thickBot="1">
      <c r="A33" s="285"/>
      <c r="B33" s="285"/>
      <c r="C33" s="285"/>
      <c r="D33" s="285"/>
      <c r="E33" s="286"/>
      <c r="F33" s="285"/>
      <c r="G33" s="210" t="s">
        <v>529</v>
      </c>
      <c r="H33" s="328">
        <f>ROUND(SUM(H23:H32),0)</f>
        <v>445600</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546"/>
      <c r="B37" s="737" t="s">
        <v>2493</v>
      </c>
      <c r="C37" s="772"/>
      <c r="D37" s="773"/>
      <c r="E37" s="774"/>
      <c r="F37" s="775"/>
      <c r="G37" s="1066">
        <v>0.06</v>
      </c>
      <c r="H37" s="746">
        <f>ROUND(G37*H33,0)</f>
        <v>26736</v>
      </c>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26736</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883</v>
      </c>
      <c r="B46" s="2192" t="str">
        <f>IF(A46="","",VLOOKUP(A46,MO,2,FALSE))</f>
        <v>Cuadrilla AA: Albañilería. (1 Of. + 1 Ayud.).</v>
      </c>
      <c r="C46" s="2193"/>
      <c r="D46" s="2194"/>
      <c r="E46" s="538" t="str">
        <f>IF(A46="","",VLOOKUP(A46,MO,13,FALSE))</f>
        <v>HC</v>
      </c>
      <c r="F46" s="544">
        <v>0.24</v>
      </c>
      <c r="G46" s="540">
        <f>IF(A46="","",VLOOKUP(A46,MO,15,FALSE))</f>
        <v>38949</v>
      </c>
      <c r="H46" s="542">
        <f>IF(A46="","",ROUND((G46/F46),0))</f>
        <v>162288</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162288</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650853</v>
      </c>
    </row>
    <row r="53" spans="1:8">
      <c r="A53" s="285"/>
      <c r="B53" s="285"/>
      <c r="C53" s="285"/>
      <c r="D53" s="285"/>
      <c r="E53" s="346"/>
      <c r="F53" s="347"/>
      <c r="G53" s="347"/>
      <c r="H53" s="349"/>
    </row>
    <row r="54" spans="1:8">
      <c r="A54" s="285"/>
      <c r="B54" s="285"/>
      <c r="C54" s="285"/>
      <c r="D54" s="285"/>
      <c r="E54" s="346"/>
      <c r="F54" s="347"/>
      <c r="G54" s="347"/>
      <c r="H54" s="349"/>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c r="A59" s="703" t="str">
        <f>+[14]PRESUPUESTO!$A$113</f>
        <v>__________________________________________</v>
      </c>
      <c r="B59" s="703"/>
    </row>
    <row r="60" spans="1:8">
      <c r="A60" s="810" t="str">
        <f>+[14]PRESUPUESTO!$A$114</f>
        <v>Ing. JHON FREDY GARCIA MENDEZ</v>
      </c>
      <c r="B60" s="703"/>
    </row>
    <row r="61" spans="1:8">
      <c r="A61" s="811" t="str">
        <f>+[14]PRESUPUESTO!$A$115</f>
        <v>M.P.  70268-326294 TLM.</v>
      </c>
      <c r="B61" s="703"/>
    </row>
    <row r="62" spans="1:8">
      <c r="A62" s="811" t="str">
        <f>+[14]PRESUPUESTO!$A$116</f>
        <v>CONSULTOR</v>
      </c>
      <c r="B62" s="703"/>
    </row>
  </sheetData>
  <mergeCells count="15">
    <mergeCell ref="B47:D47"/>
    <mergeCell ref="B48:D48"/>
    <mergeCell ref="B49:D49"/>
    <mergeCell ref="B6:D6"/>
    <mergeCell ref="B7:E7"/>
    <mergeCell ref="B8:E8"/>
    <mergeCell ref="B36:C36"/>
    <mergeCell ref="B45:D45"/>
    <mergeCell ref="B46:D46"/>
    <mergeCell ref="D2:E4"/>
    <mergeCell ref="F2:H2"/>
    <mergeCell ref="F3:H3"/>
    <mergeCell ref="F4:H4"/>
    <mergeCell ref="A5:E5"/>
    <mergeCell ref="F5:H5"/>
  </mergeCells>
  <pageMargins left="0.75" right="0.75" top="1" bottom="1" header="0" footer="0"/>
  <pageSetup paperSize="9" scale="70" orientation="portrait" r:id="rId1"/>
  <headerFooter alignWithMargins="0"/>
  <drawing r:id="rId2"/>
</worksheet>
</file>

<file path=xl/worksheets/sheet1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600-000000000000}">
  <sheetPr>
    <tabColor theme="6" tint="0.79998168889431442"/>
  </sheetPr>
  <dimension ref="A1:I62"/>
  <sheetViews>
    <sheetView workbookViewId="0"/>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4.570312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t="e">
        <f>PRESUPUESTO!#REF!</f>
        <v>#REF!</v>
      </c>
      <c r="B7" s="2185" t="e">
        <f>PRESUPUESTO!#REF!</f>
        <v>#REF!</v>
      </c>
      <c r="C7" s="2185"/>
      <c r="D7" s="2185"/>
      <c r="E7" s="2185"/>
      <c r="F7" s="289"/>
      <c r="G7" s="290" t="s">
        <v>525</v>
      </c>
      <c r="H7" s="97" t="e">
        <f>+PRESUPUESTO!#REF!</f>
        <v>#REF!</v>
      </c>
    </row>
    <row r="8" spans="1:9">
      <c r="A8" s="97" t="e">
        <f>+PRESUPUESTO!#REF!</f>
        <v>#REF!</v>
      </c>
      <c r="B8" s="2272" t="e">
        <f>+PRESUPUESTO!#REF!</f>
        <v>#REF!</v>
      </c>
      <c r="C8" s="2257"/>
      <c r="D8" s="2257"/>
      <c r="E8" s="225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967</v>
      </c>
      <c r="B13" s="305" t="str">
        <f t="shared" ref="B13:B18" si="0">IF(A13="","",VLOOKUP(A13,EQUI,2,FALSE))</f>
        <v>Herramienta Menor (10% de la mano de obra).</v>
      </c>
      <c r="C13" s="306"/>
      <c r="D13" s="306"/>
      <c r="E13" s="276" t="str">
        <f t="shared" ref="E13:E18" si="1">IF(A13="","",VLOOKUP(A13,EQUI,3,FALSE))</f>
        <v>%</v>
      </c>
      <c r="F13" s="433">
        <f>IF(A13="","",VLOOKUP(A13,EQUI,4,FALSE))</f>
        <v>0.1</v>
      </c>
      <c r="G13" s="307">
        <f>ROUND(F13*H50,0)</f>
        <v>11803</v>
      </c>
      <c r="H13" s="308">
        <f>+G13</f>
        <v>11803</v>
      </c>
      <c r="I13" s="309"/>
    </row>
    <row r="14" spans="1:9">
      <c r="A14" s="536"/>
      <c r="B14" s="305"/>
      <c r="C14" s="306"/>
      <c r="D14" s="306"/>
      <c r="E14" s="276" t="str">
        <f t="shared" si="1"/>
        <v/>
      </c>
      <c r="F14" s="405"/>
      <c r="G14" s="310" t="str">
        <f>IF(A14="","",VLOOKUP(A14,EQUI,4,FALSE))</f>
        <v/>
      </c>
      <c r="H14" s="311" t="str">
        <f>IF(A14="","",ROUND((G14/F14),0))</f>
        <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11803</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c r="B23" s="1033" t="s">
        <v>2470</v>
      </c>
      <c r="C23" s="305"/>
      <c r="D23" s="306"/>
      <c r="E23" s="815" t="s">
        <v>1681</v>
      </c>
      <c r="F23" s="405">
        <v>2</v>
      </c>
      <c r="G23" s="310">
        <v>275880</v>
      </c>
      <c r="H23" s="311">
        <f>ROUND(F23*G23,0)</f>
        <v>551760</v>
      </c>
    </row>
    <row r="24" spans="1:8">
      <c r="A24" s="534"/>
      <c r="B24" s="1033" t="s">
        <v>2471</v>
      </c>
      <c r="C24" s="305"/>
      <c r="D24" s="306"/>
      <c r="E24" s="815" t="s">
        <v>1681</v>
      </c>
      <c r="F24" s="405">
        <v>1</v>
      </c>
      <c r="G24" s="310">
        <v>74899</v>
      </c>
      <c r="H24" s="311">
        <f t="shared" ref="H24:H25" si="2">ROUND(F24*G24,0)</f>
        <v>74899</v>
      </c>
    </row>
    <row r="25" spans="1:8">
      <c r="A25" s="534"/>
      <c r="B25" s="1033" t="s">
        <v>2443</v>
      </c>
      <c r="C25" s="305"/>
      <c r="D25" s="306"/>
      <c r="E25" s="815" t="s">
        <v>588</v>
      </c>
      <c r="F25" s="405">
        <v>0.2</v>
      </c>
      <c r="G25" s="310">
        <v>65890</v>
      </c>
      <c r="H25" s="311">
        <f t="shared" si="2"/>
        <v>13178</v>
      </c>
    </row>
    <row r="26" spans="1:8">
      <c r="A26" s="534"/>
      <c r="B26" s="305" t="str">
        <f t="shared" ref="B26:B32" si="3">IF(A26="","",VLOOKUP(A26,MAT,2,FALSE))</f>
        <v/>
      </c>
      <c r="C26" s="305"/>
      <c r="D26" s="306"/>
      <c r="E26" s="276" t="str">
        <f t="shared" ref="E26:E32" si="4">IF(A26="","",VLOOKUP(A26,MAT,3,FALSE))</f>
        <v/>
      </c>
      <c r="F26" s="405"/>
      <c r="G26" s="310" t="str">
        <f t="shared" ref="G26:G32" si="5">IF(A26="","",VLOOKUP(A26,MAT,5,FALSE))</f>
        <v/>
      </c>
      <c r="H26" s="311" t="str">
        <f t="shared" ref="H26:H32" si="6">IF(A26="","",ROUND((G26*F26),0))</f>
        <v/>
      </c>
    </row>
    <row r="27" spans="1:8">
      <c r="A27" s="534"/>
      <c r="B27" s="305" t="str">
        <f t="shared" si="3"/>
        <v/>
      </c>
      <c r="C27" s="305"/>
      <c r="D27" s="306"/>
      <c r="E27" s="276" t="str">
        <f t="shared" si="4"/>
        <v/>
      </c>
      <c r="F27" s="405"/>
      <c r="G27" s="310" t="str">
        <f t="shared" si="5"/>
        <v/>
      </c>
      <c r="H27" s="311" t="str">
        <f t="shared" si="6"/>
        <v/>
      </c>
    </row>
    <row r="28" spans="1:8">
      <c r="A28" s="534"/>
      <c r="B28" s="305" t="str">
        <f t="shared" si="3"/>
        <v/>
      </c>
      <c r="C28" s="305"/>
      <c r="D28" s="306"/>
      <c r="E28" s="276" t="str">
        <f t="shared" si="4"/>
        <v/>
      </c>
      <c r="F28" s="405"/>
      <c r="G28" s="310" t="str">
        <f t="shared" si="5"/>
        <v/>
      </c>
      <c r="H28" s="311" t="str">
        <f t="shared" si="6"/>
        <v/>
      </c>
    </row>
    <row r="29" spans="1:8">
      <c r="A29" s="534"/>
      <c r="B29" s="305" t="str">
        <f t="shared" si="3"/>
        <v/>
      </c>
      <c r="C29" s="305"/>
      <c r="D29" s="306"/>
      <c r="E29" s="276" t="str">
        <f t="shared" si="4"/>
        <v/>
      </c>
      <c r="F29" s="405"/>
      <c r="G29" s="310" t="str">
        <f t="shared" si="5"/>
        <v/>
      </c>
      <c r="H29" s="311" t="str">
        <f t="shared" si="6"/>
        <v/>
      </c>
    </row>
    <row r="30" spans="1:8">
      <c r="A30" s="534"/>
      <c r="B30" s="305" t="str">
        <f t="shared" si="3"/>
        <v/>
      </c>
      <c r="C30" s="305"/>
      <c r="D30" s="306"/>
      <c r="E30" s="276" t="str">
        <f t="shared" si="4"/>
        <v/>
      </c>
      <c r="F30" s="405"/>
      <c r="G30" s="310" t="str">
        <f t="shared" si="5"/>
        <v/>
      </c>
      <c r="H30" s="311" t="str">
        <f t="shared" si="6"/>
        <v/>
      </c>
    </row>
    <row r="31" spans="1:8">
      <c r="A31" s="534"/>
      <c r="B31" s="305" t="str">
        <f t="shared" si="3"/>
        <v/>
      </c>
      <c r="C31" s="305"/>
      <c r="D31" s="306"/>
      <c r="E31" s="276" t="str">
        <f t="shared" si="4"/>
        <v/>
      </c>
      <c r="F31" s="405"/>
      <c r="G31" s="310" t="str">
        <f t="shared" si="5"/>
        <v/>
      </c>
      <c r="H31" s="311" t="str">
        <f t="shared" si="6"/>
        <v/>
      </c>
    </row>
    <row r="32" spans="1:8" ht="13.5" thickBot="1">
      <c r="A32" s="535"/>
      <c r="B32" s="326" t="str">
        <f t="shared" si="3"/>
        <v/>
      </c>
      <c r="C32" s="314"/>
      <c r="D32" s="314"/>
      <c r="E32" s="315" t="str">
        <f t="shared" si="4"/>
        <v/>
      </c>
      <c r="F32" s="406"/>
      <c r="G32" s="327" t="str">
        <f t="shared" si="5"/>
        <v/>
      </c>
      <c r="H32" s="311" t="str">
        <f t="shared" si="6"/>
        <v/>
      </c>
    </row>
    <row r="33" spans="1:8" ht="13.5" thickBot="1">
      <c r="A33" s="285"/>
      <c r="B33" s="285"/>
      <c r="C33" s="285"/>
      <c r="D33" s="285"/>
      <c r="E33" s="286"/>
      <c r="F33" s="285"/>
      <c r="G33" s="210" t="s">
        <v>529</v>
      </c>
      <c r="H33" s="328">
        <f>ROUND(SUM(H23:H32),0)</f>
        <v>639837</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546"/>
      <c r="B37" s="737" t="s">
        <v>2493</v>
      </c>
      <c r="C37" s="772"/>
      <c r="D37" s="773"/>
      <c r="E37" s="774"/>
      <c r="F37" s="775"/>
      <c r="G37" s="1066">
        <v>0.06</v>
      </c>
      <c r="H37" s="746">
        <f>ROUND(H33*G37,0)</f>
        <v>38390</v>
      </c>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38390</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883</v>
      </c>
      <c r="B46" s="2192" t="str">
        <f>IF(A46="","",VLOOKUP(A46,MO,2,FALSE))</f>
        <v>Cuadrilla AA: Albañilería. (1 Of. + 1 Ayud.).</v>
      </c>
      <c r="C46" s="2193"/>
      <c r="D46" s="2194"/>
      <c r="E46" s="538" t="str">
        <f>IF(A46="","",VLOOKUP(A46,MO,13,FALSE))</f>
        <v>HC</v>
      </c>
      <c r="F46" s="544">
        <v>0.33</v>
      </c>
      <c r="G46" s="540">
        <f>IF(A46="","",VLOOKUP(A46,MO,15,FALSE))</f>
        <v>38949</v>
      </c>
      <c r="H46" s="542">
        <f>IF(A46="","",ROUND((G46/F46),0))</f>
        <v>118027</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118027</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808057</v>
      </c>
    </row>
    <row r="53" spans="1:8">
      <c r="A53" s="285"/>
      <c r="B53" s="285"/>
      <c r="C53" s="285"/>
      <c r="D53" s="285"/>
      <c r="E53" s="346"/>
      <c r="F53" s="347"/>
      <c r="G53" s="347"/>
      <c r="H53" s="349"/>
    </row>
    <row r="54" spans="1:8">
      <c r="A54" s="285"/>
      <c r="B54" s="285"/>
      <c r="C54" s="285"/>
      <c r="D54" s="285"/>
      <c r="E54" s="346"/>
      <c r="F54" s="347"/>
      <c r="G54" s="347"/>
      <c r="H54" s="349"/>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c r="A59" s="703" t="str">
        <f>+[14]PRESUPUESTO!$A$113</f>
        <v>__________________________________________</v>
      </c>
      <c r="B59" s="703"/>
    </row>
    <row r="60" spans="1:8">
      <c r="A60" s="810" t="str">
        <f>+[14]PRESUPUESTO!$A$114</f>
        <v>Ing. JHON FREDY GARCIA MENDEZ</v>
      </c>
      <c r="B60" s="703"/>
    </row>
    <row r="61" spans="1:8">
      <c r="A61" s="811" t="str">
        <f>+[14]PRESUPUESTO!$A$115</f>
        <v>M.P.  70268-326294 TLM.</v>
      </c>
      <c r="B61" s="703"/>
    </row>
    <row r="62" spans="1:8">
      <c r="A62" s="811" t="str">
        <f>+[14]PRESUPUESTO!$A$116</f>
        <v>CONSULTOR</v>
      </c>
      <c r="B62" s="703"/>
    </row>
  </sheetData>
  <mergeCells count="15">
    <mergeCell ref="B47:D47"/>
    <mergeCell ref="B48:D48"/>
    <mergeCell ref="B49:D49"/>
    <mergeCell ref="B6:D6"/>
    <mergeCell ref="B7:E7"/>
    <mergeCell ref="B8:E8"/>
    <mergeCell ref="B36:C36"/>
    <mergeCell ref="B45:D45"/>
    <mergeCell ref="B46:D46"/>
    <mergeCell ref="D2:E4"/>
    <mergeCell ref="F2:H2"/>
    <mergeCell ref="F3:H3"/>
    <mergeCell ref="F4:H4"/>
    <mergeCell ref="A5:E5"/>
    <mergeCell ref="F5:H5"/>
  </mergeCells>
  <pageMargins left="0.75" right="0.75" top="1" bottom="1" header="0" footer="0"/>
  <pageSetup paperSize="9" scale="70" orientation="portrait" r:id="rId1"/>
  <headerFooter alignWithMargins="0"/>
  <drawing r:id="rId2"/>
</worksheet>
</file>

<file path=xl/worksheets/sheet1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700-000000000000}">
  <sheetPr>
    <tabColor theme="6" tint="0.79998168889431442"/>
  </sheetPr>
  <dimension ref="A1:I62"/>
  <sheetViews>
    <sheetView workbookViewId="0"/>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4.570312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t="e">
        <f>PRESUPUESTO!#REF!</f>
        <v>#REF!</v>
      </c>
      <c r="B7" s="2185" t="e">
        <f>PRESUPUESTO!#REF!</f>
        <v>#REF!</v>
      </c>
      <c r="C7" s="2185"/>
      <c r="D7" s="2185"/>
      <c r="E7" s="2185"/>
      <c r="F7" s="289"/>
      <c r="G7" s="290" t="s">
        <v>525</v>
      </c>
      <c r="H7" s="97" t="e">
        <f>+PRESUPUESTO!#REF!</f>
        <v>#REF!</v>
      </c>
    </row>
    <row r="8" spans="1:9">
      <c r="A8" s="97" t="e">
        <f>+PRESUPUESTO!#REF!</f>
        <v>#REF!</v>
      </c>
      <c r="B8" s="2272" t="e">
        <f>+PRESUPUESTO!#REF!</f>
        <v>#REF!</v>
      </c>
      <c r="C8" s="2257"/>
      <c r="D8" s="2257"/>
      <c r="E8" s="225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967</v>
      </c>
      <c r="B13" s="305" t="str">
        <f t="shared" ref="B13:B18" si="0">IF(A13="","",VLOOKUP(A13,EQUI,2,FALSE))</f>
        <v>Herramienta Menor (10% de la mano de obra).</v>
      </c>
      <c r="C13" s="306"/>
      <c r="D13" s="306"/>
      <c r="E13" s="276" t="str">
        <f t="shared" ref="E13:E18" si="1">IF(A13="","",VLOOKUP(A13,EQUI,3,FALSE))</f>
        <v>%</v>
      </c>
      <c r="F13" s="433">
        <f>IF(A13="","",VLOOKUP(A13,EQUI,4,FALSE))</f>
        <v>0.1</v>
      </c>
      <c r="G13" s="307">
        <f>ROUND(F13*H50,0)</f>
        <v>9737</v>
      </c>
      <c r="H13" s="308">
        <f>+G13</f>
        <v>9737</v>
      </c>
      <c r="I13" s="309"/>
    </row>
    <row r="14" spans="1:9">
      <c r="A14" s="536"/>
      <c r="B14" s="305"/>
      <c r="C14" s="306"/>
      <c r="D14" s="306"/>
      <c r="E14" s="276" t="str">
        <f t="shared" si="1"/>
        <v/>
      </c>
      <c r="F14" s="405"/>
      <c r="G14" s="310" t="str">
        <f>IF(A14="","",VLOOKUP(A14,EQUI,4,FALSE))</f>
        <v/>
      </c>
      <c r="H14" s="311" t="str">
        <f>IF(A14="","",ROUND((G14/F14),0))</f>
        <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9737</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c r="B23" s="1033" t="s">
        <v>2472</v>
      </c>
      <c r="C23" s="305"/>
      <c r="D23" s="306"/>
      <c r="E23" s="815" t="s">
        <v>1681</v>
      </c>
      <c r="F23" s="405">
        <v>1</v>
      </c>
      <c r="G23" s="310">
        <v>80500</v>
      </c>
      <c r="H23" s="311">
        <f>ROUND(F23*G23,0)</f>
        <v>80500</v>
      </c>
    </row>
    <row r="24" spans="1:8">
      <c r="A24" s="534"/>
      <c r="B24" s="1033" t="s">
        <v>2443</v>
      </c>
      <c r="C24" s="305"/>
      <c r="D24" s="306"/>
      <c r="E24" s="815" t="s">
        <v>1681</v>
      </c>
      <c r="F24" s="405">
        <v>0.2</v>
      </c>
      <c r="G24" s="310">
        <v>65890</v>
      </c>
      <c r="H24" s="311">
        <f t="shared" ref="H24" si="2">ROUND(F24*G24,0)</f>
        <v>13178</v>
      </c>
    </row>
    <row r="25" spans="1:8">
      <c r="A25" s="534" t="s">
        <v>556</v>
      </c>
      <c r="B25" s="353" t="str">
        <f>IF(A25="","",VLOOKUP(A25,MAT,2,FALSE))</f>
        <v>Mortero 1:4</v>
      </c>
      <c r="C25" s="305"/>
      <c r="D25" s="306"/>
      <c r="E25" s="815" t="s">
        <v>2474</v>
      </c>
      <c r="F25" s="405">
        <v>10</v>
      </c>
      <c r="G25" s="310">
        <f>IF(A25="","",VLOOKUP(A25,MAT,5,FALSE))/1000</f>
        <v>462.36200000000002</v>
      </c>
      <c r="H25" s="311">
        <f>IF(A25="","",ROUND((G25*F25),0))</f>
        <v>4624</v>
      </c>
    </row>
    <row r="26" spans="1:8">
      <c r="A26" s="534"/>
      <c r="B26" s="305" t="str">
        <f t="shared" ref="B26:B32" si="3">IF(A26="","",VLOOKUP(A26,MAT,2,FALSE))</f>
        <v/>
      </c>
      <c r="C26" s="305"/>
      <c r="D26" s="306"/>
      <c r="E26" s="276" t="str">
        <f t="shared" ref="E26:E32" si="4">IF(A26="","",VLOOKUP(A26,MAT,3,FALSE))</f>
        <v/>
      </c>
      <c r="F26" s="405"/>
      <c r="G26" s="310" t="str">
        <f t="shared" ref="G26:G32" si="5">IF(A26="","",VLOOKUP(A26,MAT,5,FALSE))</f>
        <v/>
      </c>
      <c r="H26" s="311" t="str">
        <f t="shared" ref="H26:H32" si="6">IF(A26="","",ROUND((G26*F26),0))</f>
        <v/>
      </c>
    </row>
    <row r="27" spans="1:8">
      <c r="A27" s="534"/>
      <c r="B27" s="305" t="str">
        <f t="shared" si="3"/>
        <v/>
      </c>
      <c r="C27" s="305"/>
      <c r="D27" s="306"/>
      <c r="E27" s="276" t="str">
        <f t="shared" si="4"/>
        <v/>
      </c>
      <c r="F27" s="405"/>
      <c r="G27" s="310" t="str">
        <f t="shared" si="5"/>
        <v/>
      </c>
      <c r="H27" s="311" t="str">
        <f t="shared" si="6"/>
        <v/>
      </c>
    </row>
    <row r="28" spans="1:8">
      <c r="A28" s="534"/>
      <c r="B28" s="305" t="str">
        <f t="shared" si="3"/>
        <v/>
      </c>
      <c r="C28" s="305"/>
      <c r="D28" s="306"/>
      <c r="E28" s="276" t="str">
        <f t="shared" si="4"/>
        <v/>
      </c>
      <c r="F28" s="405"/>
      <c r="G28" s="310" t="str">
        <f t="shared" si="5"/>
        <v/>
      </c>
      <c r="H28" s="311" t="str">
        <f t="shared" si="6"/>
        <v/>
      </c>
    </row>
    <row r="29" spans="1:8">
      <c r="A29" s="534"/>
      <c r="B29" s="305" t="str">
        <f t="shared" si="3"/>
        <v/>
      </c>
      <c r="C29" s="305"/>
      <c r="D29" s="306"/>
      <c r="E29" s="276" t="str">
        <f t="shared" si="4"/>
        <v/>
      </c>
      <c r="F29" s="405"/>
      <c r="G29" s="310" t="str">
        <f t="shared" si="5"/>
        <v/>
      </c>
      <c r="H29" s="311" t="str">
        <f t="shared" si="6"/>
        <v/>
      </c>
    </row>
    <row r="30" spans="1:8">
      <c r="A30" s="534"/>
      <c r="B30" s="305" t="str">
        <f t="shared" si="3"/>
        <v/>
      </c>
      <c r="C30" s="305"/>
      <c r="D30" s="306"/>
      <c r="E30" s="276" t="str">
        <f t="shared" si="4"/>
        <v/>
      </c>
      <c r="F30" s="405"/>
      <c r="G30" s="310" t="str">
        <f t="shared" si="5"/>
        <v/>
      </c>
      <c r="H30" s="311" t="str">
        <f t="shared" si="6"/>
        <v/>
      </c>
    </row>
    <row r="31" spans="1:8">
      <c r="A31" s="534"/>
      <c r="B31" s="305" t="str">
        <f t="shared" si="3"/>
        <v/>
      </c>
      <c r="C31" s="305"/>
      <c r="D31" s="306"/>
      <c r="E31" s="276" t="str">
        <f t="shared" si="4"/>
        <v/>
      </c>
      <c r="F31" s="405"/>
      <c r="G31" s="310" t="str">
        <f t="shared" si="5"/>
        <v/>
      </c>
      <c r="H31" s="311" t="str">
        <f t="shared" si="6"/>
        <v/>
      </c>
    </row>
    <row r="32" spans="1:8" ht="13.5" thickBot="1">
      <c r="A32" s="535"/>
      <c r="B32" s="326" t="str">
        <f t="shared" si="3"/>
        <v/>
      </c>
      <c r="C32" s="314"/>
      <c r="D32" s="314"/>
      <c r="E32" s="315" t="str">
        <f t="shared" si="4"/>
        <v/>
      </c>
      <c r="F32" s="406"/>
      <c r="G32" s="327" t="str">
        <f t="shared" si="5"/>
        <v/>
      </c>
      <c r="H32" s="311" t="str">
        <f t="shared" si="6"/>
        <v/>
      </c>
    </row>
    <row r="33" spans="1:8" ht="13.5" thickBot="1">
      <c r="A33" s="285"/>
      <c r="B33" s="285"/>
      <c r="C33" s="285"/>
      <c r="D33" s="285"/>
      <c r="E33" s="286"/>
      <c r="F33" s="285"/>
      <c r="G33" s="210" t="s">
        <v>529</v>
      </c>
      <c r="H33" s="328">
        <f>ROUND(SUM(H23:H32),0)</f>
        <v>98302</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546"/>
      <c r="B37" s="737" t="s">
        <v>2493</v>
      </c>
      <c r="C37" s="772"/>
      <c r="D37" s="773"/>
      <c r="E37" s="774"/>
      <c r="F37" s="775"/>
      <c r="G37" s="1066">
        <v>0.06</v>
      </c>
      <c r="H37" s="746">
        <f>ROUND(H33*G37,0)</f>
        <v>5898</v>
      </c>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5898</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883</v>
      </c>
      <c r="B46" s="2192" t="str">
        <f>IF(A46="","",VLOOKUP(A46,MO,2,FALSE))</f>
        <v>Cuadrilla AA: Albañilería. (1 Of. + 1 Ayud.).</v>
      </c>
      <c r="C46" s="2193"/>
      <c r="D46" s="2194"/>
      <c r="E46" s="538" t="str">
        <f>IF(A46="","",VLOOKUP(A46,MO,13,FALSE))</f>
        <v>HC</v>
      </c>
      <c r="F46" s="544">
        <v>0.4</v>
      </c>
      <c r="G46" s="540">
        <f>IF(A46="","",VLOOKUP(A46,MO,15,FALSE))</f>
        <v>38949</v>
      </c>
      <c r="H46" s="542">
        <f>IF(A46="","",ROUND((G46/F46),0))</f>
        <v>97373</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97373</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211310</v>
      </c>
    </row>
    <row r="53" spans="1:8">
      <c r="A53" s="285"/>
      <c r="B53" s="285"/>
      <c r="C53" s="285"/>
      <c r="D53" s="285"/>
      <c r="E53" s="346"/>
      <c r="F53" s="347"/>
      <c r="G53" s="347"/>
      <c r="H53" s="349"/>
    </row>
    <row r="54" spans="1:8">
      <c r="A54" s="285"/>
      <c r="B54" s="285"/>
      <c r="C54" s="285"/>
      <c r="D54" s="285"/>
      <c r="E54" s="346"/>
      <c r="F54" s="347"/>
      <c r="G54" s="347"/>
      <c r="H54" s="349"/>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c r="A59" s="703" t="str">
        <f>+[14]PRESUPUESTO!$A$113</f>
        <v>__________________________________________</v>
      </c>
      <c r="B59" s="703"/>
    </row>
    <row r="60" spans="1:8">
      <c r="A60" s="810" t="str">
        <f>+[14]PRESUPUESTO!$A$114</f>
        <v>Ing. JHON FREDY GARCIA MENDEZ</v>
      </c>
      <c r="B60" s="703"/>
    </row>
    <row r="61" spans="1:8">
      <c r="A61" s="811" t="str">
        <f>+[14]PRESUPUESTO!$A$115</f>
        <v>M.P.  70268-326294 TLM.</v>
      </c>
      <c r="B61" s="703"/>
    </row>
    <row r="62" spans="1:8">
      <c r="A62" s="811" t="str">
        <f>+[14]PRESUPUESTO!$A$116</f>
        <v>CONSULTOR</v>
      </c>
      <c r="B62" s="703"/>
    </row>
  </sheetData>
  <mergeCells count="15">
    <mergeCell ref="B47:D47"/>
    <mergeCell ref="B48:D48"/>
    <mergeCell ref="B49:D49"/>
    <mergeCell ref="B6:D6"/>
    <mergeCell ref="B7:E7"/>
    <mergeCell ref="B8:E8"/>
    <mergeCell ref="B36:C36"/>
    <mergeCell ref="B45:D45"/>
    <mergeCell ref="B46:D46"/>
    <mergeCell ref="D2:E4"/>
    <mergeCell ref="F2:H2"/>
    <mergeCell ref="F3:H3"/>
    <mergeCell ref="F4:H4"/>
    <mergeCell ref="A5:E5"/>
    <mergeCell ref="F5:H5"/>
  </mergeCells>
  <pageMargins left="0.75" right="0.75" top="1" bottom="1" header="0" footer="0"/>
  <pageSetup paperSize="9" scale="70" orientation="portrait" r:id="rId1"/>
  <headerFooter alignWithMargins="0"/>
  <drawing r:id="rId2"/>
</worksheet>
</file>

<file path=xl/worksheets/sheet1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800-000000000000}">
  <sheetPr>
    <tabColor theme="6" tint="0.79998168889431442"/>
  </sheetPr>
  <dimension ref="A1:I62"/>
  <sheetViews>
    <sheetView workbookViewId="0"/>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4.570312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t="e">
        <f>PRESUPUESTO!#REF!</f>
        <v>#REF!</v>
      </c>
      <c r="B7" s="2185" t="e">
        <f>PRESUPUESTO!#REF!</f>
        <v>#REF!</v>
      </c>
      <c r="C7" s="2185"/>
      <c r="D7" s="2185"/>
      <c r="E7" s="2185"/>
      <c r="F7" s="289"/>
      <c r="G7" s="290" t="s">
        <v>525</v>
      </c>
      <c r="H7" s="97" t="e">
        <f>+PRESUPUESTO!#REF!</f>
        <v>#REF!</v>
      </c>
    </row>
    <row r="8" spans="1:9">
      <c r="A8" s="97" t="e">
        <f>+PRESUPUESTO!#REF!</f>
        <v>#REF!</v>
      </c>
      <c r="B8" s="2272" t="e">
        <f>+PRESUPUESTO!#REF!</f>
        <v>#REF!</v>
      </c>
      <c r="C8" s="2257"/>
      <c r="D8" s="2257"/>
      <c r="E8" s="225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967</v>
      </c>
      <c r="B13" s="305" t="str">
        <f t="shared" ref="B13:B18" si="0">IF(A13="","",VLOOKUP(A13,EQUI,2,FALSE))</f>
        <v>Herramienta Menor (10% de la mano de obra).</v>
      </c>
      <c r="C13" s="306"/>
      <c r="D13" s="306"/>
      <c r="E13" s="276" t="str">
        <f t="shared" ref="E13:E18" si="1">IF(A13="","",VLOOKUP(A13,EQUI,3,FALSE))</f>
        <v>%</v>
      </c>
      <c r="F13" s="433">
        <f>IF(A13="","",VLOOKUP(A13,EQUI,4,FALSE))</f>
        <v>0.1</v>
      </c>
      <c r="G13" s="307">
        <f>ROUND(F13*H50,0)</f>
        <v>7790</v>
      </c>
      <c r="H13" s="308">
        <f>+G13</f>
        <v>7790</v>
      </c>
      <c r="I13" s="309"/>
    </row>
    <row r="14" spans="1:9">
      <c r="A14" s="536"/>
      <c r="B14" s="305"/>
      <c r="C14" s="306"/>
      <c r="D14" s="306"/>
      <c r="E14" s="276" t="str">
        <f t="shared" si="1"/>
        <v/>
      </c>
      <c r="F14" s="405"/>
      <c r="G14" s="310" t="str">
        <f>IF(A14="","",VLOOKUP(A14,EQUI,4,FALSE))</f>
        <v/>
      </c>
      <c r="H14" s="311" t="str">
        <f>IF(A14="","",ROUND((G14/F14),0))</f>
        <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7790</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c r="B23" s="1033" t="s">
        <v>2475</v>
      </c>
      <c r="C23" s="305"/>
      <c r="D23" s="306"/>
      <c r="E23" s="815" t="s">
        <v>1654</v>
      </c>
      <c r="F23" s="405">
        <v>4</v>
      </c>
      <c r="G23" s="310">
        <v>3104</v>
      </c>
      <c r="H23" s="311">
        <f>ROUND(F23*G23,0)</f>
        <v>12416</v>
      </c>
    </row>
    <row r="24" spans="1:8">
      <c r="A24" s="534"/>
      <c r="B24" s="1033" t="s">
        <v>2476</v>
      </c>
      <c r="C24" s="305"/>
      <c r="D24" s="306"/>
      <c r="E24" s="815" t="s">
        <v>1681</v>
      </c>
      <c r="F24" s="405">
        <v>1</v>
      </c>
      <c r="G24" s="310">
        <v>1199</v>
      </c>
      <c r="H24" s="311">
        <f t="shared" ref="H24:H26" si="2">ROUND(F24*G24,0)</f>
        <v>1199</v>
      </c>
    </row>
    <row r="25" spans="1:8">
      <c r="A25" s="534"/>
      <c r="B25" s="1033" t="s">
        <v>2477</v>
      </c>
      <c r="C25" s="305"/>
      <c r="D25" s="306"/>
      <c r="E25" s="815" t="s">
        <v>1681</v>
      </c>
      <c r="F25" s="405">
        <v>1</v>
      </c>
      <c r="G25" s="310">
        <v>2970</v>
      </c>
      <c r="H25" s="311">
        <f t="shared" si="2"/>
        <v>2970</v>
      </c>
    </row>
    <row r="26" spans="1:8">
      <c r="A26" s="534"/>
      <c r="B26" s="816" t="s">
        <v>2478</v>
      </c>
      <c r="C26" s="305"/>
      <c r="D26" s="306"/>
      <c r="E26" s="815" t="s">
        <v>1654</v>
      </c>
      <c r="F26" s="405">
        <v>12.6</v>
      </c>
      <c r="G26" s="310">
        <v>3436</v>
      </c>
      <c r="H26" s="311">
        <f t="shared" si="2"/>
        <v>43294</v>
      </c>
    </row>
    <row r="27" spans="1:8">
      <c r="A27" s="534"/>
      <c r="B27" s="305" t="str">
        <f t="shared" ref="B27:B32" si="3">IF(A27="","",VLOOKUP(A27,MAT,2,FALSE))</f>
        <v/>
      </c>
      <c r="C27" s="305"/>
      <c r="D27" s="306"/>
      <c r="E27" s="276" t="str">
        <f t="shared" ref="E27:E32" si="4">IF(A27="","",VLOOKUP(A27,MAT,3,FALSE))</f>
        <v/>
      </c>
      <c r="F27" s="405"/>
      <c r="G27" s="310" t="str">
        <f t="shared" ref="G27:G32" si="5">IF(A27="","",VLOOKUP(A27,MAT,5,FALSE))</f>
        <v/>
      </c>
      <c r="H27" s="311" t="str">
        <f t="shared" ref="H27:H32" si="6">IF(A27="","",ROUND((G27*F27),0))</f>
        <v/>
      </c>
    </row>
    <row r="28" spans="1:8">
      <c r="A28" s="534"/>
      <c r="B28" s="305" t="str">
        <f t="shared" si="3"/>
        <v/>
      </c>
      <c r="C28" s="305"/>
      <c r="D28" s="306"/>
      <c r="E28" s="276" t="str">
        <f t="shared" si="4"/>
        <v/>
      </c>
      <c r="F28" s="405"/>
      <c r="G28" s="310" t="str">
        <f t="shared" si="5"/>
        <v/>
      </c>
      <c r="H28" s="311" t="str">
        <f t="shared" si="6"/>
        <v/>
      </c>
    </row>
    <row r="29" spans="1:8">
      <c r="A29" s="534"/>
      <c r="B29" s="305" t="str">
        <f t="shared" si="3"/>
        <v/>
      </c>
      <c r="C29" s="305"/>
      <c r="D29" s="306"/>
      <c r="E29" s="276" t="str">
        <f t="shared" si="4"/>
        <v/>
      </c>
      <c r="F29" s="405"/>
      <c r="G29" s="310" t="str">
        <f t="shared" si="5"/>
        <v/>
      </c>
      <c r="H29" s="311" t="str">
        <f t="shared" si="6"/>
        <v/>
      </c>
    </row>
    <row r="30" spans="1:8">
      <c r="A30" s="534"/>
      <c r="B30" s="305" t="str">
        <f t="shared" si="3"/>
        <v/>
      </c>
      <c r="C30" s="305"/>
      <c r="D30" s="306"/>
      <c r="E30" s="276" t="str">
        <f t="shared" si="4"/>
        <v/>
      </c>
      <c r="F30" s="405"/>
      <c r="G30" s="310" t="str">
        <f t="shared" si="5"/>
        <v/>
      </c>
      <c r="H30" s="311" t="str">
        <f t="shared" si="6"/>
        <v/>
      </c>
    </row>
    <row r="31" spans="1:8">
      <c r="A31" s="534"/>
      <c r="B31" s="305" t="str">
        <f t="shared" si="3"/>
        <v/>
      </c>
      <c r="C31" s="305"/>
      <c r="D31" s="306"/>
      <c r="E31" s="276" t="str">
        <f t="shared" si="4"/>
        <v/>
      </c>
      <c r="F31" s="405"/>
      <c r="G31" s="310" t="str">
        <f t="shared" si="5"/>
        <v/>
      </c>
      <c r="H31" s="311" t="str">
        <f t="shared" si="6"/>
        <v/>
      </c>
    </row>
    <row r="32" spans="1:8" ht="13.5" thickBot="1">
      <c r="A32" s="535"/>
      <c r="B32" s="326" t="str">
        <f t="shared" si="3"/>
        <v/>
      </c>
      <c r="C32" s="314"/>
      <c r="D32" s="314"/>
      <c r="E32" s="315" t="str">
        <f t="shared" si="4"/>
        <v/>
      </c>
      <c r="F32" s="406"/>
      <c r="G32" s="327" t="str">
        <f t="shared" si="5"/>
        <v/>
      </c>
      <c r="H32" s="311" t="str">
        <f t="shared" si="6"/>
        <v/>
      </c>
    </row>
    <row r="33" spans="1:8" ht="13.5" thickBot="1">
      <c r="A33" s="285"/>
      <c r="B33" s="285"/>
      <c r="C33" s="285"/>
      <c r="D33" s="285"/>
      <c r="E33" s="286"/>
      <c r="F33" s="285"/>
      <c r="G33" s="210" t="s">
        <v>529</v>
      </c>
      <c r="H33" s="328">
        <f>ROUND(SUM(H23:H32),0)</f>
        <v>59879</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546"/>
      <c r="B37" s="737"/>
      <c r="C37" s="772"/>
      <c r="D37" s="773"/>
      <c r="E37" s="774"/>
      <c r="F37" s="775"/>
      <c r="G37" s="776"/>
      <c r="H37" s="746"/>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0</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883</v>
      </c>
      <c r="B46" s="2192" t="str">
        <f>IF(A46="","",VLOOKUP(A46,MO,2,FALSE))</f>
        <v>Cuadrilla AA: Albañilería. (1 Of. + 1 Ayud.).</v>
      </c>
      <c r="C46" s="2193"/>
      <c r="D46" s="2194"/>
      <c r="E46" s="538" t="str">
        <f>IF(A46="","",VLOOKUP(A46,MO,13,FALSE))</f>
        <v>HC</v>
      </c>
      <c r="F46" s="544">
        <v>0.5</v>
      </c>
      <c r="G46" s="540">
        <f>IF(A46="","",VLOOKUP(A46,MO,15,FALSE))</f>
        <v>38949</v>
      </c>
      <c r="H46" s="542">
        <f>IF(A46="","",ROUND((G46/F46),0))</f>
        <v>77898</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77898</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145567</v>
      </c>
    </row>
    <row r="53" spans="1:8">
      <c r="A53" s="285"/>
      <c r="B53" s="285"/>
      <c r="C53" s="285"/>
      <c r="D53" s="285"/>
      <c r="E53" s="346"/>
      <c r="F53" s="347"/>
      <c r="G53" s="347"/>
      <c r="H53" s="349"/>
    </row>
    <row r="54" spans="1:8">
      <c r="A54" s="285"/>
      <c r="B54" s="285"/>
      <c r="C54" s="285"/>
      <c r="D54" s="285"/>
      <c r="E54" s="346"/>
      <c r="F54" s="347"/>
      <c r="G54" s="347"/>
      <c r="H54" s="349"/>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c r="A59" s="703" t="str">
        <f>+[14]PRESUPUESTO!$A$113</f>
        <v>__________________________________________</v>
      </c>
      <c r="B59" s="703"/>
    </row>
    <row r="60" spans="1:8">
      <c r="A60" s="810" t="str">
        <f>+[14]PRESUPUESTO!$A$114</f>
        <v>Ing. JHON FREDY GARCIA MENDEZ</v>
      </c>
      <c r="B60" s="703"/>
    </row>
    <row r="61" spans="1:8">
      <c r="A61" s="811" t="str">
        <f>+[14]PRESUPUESTO!$A$115</f>
        <v>M.P.  70268-326294 TLM.</v>
      </c>
      <c r="B61" s="703"/>
    </row>
    <row r="62" spans="1:8">
      <c r="A62" s="811" t="str">
        <f>+[14]PRESUPUESTO!$A$116</f>
        <v>CONSULTOR</v>
      </c>
      <c r="B62" s="703"/>
    </row>
  </sheetData>
  <mergeCells count="15">
    <mergeCell ref="B47:D47"/>
    <mergeCell ref="B48:D48"/>
    <mergeCell ref="B49:D49"/>
    <mergeCell ref="B6:D6"/>
    <mergeCell ref="B7:E7"/>
    <mergeCell ref="B8:E8"/>
    <mergeCell ref="B36:C36"/>
    <mergeCell ref="B45:D45"/>
    <mergeCell ref="B46:D46"/>
    <mergeCell ref="D2:E4"/>
    <mergeCell ref="F2:H2"/>
    <mergeCell ref="F3:H3"/>
    <mergeCell ref="F4:H4"/>
    <mergeCell ref="A5:E5"/>
    <mergeCell ref="F5:H5"/>
  </mergeCells>
  <pageMargins left="0.75" right="0.75" top="1" bottom="1" header="0" footer="0"/>
  <pageSetup paperSize="9" scale="70" orientation="portrait" r:id="rId1"/>
  <headerFooter alignWithMargins="0"/>
  <drawing r:id="rId2"/>
</worksheet>
</file>

<file path=xl/worksheets/sheet1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900-000000000000}">
  <sheetPr>
    <tabColor theme="6" tint="0.79998168889431442"/>
  </sheetPr>
  <dimension ref="A1:I62"/>
  <sheetViews>
    <sheetView workbookViewId="0"/>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4.570312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t="e">
        <f>PRESUPUESTO!#REF!</f>
        <v>#REF!</v>
      </c>
      <c r="B7" s="2185" t="e">
        <f>PRESUPUESTO!#REF!</f>
        <v>#REF!</v>
      </c>
      <c r="C7" s="2185"/>
      <c r="D7" s="2185"/>
      <c r="E7" s="2185"/>
      <c r="F7" s="289"/>
      <c r="G7" s="290" t="s">
        <v>525</v>
      </c>
      <c r="H7" s="97" t="e">
        <f>+PRESUPUESTO!#REF!</f>
        <v>#REF!</v>
      </c>
    </row>
    <row r="8" spans="1:9">
      <c r="A8" s="97" t="e">
        <f>+PRESUPUESTO!#REF!</f>
        <v>#REF!</v>
      </c>
      <c r="B8" s="2272" t="e">
        <f>+PRESUPUESTO!#REF!</f>
        <v>#REF!</v>
      </c>
      <c r="C8" s="2257"/>
      <c r="D8" s="2257"/>
      <c r="E8" s="225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967</v>
      </c>
      <c r="B13" s="305" t="str">
        <f t="shared" ref="B13:B18" si="0">IF(A13="","",VLOOKUP(A13,EQUI,2,FALSE))</f>
        <v>Herramienta Menor (10% de la mano de obra).</v>
      </c>
      <c r="C13" s="306"/>
      <c r="D13" s="306"/>
      <c r="E13" s="276" t="str">
        <f t="shared" ref="E13:E18" si="1">IF(A13="","",VLOOKUP(A13,EQUI,3,FALSE))</f>
        <v>%</v>
      </c>
      <c r="F13" s="433">
        <f>IF(A13="","",VLOOKUP(A13,EQUI,4,FALSE))</f>
        <v>0.1</v>
      </c>
      <c r="G13" s="307">
        <f>ROUND(F13*H50,0)</f>
        <v>6715</v>
      </c>
      <c r="H13" s="308">
        <f>+G13</f>
        <v>6715</v>
      </c>
      <c r="I13" s="309"/>
    </row>
    <row r="14" spans="1:9">
      <c r="A14" s="536"/>
      <c r="B14" s="305"/>
      <c r="C14" s="306"/>
      <c r="D14" s="306"/>
      <c r="E14" s="276" t="str">
        <f t="shared" si="1"/>
        <v/>
      </c>
      <c r="F14" s="405"/>
      <c r="G14" s="310" t="str">
        <f>IF(A14="","",VLOOKUP(A14,EQUI,4,FALSE))</f>
        <v/>
      </c>
      <c r="H14" s="311" t="str">
        <f>IF(A14="","",ROUND((G14/F14),0))</f>
        <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6715</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c r="B23" s="1033" t="s">
        <v>2479</v>
      </c>
      <c r="C23" s="305"/>
      <c r="D23" s="306"/>
      <c r="E23" s="815" t="s">
        <v>1681</v>
      </c>
      <c r="F23" s="405">
        <v>1</v>
      </c>
      <c r="G23" s="310">
        <v>10000</v>
      </c>
      <c r="H23" s="311">
        <f>ROUND(F23*G23,0)</f>
        <v>10000</v>
      </c>
    </row>
    <row r="24" spans="1:8">
      <c r="A24" s="534"/>
      <c r="B24" s="1033" t="s">
        <v>2480</v>
      </c>
      <c r="C24" s="305"/>
      <c r="D24" s="306"/>
      <c r="E24" s="815" t="s">
        <v>1654</v>
      </c>
      <c r="F24" s="405">
        <v>4</v>
      </c>
      <c r="G24" s="310">
        <v>3104</v>
      </c>
      <c r="H24" s="311">
        <f t="shared" ref="H24:H26" si="2">ROUND(F24*G24,0)</f>
        <v>12416</v>
      </c>
    </row>
    <row r="25" spans="1:8">
      <c r="A25" s="534"/>
      <c r="B25" s="1033" t="s">
        <v>2477</v>
      </c>
      <c r="C25" s="305"/>
      <c r="D25" s="306"/>
      <c r="E25" s="815" t="s">
        <v>1681</v>
      </c>
      <c r="F25" s="405">
        <v>1</v>
      </c>
      <c r="G25" s="310">
        <v>2970</v>
      </c>
      <c r="H25" s="311">
        <f t="shared" si="2"/>
        <v>2970</v>
      </c>
    </row>
    <row r="26" spans="1:8">
      <c r="A26" s="534"/>
      <c r="B26" s="816" t="s">
        <v>2481</v>
      </c>
      <c r="C26" s="305"/>
      <c r="D26" s="306"/>
      <c r="E26" s="815" t="s">
        <v>1681</v>
      </c>
      <c r="F26" s="405">
        <v>2</v>
      </c>
      <c r="G26" s="310">
        <v>250</v>
      </c>
      <c r="H26" s="311">
        <f t="shared" si="2"/>
        <v>500</v>
      </c>
    </row>
    <row r="27" spans="1:8">
      <c r="A27" s="534"/>
      <c r="B27" s="305" t="str">
        <f t="shared" ref="B27:B32" si="3">IF(A27="","",VLOOKUP(A27,MAT,2,FALSE))</f>
        <v/>
      </c>
      <c r="C27" s="305"/>
      <c r="D27" s="306"/>
      <c r="E27" s="276" t="str">
        <f t="shared" ref="E27:E32" si="4">IF(A27="","",VLOOKUP(A27,MAT,3,FALSE))</f>
        <v/>
      </c>
      <c r="F27" s="405"/>
      <c r="G27" s="310" t="str">
        <f t="shared" ref="G27:G32" si="5">IF(A27="","",VLOOKUP(A27,MAT,5,FALSE))</f>
        <v/>
      </c>
      <c r="H27" s="311" t="str">
        <f t="shared" ref="H27:H32" si="6">IF(A27="","",ROUND((G27*F27),0))</f>
        <v/>
      </c>
    </row>
    <row r="28" spans="1:8">
      <c r="A28" s="534"/>
      <c r="B28" s="305" t="str">
        <f t="shared" si="3"/>
        <v/>
      </c>
      <c r="C28" s="305"/>
      <c r="D28" s="306"/>
      <c r="E28" s="276" t="str">
        <f t="shared" si="4"/>
        <v/>
      </c>
      <c r="F28" s="405"/>
      <c r="G28" s="310" t="str">
        <f t="shared" si="5"/>
        <v/>
      </c>
      <c r="H28" s="311" t="str">
        <f t="shared" si="6"/>
        <v/>
      </c>
    </row>
    <row r="29" spans="1:8">
      <c r="A29" s="534"/>
      <c r="B29" s="305" t="str">
        <f t="shared" si="3"/>
        <v/>
      </c>
      <c r="C29" s="305"/>
      <c r="D29" s="306"/>
      <c r="E29" s="276" t="str">
        <f t="shared" si="4"/>
        <v/>
      </c>
      <c r="F29" s="405"/>
      <c r="G29" s="310" t="str">
        <f t="shared" si="5"/>
        <v/>
      </c>
      <c r="H29" s="311" t="str">
        <f t="shared" si="6"/>
        <v/>
      </c>
    </row>
    <row r="30" spans="1:8">
      <c r="A30" s="534"/>
      <c r="B30" s="305" t="str">
        <f t="shared" si="3"/>
        <v/>
      </c>
      <c r="C30" s="305"/>
      <c r="D30" s="306"/>
      <c r="E30" s="276" t="str">
        <f t="shared" si="4"/>
        <v/>
      </c>
      <c r="F30" s="405"/>
      <c r="G30" s="310" t="str">
        <f t="shared" si="5"/>
        <v/>
      </c>
      <c r="H30" s="311" t="str">
        <f t="shared" si="6"/>
        <v/>
      </c>
    </row>
    <row r="31" spans="1:8">
      <c r="A31" s="534"/>
      <c r="B31" s="305" t="str">
        <f t="shared" si="3"/>
        <v/>
      </c>
      <c r="C31" s="305"/>
      <c r="D31" s="306"/>
      <c r="E31" s="276" t="str">
        <f t="shared" si="4"/>
        <v/>
      </c>
      <c r="F31" s="405"/>
      <c r="G31" s="310" t="str">
        <f t="shared" si="5"/>
        <v/>
      </c>
      <c r="H31" s="311" t="str">
        <f t="shared" si="6"/>
        <v/>
      </c>
    </row>
    <row r="32" spans="1:8" ht="13.5" thickBot="1">
      <c r="A32" s="535"/>
      <c r="B32" s="326" t="str">
        <f t="shared" si="3"/>
        <v/>
      </c>
      <c r="C32" s="314"/>
      <c r="D32" s="314"/>
      <c r="E32" s="315" t="str">
        <f t="shared" si="4"/>
        <v/>
      </c>
      <c r="F32" s="406"/>
      <c r="G32" s="327" t="str">
        <f t="shared" si="5"/>
        <v/>
      </c>
      <c r="H32" s="311" t="str">
        <f t="shared" si="6"/>
        <v/>
      </c>
    </row>
    <row r="33" spans="1:8" ht="13.5" thickBot="1">
      <c r="A33" s="285"/>
      <c r="B33" s="285"/>
      <c r="C33" s="285"/>
      <c r="D33" s="285"/>
      <c r="E33" s="286"/>
      <c r="F33" s="285"/>
      <c r="G33" s="210" t="s">
        <v>529</v>
      </c>
      <c r="H33" s="328">
        <f>ROUND(SUM(H23:H32),0)</f>
        <v>25886</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546"/>
      <c r="B37" s="737" t="s">
        <v>2493</v>
      </c>
      <c r="C37" s="772"/>
      <c r="D37" s="773"/>
      <c r="E37" s="774"/>
      <c r="F37" s="775"/>
      <c r="G37" s="1066">
        <v>0.06</v>
      </c>
      <c r="H37" s="746">
        <f>ROUND(G37*H33,0)</f>
        <v>1553</v>
      </c>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1553</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883</v>
      </c>
      <c r="B46" s="2192" t="str">
        <f>IF(A46="","",VLOOKUP(A46,MO,2,FALSE))</f>
        <v>Cuadrilla AA: Albañilería. (1 Of. + 1 Ayud.).</v>
      </c>
      <c r="C46" s="2193"/>
      <c r="D46" s="2194"/>
      <c r="E46" s="538" t="str">
        <f>IF(A46="","",VLOOKUP(A46,MO,13,FALSE))</f>
        <v>HC</v>
      </c>
      <c r="F46" s="544">
        <v>0.57999999999999996</v>
      </c>
      <c r="G46" s="540">
        <f>IF(A46="","",VLOOKUP(A46,MO,15,FALSE))</f>
        <v>38949</v>
      </c>
      <c r="H46" s="542">
        <f>IF(A46="","",ROUND((G46/F46),0))</f>
        <v>67153</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67153</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101307</v>
      </c>
    </row>
    <row r="53" spans="1:8">
      <c r="A53" s="285"/>
      <c r="B53" s="285"/>
      <c r="C53" s="285"/>
      <c r="D53" s="285"/>
      <c r="E53" s="346"/>
      <c r="F53" s="347"/>
      <c r="G53" s="347"/>
      <c r="H53" s="349"/>
    </row>
    <row r="54" spans="1:8">
      <c r="A54" s="285"/>
      <c r="B54" s="285"/>
      <c r="C54" s="285"/>
      <c r="D54" s="285"/>
      <c r="E54" s="346"/>
      <c r="F54" s="347"/>
      <c r="G54" s="347"/>
      <c r="H54" s="349"/>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c r="A59" s="703" t="str">
        <f>+[14]PRESUPUESTO!$A$113</f>
        <v>__________________________________________</v>
      </c>
      <c r="B59" s="703"/>
    </row>
    <row r="60" spans="1:8">
      <c r="A60" s="810" t="str">
        <f>+[14]PRESUPUESTO!$A$114</f>
        <v>Ing. JHON FREDY GARCIA MENDEZ</v>
      </c>
      <c r="B60" s="703"/>
    </row>
    <row r="61" spans="1:8">
      <c r="A61" s="811" t="str">
        <f>+[14]PRESUPUESTO!$A$115</f>
        <v>M.P.  70268-326294 TLM.</v>
      </c>
      <c r="B61" s="703"/>
    </row>
    <row r="62" spans="1:8">
      <c r="A62" s="811" t="str">
        <f>+[14]PRESUPUESTO!$A$116</f>
        <v>CONSULTOR</v>
      </c>
      <c r="B62" s="703"/>
    </row>
  </sheetData>
  <mergeCells count="15">
    <mergeCell ref="B47:D47"/>
    <mergeCell ref="B48:D48"/>
    <mergeCell ref="B49:D49"/>
    <mergeCell ref="B6:D6"/>
    <mergeCell ref="B7:E7"/>
    <mergeCell ref="B8:E8"/>
    <mergeCell ref="B36:C36"/>
    <mergeCell ref="B45:D45"/>
    <mergeCell ref="B46:D46"/>
    <mergeCell ref="D2:E4"/>
    <mergeCell ref="F2:H2"/>
    <mergeCell ref="F3:H3"/>
    <mergeCell ref="F4:H4"/>
    <mergeCell ref="A5:E5"/>
    <mergeCell ref="F5:H5"/>
  </mergeCells>
  <pageMargins left="0.75" right="0.75" top="1" bottom="1" header="0" footer="0"/>
  <pageSetup paperSize="9" scale="70" orientation="portrait" r:id="rId1"/>
  <headerFooter alignWithMargins="0"/>
  <drawing r:id="rId2"/>
</worksheet>
</file>

<file path=xl/worksheets/sheet1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A00-000000000000}">
  <sheetPr>
    <tabColor theme="6" tint="0.79998168889431442"/>
  </sheetPr>
  <dimension ref="A1:I62"/>
  <sheetViews>
    <sheetView workbookViewId="0"/>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2.710937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t="e">
        <f>PRESUPUESTO!#REF!</f>
        <v>#REF!</v>
      </c>
      <c r="B7" s="2185" t="e">
        <f>PRESUPUESTO!#REF!</f>
        <v>#REF!</v>
      </c>
      <c r="C7" s="2185"/>
      <c r="D7" s="2185"/>
      <c r="E7" s="2185"/>
      <c r="F7" s="289"/>
      <c r="G7" s="290" t="s">
        <v>525</v>
      </c>
      <c r="H7" s="97" t="e">
        <f>+PRESUPUESTO!#REF!</f>
        <v>#REF!</v>
      </c>
    </row>
    <row r="8" spans="1:9" ht="54.75" customHeight="1">
      <c r="A8" s="97" t="e">
        <f>+PRESUPUESTO!#REF!</f>
        <v>#REF!</v>
      </c>
      <c r="B8" s="2217" t="e">
        <f>+PRESUPUESTO!#REF!</f>
        <v>#REF!</v>
      </c>
      <c r="C8" s="2217"/>
      <c r="D8" s="2217"/>
      <c r="E8" s="221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966</v>
      </c>
      <c r="B13" s="305" t="str">
        <f t="shared" ref="B13:B18" si="0">IF(A13="","",VLOOKUP(A13,EQUI,2,FALSE))</f>
        <v>Herramienta Menor (5% de la mano de obra).</v>
      </c>
      <c r="C13" s="306"/>
      <c r="D13" s="306"/>
      <c r="E13" s="276" t="str">
        <f t="shared" ref="E13:E18" si="1">IF(A13="","",VLOOKUP(A13,EQUI,3,FALSE))</f>
        <v>%</v>
      </c>
      <c r="F13" s="433">
        <f>IF(A13="","",VLOOKUP(A13,EQUI,4,FALSE))</f>
        <v>0.05</v>
      </c>
      <c r="G13" s="307">
        <f>ROUND(F13*H50,0)</f>
        <v>1180</v>
      </c>
      <c r="H13" s="308">
        <f>+G13</f>
        <v>1180</v>
      </c>
      <c r="I13" s="309"/>
    </row>
    <row r="14" spans="1:9">
      <c r="A14" s="536" t="s">
        <v>481</v>
      </c>
      <c r="B14" s="305" t="str">
        <f t="shared" si="0"/>
        <v>Apisonador tipo canguro</v>
      </c>
      <c r="C14" s="306"/>
      <c r="D14" s="306"/>
      <c r="E14" s="276" t="str">
        <f t="shared" si="1"/>
        <v>Dia</v>
      </c>
      <c r="F14" s="405">
        <v>20</v>
      </c>
      <c r="G14" s="310">
        <f>IF(A14="","",VLOOKUP(A14,EQUI,4,FALSE))</f>
        <v>95693</v>
      </c>
      <c r="H14" s="311">
        <f>IF(A14="","",ROUND((G14/F14),0))</f>
        <v>4785</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5965</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c r="B23" s="353" t="str">
        <f t="shared" ref="B23:B32" si="2">IF(A23="","",VLOOKUP(A23,MAT,2,FALSE))</f>
        <v/>
      </c>
      <c r="C23" s="305"/>
      <c r="D23" s="306"/>
      <c r="E23" s="276" t="str">
        <f t="shared" ref="E23:E32" si="3">IF(A23="","",VLOOKUP(A23,MAT,3,FALSE))</f>
        <v/>
      </c>
      <c r="F23" s="405"/>
      <c r="G23" s="310" t="str">
        <f t="shared" ref="G23:G32" si="4">IF(A23="","",VLOOKUP(A23,MAT,5,FALSE))</f>
        <v/>
      </c>
      <c r="H23" s="311" t="str">
        <f t="shared" ref="H23:H32" si="5">IF(A23="","",ROUND((G23*F23),0))</f>
        <v/>
      </c>
    </row>
    <row r="24" spans="1:8">
      <c r="A24" s="534"/>
      <c r="B24" s="353" t="str">
        <f t="shared" si="2"/>
        <v/>
      </c>
      <c r="C24" s="305"/>
      <c r="D24" s="306"/>
      <c r="E24" s="276" t="str">
        <f t="shared" si="3"/>
        <v/>
      </c>
      <c r="F24" s="405"/>
      <c r="G24" s="310" t="str">
        <f t="shared" si="4"/>
        <v/>
      </c>
      <c r="H24" s="311" t="str">
        <f t="shared" si="5"/>
        <v/>
      </c>
    </row>
    <row r="25" spans="1:8">
      <c r="A25" s="534"/>
      <c r="B25" s="353" t="str">
        <f t="shared" si="2"/>
        <v/>
      </c>
      <c r="C25" s="305"/>
      <c r="D25" s="306"/>
      <c r="E25" s="276" t="str">
        <f t="shared" si="3"/>
        <v/>
      </c>
      <c r="F25" s="405"/>
      <c r="G25" s="310" t="str">
        <f t="shared" si="4"/>
        <v/>
      </c>
      <c r="H25" s="311" t="str">
        <f t="shared" si="5"/>
        <v/>
      </c>
    </row>
    <row r="26" spans="1:8">
      <c r="A26" s="534"/>
      <c r="B26" s="305" t="str">
        <f t="shared" si="2"/>
        <v/>
      </c>
      <c r="C26" s="305"/>
      <c r="D26" s="306"/>
      <c r="E26" s="276" t="str">
        <f t="shared" si="3"/>
        <v/>
      </c>
      <c r="F26" s="405"/>
      <c r="G26" s="310" t="str">
        <f t="shared" si="4"/>
        <v/>
      </c>
      <c r="H26" s="311" t="str">
        <f t="shared" si="5"/>
        <v/>
      </c>
    </row>
    <row r="27" spans="1:8">
      <c r="A27" s="534"/>
      <c r="B27" s="305" t="str">
        <f t="shared" si="2"/>
        <v/>
      </c>
      <c r="C27" s="305"/>
      <c r="D27" s="306"/>
      <c r="E27" s="276" t="str">
        <f t="shared" si="3"/>
        <v/>
      </c>
      <c r="F27" s="405"/>
      <c r="G27" s="310" t="str">
        <f t="shared" si="4"/>
        <v/>
      </c>
      <c r="H27" s="311" t="str">
        <f t="shared" si="5"/>
        <v/>
      </c>
    </row>
    <row r="28" spans="1:8">
      <c r="A28" s="534"/>
      <c r="B28" s="305" t="str">
        <f t="shared" si="2"/>
        <v/>
      </c>
      <c r="C28" s="305"/>
      <c r="D28" s="306"/>
      <c r="E28" s="276" t="str">
        <f t="shared" si="3"/>
        <v/>
      </c>
      <c r="F28" s="405"/>
      <c r="G28" s="310" t="str">
        <f t="shared" si="4"/>
        <v/>
      </c>
      <c r="H28" s="311" t="str">
        <f t="shared" si="5"/>
        <v/>
      </c>
    </row>
    <row r="29" spans="1:8">
      <c r="A29" s="534"/>
      <c r="B29" s="305" t="str">
        <f t="shared" si="2"/>
        <v/>
      </c>
      <c r="C29" s="305"/>
      <c r="D29" s="306"/>
      <c r="E29" s="276" t="str">
        <f t="shared" si="3"/>
        <v/>
      </c>
      <c r="F29" s="405"/>
      <c r="G29" s="310" t="str">
        <f t="shared" si="4"/>
        <v/>
      </c>
      <c r="H29" s="311" t="str">
        <f t="shared" si="5"/>
        <v/>
      </c>
    </row>
    <row r="30" spans="1:8">
      <c r="A30" s="534"/>
      <c r="B30" s="305" t="str">
        <f t="shared" si="2"/>
        <v/>
      </c>
      <c r="C30" s="305"/>
      <c r="D30" s="306"/>
      <c r="E30" s="276" t="str">
        <f t="shared" si="3"/>
        <v/>
      </c>
      <c r="F30" s="405"/>
      <c r="G30" s="310" t="str">
        <f t="shared" si="4"/>
        <v/>
      </c>
      <c r="H30" s="311" t="str">
        <f t="shared" si="5"/>
        <v/>
      </c>
    </row>
    <row r="31" spans="1:8">
      <c r="A31" s="534"/>
      <c r="B31" s="305" t="str">
        <f t="shared" si="2"/>
        <v/>
      </c>
      <c r="C31" s="305"/>
      <c r="D31" s="306"/>
      <c r="E31" s="276" t="str">
        <f t="shared" si="3"/>
        <v/>
      </c>
      <c r="F31" s="405"/>
      <c r="G31" s="310" t="str">
        <f t="shared" si="4"/>
        <v/>
      </c>
      <c r="H31" s="311" t="str">
        <f t="shared" si="5"/>
        <v/>
      </c>
    </row>
    <row r="32" spans="1:8" ht="13.5" thickBot="1">
      <c r="A32" s="535"/>
      <c r="B32" s="326" t="str">
        <f t="shared" si="2"/>
        <v/>
      </c>
      <c r="C32" s="314"/>
      <c r="D32" s="314"/>
      <c r="E32" s="315" t="str">
        <f t="shared" si="3"/>
        <v/>
      </c>
      <c r="F32" s="406"/>
      <c r="G32" s="327" t="str">
        <f t="shared" si="4"/>
        <v/>
      </c>
      <c r="H32" s="311" t="str">
        <f t="shared" si="5"/>
        <v/>
      </c>
    </row>
    <row r="33" spans="1:8" ht="13.5" thickBot="1">
      <c r="A33" s="285"/>
      <c r="B33" s="285"/>
      <c r="C33" s="285"/>
      <c r="D33" s="285"/>
      <c r="E33" s="286"/>
      <c r="F33" s="285"/>
      <c r="G33" s="210" t="s">
        <v>529</v>
      </c>
      <c r="H33" s="328">
        <f>ROUND(SUM(H23:H32),0)</f>
        <v>0</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546"/>
      <c r="B37" s="305" t="str">
        <f>IF(A37="","",VLOOKUP(A37,MAT,2,FALSE))</f>
        <v/>
      </c>
      <c r="C37" s="333"/>
      <c r="D37" s="409" t="str">
        <f>IF(A37="","",VLOOKUP(A37,MAT,3,FALSE))</f>
        <v/>
      </c>
      <c r="E37" s="419" t="str">
        <f>IF(A37="","",VLOOKUP(A37,MAT,6,FALSE))</f>
        <v/>
      </c>
      <c r="F37" s="413"/>
      <c r="G37" s="334" t="str">
        <f>IF(A37="","",VLOOKUP(A37,MAT,7,FALSE))</f>
        <v/>
      </c>
      <c r="H37" s="311" t="str">
        <f>IF(A37="","",ROUND((G37*F37*E37),0))</f>
        <v/>
      </c>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t="str">
        <f>IF(A39="","",ROUND((G39*F39*E39),0))</f>
        <v/>
      </c>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0</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883</v>
      </c>
      <c r="B46" s="2192" t="str">
        <f>IF(A46="","",VLOOKUP(A46,MO,2,FALSE))</f>
        <v>Cuadrilla AA: Albañilería. (1 Of. + 1 Ayud.).</v>
      </c>
      <c r="C46" s="2193"/>
      <c r="D46" s="2194"/>
      <c r="E46" s="538" t="str">
        <f>IF(A46="","",VLOOKUP(A46,MO,13,FALSE))</f>
        <v>HC</v>
      </c>
      <c r="F46" s="544">
        <v>1.65</v>
      </c>
      <c r="G46" s="540">
        <f>IF(A46="","",VLOOKUP(A46,MO,15,FALSE))</f>
        <v>38949</v>
      </c>
      <c r="H46" s="542">
        <f>IF(A46="","",ROUND((G46/F46),0))</f>
        <v>23605</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23605</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29570</v>
      </c>
    </row>
    <row r="53" spans="1:8">
      <c r="A53" s="285"/>
      <c r="B53" s="285"/>
      <c r="C53" s="285"/>
      <c r="D53" s="285"/>
      <c r="E53" s="346"/>
      <c r="F53" s="347"/>
      <c r="G53" s="347"/>
      <c r="H53" s="349"/>
    </row>
    <row r="54" spans="1:8">
      <c r="A54" s="285"/>
      <c r="B54" s="285"/>
      <c r="C54" s="285"/>
      <c r="D54" s="285"/>
      <c r="E54" s="346"/>
      <c r="F54" s="347"/>
      <c r="G54" s="347"/>
      <c r="H54" s="349"/>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c r="A59" s="703" t="str">
        <f>+[14]PRESUPUESTO!$A$113</f>
        <v>__________________________________________</v>
      </c>
      <c r="B59" s="703"/>
      <c r="C59" s="703"/>
    </row>
    <row r="60" spans="1:8">
      <c r="A60" s="810" t="str">
        <f>+[14]PRESUPUESTO!$A$114</f>
        <v>Ing. JHON FREDY GARCIA MENDEZ</v>
      </c>
      <c r="B60" s="703"/>
      <c r="C60" s="703"/>
    </row>
    <row r="61" spans="1:8">
      <c r="A61" s="811" t="str">
        <f>+[14]PRESUPUESTO!$A$115</f>
        <v>M.P.  70268-326294 TLM.</v>
      </c>
      <c r="B61" s="703"/>
      <c r="C61" s="703"/>
    </row>
    <row r="62" spans="1:8">
      <c r="A62" s="811" t="str">
        <f>+[14]PRESUPUESTO!$A$116</f>
        <v>CONSULTOR</v>
      </c>
      <c r="B62" s="703"/>
      <c r="C62" s="703"/>
    </row>
  </sheetData>
  <mergeCells count="15">
    <mergeCell ref="B47:D47"/>
    <mergeCell ref="B48:D48"/>
    <mergeCell ref="B49:D49"/>
    <mergeCell ref="B6:D6"/>
    <mergeCell ref="B7:E7"/>
    <mergeCell ref="B8:E8"/>
    <mergeCell ref="B36:C36"/>
    <mergeCell ref="B45:D45"/>
    <mergeCell ref="B46:D46"/>
    <mergeCell ref="D2:E4"/>
    <mergeCell ref="F2:H2"/>
    <mergeCell ref="F3:H3"/>
    <mergeCell ref="F4:H4"/>
    <mergeCell ref="A5:E5"/>
    <mergeCell ref="F5:H5"/>
  </mergeCells>
  <pageMargins left="0.75" right="0.75" top="1" bottom="1" header="0" footer="0"/>
  <pageSetup paperSize="9" scale="70" orientation="portrait" r:id="rId1"/>
  <headerFooter alignWithMargins="0"/>
  <drawing r:id="rId2"/>
</worksheet>
</file>

<file path=xl/worksheets/sheet1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B00-000000000000}">
  <sheetPr>
    <tabColor theme="6" tint="0.79998168889431442"/>
  </sheetPr>
  <dimension ref="A1:I62"/>
  <sheetViews>
    <sheetView workbookViewId="0"/>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2.710937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t="e">
        <f>PRESUPUESTO!#REF!</f>
        <v>#REF!</v>
      </c>
      <c r="B7" s="2185" t="e">
        <f>PRESUPUESTO!#REF!</f>
        <v>#REF!</v>
      </c>
      <c r="C7" s="2185"/>
      <c r="D7" s="2185"/>
      <c r="E7" s="2185"/>
      <c r="F7" s="289"/>
      <c r="G7" s="290" t="s">
        <v>525</v>
      </c>
      <c r="H7" s="97" t="e">
        <f>+PRESUPUESTO!#REF!</f>
        <v>#REF!</v>
      </c>
    </row>
    <row r="8" spans="1:9">
      <c r="A8" s="97" t="e">
        <f>+PRESUPUESTO!#REF!</f>
        <v>#REF!</v>
      </c>
      <c r="B8" s="2217" t="e">
        <f>+PRESUPUESTO!#REF!</f>
        <v>#REF!</v>
      </c>
      <c r="C8" s="2217"/>
      <c r="D8" s="2217"/>
      <c r="E8" s="221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v>3</v>
      </c>
      <c r="H12" s="278" t="s">
        <v>831</v>
      </c>
    </row>
    <row r="13" spans="1:9">
      <c r="A13" s="536" t="s">
        <v>966</v>
      </c>
      <c r="B13" s="305" t="str">
        <f t="shared" ref="B13:B18" si="0">IF(A13="","",VLOOKUP(A13,EQUI,2,FALSE))</f>
        <v>Herramienta Menor (5% de la mano de obra).</v>
      </c>
      <c r="C13" s="306"/>
      <c r="D13" s="306"/>
      <c r="E13" s="276" t="str">
        <f t="shared" ref="E13:E18" si="1">IF(A13="","",VLOOKUP(A13,EQUI,3,FALSE))</f>
        <v>%</v>
      </c>
      <c r="F13" s="433">
        <f>IF(A13="","",VLOOKUP(A13,EQUI,4,FALSE))</f>
        <v>0.05</v>
      </c>
      <c r="G13" s="307">
        <f>ROUND(F13*H50,0)</f>
        <v>3895</v>
      </c>
      <c r="H13" s="308">
        <f>+G13</f>
        <v>3895</v>
      </c>
      <c r="I13" s="309"/>
    </row>
    <row r="14" spans="1:9">
      <c r="A14" s="536"/>
      <c r="B14" s="305" t="str">
        <f t="shared" si="0"/>
        <v/>
      </c>
      <c r="C14" s="306"/>
      <c r="D14" s="306"/>
      <c r="E14" s="276" t="str">
        <f t="shared" si="1"/>
        <v/>
      </c>
      <c r="F14" s="405"/>
      <c r="G14" s="310" t="str">
        <f>IF(A14="","",VLOOKUP(A14,EQUI,4,FALSE))</f>
        <v/>
      </c>
      <c r="H14" s="311" t="str">
        <f>IF(A14="","",ROUND((G14/F14),0))</f>
        <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3895</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c r="B23" s="353" t="str">
        <f t="shared" ref="B23:B32" si="2">IF(A23="","",VLOOKUP(A23,MAT,2,FALSE))</f>
        <v/>
      </c>
      <c r="C23" s="305"/>
      <c r="D23" s="306"/>
      <c r="E23" s="276" t="str">
        <f t="shared" ref="E23:E32" si="3">IF(A23="","",VLOOKUP(A23,MAT,3,FALSE))</f>
        <v/>
      </c>
      <c r="F23" s="405"/>
      <c r="G23" s="310" t="str">
        <f t="shared" ref="G23:G32" si="4">IF(A23="","",VLOOKUP(A23,MAT,5,FALSE))</f>
        <v/>
      </c>
      <c r="H23" s="311" t="str">
        <f t="shared" ref="H23:H32" si="5">IF(A23="","",ROUND((G23*F23),0))</f>
        <v/>
      </c>
    </row>
    <row r="24" spans="1:8">
      <c r="A24" s="534"/>
      <c r="B24" s="353" t="str">
        <f t="shared" si="2"/>
        <v/>
      </c>
      <c r="C24" s="305"/>
      <c r="D24" s="306"/>
      <c r="E24" s="276" t="str">
        <f t="shared" si="3"/>
        <v/>
      </c>
      <c r="F24" s="405"/>
      <c r="G24" s="310" t="str">
        <f t="shared" si="4"/>
        <v/>
      </c>
      <c r="H24" s="311" t="str">
        <f t="shared" si="5"/>
        <v/>
      </c>
    </row>
    <row r="25" spans="1:8">
      <c r="A25" s="534"/>
      <c r="B25" s="353" t="str">
        <f t="shared" si="2"/>
        <v/>
      </c>
      <c r="C25" s="305"/>
      <c r="D25" s="306"/>
      <c r="E25" s="276" t="str">
        <f t="shared" si="3"/>
        <v/>
      </c>
      <c r="F25" s="405"/>
      <c r="G25" s="310" t="str">
        <f t="shared" si="4"/>
        <v/>
      </c>
      <c r="H25" s="311" t="str">
        <f t="shared" si="5"/>
        <v/>
      </c>
    </row>
    <row r="26" spans="1:8">
      <c r="A26" s="534"/>
      <c r="B26" s="305" t="str">
        <f t="shared" si="2"/>
        <v/>
      </c>
      <c r="C26" s="305"/>
      <c r="D26" s="306"/>
      <c r="E26" s="276" t="str">
        <f t="shared" si="3"/>
        <v/>
      </c>
      <c r="F26" s="405"/>
      <c r="G26" s="310" t="str">
        <f t="shared" si="4"/>
        <v/>
      </c>
      <c r="H26" s="311" t="str">
        <f t="shared" si="5"/>
        <v/>
      </c>
    </row>
    <row r="27" spans="1:8">
      <c r="A27" s="534"/>
      <c r="B27" s="305" t="str">
        <f t="shared" si="2"/>
        <v/>
      </c>
      <c r="C27" s="305"/>
      <c r="D27" s="306"/>
      <c r="E27" s="276" t="str">
        <f t="shared" si="3"/>
        <v/>
      </c>
      <c r="F27" s="405"/>
      <c r="G27" s="310" t="str">
        <f t="shared" si="4"/>
        <v/>
      </c>
      <c r="H27" s="311" t="str">
        <f t="shared" si="5"/>
        <v/>
      </c>
    </row>
    <row r="28" spans="1:8">
      <c r="A28" s="534"/>
      <c r="B28" s="305" t="str">
        <f t="shared" si="2"/>
        <v/>
      </c>
      <c r="C28" s="305"/>
      <c r="D28" s="306"/>
      <c r="E28" s="276" t="str">
        <f t="shared" si="3"/>
        <v/>
      </c>
      <c r="F28" s="405"/>
      <c r="G28" s="310" t="str">
        <f t="shared" si="4"/>
        <v/>
      </c>
      <c r="H28" s="311" t="str">
        <f t="shared" si="5"/>
        <v/>
      </c>
    </row>
    <row r="29" spans="1:8">
      <c r="A29" s="534"/>
      <c r="B29" s="305" t="str">
        <f t="shared" si="2"/>
        <v/>
      </c>
      <c r="C29" s="305"/>
      <c r="D29" s="306"/>
      <c r="E29" s="276" t="str">
        <f t="shared" si="3"/>
        <v/>
      </c>
      <c r="F29" s="405"/>
      <c r="G29" s="310" t="str">
        <f t="shared" si="4"/>
        <v/>
      </c>
      <c r="H29" s="311" t="str">
        <f t="shared" si="5"/>
        <v/>
      </c>
    </row>
    <row r="30" spans="1:8">
      <c r="A30" s="534"/>
      <c r="B30" s="305" t="str">
        <f t="shared" si="2"/>
        <v/>
      </c>
      <c r="C30" s="305"/>
      <c r="D30" s="306"/>
      <c r="E30" s="276" t="str">
        <f t="shared" si="3"/>
        <v/>
      </c>
      <c r="F30" s="405"/>
      <c r="G30" s="310" t="str">
        <f t="shared" si="4"/>
        <v/>
      </c>
      <c r="H30" s="311" t="str">
        <f t="shared" si="5"/>
        <v/>
      </c>
    </row>
    <row r="31" spans="1:8">
      <c r="A31" s="534"/>
      <c r="B31" s="305" t="str">
        <f t="shared" si="2"/>
        <v/>
      </c>
      <c r="C31" s="305"/>
      <c r="D31" s="306"/>
      <c r="E31" s="276" t="str">
        <f t="shared" si="3"/>
        <v/>
      </c>
      <c r="F31" s="405"/>
      <c r="G31" s="310" t="str">
        <f t="shared" si="4"/>
        <v/>
      </c>
      <c r="H31" s="311" t="str">
        <f t="shared" si="5"/>
        <v/>
      </c>
    </row>
    <row r="32" spans="1:8" ht="13.5" thickBot="1">
      <c r="A32" s="535"/>
      <c r="B32" s="326" t="str">
        <f t="shared" si="2"/>
        <v/>
      </c>
      <c r="C32" s="314"/>
      <c r="D32" s="314"/>
      <c r="E32" s="315" t="str">
        <f t="shared" si="3"/>
        <v/>
      </c>
      <c r="F32" s="406"/>
      <c r="G32" s="327" t="str">
        <f t="shared" si="4"/>
        <v/>
      </c>
      <c r="H32" s="311" t="str">
        <f t="shared" si="5"/>
        <v/>
      </c>
    </row>
    <row r="33" spans="1:8" ht="13.5" thickBot="1">
      <c r="A33" s="285"/>
      <c r="B33" s="285"/>
      <c r="C33" s="285"/>
      <c r="D33" s="285"/>
      <c r="E33" s="286"/>
      <c r="F33" s="285"/>
      <c r="G33" s="210" t="s">
        <v>529</v>
      </c>
      <c r="H33" s="328">
        <f>ROUND(SUM(H23:H32),0)</f>
        <v>0</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546"/>
      <c r="B37" s="305" t="str">
        <f>IF(A37="","",VLOOKUP(A37,MAT,2,FALSE))</f>
        <v/>
      </c>
      <c r="C37" s="333"/>
      <c r="D37" s="409" t="str">
        <f>IF(A37="","",VLOOKUP(A37,MAT,3,FALSE))</f>
        <v/>
      </c>
      <c r="E37" s="419" t="str">
        <f>IF(A37="","",VLOOKUP(A37,MAT,6,FALSE))</f>
        <v/>
      </c>
      <c r="F37" s="413"/>
      <c r="G37" s="334" t="str">
        <f>IF(A37="","",VLOOKUP(A37,MAT,7,FALSE))</f>
        <v/>
      </c>
      <c r="H37" s="311" t="str">
        <f>IF(A37="","",ROUND((G37*F37*E37),0))</f>
        <v/>
      </c>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t="str">
        <f>IF(A39="","",ROUND((G39*F39*E39),0))</f>
        <v/>
      </c>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0</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883</v>
      </c>
      <c r="B46" s="2192" t="str">
        <f>IF(A46="","",VLOOKUP(A46,MO,2,FALSE))</f>
        <v>Cuadrilla AA: Albañilería. (1 Of. + 1 Ayud.).</v>
      </c>
      <c r="C46" s="2193"/>
      <c r="D46" s="2194"/>
      <c r="E46" s="538" t="str">
        <f>IF(A46="","",VLOOKUP(A46,MO,13,FALSE))</f>
        <v>HC</v>
      </c>
      <c r="F46" s="544">
        <v>0.5</v>
      </c>
      <c r="G46" s="540">
        <f>IF(A46="","",VLOOKUP(A46,MO,15,FALSE))</f>
        <v>38949</v>
      </c>
      <c r="H46" s="542">
        <f>IF(A46="","",ROUND((G46/F46),0))</f>
        <v>77898</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77898</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81793</v>
      </c>
    </row>
    <row r="53" spans="1:8">
      <c r="A53" s="285"/>
      <c r="B53" s="285"/>
      <c r="C53" s="285"/>
      <c r="D53" s="285"/>
      <c r="E53" s="346"/>
      <c r="F53" s="347"/>
      <c r="G53" s="347"/>
      <c r="H53" s="349"/>
    </row>
    <row r="54" spans="1:8">
      <c r="A54" s="285"/>
      <c r="B54" s="285"/>
      <c r="C54" s="285"/>
      <c r="D54" s="285"/>
      <c r="E54" s="346"/>
      <c r="F54" s="347"/>
      <c r="G54" s="347"/>
      <c r="H54" s="349"/>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c r="A59" s="703" t="str">
        <f>+[14]PRESUPUESTO!$A$113</f>
        <v>__________________________________________</v>
      </c>
      <c r="B59" s="703"/>
    </row>
    <row r="60" spans="1:8">
      <c r="A60" s="810" t="str">
        <f>+[14]PRESUPUESTO!$A$114</f>
        <v>Ing. JHON FREDY GARCIA MENDEZ</v>
      </c>
      <c r="B60" s="703"/>
    </row>
    <row r="61" spans="1:8">
      <c r="A61" s="811" t="str">
        <f>+[14]PRESUPUESTO!$A$115</f>
        <v>M.P.  70268-326294 TLM.</v>
      </c>
      <c r="B61" s="703"/>
    </row>
    <row r="62" spans="1:8">
      <c r="A62" s="811" t="str">
        <f>+[14]PRESUPUESTO!$A$116</f>
        <v>CONSULTOR</v>
      </c>
      <c r="B62" s="703"/>
    </row>
  </sheetData>
  <mergeCells count="15">
    <mergeCell ref="B47:D47"/>
    <mergeCell ref="B48:D48"/>
    <mergeCell ref="B49:D49"/>
    <mergeCell ref="B6:D6"/>
    <mergeCell ref="B7:E7"/>
    <mergeCell ref="B8:E8"/>
    <mergeCell ref="B36:C36"/>
    <mergeCell ref="B45:D45"/>
    <mergeCell ref="B46:D46"/>
    <mergeCell ref="D2:E4"/>
    <mergeCell ref="F2:H2"/>
    <mergeCell ref="F3:H3"/>
    <mergeCell ref="F4:H4"/>
    <mergeCell ref="A5:E5"/>
    <mergeCell ref="F5:H5"/>
  </mergeCells>
  <pageMargins left="0.75" right="0.75" top="1" bottom="1" header="0" footer="0"/>
  <pageSetup paperSize="9" scale="70" orientation="portrait" r:id="rId1"/>
  <headerFooter alignWithMargins="0"/>
  <drawing r:id="rId2"/>
</worksheet>
</file>

<file path=xl/worksheets/sheet1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C00-000000000000}">
  <sheetPr>
    <tabColor theme="6" tint="0.79998168889431442"/>
  </sheetPr>
  <dimension ref="A1:I62"/>
  <sheetViews>
    <sheetView workbookViewId="0"/>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2.710937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t="e">
        <f>PRESUPUESTO!#REF!</f>
        <v>#REF!</v>
      </c>
      <c r="B7" s="2185" t="e">
        <f>PRESUPUESTO!#REF!</f>
        <v>#REF!</v>
      </c>
      <c r="C7" s="2185"/>
      <c r="D7" s="2185"/>
      <c r="E7" s="2185"/>
      <c r="F7" s="289"/>
      <c r="G7" s="290" t="s">
        <v>525</v>
      </c>
      <c r="H7" s="97" t="e">
        <f>+PRESUPUESTO!#REF!</f>
        <v>#REF!</v>
      </c>
    </row>
    <row r="8" spans="1:9" ht="26.25" customHeight="1">
      <c r="A8" s="97" t="e">
        <f>+PRESUPUESTO!#REF!</f>
        <v>#REF!</v>
      </c>
      <c r="B8" s="2273" t="e">
        <f>+PRESUPUESTO!#REF!</f>
        <v>#REF!</v>
      </c>
      <c r="C8" s="2217"/>
      <c r="D8" s="2217"/>
      <c r="E8" s="221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966</v>
      </c>
      <c r="B13" s="305" t="str">
        <f t="shared" ref="B13:B18" si="0">IF(A13="","",VLOOKUP(A13,EQUI,2,FALSE))</f>
        <v>Herramienta Menor (5% de la mano de obra).</v>
      </c>
      <c r="C13" s="306"/>
      <c r="D13" s="306"/>
      <c r="E13" s="276" t="str">
        <f t="shared" ref="E13:E18" si="1">IF(A13="","",VLOOKUP(A13,EQUI,3,FALSE))</f>
        <v>%</v>
      </c>
      <c r="F13" s="433">
        <f>IF(A13="","",VLOOKUP(A13,EQUI,4,FALSE))</f>
        <v>0.05</v>
      </c>
      <c r="G13" s="307">
        <f>ROUND(F13*H50,0)</f>
        <v>1146</v>
      </c>
      <c r="H13" s="308">
        <f>+G13</f>
        <v>1146</v>
      </c>
      <c r="I13" s="309"/>
    </row>
    <row r="14" spans="1:9">
      <c r="A14" s="536" t="s">
        <v>481</v>
      </c>
      <c r="B14" s="305" t="str">
        <f t="shared" si="0"/>
        <v>Apisonador tipo canguro</v>
      </c>
      <c r="C14" s="306"/>
      <c r="D14" s="306"/>
      <c r="E14" s="276" t="str">
        <f t="shared" si="1"/>
        <v>Dia</v>
      </c>
      <c r="F14" s="405">
        <v>20</v>
      </c>
      <c r="G14" s="310">
        <f>IF(A14="","",VLOOKUP(A14,EQUI,4,FALSE))</f>
        <v>95693</v>
      </c>
      <c r="H14" s="311">
        <f>IF(A14="","",ROUND((G14/F14),0))</f>
        <v>4785</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5931</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t="s">
        <v>563</v>
      </c>
      <c r="B23" s="353" t="str">
        <f t="shared" ref="B23:B32" si="2">IF(A23="","",VLOOKUP(A23,MAT,2,FALSE))</f>
        <v>Recebo granular seleccionado IP&lt;10%.</v>
      </c>
      <c r="C23" s="305"/>
      <c r="D23" s="306"/>
      <c r="E23" s="276" t="str">
        <f t="shared" ref="E23:E32" si="3">IF(A23="","",VLOOKUP(A23,MAT,3,FALSE))</f>
        <v>m3</v>
      </c>
      <c r="F23" s="405">
        <v>1.25</v>
      </c>
      <c r="G23" s="310">
        <f t="shared" ref="G23:G32" si="4">IF(A23="","",VLOOKUP(A23,MAT,5,FALSE))</f>
        <v>102340</v>
      </c>
      <c r="H23" s="311">
        <f t="shared" ref="H23:H32" si="5">IF(A23="","",ROUND((G23*F23),0))</f>
        <v>127925</v>
      </c>
    </row>
    <row r="24" spans="1:8">
      <c r="A24" s="534"/>
      <c r="B24" s="353" t="str">
        <f t="shared" si="2"/>
        <v/>
      </c>
      <c r="C24" s="305"/>
      <c r="D24" s="306"/>
      <c r="E24" s="276" t="str">
        <f t="shared" si="3"/>
        <v/>
      </c>
      <c r="F24" s="405"/>
      <c r="G24" s="310" t="str">
        <f t="shared" si="4"/>
        <v/>
      </c>
      <c r="H24" s="311" t="str">
        <f t="shared" si="5"/>
        <v/>
      </c>
    </row>
    <row r="25" spans="1:8">
      <c r="A25" s="534"/>
      <c r="B25" s="353" t="str">
        <f t="shared" si="2"/>
        <v/>
      </c>
      <c r="C25" s="305"/>
      <c r="D25" s="306"/>
      <c r="E25" s="276" t="str">
        <f t="shared" si="3"/>
        <v/>
      </c>
      <c r="F25" s="405"/>
      <c r="G25" s="310" t="str">
        <f t="shared" si="4"/>
        <v/>
      </c>
      <c r="H25" s="311" t="str">
        <f t="shared" si="5"/>
        <v/>
      </c>
    </row>
    <row r="26" spans="1:8">
      <c r="A26" s="534"/>
      <c r="B26" s="305" t="str">
        <f t="shared" si="2"/>
        <v/>
      </c>
      <c r="C26" s="305"/>
      <c r="D26" s="306"/>
      <c r="E26" s="276" t="str">
        <f t="shared" si="3"/>
        <v/>
      </c>
      <c r="F26" s="405"/>
      <c r="G26" s="310" t="str">
        <f t="shared" si="4"/>
        <v/>
      </c>
      <c r="H26" s="311" t="str">
        <f t="shared" si="5"/>
        <v/>
      </c>
    </row>
    <row r="27" spans="1:8">
      <c r="A27" s="534"/>
      <c r="B27" s="305" t="str">
        <f t="shared" si="2"/>
        <v/>
      </c>
      <c r="C27" s="305"/>
      <c r="D27" s="306"/>
      <c r="E27" s="276" t="str">
        <f t="shared" si="3"/>
        <v/>
      </c>
      <c r="F27" s="405"/>
      <c r="G27" s="310" t="str">
        <f t="shared" si="4"/>
        <v/>
      </c>
      <c r="H27" s="311" t="str">
        <f t="shared" si="5"/>
        <v/>
      </c>
    </row>
    <row r="28" spans="1:8">
      <c r="A28" s="534"/>
      <c r="B28" s="305" t="str">
        <f t="shared" si="2"/>
        <v/>
      </c>
      <c r="C28" s="305"/>
      <c r="D28" s="306"/>
      <c r="E28" s="276" t="str">
        <f t="shared" si="3"/>
        <v/>
      </c>
      <c r="F28" s="405"/>
      <c r="G28" s="310" t="str">
        <f t="shared" si="4"/>
        <v/>
      </c>
      <c r="H28" s="311" t="str">
        <f t="shared" si="5"/>
        <v/>
      </c>
    </row>
    <row r="29" spans="1:8">
      <c r="A29" s="534"/>
      <c r="B29" s="305" t="str">
        <f t="shared" si="2"/>
        <v/>
      </c>
      <c r="C29" s="305"/>
      <c r="D29" s="306"/>
      <c r="E29" s="276" t="str">
        <f t="shared" si="3"/>
        <v/>
      </c>
      <c r="F29" s="405"/>
      <c r="G29" s="310" t="str">
        <f t="shared" si="4"/>
        <v/>
      </c>
      <c r="H29" s="311" t="str">
        <f t="shared" si="5"/>
        <v/>
      </c>
    </row>
    <row r="30" spans="1:8">
      <c r="A30" s="534"/>
      <c r="B30" s="305" t="str">
        <f t="shared" si="2"/>
        <v/>
      </c>
      <c r="C30" s="305"/>
      <c r="D30" s="306"/>
      <c r="E30" s="276" t="str">
        <f t="shared" si="3"/>
        <v/>
      </c>
      <c r="F30" s="405"/>
      <c r="G30" s="310" t="str">
        <f t="shared" si="4"/>
        <v/>
      </c>
      <c r="H30" s="311" t="str">
        <f t="shared" si="5"/>
        <v/>
      </c>
    </row>
    <row r="31" spans="1:8">
      <c r="A31" s="534"/>
      <c r="B31" s="305" t="str">
        <f t="shared" si="2"/>
        <v/>
      </c>
      <c r="C31" s="305"/>
      <c r="D31" s="306"/>
      <c r="E31" s="276" t="str">
        <f t="shared" si="3"/>
        <v/>
      </c>
      <c r="F31" s="405"/>
      <c r="G31" s="310" t="str">
        <f t="shared" si="4"/>
        <v/>
      </c>
      <c r="H31" s="311" t="str">
        <f t="shared" si="5"/>
        <v/>
      </c>
    </row>
    <row r="32" spans="1:8" ht="13.5" thickBot="1">
      <c r="A32" s="535"/>
      <c r="B32" s="326" t="str">
        <f t="shared" si="2"/>
        <v/>
      </c>
      <c r="C32" s="314"/>
      <c r="D32" s="314"/>
      <c r="E32" s="315" t="str">
        <f t="shared" si="3"/>
        <v/>
      </c>
      <c r="F32" s="406"/>
      <c r="G32" s="327" t="str">
        <f t="shared" si="4"/>
        <v/>
      </c>
      <c r="H32" s="311" t="str">
        <f t="shared" si="5"/>
        <v/>
      </c>
    </row>
    <row r="33" spans="1:8" ht="13.5" thickBot="1">
      <c r="A33" s="285"/>
      <c r="B33" s="285"/>
      <c r="C33" s="285"/>
      <c r="D33" s="285"/>
      <c r="E33" s="286"/>
      <c r="F33" s="285"/>
      <c r="G33" s="210" t="s">
        <v>529</v>
      </c>
      <c r="H33" s="328">
        <f>ROUND(SUM(H23:H32),0)</f>
        <v>127925</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546" t="str">
        <f>+A23</f>
        <v>REC</v>
      </c>
      <c r="B37" s="305" t="str">
        <f>IF(A37="","",VLOOKUP(A37,MAT,2,FALSE))</f>
        <v>Recebo granular seleccionado IP&lt;10%.</v>
      </c>
      <c r="C37" s="333"/>
      <c r="D37" s="409" t="str">
        <f>IF(A37="","",VLOOKUP(A37,MAT,3,FALSE))</f>
        <v>m3</v>
      </c>
      <c r="E37" s="419">
        <f>IF(A37="","",VLOOKUP(A37,MAT,6,FALSE))</f>
        <v>60.5</v>
      </c>
      <c r="F37" s="413">
        <v>1.03</v>
      </c>
      <c r="G37" s="334">
        <f>IF(A37="","",VLOOKUP(A37,MAT,7,FALSE))</f>
        <v>1500</v>
      </c>
      <c r="H37" s="311">
        <f>IF(A37="","",ROUND((G37*F37*E37),0))</f>
        <v>93473</v>
      </c>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t="str">
        <f>IF(A39="","",ROUND((G39*F39*E39),0))</f>
        <v/>
      </c>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93473</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883</v>
      </c>
      <c r="B46" s="2192" t="str">
        <f>IF(A46="","",VLOOKUP(A46,MO,2,FALSE))</f>
        <v>Cuadrilla AA: Albañilería. (1 Of. + 1 Ayud.).</v>
      </c>
      <c r="C46" s="2193"/>
      <c r="D46" s="2194"/>
      <c r="E46" s="538" t="str">
        <f>IF(A46="","",VLOOKUP(A46,MO,13,FALSE))</f>
        <v>HC</v>
      </c>
      <c r="F46" s="544">
        <v>1.7</v>
      </c>
      <c r="G46" s="540">
        <f>IF(A46="","",VLOOKUP(A46,MO,15,FALSE))</f>
        <v>38949</v>
      </c>
      <c r="H46" s="542">
        <f>IF(A46="","",ROUND((G46/F46),0))</f>
        <v>22911</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22911</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250240</v>
      </c>
    </row>
    <row r="53" spans="1:8">
      <c r="A53" s="285"/>
      <c r="B53" s="285"/>
      <c r="C53" s="285"/>
      <c r="D53" s="285"/>
      <c r="E53" s="346"/>
      <c r="F53" s="347"/>
      <c r="G53" s="347"/>
      <c r="H53" s="349"/>
    </row>
    <row r="54" spans="1:8">
      <c r="A54" s="285"/>
      <c r="B54" s="285"/>
      <c r="C54" s="285"/>
      <c r="D54" s="285"/>
      <c r="E54" s="346"/>
      <c r="F54" s="347"/>
      <c r="G54" s="347"/>
      <c r="H54" s="349"/>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c r="A59" s="703" t="str">
        <f>+[14]PRESUPUESTO!$A$113</f>
        <v>__________________________________________</v>
      </c>
      <c r="B59" s="703"/>
    </row>
    <row r="60" spans="1:8">
      <c r="A60" s="810" t="str">
        <f>+[14]PRESUPUESTO!$A$114</f>
        <v>Ing. JHON FREDY GARCIA MENDEZ</v>
      </c>
      <c r="B60" s="703"/>
    </row>
    <row r="61" spans="1:8">
      <c r="A61" s="811" t="str">
        <f>+[14]PRESUPUESTO!$A$115</f>
        <v>M.P.  70268-326294 TLM.</v>
      </c>
      <c r="B61" s="703"/>
    </row>
    <row r="62" spans="1:8">
      <c r="A62" s="811" t="str">
        <f>+[14]PRESUPUESTO!$A$116</f>
        <v>CONSULTOR</v>
      </c>
      <c r="B62" s="703"/>
    </row>
  </sheetData>
  <mergeCells count="15">
    <mergeCell ref="B47:D47"/>
    <mergeCell ref="B48:D48"/>
    <mergeCell ref="B49:D49"/>
    <mergeCell ref="B6:D6"/>
    <mergeCell ref="B7:E7"/>
    <mergeCell ref="B8:E8"/>
    <mergeCell ref="B36:C36"/>
    <mergeCell ref="B45:D45"/>
    <mergeCell ref="B46:D46"/>
    <mergeCell ref="D2:E4"/>
    <mergeCell ref="F2:H2"/>
    <mergeCell ref="F3:H3"/>
    <mergeCell ref="F4:H4"/>
    <mergeCell ref="A5:E5"/>
    <mergeCell ref="F5:H5"/>
  </mergeCells>
  <pageMargins left="0.75" right="0.75" top="1" bottom="1" header="0" footer="0"/>
  <pageSetup paperSize="9" scale="70" orientation="portrait" r:id="rId1"/>
  <headerFooter alignWithMargins="0"/>
  <drawing r:id="rId2"/>
</worksheet>
</file>

<file path=xl/worksheets/sheet1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D00-000000000000}">
  <sheetPr>
    <tabColor theme="6" tint="0.79998168889431442"/>
  </sheetPr>
  <dimension ref="A1:I62"/>
  <sheetViews>
    <sheetView workbookViewId="0"/>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4.570312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t="e">
        <f>PRESUPUESTO!#REF!</f>
        <v>#REF!</v>
      </c>
      <c r="B7" s="2185" t="e">
        <f>PRESUPUESTO!#REF!</f>
        <v>#REF!</v>
      </c>
      <c r="C7" s="2185"/>
      <c r="D7" s="2185"/>
      <c r="E7" s="2185"/>
      <c r="F7" s="289"/>
      <c r="G7" s="290" t="s">
        <v>525</v>
      </c>
      <c r="H7" s="97" t="e">
        <f>+PRESUPUESTO!#REF!</f>
        <v>#REF!</v>
      </c>
    </row>
    <row r="8" spans="1:9">
      <c r="A8" s="97" t="e">
        <f>+PRESUPUESTO!#REF!</f>
        <v>#REF!</v>
      </c>
      <c r="B8" s="2272" t="e">
        <f>+PRESUPUESTO!#REF!</f>
        <v>#REF!</v>
      </c>
      <c r="C8" s="2257"/>
      <c r="D8" s="2257"/>
      <c r="E8" s="225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967</v>
      </c>
      <c r="B13" s="305" t="str">
        <f t="shared" ref="B13:B18" si="0">IF(A13="","",VLOOKUP(A13,EQUI,2,FALSE))</f>
        <v>Herramienta Menor (10% de la mano de obra).</v>
      </c>
      <c r="C13" s="306"/>
      <c r="D13" s="306"/>
      <c r="E13" s="276" t="str">
        <f t="shared" ref="E13:E18" si="1">IF(A13="","",VLOOKUP(A13,EQUI,3,FALSE))</f>
        <v>%</v>
      </c>
      <c r="F13" s="433">
        <f>IF(A13="","",VLOOKUP(A13,EQUI,4,FALSE))</f>
        <v>0.1</v>
      </c>
      <c r="G13" s="307">
        <f>ROUND(F13*H50,0)</f>
        <v>4750</v>
      </c>
      <c r="H13" s="308">
        <f>+G13</f>
        <v>4750</v>
      </c>
      <c r="I13" s="309"/>
    </row>
    <row r="14" spans="1:9">
      <c r="A14" s="536"/>
      <c r="B14" s="305"/>
      <c r="C14" s="306"/>
      <c r="D14" s="306"/>
      <c r="E14" s="276" t="str">
        <f t="shared" si="1"/>
        <v/>
      </c>
      <c r="F14" s="405"/>
      <c r="G14" s="310" t="str">
        <f>IF(A14="","",VLOOKUP(A14,EQUI,4,FALSE))</f>
        <v/>
      </c>
      <c r="H14" s="311" t="str">
        <f>IF(A14="","",ROUND((G14/F14),0))</f>
        <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4750</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t="s">
        <v>553</v>
      </c>
      <c r="B23" s="353" t="str">
        <f>IF(A23="","",VLOOKUP(A23,MAT,2,FALSE))</f>
        <v>Concreto de 140 Kg/cm2 (2000 PSI)</v>
      </c>
      <c r="C23" s="305"/>
      <c r="D23" s="306"/>
      <c r="E23" s="276" t="str">
        <f>IF(A23="","",VLOOKUP(A23,MAT,3,FALSE))</f>
        <v>m3</v>
      </c>
      <c r="F23" s="405">
        <v>1.05</v>
      </c>
      <c r="G23" s="310">
        <f>IF(A23="","",VLOOKUP(A23,MAT,5,FALSE))</f>
        <v>670945</v>
      </c>
      <c r="H23" s="311">
        <f>IF(A23="","",ROUND((G23*F23),0))</f>
        <v>704492</v>
      </c>
    </row>
    <row r="24" spans="1:8">
      <c r="A24" s="534"/>
      <c r="B24" s="353"/>
      <c r="C24" s="305"/>
      <c r="D24" s="306"/>
      <c r="E24" s="276"/>
      <c r="F24" s="405"/>
      <c r="G24" s="310"/>
      <c r="H24" s="311"/>
    </row>
    <row r="25" spans="1:8">
      <c r="A25" s="534"/>
      <c r="B25" s="353"/>
      <c r="C25" s="305"/>
      <c r="D25" s="306"/>
      <c r="E25" s="276"/>
      <c r="F25" s="405"/>
      <c r="G25" s="310"/>
      <c r="H25" s="311"/>
    </row>
    <row r="26" spans="1:8">
      <c r="A26" s="534"/>
      <c r="B26" s="305" t="str">
        <f t="shared" ref="B26:B32" si="2">IF(A26="","",VLOOKUP(A26,MAT,2,FALSE))</f>
        <v/>
      </c>
      <c r="C26" s="305"/>
      <c r="D26" s="306"/>
      <c r="E26" s="276" t="str">
        <f t="shared" ref="E26:E32" si="3">IF(A26="","",VLOOKUP(A26,MAT,3,FALSE))</f>
        <v/>
      </c>
      <c r="F26" s="405"/>
      <c r="G26" s="310" t="str">
        <f t="shared" ref="G26:G32" si="4">IF(A26="","",VLOOKUP(A26,MAT,5,FALSE))</f>
        <v/>
      </c>
      <c r="H26" s="311" t="str">
        <f t="shared" ref="H26:H32" si="5">IF(A26="","",ROUND((G26*F26),0))</f>
        <v/>
      </c>
    </row>
    <row r="27" spans="1:8">
      <c r="A27" s="534"/>
      <c r="B27" s="305" t="str">
        <f t="shared" si="2"/>
        <v/>
      </c>
      <c r="C27" s="305"/>
      <c r="D27" s="306"/>
      <c r="E27" s="276" t="str">
        <f t="shared" si="3"/>
        <v/>
      </c>
      <c r="F27" s="405"/>
      <c r="G27" s="310" t="str">
        <f t="shared" si="4"/>
        <v/>
      </c>
      <c r="H27" s="311" t="str">
        <f t="shared" si="5"/>
        <v/>
      </c>
    </row>
    <row r="28" spans="1:8">
      <c r="A28" s="534"/>
      <c r="B28" s="305" t="str">
        <f t="shared" si="2"/>
        <v/>
      </c>
      <c r="C28" s="305"/>
      <c r="D28" s="306"/>
      <c r="E28" s="276" t="str">
        <f t="shared" si="3"/>
        <v/>
      </c>
      <c r="F28" s="405"/>
      <c r="G28" s="310" t="str">
        <f t="shared" si="4"/>
        <v/>
      </c>
      <c r="H28" s="311" t="str">
        <f t="shared" si="5"/>
        <v/>
      </c>
    </row>
    <row r="29" spans="1:8">
      <c r="A29" s="534"/>
      <c r="B29" s="305" t="str">
        <f t="shared" si="2"/>
        <v/>
      </c>
      <c r="C29" s="305"/>
      <c r="D29" s="306"/>
      <c r="E29" s="276" t="str">
        <f t="shared" si="3"/>
        <v/>
      </c>
      <c r="F29" s="405"/>
      <c r="G29" s="310" t="str">
        <f t="shared" si="4"/>
        <v/>
      </c>
      <c r="H29" s="311" t="str">
        <f t="shared" si="5"/>
        <v/>
      </c>
    </row>
    <row r="30" spans="1:8">
      <c r="A30" s="534"/>
      <c r="B30" s="305" t="str">
        <f t="shared" si="2"/>
        <v/>
      </c>
      <c r="C30" s="305"/>
      <c r="D30" s="306"/>
      <c r="E30" s="276" t="str">
        <f t="shared" si="3"/>
        <v/>
      </c>
      <c r="F30" s="405"/>
      <c r="G30" s="310" t="str">
        <f t="shared" si="4"/>
        <v/>
      </c>
      <c r="H30" s="311" t="str">
        <f t="shared" si="5"/>
        <v/>
      </c>
    </row>
    <row r="31" spans="1:8">
      <c r="A31" s="534"/>
      <c r="B31" s="305" t="str">
        <f t="shared" si="2"/>
        <v/>
      </c>
      <c r="C31" s="305"/>
      <c r="D31" s="306"/>
      <c r="E31" s="276" t="str">
        <f t="shared" si="3"/>
        <v/>
      </c>
      <c r="F31" s="405"/>
      <c r="G31" s="310" t="str">
        <f t="shared" si="4"/>
        <v/>
      </c>
      <c r="H31" s="311" t="str">
        <f t="shared" si="5"/>
        <v/>
      </c>
    </row>
    <row r="32" spans="1:8" ht="13.5" thickBot="1">
      <c r="A32" s="535"/>
      <c r="B32" s="326" t="str">
        <f t="shared" si="2"/>
        <v/>
      </c>
      <c r="C32" s="314"/>
      <c r="D32" s="314"/>
      <c r="E32" s="315" t="str">
        <f t="shared" si="3"/>
        <v/>
      </c>
      <c r="F32" s="406"/>
      <c r="G32" s="327" t="str">
        <f t="shared" si="4"/>
        <v/>
      </c>
      <c r="H32" s="311" t="str">
        <f t="shared" si="5"/>
        <v/>
      </c>
    </row>
    <row r="33" spans="1:8" ht="13.5" thickBot="1">
      <c r="A33" s="285"/>
      <c r="B33" s="285"/>
      <c r="C33" s="285"/>
      <c r="D33" s="285"/>
      <c r="E33" s="286"/>
      <c r="F33" s="285"/>
      <c r="G33" s="210" t="s">
        <v>529</v>
      </c>
      <c r="H33" s="328">
        <f>ROUND(SUM(H23:H32),0)</f>
        <v>704492</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546"/>
      <c r="B37" s="305" t="str">
        <f>IF(A37="","",VLOOKUP(A37,MAT,2,FALSE))</f>
        <v/>
      </c>
      <c r="C37" s="333"/>
      <c r="D37" s="409" t="str">
        <f>IF(A37="","",VLOOKUP(A37,MAT,3,FALSE))</f>
        <v/>
      </c>
      <c r="E37" s="419" t="str">
        <f>IF(A37="","",VLOOKUP(A37,MAT,6,FALSE))</f>
        <v/>
      </c>
      <c r="F37" s="413" t="str">
        <f>IF(A37="","",VLOOKUP(A37,$A$23:$H$32,6,FALSE))</f>
        <v/>
      </c>
      <c r="G37" s="334" t="str">
        <f>IF(A37="","",VLOOKUP(A37,MAT,7,FALSE))</f>
        <v/>
      </c>
      <c r="H37" s="311" t="str">
        <f>IF(A37="","",ROUND((G37*F37*E37),0))</f>
        <v/>
      </c>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0</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883</v>
      </c>
      <c r="B46" s="2192" t="str">
        <f>IF(A46="","",VLOOKUP(A46,MO,2,FALSE))</f>
        <v>Cuadrilla AA: Albañilería. (1 Of. + 1 Ayud.).</v>
      </c>
      <c r="C46" s="2193"/>
      <c r="D46" s="2194"/>
      <c r="E46" s="538" t="str">
        <f>IF(A46="","",VLOOKUP(A46,MO,13,FALSE))</f>
        <v>HC</v>
      </c>
      <c r="F46" s="544">
        <v>0.82</v>
      </c>
      <c r="G46" s="540">
        <f>IF(A46="","",VLOOKUP(A46,MO,15,FALSE))</f>
        <v>38949</v>
      </c>
      <c r="H46" s="542">
        <f>IF(A46="","",ROUND((G46/F46),0))</f>
        <v>47499</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47499</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756741</v>
      </c>
    </row>
    <row r="53" spans="1:8">
      <c r="A53" s="285"/>
      <c r="B53" s="285"/>
      <c r="C53" s="285"/>
      <c r="D53" s="285"/>
      <c r="E53" s="346"/>
      <c r="F53" s="347"/>
      <c r="G53" s="347"/>
      <c r="H53" s="349"/>
    </row>
    <row r="54" spans="1:8">
      <c r="A54" s="285"/>
      <c r="B54" s="285"/>
      <c r="C54" s="285"/>
      <c r="D54" s="285"/>
      <c r="E54" s="346"/>
      <c r="F54" s="347"/>
      <c r="G54" s="347"/>
      <c r="H54" s="349"/>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c r="A59" s="703" t="str">
        <f>+[14]PRESUPUESTO!$A$113</f>
        <v>__________________________________________</v>
      </c>
      <c r="B59" s="703"/>
    </row>
    <row r="60" spans="1:8">
      <c r="A60" s="810" t="str">
        <f>+[14]PRESUPUESTO!$A$114</f>
        <v>Ing. JHON FREDY GARCIA MENDEZ</v>
      </c>
      <c r="B60" s="703"/>
    </row>
    <row r="61" spans="1:8">
      <c r="A61" s="811" t="str">
        <f>+[14]PRESUPUESTO!$A$115</f>
        <v>M.P.  70268-326294 TLM.</v>
      </c>
      <c r="B61" s="703"/>
    </row>
    <row r="62" spans="1:8">
      <c r="A62" s="811" t="str">
        <f>+[14]PRESUPUESTO!$A$116</f>
        <v>CONSULTOR</v>
      </c>
      <c r="B62" s="703"/>
    </row>
  </sheetData>
  <mergeCells count="15">
    <mergeCell ref="B47:D47"/>
    <mergeCell ref="B48:D48"/>
    <mergeCell ref="B49:D49"/>
    <mergeCell ref="B6:D6"/>
    <mergeCell ref="B7:E7"/>
    <mergeCell ref="B8:E8"/>
    <mergeCell ref="B36:C36"/>
    <mergeCell ref="B45:D45"/>
    <mergeCell ref="B46:D46"/>
    <mergeCell ref="D2:E4"/>
    <mergeCell ref="F2:H2"/>
    <mergeCell ref="F3:H3"/>
    <mergeCell ref="F4:H4"/>
    <mergeCell ref="A5:E5"/>
    <mergeCell ref="F5:H5"/>
  </mergeCells>
  <pageMargins left="0.75" right="0.75" top="1" bottom="1" header="0" footer="0"/>
  <pageSetup paperSize="9" scale="70" orientation="portrait" r:id="rId1"/>
  <headerFooter alignWithMargins="0"/>
  <drawing r:id="rId2"/>
</worksheet>
</file>

<file path=xl/worksheets/sheet1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E00-000000000000}">
  <sheetPr>
    <tabColor theme="6" tint="0.79998168889431442"/>
  </sheetPr>
  <dimension ref="A1:I62"/>
  <sheetViews>
    <sheetView workbookViewId="0"/>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4.570312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t="e">
        <f>PRESUPUESTO!#REF!</f>
        <v>#REF!</v>
      </c>
      <c r="B7" s="2185" t="e">
        <f>PRESUPUESTO!#REF!</f>
        <v>#REF!</v>
      </c>
      <c r="C7" s="2185"/>
      <c r="D7" s="2185"/>
      <c r="E7" s="2185"/>
      <c r="F7" s="289"/>
      <c r="G7" s="290" t="s">
        <v>525</v>
      </c>
      <c r="H7" s="97" t="e">
        <f>+PRESUPUESTO!#REF!</f>
        <v>#REF!</v>
      </c>
    </row>
    <row r="8" spans="1:9" ht="26.25" customHeight="1">
      <c r="A8" s="1062" t="e">
        <f>+PRESUPUESTO!#REF!</f>
        <v>#REF!</v>
      </c>
      <c r="B8" s="2272" t="e">
        <f>+PRESUPUESTO!#REF!</f>
        <v>#REF!</v>
      </c>
      <c r="C8" s="2257"/>
      <c r="D8" s="2257"/>
      <c r="E8" s="225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967</v>
      </c>
      <c r="B13" s="305" t="str">
        <f t="shared" ref="B13:B18" si="0">IF(A13="","",VLOOKUP(A13,EQUI,2,FALSE))</f>
        <v>Herramienta Menor (10% de la mano de obra).</v>
      </c>
      <c r="C13" s="306"/>
      <c r="D13" s="306"/>
      <c r="E13" s="276" t="str">
        <f t="shared" ref="E13:E18" si="1">IF(A13="","",VLOOKUP(A13,EQUI,3,FALSE))</f>
        <v>%</v>
      </c>
      <c r="F13" s="433">
        <f>IF(A13="","",VLOOKUP(A13,EQUI,4,FALSE))</f>
        <v>0.1</v>
      </c>
      <c r="G13" s="307">
        <f>ROUND(F13*H50,0)</f>
        <v>43763</v>
      </c>
      <c r="H13" s="308">
        <f>+G13</f>
        <v>43763</v>
      </c>
      <c r="I13" s="309"/>
    </row>
    <row r="14" spans="1:9">
      <c r="A14" s="536"/>
      <c r="B14" s="305"/>
      <c r="C14" s="306"/>
      <c r="D14" s="306"/>
      <c r="E14" s="276" t="str">
        <f t="shared" si="1"/>
        <v/>
      </c>
      <c r="F14" s="405"/>
      <c r="G14" s="310" t="str">
        <f>IF(A14="","",VLOOKUP(A14,EQUI,4,FALSE))</f>
        <v/>
      </c>
      <c r="H14" s="311" t="str">
        <f>IF(A14="","",ROUND((G14/F14),0))</f>
        <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43763</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t="s">
        <v>2420</v>
      </c>
      <c r="B23" s="353" t="str">
        <f>IF(A23="","",VLOOKUP(A23,MAT,2,FALSE))</f>
        <v>Concreto de 280 Kg/cm2 (4000 PSI) Impermeabilizado</v>
      </c>
      <c r="C23" s="305"/>
      <c r="D23" s="306"/>
      <c r="E23" s="276" t="str">
        <f>IF(A23="","",VLOOKUP(A23,MAT,3,FALSE))</f>
        <v>m3</v>
      </c>
      <c r="F23" s="405">
        <v>1.03</v>
      </c>
      <c r="G23" s="310">
        <f>IF(A23="","",VLOOKUP(A23,MAT,5,FALSE))</f>
        <v>837338</v>
      </c>
      <c r="H23" s="311">
        <f>IF(A23="","",ROUND((G23*F23),0))</f>
        <v>862458</v>
      </c>
    </row>
    <row r="24" spans="1:8">
      <c r="A24" s="534"/>
      <c r="B24" s="305" t="s">
        <v>1768</v>
      </c>
      <c r="C24" s="305"/>
      <c r="D24" s="306"/>
      <c r="E24" s="276" t="s">
        <v>1654</v>
      </c>
      <c r="F24" s="585">
        <v>0.6</v>
      </c>
      <c r="G24" s="310">
        <v>24000</v>
      </c>
      <c r="H24" s="311">
        <f>ROUND(G24*F24,0)</f>
        <v>14400</v>
      </c>
    </row>
    <row r="25" spans="1:8">
      <c r="A25" s="534"/>
      <c r="B25" s="305" t="s">
        <v>1767</v>
      </c>
      <c r="C25" s="305"/>
      <c r="D25" s="306"/>
      <c r="E25" s="276" t="s">
        <v>293</v>
      </c>
      <c r="F25" s="585">
        <v>0.4</v>
      </c>
      <c r="G25" s="310">
        <v>2900</v>
      </c>
      <c r="H25" s="311">
        <f t="shared" ref="H25" si="2">ROUND(G25*F25,0)</f>
        <v>1160</v>
      </c>
    </row>
    <row r="26" spans="1:8">
      <c r="A26" s="534"/>
      <c r="B26" s="305" t="str">
        <f t="shared" ref="B26:B32" si="3">IF(A26="","",VLOOKUP(A26,MAT,2,FALSE))</f>
        <v/>
      </c>
      <c r="C26" s="305"/>
      <c r="D26" s="306"/>
      <c r="E26" s="276" t="str">
        <f t="shared" ref="E26:E32" si="4">IF(A26="","",VLOOKUP(A26,MAT,3,FALSE))</f>
        <v/>
      </c>
      <c r="F26" s="405"/>
      <c r="G26" s="310" t="str">
        <f t="shared" ref="G26:G32" si="5">IF(A26="","",VLOOKUP(A26,MAT,5,FALSE))</f>
        <v/>
      </c>
      <c r="H26" s="311" t="str">
        <f t="shared" ref="H26:H32" si="6">IF(A26="","",ROUND((G26*F26),0))</f>
        <v/>
      </c>
    </row>
    <row r="27" spans="1:8">
      <c r="A27" s="534"/>
      <c r="B27" s="305" t="str">
        <f t="shared" si="3"/>
        <v/>
      </c>
      <c r="C27" s="305"/>
      <c r="D27" s="306"/>
      <c r="E27" s="276" t="str">
        <f t="shared" si="4"/>
        <v/>
      </c>
      <c r="F27" s="405"/>
      <c r="G27" s="310" t="str">
        <f t="shared" si="5"/>
        <v/>
      </c>
      <c r="H27" s="311" t="str">
        <f t="shared" si="6"/>
        <v/>
      </c>
    </row>
    <row r="28" spans="1:8">
      <c r="A28" s="534"/>
      <c r="B28" s="305" t="str">
        <f t="shared" si="3"/>
        <v/>
      </c>
      <c r="C28" s="305"/>
      <c r="D28" s="306"/>
      <c r="E28" s="276" t="str">
        <f t="shared" si="4"/>
        <v/>
      </c>
      <c r="F28" s="405"/>
      <c r="G28" s="310" t="str">
        <f t="shared" si="5"/>
        <v/>
      </c>
      <c r="H28" s="311" t="str">
        <f t="shared" si="6"/>
        <v/>
      </c>
    </row>
    <row r="29" spans="1:8">
      <c r="A29" s="534"/>
      <c r="B29" s="305" t="str">
        <f t="shared" si="3"/>
        <v/>
      </c>
      <c r="C29" s="305"/>
      <c r="D29" s="306"/>
      <c r="E29" s="276" t="str">
        <f t="shared" si="4"/>
        <v/>
      </c>
      <c r="F29" s="405"/>
      <c r="G29" s="310" t="str">
        <f t="shared" si="5"/>
        <v/>
      </c>
      <c r="H29" s="311" t="str">
        <f t="shared" si="6"/>
        <v/>
      </c>
    </row>
    <row r="30" spans="1:8">
      <c r="A30" s="534"/>
      <c r="B30" s="305" t="str">
        <f t="shared" si="3"/>
        <v/>
      </c>
      <c r="C30" s="305"/>
      <c r="D30" s="306"/>
      <c r="E30" s="276" t="str">
        <f t="shared" si="4"/>
        <v/>
      </c>
      <c r="F30" s="405"/>
      <c r="G30" s="310" t="str">
        <f t="shared" si="5"/>
        <v/>
      </c>
      <c r="H30" s="311" t="str">
        <f t="shared" si="6"/>
        <v/>
      </c>
    </row>
    <row r="31" spans="1:8">
      <c r="A31" s="534"/>
      <c r="B31" s="305" t="str">
        <f t="shared" si="3"/>
        <v/>
      </c>
      <c r="C31" s="305"/>
      <c r="D31" s="306"/>
      <c r="E31" s="276" t="str">
        <f t="shared" si="4"/>
        <v/>
      </c>
      <c r="F31" s="405"/>
      <c r="G31" s="310" t="str">
        <f t="shared" si="5"/>
        <v/>
      </c>
      <c r="H31" s="311" t="str">
        <f t="shared" si="6"/>
        <v/>
      </c>
    </row>
    <row r="32" spans="1:8" ht="13.5" thickBot="1">
      <c r="A32" s="535"/>
      <c r="B32" s="326" t="str">
        <f t="shared" si="3"/>
        <v/>
      </c>
      <c r="C32" s="314"/>
      <c r="D32" s="314"/>
      <c r="E32" s="315" t="str">
        <f t="shared" si="4"/>
        <v/>
      </c>
      <c r="F32" s="406"/>
      <c r="G32" s="327" t="str">
        <f t="shared" si="5"/>
        <v/>
      </c>
      <c r="H32" s="311" t="str">
        <f t="shared" si="6"/>
        <v/>
      </c>
    </row>
    <row r="33" spans="1:8" ht="13.5" thickBot="1">
      <c r="A33" s="285"/>
      <c r="B33" s="285"/>
      <c r="C33" s="285"/>
      <c r="D33" s="285"/>
      <c r="E33" s="286"/>
      <c r="F33" s="285"/>
      <c r="G33" s="210" t="s">
        <v>529</v>
      </c>
      <c r="H33" s="328">
        <f>ROUND(SUM(H23:H32),0)</f>
        <v>878018</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771"/>
      <c r="B37" s="737" t="str">
        <f>IF(A37="","",VLOOKUP(A37,MAT,2,FALSE))</f>
        <v/>
      </c>
      <c r="C37" s="772"/>
      <c r="D37" s="773" t="str">
        <f>IF(A37="","",VLOOKUP(A37,MAT,3,FALSE))</f>
        <v/>
      </c>
      <c r="E37" s="774" t="str">
        <f>IF(A37="","",VLOOKUP(A37,MAT,6,FALSE))</f>
        <v/>
      </c>
      <c r="F37" s="775"/>
      <c r="G37" s="776"/>
      <c r="H37" s="746" t="str">
        <f>IF(A37="","",ROUND((G37*F37*E37),0))</f>
        <v/>
      </c>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0</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883</v>
      </c>
      <c r="B46" s="2192" t="str">
        <f>IF(A46="","",VLOOKUP(A46,MO,2,FALSE))</f>
        <v>Cuadrilla AA: Albañilería. (1 Of. + 1 Ayud.).</v>
      </c>
      <c r="C46" s="2193"/>
      <c r="D46" s="2194"/>
      <c r="E46" s="538" t="str">
        <f>IF(A46="","",VLOOKUP(A46,MO,13,FALSE))</f>
        <v>HC</v>
      </c>
      <c r="F46" s="544">
        <v>8.8999999999999996E-2</v>
      </c>
      <c r="G46" s="540">
        <f>IF(A46="","",VLOOKUP(A46,MO,15,FALSE))</f>
        <v>38949</v>
      </c>
      <c r="H46" s="542">
        <f>IF(A46="","",ROUND((G46/F46),0))</f>
        <v>437629</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437629</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1359410</v>
      </c>
    </row>
    <row r="53" spans="1:8">
      <c r="A53" s="285"/>
      <c r="B53" s="285"/>
      <c r="C53" s="285"/>
      <c r="D53" s="285"/>
      <c r="E53" s="346"/>
      <c r="F53" s="347"/>
      <c r="G53" s="347"/>
      <c r="H53" s="349"/>
    </row>
    <row r="54" spans="1:8">
      <c r="A54" s="285"/>
      <c r="B54" s="285"/>
      <c r="C54" s="285"/>
      <c r="D54" s="285"/>
      <c r="E54" s="346"/>
      <c r="F54" s="347"/>
      <c r="G54" s="347"/>
      <c r="H54" s="349"/>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c r="A59" s="703" t="str">
        <f>+[14]PRESUPUESTO!$A$113</f>
        <v>__________________________________________</v>
      </c>
    </row>
    <row r="60" spans="1:8">
      <c r="A60" s="810" t="str">
        <f>+[14]PRESUPUESTO!$A$114</f>
        <v>Ing. JHON FREDY GARCIA MENDEZ</v>
      </c>
    </row>
    <row r="61" spans="1:8">
      <c r="A61" s="811" t="str">
        <f>+[14]PRESUPUESTO!$A$115</f>
        <v>M.P.  70268-326294 TLM.</v>
      </c>
    </row>
    <row r="62" spans="1:8">
      <c r="A62" s="811" t="str">
        <f>+[14]PRESUPUESTO!$A$116</f>
        <v>CONSULTOR</v>
      </c>
    </row>
  </sheetData>
  <mergeCells count="15">
    <mergeCell ref="B47:D47"/>
    <mergeCell ref="B48:D48"/>
    <mergeCell ref="B49:D49"/>
    <mergeCell ref="B6:D6"/>
    <mergeCell ref="B7:E7"/>
    <mergeCell ref="B8:E8"/>
    <mergeCell ref="B36:C36"/>
    <mergeCell ref="B45:D45"/>
    <mergeCell ref="B46:D46"/>
    <mergeCell ref="D2:E4"/>
    <mergeCell ref="F2:H2"/>
    <mergeCell ref="F3:H3"/>
    <mergeCell ref="F4:H4"/>
    <mergeCell ref="A5:E5"/>
    <mergeCell ref="F5:H5"/>
  </mergeCells>
  <pageMargins left="0.75" right="0.75" top="1" bottom="1" header="0" footer="0"/>
  <pageSetup paperSize="9" scale="70" orientation="portrait" r:id="rId1"/>
  <headerFooter alignWithMargins="0"/>
  <drawing r:id="rId2"/>
</worksheet>
</file>

<file path=xl/worksheets/sheet1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F00-000000000000}">
  <sheetPr>
    <tabColor theme="6" tint="0.79998168889431442"/>
  </sheetPr>
  <dimension ref="A1:I62"/>
  <sheetViews>
    <sheetView workbookViewId="0"/>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4.570312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t="e">
        <f>PRESUPUESTO!#REF!</f>
        <v>#REF!</v>
      </c>
      <c r="B7" s="2185" t="e">
        <f>PRESUPUESTO!#REF!</f>
        <v>#REF!</v>
      </c>
      <c r="C7" s="2185"/>
      <c r="D7" s="2185"/>
      <c r="E7" s="2185"/>
      <c r="F7" s="289"/>
      <c r="G7" s="290" t="s">
        <v>525</v>
      </c>
      <c r="H7" s="97" t="e">
        <f>+PRESUPUESTO!#REF!</f>
        <v>#REF!</v>
      </c>
    </row>
    <row r="8" spans="1:9" ht="26.25" customHeight="1">
      <c r="A8" s="1062" t="e">
        <f>+PRESUPUESTO!#REF!</f>
        <v>#REF!</v>
      </c>
      <c r="B8" s="2272" t="e">
        <f>+PRESUPUESTO!#REF!</f>
        <v>#REF!</v>
      </c>
      <c r="C8" s="2257"/>
      <c r="D8" s="2257"/>
      <c r="E8" s="225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967</v>
      </c>
      <c r="B13" s="305" t="str">
        <f t="shared" ref="B13:B18" si="0">IF(A13="","",VLOOKUP(A13,EQUI,2,FALSE))</f>
        <v>Herramienta Menor (10% de la mano de obra).</v>
      </c>
      <c r="C13" s="306"/>
      <c r="D13" s="306"/>
      <c r="E13" s="276" t="str">
        <f t="shared" ref="E13:E18" si="1">IF(A13="","",VLOOKUP(A13,EQUI,3,FALSE))</f>
        <v>%</v>
      </c>
      <c r="F13" s="433">
        <f>IF(A13="","",VLOOKUP(A13,EQUI,4,FALSE))</f>
        <v>0.1</v>
      </c>
      <c r="G13" s="307">
        <f>ROUND(F13*H50,0)</f>
        <v>43763</v>
      </c>
      <c r="H13" s="308">
        <f>+G13</f>
        <v>43763</v>
      </c>
      <c r="I13" s="309"/>
    </row>
    <row r="14" spans="1:9">
      <c r="A14" s="536"/>
      <c r="B14" s="305"/>
      <c r="C14" s="306"/>
      <c r="D14" s="306"/>
      <c r="E14" s="276" t="str">
        <f t="shared" si="1"/>
        <v/>
      </c>
      <c r="F14" s="405"/>
      <c r="G14" s="310" t="str">
        <f>IF(A14="","",VLOOKUP(A14,EQUI,4,FALSE))</f>
        <v/>
      </c>
      <c r="H14" s="311" t="str">
        <f>IF(A14="","",ROUND((G14/F14),0))</f>
        <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43763</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t="s">
        <v>2420</v>
      </c>
      <c r="B23" s="353" t="str">
        <f>IF(A23="","",VLOOKUP(A23,MAT,2,FALSE))</f>
        <v>Concreto de 280 Kg/cm2 (4000 PSI) Impermeabilizado</v>
      </c>
      <c r="C23" s="305"/>
      <c r="D23" s="306"/>
      <c r="E23" s="276" t="str">
        <f>IF(A23="","",VLOOKUP(A23,MAT,3,FALSE))</f>
        <v>m3</v>
      </c>
      <c r="F23" s="405">
        <v>1.05</v>
      </c>
      <c r="G23" s="310">
        <f>IF(A23="","",VLOOKUP(A23,MAT,5,FALSE))</f>
        <v>837338</v>
      </c>
      <c r="H23" s="311">
        <f>IF(A23="","",ROUND((G23*F23),0))</f>
        <v>879205</v>
      </c>
    </row>
    <row r="24" spans="1:8">
      <c r="A24" s="534"/>
      <c r="B24" s="305" t="s">
        <v>1768</v>
      </c>
      <c r="C24" s="305"/>
      <c r="D24" s="306"/>
      <c r="E24" s="276" t="s">
        <v>1654</v>
      </c>
      <c r="F24" s="585">
        <v>1</v>
      </c>
      <c r="G24" s="310">
        <v>24000</v>
      </c>
      <c r="H24" s="311">
        <f>ROUND(G24*F24,0)</f>
        <v>24000</v>
      </c>
    </row>
    <row r="25" spans="1:8">
      <c r="A25" s="534"/>
      <c r="B25" s="305" t="s">
        <v>1767</v>
      </c>
      <c r="C25" s="305"/>
      <c r="D25" s="306"/>
      <c r="E25" s="276" t="s">
        <v>293</v>
      </c>
      <c r="F25" s="585">
        <v>0.8</v>
      </c>
      <c r="G25" s="310">
        <v>2900</v>
      </c>
      <c r="H25" s="311">
        <f t="shared" ref="H25" si="2">ROUND(G25*F25,0)</f>
        <v>2320</v>
      </c>
    </row>
    <row r="26" spans="1:8">
      <c r="A26" s="534"/>
      <c r="B26" s="305" t="str">
        <f t="shared" ref="B26:B32" si="3">IF(A26="","",VLOOKUP(A26,MAT,2,FALSE))</f>
        <v/>
      </c>
      <c r="C26" s="305"/>
      <c r="D26" s="306"/>
      <c r="E26" s="276" t="str">
        <f t="shared" ref="E26:E32" si="4">IF(A26="","",VLOOKUP(A26,MAT,3,FALSE))</f>
        <v/>
      </c>
      <c r="F26" s="405"/>
      <c r="G26" s="310" t="str">
        <f t="shared" ref="G26:G32" si="5">IF(A26="","",VLOOKUP(A26,MAT,5,FALSE))</f>
        <v/>
      </c>
      <c r="H26" s="311" t="str">
        <f t="shared" ref="H26:H32" si="6">IF(A26="","",ROUND((G26*F26),0))</f>
        <v/>
      </c>
    </row>
    <row r="27" spans="1:8">
      <c r="A27" s="534"/>
      <c r="B27" s="305" t="str">
        <f t="shared" si="3"/>
        <v/>
      </c>
      <c r="C27" s="305"/>
      <c r="D27" s="306"/>
      <c r="E27" s="276" t="str">
        <f t="shared" si="4"/>
        <v/>
      </c>
      <c r="F27" s="405"/>
      <c r="G27" s="310" t="str">
        <f t="shared" si="5"/>
        <v/>
      </c>
      <c r="H27" s="311" t="str">
        <f t="shared" si="6"/>
        <v/>
      </c>
    </row>
    <row r="28" spans="1:8">
      <c r="A28" s="534"/>
      <c r="B28" s="305" t="str">
        <f t="shared" si="3"/>
        <v/>
      </c>
      <c r="C28" s="305"/>
      <c r="D28" s="306"/>
      <c r="E28" s="276" t="str">
        <f t="shared" si="4"/>
        <v/>
      </c>
      <c r="F28" s="405"/>
      <c r="G28" s="310" t="str">
        <f t="shared" si="5"/>
        <v/>
      </c>
      <c r="H28" s="311" t="str">
        <f t="shared" si="6"/>
        <v/>
      </c>
    </row>
    <row r="29" spans="1:8">
      <c r="A29" s="534"/>
      <c r="B29" s="305" t="str">
        <f t="shared" si="3"/>
        <v/>
      </c>
      <c r="C29" s="305"/>
      <c r="D29" s="306"/>
      <c r="E29" s="276" t="str">
        <f t="shared" si="4"/>
        <v/>
      </c>
      <c r="F29" s="405"/>
      <c r="G29" s="310" t="str">
        <f t="shared" si="5"/>
        <v/>
      </c>
      <c r="H29" s="311" t="str">
        <f t="shared" si="6"/>
        <v/>
      </c>
    </row>
    <row r="30" spans="1:8">
      <c r="A30" s="534"/>
      <c r="B30" s="305" t="str">
        <f t="shared" si="3"/>
        <v/>
      </c>
      <c r="C30" s="305"/>
      <c r="D30" s="306"/>
      <c r="E30" s="276" t="str">
        <f t="shared" si="4"/>
        <v/>
      </c>
      <c r="F30" s="405"/>
      <c r="G30" s="310" t="str">
        <f t="shared" si="5"/>
        <v/>
      </c>
      <c r="H30" s="311" t="str">
        <f t="shared" si="6"/>
        <v/>
      </c>
    </row>
    <row r="31" spans="1:8">
      <c r="A31" s="534"/>
      <c r="B31" s="305" t="str">
        <f t="shared" si="3"/>
        <v/>
      </c>
      <c r="C31" s="305"/>
      <c r="D31" s="306"/>
      <c r="E31" s="276" t="str">
        <f t="shared" si="4"/>
        <v/>
      </c>
      <c r="F31" s="405"/>
      <c r="G31" s="310" t="str">
        <f t="shared" si="5"/>
        <v/>
      </c>
      <c r="H31" s="311" t="str">
        <f t="shared" si="6"/>
        <v/>
      </c>
    </row>
    <row r="32" spans="1:8" ht="13.5" thickBot="1">
      <c r="A32" s="535"/>
      <c r="B32" s="326" t="str">
        <f t="shared" si="3"/>
        <v/>
      </c>
      <c r="C32" s="314"/>
      <c r="D32" s="314"/>
      <c r="E32" s="315" t="str">
        <f t="shared" si="4"/>
        <v/>
      </c>
      <c r="F32" s="406"/>
      <c r="G32" s="327" t="str">
        <f t="shared" si="5"/>
        <v/>
      </c>
      <c r="H32" s="311" t="str">
        <f t="shared" si="6"/>
        <v/>
      </c>
    </row>
    <row r="33" spans="1:8" ht="13.5" thickBot="1">
      <c r="A33" s="285"/>
      <c r="B33" s="285"/>
      <c r="C33" s="285"/>
      <c r="D33" s="285"/>
      <c r="E33" s="286"/>
      <c r="F33" s="285"/>
      <c r="G33" s="210" t="s">
        <v>529</v>
      </c>
      <c r="H33" s="328">
        <f>ROUND(SUM(H23:H32),0)</f>
        <v>905525</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771"/>
      <c r="B37" s="737" t="str">
        <f>IF(A37="","",VLOOKUP(A37,MAT,2,FALSE))</f>
        <v/>
      </c>
      <c r="C37" s="772"/>
      <c r="D37" s="773" t="str">
        <f>IF(A37="","",VLOOKUP(A37,MAT,3,FALSE))</f>
        <v/>
      </c>
      <c r="E37" s="774" t="str">
        <f>IF(A37="","",VLOOKUP(A37,MAT,6,FALSE))</f>
        <v/>
      </c>
      <c r="F37" s="775"/>
      <c r="G37" s="776"/>
      <c r="H37" s="746" t="str">
        <f>IF(A37="","",ROUND((G37*F37*E37),0))</f>
        <v/>
      </c>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0</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883</v>
      </c>
      <c r="B46" s="2192" t="str">
        <f>IF(A46="","",VLOOKUP(A46,MO,2,FALSE))</f>
        <v>Cuadrilla AA: Albañilería. (1 Of. + 1 Ayud.).</v>
      </c>
      <c r="C46" s="2193"/>
      <c r="D46" s="2194"/>
      <c r="E46" s="538" t="str">
        <f>IF(A46="","",VLOOKUP(A46,MO,13,FALSE))</f>
        <v>HC</v>
      </c>
      <c r="F46" s="544">
        <v>8.8999999999999996E-2</v>
      </c>
      <c r="G46" s="540">
        <f>IF(A46="","",VLOOKUP(A46,MO,15,FALSE))</f>
        <v>38949</v>
      </c>
      <c r="H46" s="542">
        <f>IF(A46="","",ROUND((G46/F46),0))</f>
        <v>437629</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437629</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1386917</v>
      </c>
    </row>
    <row r="53" spans="1:8">
      <c r="A53" s="285"/>
      <c r="B53" s="285"/>
      <c r="C53" s="285"/>
      <c r="D53" s="285"/>
      <c r="E53" s="346"/>
      <c r="F53" s="347"/>
      <c r="G53" s="347"/>
      <c r="H53" s="349"/>
    </row>
    <row r="54" spans="1:8">
      <c r="A54" s="285"/>
      <c r="B54" s="285"/>
      <c r="C54" s="285"/>
      <c r="D54" s="285"/>
      <c r="E54" s="346"/>
      <c r="F54" s="347"/>
      <c r="G54" s="347"/>
      <c r="H54" s="349"/>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c r="A59" s="703" t="str">
        <f>+[14]PRESUPUESTO!$A$113</f>
        <v>__________________________________________</v>
      </c>
    </row>
    <row r="60" spans="1:8">
      <c r="A60" s="810" t="str">
        <f>+[14]PRESUPUESTO!$A$114</f>
        <v>Ing. JHON FREDY GARCIA MENDEZ</v>
      </c>
    </row>
    <row r="61" spans="1:8">
      <c r="A61" s="811" t="str">
        <f>+[14]PRESUPUESTO!$A$115</f>
        <v>M.P.  70268-326294 TLM.</v>
      </c>
    </row>
    <row r="62" spans="1:8">
      <c r="A62" s="811" t="str">
        <f>+[14]PRESUPUESTO!$A$116</f>
        <v>CONSULTOR</v>
      </c>
    </row>
  </sheetData>
  <mergeCells count="15">
    <mergeCell ref="B47:D47"/>
    <mergeCell ref="B48:D48"/>
    <mergeCell ref="B49:D49"/>
    <mergeCell ref="B6:D6"/>
    <mergeCell ref="B7:E7"/>
    <mergeCell ref="B8:E8"/>
    <mergeCell ref="B36:C36"/>
    <mergeCell ref="B45:D45"/>
    <mergeCell ref="B46:D46"/>
    <mergeCell ref="D2:E4"/>
    <mergeCell ref="F2:H2"/>
    <mergeCell ref="F3:H3"/>
    <mergeCell ref="F4:H4"/>
    <mergeCell ref="A5:E5"/>
    <mergeCell ref="F5:H5"/>
  </mergeCells>
  <pageMargins left="0.75" right="0.75" top="1" bottom="1" header="0" footer="0"/>
  <pageSetup paperSize="9" scale="70" orientation="portrait" r:id="rId1"/>
  <headerFooter alignWithMargins="0"/>
  <drawing r:id="rId2"/>
</worksheet>
</file>

<file path=xl/worksheets/sheet1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000-000000000000}">
  <sheetPr>
    <tabColor theme="6" tint="0.79998168889431442"/>
  </sheetPr>
  <dimension ref="A1:I62"/>
  <sheetViews>
    <sheetView workbookViewId="0"/>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4.570312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t="e">
        <f>PRESUPUESTO!#REF!</f>
        <v>#REF!</v>
      </c>
      <c r="B7" s="2185" t="e">
        <f>PRESUPUESTO!#REF!</f>
        <v>#REF!</v>
      </c>
      <c r="C7" s="2185"/>
      <c r="D7" s="2185"/>
      <c r="E7" s="2185"/>
      <c r="F7" s="289"/>
      <c r="G7" s="290" t="s">
        <v>525</v>
      </c>
      <c r="H7" s="97" t="e">
        <f>+PRESUPUESTO!#REF!</f>
        <v>#REF!</v>
      </c>
    </row>
    <row r="8" spans="1:9">
      <c r="A8" s="1062" t="e">
        <f>+PRESUPUESTO!#REF!</f>
        <v>#REF!</v>
      </c>
      <c r="B8" s="2272" t="e">
        <f>+PRESUPUESTO!#REF!</f>
        <v>#REF!</v>
      </c>
      <c r="C8" s="2257"/>
      <c r="D8" s="2257"/>
      <c r="E8" s="225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967</v>
      </c>
      <c r="B13" s="305" t="str">
        <f t="shared" ref="B13:B18" si="0">IF(A13="","",VLOOKUP(A13,EQUI,2,FALSE))</f>
        <v>Herramienta Menor (10% de la mano de obra).</v>
      </c>
      <c r="C13" s="306"/>
      <c r="D13" s="306"/>
      <c r="E13" s="276" t="str">
        <f t="shared" ref="E13:E18" si="1">IF(A13="","",VLOOKUP(A13,EQUI,3,FALSE))</f>
        <v>%</v>
      </c>
      <c r="F13" s="433">
        <f>IF(A13="","",VLOOKUP(A13,EQUI,4,FALSE))</f>
        <v>0.1</v>
      </c>
      <c r="G13" s="307">
        <f>ROUND(F13*H50,0)</f>
        <v>160</v>
      </c>
      <c r="H13" s="308">
        <f>+G13</f>
        <v>160</v>
      </c>
      <c r="I13" s="309"/>
    </row>
    <row r="14" spans="1:9">
      <c r="A14" s="536"/>
      <c r="B14" s="305"/>
      <c r="C14" s="306"/>
      <c r="D14" s="306"/>
      <c r="E14" s="276" t="str">
        <f t="shared" si="1"/>
        <v/>
      </c>
      <c r="F14" s="405"/>
      <c r="G14" s="310" t="str">
        <f>IF(A14="","",VLOOKUP(A14,EQUI,4,FALSE))</f>
        <v/>
      </c>
      <c r="H14" s="311" t="str">
        <f>IF(A14="","",ROUND((G14/F14),0))</f>
        <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160</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t="s">
        <v>565</v>
      </c>
      <c r="B23" s="353" t="str">
        <f>IF(A23="","",VLOOKUP(A23,MAT,2,FALSE))</f>
        <v>Acero de refuerzo de 60.000psi</v>
      </c>
      <c r="C23" s="305"/>
      <c r="D23" s="306"/>
      <c r="E23" s="276" t="str">
        <f>IF(A23="","",VLOOKUP(A23,MAT,3,FALSE))</f>
        <v>Kg.</v>
      </c>
      <c r="F23" s="405">
        <v>3.5</v>
      </c>
      <c r="G23" s="310">
        <f>IF(A23="","",VLOOKUP(A23,MAT,5,FALSE))</f>
        <v>5200</v>
      </c>
      <c r="H23" s="311">
        <f>IF(A23="","",ROUND((G23*F23),0))</f>
        <v>18200</v>
      </c>
    </row>
    <row r="24" spans="1:8">
      <c r="A24" s="534"/>
      <c r="B24" s="305"/>
      <c r="C24" s="305"/>
      <c r="D24" s="306"/>
      <c r="E24" s="276"/>
      <c r="F24" s="585"/>
      <c r="G24" s="310"/>
      <c r="H24" s="311"/>
    </row>
    <row r="25" spans="1:8">
      <c r="A25" s="534"/>
      <c r="B25" s="305"/>
      <c r="C25" s="305"/>
      <c r="D25" s="306"/>
      <c r="E25" s="276"/>
      <c r="F25" s="585"/>
      <c r="G25" s="310"/>
      <c r="H25" s="311"/>
    </row>
    <row r="26" spans="1:8">
      <c r="A26" s="534"/>
      <c r="B26" s="305" t="str">
        <f t="shared" ref="B26:B32" si="2">IF(A26="","",VLOOKUP(A26,MAT,2,FALSE))</f>
        <v/>
      </c>
      <c r="C26" s="305"/>
      <c r="D26" s="306"/>
      <c r="E26" s="276" t="str">
        <f t="shared" ref="E26:E32" si="3">IF(A26="","",VLOOKUP(A26,MAT,3,FALSE))</f>
        <v/>
      </c>
      <c r="F26" s="405"/>
      <c r="G26" s="310" t="str">
        <f t="shared" ref="G26:G32" si="4">IF(A26="","",VLOOKUP(A26,MAT,5,FALSE))</f>
        <v/>
      </c>
      <c r="H26" s="311" t="str">
        <f t="shared" ref="H26:H32" si="5">IF(A26="","",ROUND((G26*F26),0))</f>
        <v/>
      </c>
    </row>
    <row r="27" spans="1:8">
      <c r="A27" s="534"/>
      <c r="B27" s="305" t="str">
        <f t="shared" si="2"/>
        <v/>
      </c>
      <c r="C27" s="305"/>
      <c r="D27" s="306"/>
      <c r="E27" s="276" t="str">
        <f t="shared" si="3"/>
        <v/>
      </c>
      <c r="F27" s="405"/>
      <c r="G27" s="310" t="str">
        <f t="shared" si="4"/>
        <v/>
      </c>
      <c r="H27" s="311" t="str">
        <f t="shared" si="5"/>
        <v/>
      </c>
    </row>
    <row r="28" spans="1:8">
      <c r="A28" s="534"/>
      <c r="B28" s="305" t="str">
        <f t="shared" si="2"/>
        <v/>
      </c>
      <c r="C28" s="305"/>
      <c r="D28" s="306"/>
      <c r="E28" s="276" t="str">
        <f t="shared" si="3"/>
        <v/>
      </c>
      <c r="F28" s="405"/>
      <c r="G28" s="310" t="str">
        <f t="shared" si="4"/>
        <v/>
      </c>
      <c r="H28" s="311" t="str">
        <f t="shared" si="5"/>
        <v/>
      </c>
    </row>
    <row r="29" spans="1:8">
      <c r="A29" s="534"/>
      <c r="B29" s="305" t="str">
        <f t="shared" si="2"/>
        <v/>
      </c>
      <c r="C29" s="305"/>
      <c r="D29" s="306"/>
      <c r="E29" s="276" t="str">
        <f t="shared" si="3"/>
        <v/>
      </c>
      <c r="F29" s="405"/>
      <c r="G29" s="310" t="str">
        <f t="shared" si="4"/>
        <v/>
      </c>
      <c r="H29" s="311" t="str">
        <f t="shared" si="5"/>
        <v/>
      </c>
    </row>
    <row r="30" spans="1:8">
      <c r="A30" s="534"/>
      <c r="B30" s="305" t="str">
        <f t="shared" si="2"/>
        <v/>
      </c>
      <c r="C30" s="305"/>
      <c r="D30" s="306"/>
      <c r="E30" s="276" t="str">
        <f t="shared" si="3"/>
        <v/>
      </c>
      <c r="F30" s="405"/>
      <c r="G30" s="310" t="str">
        <f t="shared" si="4"/>
        <v/>
      </c>
      <c r="H30" s="311" t="str">
        <f t="shared" si="5"/>
        <v/>
      </c>
    </row>
    <row r="31" spans="1:8">
      <c r="A31" s="534"/>
      <c r="B31" s="305" t="str">
        <f t="shared" si="2"/>
        <v/>
      </c>
      <c r="C31" s="305"/>
      <c r="D31" s="306"/>
      <c r="E31" s="276" t="str">
        <f t="shared" si="3"/>
        <v/>
      </c>
      <c r="F31" s="405"/>
      <c r="G31" s="310" t="str">
        <f t="shared" si="4"/>
        <v/>
      </c>
      <c r="H31" s="311" t="str">
        <f t="shared" si="5"/>
        <v/>
      </c>
    </row>
    <row r="32" spans="1:8" ht="13.5" thickBot="1">
      <c r="A32" s="535"/>
      <c r="B32" s="326" t="str">
        <f t="shared" si="2"/>
        <v/>
      </c>
      <c r="C32" s="314"/>
      <c r="D32" s="314"/>
      <c r="E32" s="315" t="str">
        <f t="shared" si="3"/>
        <v/>
      </c>
      <c r="F32" s="406"/>
      <c r="G32" s="327" t="str">
        <f t="shared" si="4"/>
        <v/>
      </c>
      <c r="H32" s="311" t="str">
        <f t="shared" si="5"/>
        <v/>
      </c>
    </row>
    <row r="33" spans="1:8" ht="13.5" thickBot="1">
      <c r="A33" s="285"/>
      <c r="B33" s="285"/>
      <c r="C33" s="285"/>
      <c r="D33" s="285"/>
      <c r="E33" s="286"/>
      <c r="F33" s="285"/>
      <c r="G33" s="210" t="s">
        <v>529</v>
      </c>
      <c r="H33" s="328">
        <f>ROUND(SUM(H23:H32),0)</f>
        <v>18200</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771"/>
      <c r="B37" s="737"/>
      <c r="C37" s="772"/>
      <c r="D37" s="773"/>
      <c r="E37" s="774"/>
      <c r="F37" s="775"/>
      <c r="G37" s="776"/>
      <c r="H37" s="746"/>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0</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883</v>
      </c>
      <c r="B46" s="2192" t="str">
        <f>IF(A46="","",VLOOKUP(A46,MO,2,FALSE))</f>
        <v>Cuadrilla AA: Albañilería. (1 Of. + 1 Ayud.).</v>
      </c>
      <c r="C46" s="2193"/>
      <c r="D46" s="2194"/>
      <c r="E46" s="538" t="str">
        <f>IF(A46="","",VLOOKUP(A46,MO,13,FALSE))</f>
        <v>HC</v>
      </c>
      <c r="F46" s="544">
        <v>11</v>
      </c>
      <c r="G46" s="540">
        <v>17563</v>
      </c>
      <c r="H46" s="542">
        <f>IF(A46="","",ROUND((G46/F46),0))</f>
        <v>1597</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1597</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19957</v>
      </c>
    </row>
    <row r="53" spans="1:8">
      <c r="A53" s="285"/>
      <c r="B53" s="285"/>
      <c r="C53" s="285"/>
      <c r="D53" s="285"/>
      <c r="E53" s="346"/>
      <c r="F53" s="347"/>
      <c r="G53" s="347"/>
      <c r="H53" s="349"/>
    </row>
    <row r="54" spans="1:8">
      <c r="A54" s="285"/>
      <c r="B54" s="285"/>
      <c r="C54" s="285"/>
      <c r="D54" s="285"/>
      <c r="E54" s="346"/>
      <c r="F54" s="347"/>
      <c r="G54" s="347"/>
      <c r="H54" s="349"/>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c r="A59" s="703" t="str">
        <f>+[14]PRESUPUESTO!$A$113</f>
        <v>__________________________________________</v>
      </c>
    </row>
    <row r="60" spans="1:8">
      <c r="A60" s="810" t="str">
        <f>+[14]PRESUPUESTO!$A$114</f>
        <v>Ing. JHON FREDY GARCIA MENDEZ</v>
      </c>
    </row>
    <row r="61" spans="1:8">
      <c r="A61" s="811" t="str">
        <f>+[14]PRESUPUESTO!$A$115</f>
        <v>M.P.  70268-326294 TLM.</v>
      </c>
    </row>
    <row r="62" spans="1:8">
      <c r="A62" s="811" t="str">
        <f>+[14]PRESUPUESTO!$A$116</f>
        <v>CONSULTOR</v>
      </c>
    </row>
  </sheetData>
  <mergeCells count="15">
    <mergeCell ref="B47:D47"/>
    <mergeCell ref="B48:D48"/>
    <mergeCell ref="B49:D49"/>
    <mergeCell ref="B6:D6"/>
    <mergeCell ref="B7:E7"/>
    <mergeCell ref="B8:E8"/>
    <mergeCell ref="B36:C36"/>
    <mergeCell ref="B45:D45"/>
    <mergeCell ref="B46:D46"/>
    <mergeCell ref="D2:E4"/>
    <mergeCell ref="F2:H2"/>
    <mergeCell ref="F3:H3"/>
    <mergeCell ref="F4:H4"/>
    <mergeCell ref="A5:E5"/>
    <mergeCell ref="F5:H5"/>
  </mergeCells>
  <pageMargins left="0.75" right="0.75" top="1" bottom="1" header="0" footer="0"/>
  <pageSetup paperSize="9" scale="70" orientation="portrait" r:id="rId1"/>
  <headerFooter alignWithMargins="0"/>
  <drawing r:id="rId2"/>
</worksheet>
</file>

<file path=xl/worksheets/sheet1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100-000000000000}">
  <sheetPr>
    <tabColor theme="6" tint="0.79998168889431442"/>
  </sheetPr>
  <dimension ref="A1:I62"/>
  <sheetViews>
    <sheetView workbookViewId="0"/>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4.570312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t="e">
        <f>PRESUPUESTO!#REF!</f>
        <v>#REF!</v>
      </c>
      <c r="B7" s="2185" t="e">
        <f>PRESUPUESTO!#REF!</f>
        <v>#REF!</v>
      </c>
      <c r="C7" s="2185"/>
      <c r="D7" s="2185"/>
      <c r="E7" s="2185"/>
      <c r="F7" s="289"/>
      <c r="G7" s="290" t="s">
        <v>525</v>
      </c>
      <c r="H7" s="97" t="e">
        <f>+PRESUPUESTO!#REF!</f>
        <v>#REF!</v>
      </c>
    </row>
    <row r="8" spans="1:9" ht="26.25" customHeight="1">
      <c r="A8" s="97" t="e">
        <f>+PRESUPUESTO!#REF!</f>
        <v>#REF!</v>
      </c>
      <c r="B8" s="2272" t="e">
        <f>+PRESUPUESTO!#REF!</f>
        <v>#REF!</v>
      </c>
      <c r="C8" s="2257"/>
      <c r="D8" s="2257"/>
      <c r="E8" s="225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967</v>
      </c>
      <c r="B13" s="305" t="str">
        <f t="shared" ref="B13:B18" si="0">IF(A13="","",VLOOKUP(A13,EQUI,2,FALSE))</f>
        <v>Herramienta Menor (10% de la mano de obra).</v>
      </c>
      <c r="C13" s="306"/>
      <c r="D13" s="306"/>
      <c r="E13" s="276" t="str">
        <f t="shared" ref="E13:E18" si="1">IF(A13="","",VLOOKUP(A13,EQUI,3,FALSE))</f>
        <v>%</v>
      </c>
      <c r="F13" s="433">
        <f>IF(A13="","",VLOOKUP(A13,EQUI,4,FALSE))</f>
        <v>0.1</v>
      </c>
      <c r="G13" s="307">
        <f>ROUND(F13*H50,0)</f>
        <v>1558</v>
      </c>
      <c r="H13" s="308">
        <f>+G13</f>
        <v>1558</v>
      </c>
      <c r="I13" s="309"/>
    </row>
    <row r="14" spans="1:9">
      <c r="A14" s="536"/>
      <c r="B14" s="305"/>
      <c r="C14" s="306"/>
      <c r="D14" s="306"/>
      <c r="E14" s="276" t="str">
        <f t="shared" si="1"/>
        <v/>
      </c>
      <c r="F14" s="405"/>
      <c r="G14" s="310" t="str">
        <f>IF(A14="","",VLOOKUP(A14,EQUI,4,FALSE))</f>
        <v/>
      </c>
      <c r="H14" s="311" t="str">
        <f>IF(A14="","",ROUND((G14/F14),0))</f>
        <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1558</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c r="B23" s="1033" t="s">
        <v>2429</v>
      </c>
      <c r="C23" s="305"/>
      <c r="D23" s="306"/>
      <c r="E23" s="815" t="s">
        <v>1654</v>
      </c>
      <c r="F23" s="405">
        <v>1.05</v>
      </c>
      <c r="G23" s="310">
        <v>78890</v>
      </c>
      <c r="H23" s="311">
        <f>ROUND(F23*G23,0)</f>
        <v>82835</v>
      </c>
    </row>
    <row r="24" spans="1:8">
      <c r="A24" s="534"/>
      <c r="B24" s="816"/>
      <c r="C24" s="305"/>
      <c r="D24" s="306"/>
      <c r="E24" s="815"/>
      <c r="F24" s="585"/>
      <c r="G24" s="310"/>
      <c r="H24" s="311"/>
    </row>
    <row r="25" spans="1:8">
      <c r="A25" s="534"/>
      <c r="B25" s="816"/>
      <c r="C25" s="305"/>
      <c r="D25" s="306"/>
      <c r="E25" s="815"/>
      <c r="F25" s="585"/>
      <c r="G25" s="310"/>
      <c r="H25" s="311"/>
    </row>
    <row r="26" spans="1:8">
      <c r="A26" s="534"/>
      <c r="B26" s="305" t="str">
        <f t="shared" ref="B26:B32" si="2">IF(A26="","",VLOOKUP(A26,MAT,2,FALSE))</f>
        <v/>
      </c>
      <c r="C26" s="305"/>
      <c r="D26" s="306"/>
      <c r="E26" s="276" t="str">
        <f t="shared" ref="E26:E32" si="3">IF(A26="","",VLOOKUP(A26,MAT,3,FALSE))</f>
        <v/>
      </c>
      <c r="F26" s="405"/>
      <c r="G26" s="310" t="str">
        <f t="shared" ref="G26:G32" si="4">IF(A26="","",VLOOKUP(A26,MAT,5,FALSE))</f>
        <v/>
      </c>
      <c r="H26" s="311" t="str">
        <f t="shared" ref="H26:H32" si="5">IF(A26="","",ROUND((G26*F26),0))</f>
        <v/>
      </c>
    </row>
    <row r="27" spans="1:8">
      <c r="A27" s="534"/>
      <c r="B27" s="305" t="str">
        <f t="shared" si="2"/>
        <v/>
      </c>
      <c r="C27" s="305"/>
      <c r="D27" s="306"/>
      <c r="E27" s="276" t="str">
        <f t="shared" si="3"/>
        <v/>
      </c>
      <c r="F27" s="405"/>
      <c r="G27" s="310" t="str">
        <f t="shared" si="4"/>
        <v/>
      </c>
      <c r="H27" s="311" t="str">
        <f t="shared" si="5"/>
        <v/>
      </c>
    </row>
    <row r="28" spans="1:8">
      <c r="A28" s="534"/>
      <c r="B28" s="305" t="str">
        <f t="shared" si="2"/>
        <v/>
      </c>
      <c r="C28" s="305"/>
      <c r="D28" s="306"/>
      <c r="E28" s="276" t="str">
        <f t="shared" si="3"/>
        <v/>
      </c>
      <c r="F28" s="405"/>
      <c r="G28" s="310" t="str">
        <f t="shared" si="4"/>
        <v/>
      </c>
      <c r="H28" s="311" t="str">
        <f t="shared" si="5"/>
        <v/>
      </c>
    </row>
    <row r="29" spans="1:8">
      <c r="A29" s="534"/>
      <c r="B29" s="305" t="str">
        <f t="shared" si="2"/>
        <v/>
      </c>
      <c r="C29" s="305"/>
      <c r="D29" s="306"/>
      <c r="E29" s="276" t="str">
        <f t="shared" si="3"/>
        <v/>
      </c>
      <c r="F29" s="405"/>
      <c r="G29" s="310" t="str">
        <f t="shared" si="4"/>
        <v/>
      </c>
      <c r="H29" s="311" t="str">
        <f t="shared" si="5"/>
        <v/>
      </c>
    </row>
    <row r="30" spans="1:8">
      <c r="A30" s="534"/>
      <c r="B30" s="305" t="str">
        <f t="shared" si="2"/>
        <v/>
      </c>
      <c r="C30" s="305"/>
      <c r="D30" s="306"/>
      <c r="E30" s="276" t="str">
        <f t="shared" si="3"/>
        <v/>
      </c>
      <c r="F30" s="405"/>
      <c r="G30" s="310" t="str">
        <f t="shared" si="4"/>
        <v/>
      </c>
      <c r="H30" s="311" t="str">
        <f t="shared" si="5"/>
        <v/>
      </c>
    </row>
    <row r="31" spans="1:8">
      <c r="A31" s="534"/>
      <c r="B31" s="305" t="str">
        <f t="shared" si="2"/>
        <v/>
      </c>
      <c r="C31" s="305"/>
      <c r="D31" s="306"/>
      <c r="E31" s="276" t="str">
        <f t="shared" si="3"/>
        <v/>
      </c>
      <c r="F31" s="405"/>
      <c r="G31" s="310" t="str">
        <f t="shared" si="4"/>
        <v/>
      </c>
      <c r="H31" s="311" t="str">
        <f t="shared" si="5"/>
        <v/>
      </c>
    </row>
    <row r="32" spans="1:8" ht="13.5" thickBot="1">
      <c r="A32" s="535"/>
      <c r="B32" s="326" t="str">
        <f t="shared" si="2"/>
        <v/>
      </c>
      <c r="C32" s="314"/>
      <c r="D32" s="314"/>
      <c r="E32" s="315" t="str">
        <f t="shared" si="3"/>
        <v/>
      </c>
      <c r="F32" s="406"/>
      <c r="G32" s="327" t="str">
        <f t="shared" si="4"/>
        <v/>
      </c>
      <c r="H32" s="311" t="str">
        <f t="shared" si="5"/>
        <v/>
      </c>
    </row>
    <row r="33" spans="1:8" ht="13.5" thickBot="1">
      <c r="A33" s="285"/>
      <c r="B33" s="285"/>
      <c r="C33" s="285"/>
      <c r="D33" s="285"/>
      <c r="E33" s="286"/>
      <c r="F33" s="285"/>
      <c r="G33" s="210" t="s">
        <v>529</v>
      </c>
      <c r="H33" s="328">
        <f>ROUND(SUM(H23:H32),0)</f>
        <v>82835</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771"/>
      <c r="B37" s="737"/>
      <c r="C37" s="772"/>
      <c r="D37" s="773"/>
      <c r="E37" s="774"/>
      <c r="F37" s="775"/>
      <c r="G37" s="776"/>
      <c r="H37" s="746"/>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0</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883</v>
      </c>
      <c r="B46" s="2192" t="str">
        <f>IF(A46="","",VLOOKUP(A46,MO,2,FALSE))</f>
        <v>Cuadrilla AA: Albañilería. (1 Of. + 1 Ayud.).</v>
      </c>
      <c r="C46" s="2193"/>
      <c r="D46" s="2194"/>
      <c r="E46" s="538" t="str">
        <f>IF(A46="","",VLOOKUP(A46,MO,13,FALSE))</f>
        <v>HC</v>
      </c>
      <c r="F46" s="544">
        <v>2.5</v>
      </c>
      <c r="G46" s="540">
        <f>IF(A46="","",VLOOKUP(A46,MO,15,FALSE))</f>
        <v>38949</v>
      </c>
      <c r="H46" s="542">
        <f>IF(A46="","",ROUND((G46/F46),0))</f>
        <v>15580</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15580</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99973</v>
      </c>
    </row>
    <row r="53" spans="1:8">
      <c r="A53" s="285"/>
      <c r="B53" s="285"/>
      <c r="C53" s="285"/>
      <c r="D53" s="285"/>
      <c r="E53" s="346"/>
      <c r="F53" s="347"/>
      <c r="G53" s="347"/>
      <c r="H53" s="349"/>
    </row>
    <row r="54" spans="1:8">
      <c r="A54" s="285"/>
      <c r="B54" s="285"/>
      <c r="C54" s="285"/>
      <c r="D54" s="285"/>
      <c r="E54" s="346"/>
      <c r="F54" s="347"/>
      <c r="G54" s="347"/>
      <c r="H54" s="349"/>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c r="A59" s="703" t="str">
        <f>+[14]PRESUPUESTO!$A$113</f>
        <v>__________________________________________</v>
      </c>
    </row>
    <row r="60" spans="1:8">
      <c r="A60" s="810" t="str">
        <f>+[14]PRESUPUESTO!$A$114</f>
        <v>Ing. JHON FREDY GARCIA MENDEZ</v>
      </c>
    </row>
    <row r="61" spans="1:8">
      <c r="A61" s="811" t="str">
        <f>+[14]PRESUPUESTO!$A$115</f>
        <v>M.P.  70268-326294 TLM.</v>
      </c>
    </row>
    <row r="62" spans="1:8">
      <c r="A62" s="811" t="str">
        <f>+[14]PRESUPUESTO!$A$116</f>
        <v>CONSULTOR</v>
      </c>
    </row>
  </sheetData>
  <mergeCells count="15">
    <mergeCell ref="B47:D47"/>
    <mergeCell ref="B48:D48"/>
    <mergeCell ref="B49:D49"/>
    <mergeCell ref="B6:D6"/>
    <mergeCell ref="B7:E7"/>
    <mergeCell ref="B8:E8"/>
    <mergeCell ref="B36:C36"/>
    <mergeCell ref="B45:D45"/>
    <mergeCell ref="B46:D46"/>
    <mergeCell ref="D2:E4"/>
    <mergeCell ref="F2:H2"/>
    <mergeCell ref="F3:H3"/>
    <mergeCell ref="F4:H4"/>
    <mergeCell ref="A5:E5"/>
    <mergeCell ref="F5:H5"/>
  </mergeCells>
  <pageMargins left="0.75" right="0.75" top="1" bottom="1" header="0" footer="0"/>
  <pageSetup paperSize="9" scale="70" orientation="portrait" r:id="rId1"/>
  <headerFooter alignWithMargins="0"/>
  <drawing r:id="rId2"/>
</worksheet>
</file>

<file path=xl/worksheets/sheet1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200-000000000000}">
  <sheetPr>
    <tabColor theme="6" tint="0.79998168889431442"/>
  </sheetPr>
  <dimension ref="A1:I62"/>
  <sheetViews>
    <sheetView workbookViewId="0"/>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4" style="247" customWidth="1"/>
    <col min="8" max="8" width="12.7109375" style="247"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t="e">
        <f>PRESUPUESTO!#REF!</f>
        <v>#REF!</v>
      </c>
      <c r="B7" s="2185" t="e">
        <f>PRESUPUESTO!#REF!</f>
        <v>#REF!</v>
      </c>
      <c r="C7" s="2185"/>
      <c r="D7" s="2185"/>
      <c r="E7" s="2185"/>
      <c r="F7" s="289"/>
      <c r="G7" s="290" t="s">
        <v>525</v>
      </c>
      <c r="H7" s="97" t="e">
        <f>+PRESUPUESTO!#REF!</f>
        <v>#REF!</v>
      </c>
    </row>
    <row r="8" spans="1:9" ht="40.5" customHeight="1">
      <c r="A8" s="97" t="e">
        <f>+PRESUPUESTO!#REF!</f>
        <v>#REF!</v>
      </c>
      <c r="B8" s="2217" t="e">
        <f>+PRESUPUESTO!#REF!</f>
        <v>#REF!</v>
      </c>
      <c r="C8" s="2217"/>
      <c r="D8" s="2217"/>
      <c r="E8" s="221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966</v>
      </c>
      <c r="B13" s="305" t="str">
        <f t="shared" ref="B13:B18" si="0">IF(A13="","",VLOOKUP(A13,EQUI,2,FALSE))</f>
        <v>Herramienta Menor (5% de la mano de obra).</v>
      </c>
      <c r="C13" s="306"/>
      <c r="D13" s="306"/>
      <c r="E13" s="276" t="str">
        <f t="shared" ref="E13:E18" si="1">IF(A13="","",VLOOKUP(A13,EQUI,3,FALSE))</f>
        <v>%</v>
      </c>
      <c r="F13" s="433">
        <f>IF(A13="","",VLOOKUP(A13,EQUI,4,FALSE))</f>
        <v>0.05</v>
      </c>
      <c r="G13" s="307">
        <f>ROUND(F13*H50,0)</f>
        <v>1180</v>
      </c>
      <c r="H13" s="308">
        <f>+G13</f>
        <v>1180</v>
      </c>
      <c r="I13" s="309"/>
    </row>
    <row r="14" spans="1:9">
      <c r="A14" s="536" t="s">
        <v>481</v>
      </c>
      <c r="B14" s="305" t="str">
        <f t="shared" si="0"/>
        <v>Apisonador tipo canguro</v>
      </c>
      <c r="C14" s="306"/>
      <c r="D14" s="306"/>
      <c r="E14" s="276" t="str">
        <f t="shared" si="1"/>
        <v>Dia</v>
      </c>
      <c r="F14" s="405">
        <v>20</v>
      </c>
      <c r="G14" s="310">
        <f>IF(A14="","",VLOOKUP(A14,EQUI,4,FALSE))</f>
        <v>95693</v>
      </c>
      <c r="H14" s="311">
        <f>IF(A14="","",ROUND((G14/F14),0))</f>
        <v>4785</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5965</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c r="B23" s="353" t="str">
        <f t="shared" ref="B23:B32" si="2">IF(A23="","",VLOOKUP(A23,MAT,2,FALSE))</f>
        <v/>
      </c>
      <c r="C23" s="305"/>
      <c r="D23" s="306"/>
      <c r="E23" s="276" t="str">
        <f t="shared" ref="E23:E32" si="3">IF(A23="","",VLOOKUP(A23,MAT,3,FALSE))</f>
        <v/>
      </c>
      <c r="F23" s="405"/>
      <c r="G23" s="310" t="str">
        <f t="shared" ref="G23:G32" si="4">IF(A23="","",VLOOKUP(A23,MAT,5,FALSE))</f>
        <v/>
      </c>
      <c r="H23" s="311" t="str">
        <f t="shared" ref="H23:H32" si="5">IF(A23="","",ROUND((G23*F23),0))</f>
        <v/>
      </c>
    </row>
    <row r="24" spans="1:8">
      <c r="A24" s="534"/>
      <c r="B24" s="353" t="str">
        <f t="shared" si="2"/>
        <v/>
      </c>
      <c r="C24" s="305"/>
      <c r="D24" s="306"/>
      <c r="E24" s="276" t="str">
        <f t="shared" si="3"/>
        <v/>
      </c>
      <c r="F24" s="405"/>
      <c r="G24" s="310" t="str">
        <f t="shared" si="4"/>
        <v/>
      </c>
      <c r="H24" s="311" t="str">
        <f t="shared" si="5"/>
        <v/>
      </c>
    </row>
    <row r="25" spans="1:8">
      <c r="A25" s="534"/>
      <c r="B25" s="353" t="str">
        <f t="shared" si="2"/>
        <v/>
      </c>
      <c r="C25" s="305"/>
      <c r="D25" s="306"/>
      <c r="E25" s="276" t="str">
        <f t="shared" si="3"/>
        <v/>
      </c>
      <c r="F25" s="405"/>
      <c r="G25" s="310" t="str">
        <f t="shared" si="4"/>
        <v/>
      </c>
      <c r="H25" s="311" t="str">
        <f t="shared" si="5"/>
        <v/>
      </c>
    </row>
    <row r="26" spans="1:8">
      <c r="A26" s="534"/>
      <c r="B26" s="305" t="str">
        <f t="shared" si="2"/>
        <v/>
      </c>
      <c r="C26" s="305"/>
      <c r="D26" s="306"/>
      <c r="E26" s="276" t="str">
        <f t="shared" si="3"/>
        <v/>
      </c>
      <c r="F26" s="405"/>
      <c r="G26" s="310" t="str">
        <f t="shared" si="4"/>
        <v/>
      </c>
      <c r="H26" s="311" t="str">
        <f t="shared" si="5"/>
        <v/>
      </c>
    </row>
    <row r="27" spans="1:8">
      <c r="A27" s="534"/>
      <c r="B27" s="305" t="str">
        <f t="shared" si="2"/>
        <v/>
      </c>
      <c r="C27" s="305"/>
      <c r="D27" s="306"/>
      <c r="E27" s="276" t="str">
        <f t="shared" si="3"/>
        <v/>
      </c>
      <c r="F27" s="405"/>
      <c r="G27" s="310" t="str">
        <f t="shared" si="4"/>
        <v/>
      </c>
      <c r="H27" s="311" t="str">
        <f t="shared" si="5"/>
        <v/>
      </c>
    </row>
    <row r="28" spans="1:8">
      <c r="A28" s="534"/>
      <c r="B28" s="305" t="str">
        <f t="shared" si="2"/>
        <v/>
      </c>
      <c r="C28" s="305"/>
      <c r="D28" s="306"/>
      <c r="E28" s="276" t="str">
        <f t="shared" si="3"/>
        <v/>
      </c>
      <c r="F28" s="405"/>
      <c r="G28" s="310" t="str">
        <f t="shared" si="4"/>
        <v/>
      </c>
      <c r="H28" s="311" t="str">
        <f t="shared" si="5"/>
        <v/>
      </c>
    </row>
    <row r="29" spans="1:8">
      <c r="A29" s="534"/>
      <c r="B29" s="305" t="str">
        <f t="shared" si="2"/>
        <v/>
      </c>
      <c r="C29" s="305"/>
      <c r="D29" s="306"/>
      <c r="E29" s="276" t="str">
        <f t="shared" si="3"/>
        <v/>
      </c>
      <c r="F29" s="405"/>
      <c r="G29" s="310" t="str">
        <f t="shared" si="4"/>
        <v/>
      </c>
      <c r="H29" s="311" t="str">
        <f t="shared" si="5"/>
        <v/>
      </c>
    </row>
    <row r="30" spans="1:8">
      <c r="A30" s="534"/>
      <c r="B30" s="305" t="str">
        <f t="shared" si="2"/>
        <v/>
      </c>
      <c r="C30" s="305"/>
      <c r="D30" s="306"/>
      <c r="E30" s="276" t="str">
        <f t="shared" si="3"/>
        <v/>
      </c>
      <c r="F30" s="405"/>
      <c r="G30" s="310" t="str">
        <f t="shared" si="4"/>
        <v/>
      </c>
      <c r="H30" s="311" t="str">
        <f t="shared" si="5"/>
        <v/>
      </c>
    </row>
    <row r="31" spans="1:8">
      <c r="A31" s="534"/>
      <c r="B31" s="305" t="str">
        <f t="shared" si="2"/>
        <v/>
      </c>
      <c r="C31" s="305"/>
      <c r="D31" s="306"/>
      <c r="E31" s="276" t="str">
        <f t="shared" si="3"/>
        <v/>
      </c>
      <c r="F31" s="405"/>
      <c r="G31" s="310" t="str">
        <f t="shared" si="4"/>
        <v/>
      </c>
      <c r="H31" s="311" t="str">
        <f t="shared" si="5"/>
        <v/>
      </c>
    </row>
    <row r="32" spans="1:8" ht="13.5" thickBot="1">
      <c r="A32" s="535"/>
      <c r="B32" s="326" t="str">
        <f t="shared" si="2"/>
        <v/>
      </c>
      <c r="C32" s="314"/>
      <c r="D32" s="314"/>
      <c r="E32" s="315" t="str">
        <f t="shared" si="3"/>
        <v/>
      </c>
      <c r="F32" s="406"/>
      <c r="G32" s="327" t="str">
        <f t="shared" si="4"/>
        <v/>
      </c>
      <c r="H32" s="311" t="str">
        <f t="shared" si="5"/>
        <v/>
      </c>
    </row>
    <row r="33" spans="1:8" ht="13.5" thickBot="1">
      <c r="A33" s="285"/>
      <c r="B33" s="285"/>
      <c r="C33" s="285"/>
      <c r="D33" s="285"/>
      <c r="E33" s="286"/>
      <c r="F33" s="285"/>
      <c r="G33" s="210" t="s">
        <v>529</v>
      </c>
      <c r="H33" s="328">
        <f>ROUND(SUM(H23:H32),0)</f>
        <v>0</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546"/>
      <c r="B37" s="305" t="str">
        <f>IF(A37="","",VLOOKUP(A37,MAT,2,FALSE))</f>
        <v/>
      </c>
      <c r="C37" s="333"/>
      <c r="D37" s="409" t="str">
        <f>IF(A37="","",VLOOKUP(A37,MAT,3,FALSE))</f>
        <v/>
      </c>
      <c r="E37" s="419" t="str">
        <f>IF(A37="","",VLOOKUP(A37,MAT,6,FALSE))</f>
        <v/>
      </c>
      <c r="F37" s="413"/>
      <c r="G37" s="334" t="str">
        <f>IF(A37="","",VLOOKUP(A37,MAT,7,FALSE))</f>
        <v/>
      </c>
      <c r="H37" s="311" t="str">
        <f>IF(A37="","",ROUND((G37*F37*E37),0))</f>
        <v/>
      </c>
    </row>
    <row r="38" spans="1:8">
      <c r="A38" s="532"/>
      <c r="B38" s="305" t="str">
        <f>IF(A38="","",VLOOKUP(A38,MAT,2,FALSE))</f>
        <v/>
      </c>
      <c r="C38" s="530"/>
      <c r="D38" s="409" t="str">
        <f>IF(A38="","",VLOOKUP(A38,MAT,3,FALSE))</f>
        <v/>
      </c>
      <c r="E38" s="419" t="str">
        <f>IF(A38="","",VLOOKUP(A38,MAT,6,FALSE))</f>
        <v/>
      </c>
      <c r="F38" s="413" t="str">
        <f>IF(A38="","",VLOOKUP(A38,$A$23:$H$32,6,FALSE))</f>
        <v/>
      </c>
      <c r="G38" s="334" t="str">
        <f>IF(A38="","",VLOOKUP(A38,MAT,7,FALSE))</f>
        <v/>
      </c>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t="str">
        <f>IF(A39="","",ROUND((G39*F39*E39),0))</f>
        <v/>
      </c>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0</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883</v>
      </c>
      <c r="B46" s="2192" t="str">
        <f>IF(A46="","",VLOOKUP(A46,MO,2,FALSE))</f>
        <v>Cuadrilla AA: Albañilería. (1 Of. + 1 Ayud.).</v>
      </c>
      <c r="C46" s="2193"/>
      <c r="D46" s="2194"/>
      <c r="E46" s="538" t="str">
        <f>IF(A46="","",VLOOKUP(A46,MO,13,FALSE))</f>
        <v>HC</v>
      </c>
      <c r="F46" s="544">
        <v>1.65</v>
      </c>
      <c r="G46" s="540">
        <f>IF(A46="","",VLOOKUP(A46,MO,15,FALSE))</f>
        <v>38949</v>
      </c>
      <c r="H46" s="542">
        <f>IF(A46="","",ROUND((G46/F46),0))</f>
        <v>23605</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23605</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29570</v>
      </c>
    </row>
    <row r="53" spans="1:8">
      <c r="A53" s="285"/>
      <c r="B53" s="285"/>
      <c r="C53" s="285"/>
      <c r="D53" s="285"/>
      <c r="E53" s="346"/>
      <c r="F53" s="347"/>
      <c r="G53" s="347"/>
      <c r="H53" s="349"/>
    </row>
    <row r="54" spans="1:8">
      <c r="A54" s="285"/>
      <c r="B54" s="285"/>
      <c r="C54" s="285"/>
      <c r="D54" s="285"/>
      <c r="E54" s="346"/>
      <c r="F54" s="347"/>
      <c r="G54" s="347"/>
      <c r="H54" s="349"/>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c r="A59" s="703" t="str">
        <f>+[14]PRESUPUESTO!$A$113</f>
        <v>__________________________________________</v>
      </c>
      <c r="B59" s="703"/>
      <c r="C59" s="703"/>
    </row>
    <row r="60" spans="1:8">
      <c r="A60" s="810" t="str">
        <f>+[14]PRESUPUESTO!$A$114</f>
        <v>Ing. JHON FREDY GARCIA MENDEZ</v>
      </c>
      <c r="B60" s="703"/>
      <c r="C60" s="703"/>
    </row>
    <row r="61" spans="1:8">
      <c r="A61" s="811" t="str">
        <f>+[14]PRESUPUESTO!$A$115</f>
        <v>M.P.  70268-326294 TLM.</v>
      </c>
      <c r="B61" s="703"/>
      <c r="C61" s="703"/>
    </row>
    <row r="62" spans="1:8">
      <c r="A62" s="811" t="str">
        <f>+[14]PRESUPUESTO!$A$116</f>
        <v>CONSULTOR</v>
      </c>
      <c r="B62" s="703"/>
      <c r="C62" s="703"/>
    </row>
  </sheetData>
  <mergeCells count="15">
    <mergeCell ref="B47:D47"/>
    <mergeCell ref="B48:D48"/>
    <mergeCell ref="B49:D49"/>
    <mergeCell ref="B6:D6"/>
    <mergeCell ref="B7:E7"/>
    <mergeCell ref="B8:E8"/>
    <mergeCell ref="B36:C36"/>
    <mergeCell ref="B45:D45"/>
    <mergeCell ref="B46:D46"/>
    <mergeCell ref="D2:E4"/>
    <mergeCell ref="F2:H2"/>
    <mergeCell ref="F3:H3"/>
    <mergeCell ref="F4:H4"/>
    <mergeCell ref="A5:E5"/>
    <mergeCell ref="F5:H5"/>
  </mergeCells>
  <pageMargins left="0.75" right="0.75" top="1" bottom="1" header="0" footer="0"/>
  <pageSetup paperSize="9" scale="70" orientation="portrait" r:id="rId1"/>
  <headerFooter alignWithMargins="0"/>
  <drawing r:id="rId2"/>
</worksheet>
</file>

<file path=xl/worksheets/sheet1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300-000000000000}">
  <sheetPr>
    <tabColor theme="6" tint="0.79998168889431442"/>
  </sheetPr>
  <dimension ref="A1:I62"/>
  <sheetViews>
    <sheetView workbookViewId="0"/>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5.42578125" style="247" bestFit="1" customWidth="1"/>
    <col min="8" max="8" width="16.5703125" style="247" bestFit="1"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t="e">
        <f>PRESUPUESTO!#REF!</f>
        <v>#REF!</v>
      </c>
      <c r="B7" s="2185" t="e">
        <f>PRESUPUESTO!#REF!</f>
        <v>#REF!</v>
      </c>
      <c r="C7" s="2185"/>
      <c r="D7" s="2185"/>
      <c r="E7" s="2185"/>
      <c r="F7" s="289"/>
      <c r="G7" s="290" t="s">
        <v>525</v>
      </c>
      <c r="H7" s="1063" t="e">
        <f>+PRESUPUESTO!#REF!</f>
        <v>#REF!</v>
      </c>
    </row>
    <row r="8" spans="1:9" ht="90" customHeight="1">
      <c r="A8" s="1062" t="e">
        <f>+PRESUPUESTO!#REF!</f>
        <v>#REF!</v>
      </c>
      <c r="B8" s="2229" t="e">
        <f>+PRESUPUESTO!#REF!</f>
        <v>#REF!</v>
      </c>
      <c r="C8" s="2217"/>
      <c r="D8" s="2217"/>
      <c r="E8" s="221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966</v>
      </c>
      <c r="B13" s="305" t="str">
        <f t="shared" ref="B13:B18" si="0">IF(A13="","",VLOOKUP(A13,EQUI,2,FALSE))</f>
        <v>Herramienta Menor (5% de la mano de obra).</v>
      </c>
      <c r="C13" s="306"/>
      <c r="D13" s="306"/>
      <c r="E13" s="276" t="str">
        <f t="shared" ref="E13:E18" si="1">IF(A13="","",VLOOKUP(A13,EQUI,3,FALSE))</f>
        <v>%</v>
      </c>
      <c r="F13" s="433">
        <f>IF(A13="","",VLOOKUP(A13,EQUI,4,FALSE))</f>
        <v>0.05</v>
      </c>
      <c r="G13" s="307">
        <f>ROUND(F13*H50,0)</f>
        <v>296254</v>
      </c>
      <c r="H13" s="308">
        <f>+G13</f>
        <v>296254</v>
      </c>
      <c r="I13" s="309"/>
    </row>
    <row r="14" spans="1:9">
      <c r="A14" s="536"/>
      <c r="B14" s="305" t="str">
        <f t="shared" si="0"/>
        <v/>
      </c>
      <c r="C14" s="306"/>
      <c r="D14" s="306"/>
      <c r="E14" s="276" t="str">
        <f t="shared" si="1"/>
        <v/>
      </c>
      <c r="F14" s="405"/>
      <c r="G14" s="310" t="str">
        <f>IF(A14="","",VLOOKUP(A14,EQUI,4,FALSE))</f>
        <v/>
      </c>
      <c r="H14" s="311" t="str">
        <f>IF(A14="","",ROUND((G14/F14),0))</f>
        <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296254</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ht="100.9" customHeight="1">
      <c r="A23" s="533"/>
      <c r="B23" s="2278" t="s">
        <v>2498</v>
      </c>
      <c r="C23" s="2279"/>
      <c r="D23" s="2280"/>
      <c r="E23" s="815" t="s">
        <v>1681</v>
      </c>
      <c r="F23" s="405">
        <v>1</v>
      </c>
      <c r="G23" s="1067">
        <v>994008000</v>
      </c>
      <c r="H23" s="311">
        <f>ROUND(G23*F23,0)</f>
        <v>994008000</v>
      </c>
    </row>
    <row r="24" spans="1:8">
      <c r="A24" s="534"/>
      <c r="B24" s="1033" t="s">
        <v>2482</v>
      </c>
      <c r="C24" s="305"/>
      <c r="D24" s="306"/>
      <c r="E24" s="815" t="s">
        <v>2469</v>
      </c>
      <c r="F24" s="405">
        <v>1</v>
      </c>
      <c r="G24" s="1068">
        <v>1660352</v>
      </c>
      <c r="H24" s="311">
        <f>ROUND(G24*F24,0)</f>
        <v>1660352</v>
      </c>
    </row>
    <row r="25" spans="1:8">
      <c r="A25" s="534"/>
      <c r="B25" s="353" t="str">
        <f t="shared" ref="B25:B32" si="2">IF(A25="","",VLOOKUP(A25,MAT,2,FALSE))</f>
        <v/>
      </c>
      <c r="C25" s="305"/>
      <c r="D25" s="306"/>
      <c r="E25" s="276" t="str">
        <f t="shared" ref="E25:E32" si="3">IF(A25="","",VLOOKUP(A25,MAT,3,FALSE))</f>
        <v/>
      </c>
      <c r="F25" s="405"/>
      <c r="G25" s="310" t="str">
        <f t="shared" ref="G25:G32" si="4">IF(A25="","",VLOOKUP(A25,MAT,5,FALSE))</f>
        <v/>
      </c>
      <c r="H25" s="311" t="str">
        <f t="shared" ref="H25:H32" si="5">IF(A25="","",ROUND((G25*F25),0))</f>
        <v/>
      </c>
    </row>
    <row r="26" spans="1:8">
      <c r="A26" s="534"/>
      <c r="B26" s="305" t="str">
        <f t="shared" si="2"/>
        <v/>
      </c>
      <c r="C26" s="305"/>
      <c r="D26" s="306"/>
      <c r="E26" s="276" t="str">
        <f t="shared" si="3"/>
        <v/>
      </c>
      <c r="F26" s="405"/>
      <c r="G26" s="310" t="str">
        <f t="shared" si="4"/>
        <v/>
      </c>
      <c r="H26" s="311" t="str">
        <f t="shared" si="5"/>
        <v/>
      </c>
    </row>
    <row r="27" spans="1:8">
      <c r="A27" s="534"/>
      <c r="B27" s="305" t="str">
        <f t="shared" si="2"/>
        <v/>
      </c>
      <c r="C27" s="305"/>
      <c r="D27" s="306"/>
      <c r="E27" s="276" t="str">
        <f t="shared" si="3"/>
        <v/>
      </c>
      <c r="F27" s="405"/>
      <c r="G27" s="310" t="str">
        <f t="shared" si="4"/>
        <v/>
      </c>
      <c r="H27" s="311" t="str">
        <f t="shared" si="5"/>
        <v/>
      </c>
    </row>
    <row r="28" spans="1:8">
      <c r="A28" s="534"/>
      <c r="B28" s="305" t="str">
        <f t="shared" si="2"/>
        <v/>
      </c>
      <c r="C28" s="305"/>
      <c r="D28" s="306"/>
      <c r="E28" s="276" t="str">
        <f t="shared" si="3"/>
        <v/>
      </c>
      <c r="F28" s="405"/>
      <c r="G28" s="310" t="str">
        <f t="shared" si="4"/>
        <v/>
      </c>
      <c r="H28" s="311" t="str">
        <f t="shared" si="5"/>
        <v/>
      </c>
    </row>
    <row r="29" spans="1:8">
      <c r="A29" s="534"/>
      <c r="B29" s="305" t="str">
        <f t="shared" si="2"/>
        <v/>
      </c>
      <c r="C29" s="305"/>
      <c r="D29" s="306"/>
      <c r="E29" s="276" t="str">
        <f t="shared" si="3"/>
        <v/>
      </c>
      <c r="F29" s="405"/>
      <c r="G29" s="310" t="str">
        <f t="shared" si="4"/>
        <v/>
      </c>
      <c r="H29" s="311" t="str">
        <f t="shared" si="5"/>
        <v/>
      </c>
    </row>
    <row r="30" spans="1:8">
      <c r="A30" s="534"/>
      <c r="B30" s="305" t="str">
        <f t="shared" si="2"/>
        <v/>
      </c>
      <c r="C30" s="305"/>
      <c r="D30" s="306"/>
      <c r="E30" s="276" t="str">
        <f t="shared" si="3"/>
        <v/>
      </c>
      <c r="F30" s="405"/>
      <c r="G30" s="310" t="str">
        <f t="shared" si="4"/>
        <v/>
      </c>
      <c r="H30" s="311" t="str">
        <f t="shared" si="5"/>
        <v/>
      </c>
    </row>
    <row r="31" spans="1:8">
      <c r="A31" s="534"/>
      <c r="B31" s="305" t="str">
        <f t="shared" si="2"/>
        <v/>
      </c>
      <c r="C31" s="305"/>
      <c r="D31" s="306"/>
      <c r="E31" s="276" t="str">
        <f t="shared" si="3"/>
        <v/>
      </c>
      <c r="F31" s="405"/>
      <c r="G31" s="310" t="str">
        <f t="shared" si="4"/>
        <v/>
      </c>
      <c r="H31" s="311" t="str">
        <f t="shared" si="5"/>
        <v/>
      </c>
    </row>
    <row r="32" spans="1:8" ht="13.5" thickBot="1">
      <c r="A32" s="535"/>
      <c r="B32" s="326" t="str">
        <f t="shared" si="2"/>
        <v/>
      </c>
      <c r="C32" s="314"/>
      <c r="D32" s="314"/>
      <c r="E32" s="315" t="str">
        <f t="shared" si="3"/>
        <v/>
      </c>
      <c r="F32" s="406"/>
      <c r="G32" s="327" t="str">
        <f t="shared" si="4"/>
        <v/>
      </c>
      <c r="H32" s="311" t="str">
        <f t="shared" si="5"/>
        <v/>
      </c>
    </row>
    <row r="33" spans="1:8" ht="13.5" thickBot="1">
      <c r="A33" s="285"/>
      <c r="B33" s="285"/>
      <c r="C33" s="285"/>
      <c r="D33" s="285"/>
      <c r="E33" s="286"/>
      <c r="F33" s="285"/>
      <c r="G33" s="210" t="s">
        <v>529</v>
      </c>
      <c r="H33" s="328">
        <f>ROUND(SUM(H23:H32),0)</f>
        <v>995668352</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546"/>
      <c r="B37" s="816" t="s">
        <v>2483</v>
      </c>
      <c r="C37" s="333"/>
      <c r="D37" s="817" t="s">
        <v>2469</v>
      </c>
      <c r="E37" s="419" t="str">
        <f>IF(A37="","",VLOOKUP(A37,MAT,6,FALSE))</f>
        <v/>
      </c>
      <c r="F37" s="413">
        <v>1</v>
      </c>
      <c r="G37" s="334">
        <v>3000000</v>
      </c>
      <c r="H37" s="311">
        <f>ROUND(G37*F37,0)</f>
        <v>3000000</v>
      </c>
    </row>
    <row r="38" spans="1:8">
      <c r="A38" s="532"/>
      <c r="B38" s="305" t="str">
        <f>IF(A38="","",VLOOKUP(A38,MAT,2,FALSE))</f>
        <v/>
      </c>
      <c r="C38" s="530"/>
      <c r="D38" s="409" t="str">
        <f>IF(A38="","",VLOOKUP(A38,MAT,3,FALSE))</f>
        <v/>
      </c>
      <c r="E38" s="419" t="str">
        <f>IF(A38="","",VLOOKUP(A38,MAT,6,FALSE))</f>
        <v/>
      </c>
      <c r="F38" s="413" t="str">
        <f>IF(A38="","",VLOOKUP(A38,$A$23:$H$32,6,FALSE))</f>
        <v/>
      </c>
      <c r="G38" s="334"/>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t="str">
        <f>IF(A39="","",ROUND((G39*F39*E39),0))</f>
        <v/>
      </c>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3000000</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883</v>
      </c>
      <c r="B46" s="2192" t="str">
        <f>IF(A46="","",VLOOKUP(A46,MO,2,FALSE))</f>
        <v>Cuadrilla AA: Albañilería. (1 Of. + 1 Ayud.).</v>
      </c>
      <c r="C46" s="2193"/>
      <c r="D46" s="2194"/>
      <c r="E46" s="538" t="str">
        <f>IF(A46="","",VLOOKUP(A46,MO,13,FALSE))</f>
        <v>HC</v>
      </c>
      <c r="F46" s="544">
        <v>2.9000000000000001E-2</v>
      </c>
      <c r="G46" s="540">
        <f>IF(A46="","",VLOOKUP(A46,MO,15,FALSE))</f>
        <v>38949</v>
      </c>
      <c r="H46" s="542">
        <f>IF(A46="","",ROUND((G46/F46),0))</f>
        <v>1343069</v>
      </c>
    </row>
    <row r="47" spans="1:8">
      <c r="A47" s="563" t="s">
        <v>907</v>
      </c>
      <c r="B47" s="2179" t="str">
        <f>IF(A47="","",VLOOKUP(A47,MO,2,FALSE))</f>
        <v>Cuadrilla HH: Metálicas. (1 Sold. + 1 Of. + 1 Ayud.).</v>
      </c>
      <c r="C47" s="2180"/>
      <c r="D47" s="2181"/>
      <c r="E47" s="538" t="str">
        <f>IF(A47="","",VLOOKUP(A47,MO,13,FALSE))</f>
        <v>HC</v>
      </c>
      <c r="F47" s="544">
        <v>2.9000000000000001E-2</v>
      </c>
      <c r="G47" s="540">
        <f>IF(A47="","",VLOOKUP(A47,MO,15,FALSE))</f>
        <v>54464</v>
      </c>
      <c r="H47" s="542">
        <f>IF(A47="","",ROUND((G47/F47),0))</f>
        <v>1878069</v>
      </c>
    </row>
    <row r="48" spans="1:8">
      <c r="A48" s="563" t="s">
        <v>940</v>
      </c>
      <c r="B48" s="2179" t="str">
        <f>IF(A48="","",VLOOKUP(A48,MO,2,FALSE))</f>
        <v>Cuadrilla NN: Instalaciones hidrosanitarias. (1 Of.Insta.+ 2 Ayud.).</v>
      </c>
      <c r="C48" s="2180"/>
      <c r="D48" s="2181"/>
      <c r="E48" s="538" t="str">
        <f>IF(A48="","",VLOOKUP(A48,MO,13,FALSE))</f>
        <v>HC</v>
      </c>
      <c r="F48" s="544">
        <v>3.5999999999999997E-2</v>
      </c>
      <c r="G48" s="541">
        <f>IF(A48="","",VLOOKUP(A48,MO,15,FALSE))</f>
        <v>97342</v>
      </c>
      <c r="H48" s="542">
        <f>IF(A48="","",ROUND((G48/F48),0))</f>
        <v>2703944</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5925082</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1004889688</v>
      </c>
    </row>
    <row r="53" spans="1:8">
      <c r="A53" s="285"/>
      <c r="B53" s="285"/>
      <c r="C53" s="285"/>
      <c r="D53" s="285"/>
      <c r="E53" s="346"/>
      <c r="F53" s="347"/>
      <c r="G53" s="347"/>
      <c r="H53" s="349"/>
    </row>
    <row r="54" spans="1:8">
      <c r="A54" s="285"/>
      <c r="B54" s="285"/>
      <c r="C54" s="285"/>
      <c r="D54" s="285"/>
      <c r="E54" s="346"/>
      <c r="F54" s="347"/>
      <c r="G54" s="347"/>
      <c r="H54" s="349"/>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c r="A59" s="703" t="str">
        <f>+[14]PRESUPUESTO!$A$113</f>
        <v>__________________________________________</v>
      </c>
      <c r="B59" s="703"/>
      <c r="C59" s="703"/>
    </row>
    <row r="60" spans="1:8">
      <c r="A60" s="810" t="str">
        <f>+[14]PRESUPUESTO!$A$114</f>
        <v>Ing. JHON FREDY GARCIA MENDEZ</v>
      </c>
      <c r="B60" s="703"/>
      <c r="C60" s="703"/>
    </row>
    <row r="61" spans="1:8">
      <c r="A61" s="811" t="str">
        <f>+[14]PRESUPUESTO!$A$115</f>
        <v>M.P.  70268-326294 TLM.</v>
      </c>
      <c r="B61" s="703"/>
      <c r="C61" s="703"/>
    </row>
    <row r="62" spans="1:8">
      <c r="A62" s="811" t="str">
        <f>+[14]PRESUPUESTO!$A$116</f>
        <v>CONSULTOR</v>
      </c>
      <c r="B62" s="703"/>
      <c r="C62" s="703"/>
    </row>
  </sheetData>
  <mergeCells count="16">
    <mergeCell ref="B47:D47"/>
    <mergeCell ref="B48:D48"/>
    <mergeCell ref="B49:D49"/>
    <mergeCell ref="B23:D23"/>
    <mergeCell ref="B6:D6"/>
    <mergeCell ref="B7:E7"/>
    <mergeCell ref="B8:E8"/>
    <mergeCell ref="B36:C36"/>
    <mergeCell ref="B45:D45"/>
    <mergeCell ref="B46:D46"/>
    <mergeCell ref="D2:E4"/>
    <mergeCell ref="F2:H2"/>
    <mergeCell ref="F3:H3"/>
    <mergeCell ref="F4:H4"/>
    <mergeCell ref="A5:E5"/>
    <mergeCell ref="F5:H5"/>
  </mergeCells>
  <pageMargins left="0.75" right="0.75" top="1" bottom="1" header="0" footer="0"/>
  <pageSetup paperSize="9" scale="70" orientation="portrait" r:id="rId1"/>
  <headerFooter alignWithMargins="0"/>
  <drawing r:id="rId2"/>
</worksheet>
</file>

<file path=xl/worksheets/sheet1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400-000000000000}">
  <sheetPr>
    <tabColor theme="6" tint="0.79998168889431442"/>
  </sheetPr>
  <dimension ref="A1:I58"/>
  <sheetViews>
    <sheetView workbookViewId="0"/>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5.42578125" style="247" bestFit="1" customWidth="1"/>
    <col min="8" max="8" width="16.5703125" style="247" bestFit="1"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t="e">
        <f>PRESUPUESTO!#REF!</f>
        <v>#REF!</v>
      </c>
      <c r="B7" s="2185" t="e">
        <f>PRESUPUESTO!#REF!</f>
        <v>#REF!</v>
      </c>
      <c r="C7" s="2185"/>
      <c r="D7" s="2185"/>
      <c r="E7" s="2185"/>
      <c r="F7" s="289"/>
      <c r="G7" s="290" t="s">
        <v>525</v>
      </c>
      <c r="H7" s="1063" t="e">
        <f>+PRESUPUESTO!#REF!</f>
        <v>#REF!</v>
      </c>
    </row>
    <row r="8" spans="1:9" ht="90" customHeight="1">
      <c r="A8" s="1062" t="e">
        <f>+PRESUPUESTO!#REF!</f>
        <v>#REF!</v>
      </c>
      <c r="B8" s="2273" t="e">
        <f>+PRESUPUESTO!#REF!</f>
        <v>#REF!</v>
      </c>
      <c r="C8" s="2217"/>
      <c r="D8" s="2217"/>
      <c r="E8" s="221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966</v>
      </c>
      <c r="B13" s="305" t="str">
        <f t="shared" ref="B13:B18" si="0">IF(A13="","",VLOOKUP(A13,EQUI,2,FALSE))</f>
        <v>Herramienta Menor (5% de la mano de obra).</v>
      </c>
      <c r="C13" s="306"/>
      <c r="D13" s="306"/>
      <c r="E13" s="276" t="str">
        <f t="shared" ref="E13:E18" si="1">IF(A13="","",VLOOKUP(A13,EQUI,3,FALSE))</f>
        <v>%</v>
      </c>
      <c r="F13" s="433">
        <f>IF(A13="","",VLOOKUP(A13,EQUI,4,FALSE))</f>
        <v>0.05</v>
      </c>
      <c r="G13" s="307">
        <f>ROUND(F13*H46,0)</f>
        <v>437857</v>
      </c>
      <c r="H13" s="308">
        <f>+G13</f>
        <v>437857</v>
      </c>
      <c r="I13" s="309"/>
    </row>
    <row r="14" spans="1:9">
      <c r="A14" s="536"/>
      <c r="B14" s="305" t="str">
        <f t="shared" si="0"/>
        <v/>
      </c>
      <c r="C14" s="306"/>
      <c r="D14" s="306"/>
      <c r="E14" s="276" t="str">
        <f t="shared" si="1"/>
        <v/>
      </c>
      <c r="F14" s="405"/>
      <c r="G14" s="310" t="str">
        <f>IF(A14="","",VLOOKUP(A14,EQUI,4,FALSE))</f>
        <v/>
      </c>
      <c r="H14" s="311" t="str">
        <f>IF(A14="","",ROUND((G14/F14),0))</f>
        <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437857</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ht="105.75" customHeight="1">
      <c r="A23" s="533"/>
      <c r="B23" s="2278" t="s">
        <v>2484</v>
      </c>
      <c r="C23" s="2279"/>
      <c r="D23" s="2280"/>
      <c r="E23" s="815" t="s">
        <v>1681</v>
      </c>
      <c r="F23" s="405">
        <v>1</v>
      </c>
      <c r="G23" s="1049">
        <v>20725000</v>
      </c>
      <c r="H23" s="311">
        <f>ROUND(G23*F23,0)</f>
        <v>20725000</v>
      </c>
    </row>
    <row r="24" spans="1:8">
      <c r="A24" s="534"/>
      <c r="B24" s="1033"/>
      <c r="C24" s="305"/>
      <c r="D24" s="306"/>
      <c r="E24" s="815"/>
      <c r="F24" s="405"/>
      <c r="G24" s="310"/>
      <c r="H24" s="311"/>
    </row>
    <row r="25" spans="1:8">
      <c r="A25" s="534"/>
      <c r="B25" s="353" t="str">
        <f t="shared" ref="B25:B28" si="2">IF(A25="","",VLOOKUP(A25,MAT,2,FALSE))</f>
        <v/>
      </c>
      <c r="C25" s="305"/>
      <c r="D25" s="306"/>
      <c r="E25" s="276" t="str">
        <f t="shared" ref="E25:E28" si="3">IF(A25="","",VLOOKUP(A25,MAT,3,FALSE))</f>
        <v/>
      </c>
      <c r="F25" s="405"/>
      <c r="G25" s="310" t="str">
        <f t="shared" ref="G25:G28" si="4">IF(A25="","",VLOOKUP(A25,MAT,5,FALSE))</f>
        <v/>
      </c>
      <c r="H25" s="311" t="str">
        <f t="shared" ref="H25:H28" si="5">IF(A25="","",ROUND((G25*F25),0))</f>
        <v/>
      </c>
    </row>
    <row r="26" spans="1:8">
      <c r="A26" s="534"/>
      <c r="B26" s="305" t="str">
        <f t="shared" si="2"/>
        <v/>
      </c>
      <c r="C26" s="305"/>
      <c r="D26" s="306"/>
      <c r="E26" s="276" t="str">
        <f t="shared" si="3"/>
        <v/>
      </c>
      <c r="F26" s="405"/>
      <c r="G26" s="310" t="str">
        <f t="shared" si="4"/>
        <v/>
      </c>
      <c r="H26" s="311" t="str">
        <f t="shared" si="5"/>
        <v/>
      </c>
    </row>
    <row r="27" spans="1:8">
      <c r="A27" s="534"/>
      <c r="B27" s="305" t="str">
        <f t="shared" si="2"/>
        <v/>
      </c>
      <c r="C27" s="305"/>
      <c r="D27" s="306"/>
      <c r="E27" s="276" t="str">
        <f t="shared" si="3"/>
        <v/>
      </c>
      <c r="F27" s="405"/>
      <c r="G27" s="310" t="str">
        <f t="shared" si="4"/>
        <v/>
      </c>
      <c r="H27" s="311" t="str">
        <f t="shared" si="5"/>
        <v/>
      </c>
    </row>
    <row r="28" spans="1:8" ht="13.5" thickBot="1">
      <c r="A28" s="535"/>
      <c r="B28" s="326" t="str">
        <f t="shared" si="2"/>
        <v/>
      </c>
      <c r="C28" s="314"/>
      <c r="D28" s="314"/>
      <c r="E28" s="315" t="str">
        <f t="shared" si="3"/>
        <v/>
      </c>
      <c r="F28" s="406"/>
      <c r="G28" s="327" t="str">
        <f t="shared" si="4"/>
        <v/>
      </c>
      <c r="H28" s="311" t="str">
        <f t="shared" si="5"/>
        <v/>
      </c>
    </row>
    <row r="29" spans="1:8" ht="13.5" thickBot="1">
      <c r="A29" s="285"/>
      <c r="B29" s="285"/>
      <c r="C29" s="285"/>
      <c r="D29" s="285"/>
      <c r="E29" s="286"/>
      <c r="F29" s="285"/>
      <c r="G29" s="210" t="s">
        <v>529</v>
      </c>
      <c r="H29" s="328">
        <f>ROUND(SUM(H23:H28),0)</f>
        <v>20725000</v>
      </c>
    </row>
    <row r="30" spans="1:8">
      <c r="A30" s="285"/>
      <c r="B30" s="285"/>
      <c r="C30" s="285"/>
      <c r="D30" s="285"/>
      <c r="E30" s="286"/>
      <c r="F30" s="285"/>
      <c r="G30" s="286"/>
      <c r="H30" s="329"/>
    </row>
    <row r="31" spans="1:8" ht="13.5" thickBot="1">
      <c r="A31" s="295" t="s">
        <v>531</v>
      </c>
      <c r="B31" s="285"/>
      <c r="C31" s="285"/>
      <c r="D31" s="285"/>
      <c r="E31" s="286"/>
      <c r="F31" s="285"/>
      <c r="G31" s="286"/>
      <c r="H31" s="330"/>
    </row>
    <row r="32" spans="1:8" ht="13.5" thickBot="1">
      <c r="A32" s="297" t="s">
        <v>527</v>
      </c>
      <c r="B32" s="2187" t="s">
        <v>532</v>
      </c>
      <c r="C32" s="2188"/>
      <c r="D32" s="331" t="s">
        <v>821</v>
      </c>
      <c r="E32" s="331" t="s">
        <v>820</v>
      </c>
      <c r="F32" s="331" t="s">
        <v>823</v>
      </c>
      <c r="G32" s="331" t="s">
        <v>822</v>
      </c>
      <c r="H32" s="416" t="s">
        <v>831</v>
      </c>
    </row>
    <row r="33" spans="1:8">
      <c r="A33" s="546"/>
      <c r="B33" s="816" t="s">
        <v>2483</v>
      </c>
      <c r="C33" s="333"/>
      <c r="D33" s="817" t="s">
        <v>2469</v>
      </c>
      <c r="E33" s="419" t="str">
        <f>IF(A33="","",VLOOKUP(A33,MAT,6,FALSE))</f>
        <v/>
      </c>
      <c r="F33" s="413">
        <v>1</v>
      </c>
      <c r="G33" s="334">
        <v>2000000</v>
      </c>
      <c r="H33" s="311">
        <f>ROUND(G33*F33,0)</f>
        <v>2000000</v>
      </c>
    </row>
    <row r="34" spans="1:8">
      <c r="A34" s="532"/>
      <c r="B34" s="305" t="str">
        <f>IF(A34="","",VLOOKUP(A34,MAT,2,FALSE))</f>
        <v/>
      </c>
      <c r="C34" s="530"/>
      <c r="D34" s="409" t="str">
        <f>IF(A34="","",VLOOKUP(A34,MAT,3,FALSE))</f>
        <v/>
      </c>
      <c r="E34" s="419" t="str">
        <f>IF(A34="","",VLOOKUP(A34,MAT,6,FALSE))</f>
        <v/>
      </c>
      <c r="F34" s="413" t="str">
        <f>IF(A34="","",VLOOKUP(A34,$A$23:$H$28,6,FALSE))</f>
        <v/>
      </c>
      <c r="G34" s="334"/>
      <c r="H34" s="311" t="str">
        <f>IF(A34="","",ROUND((G34*F34*E34),0))</f>
        <v/>
      </c>
    </row>
    <row r="35" spans="1:8">
      <c r="A35" s="532"/>
      <c r="B35" s="305" t="str">
        <f>IF(A35="","",VLOOKUP(A35,MAT,2,FALSE))</f>
        <v/>
      </c>
      <c r="C35" s="530"/>
      <c r="D35" s="409" t="str">
        <f>IF(A35="","",VLOOKUP(A35,MAT,3,FALSE))</f>
        <v/>
      </c>
      <c r="E35" s="419" t="str">
        <f>IF(A35="","",VLOOKUP(A35,MAT,6,FALSE))</f>
        <v/>
      </c>
      <c r="F35" s="413" t="str">
        <f>IF(A35="","",VLOOKUP(A35,$A$23:$H$28,6,FALSE))</f>
        <v/>
      </c>
      <c r="G35" s="334" t="str">
        <f>IF(A35="","",VLOOKUP(A35,MAT,7,FALSE))</f>
        <v/>
      </c>
      <c r="H35" s="311" t="str">
        <f>IF(A35="","",ROUND((G35*F35*E35),0))</f>
        <v/>
      </c>
    </row>
    <row r="36" spans="1:8">
      <c r="A36" s="547"/>
      <c r="B36" s="305" t="str">
        <f>IF(A36="","",VLOOKUP(A36,MAT,2,FALSE))</f>
        <v/>
      </c>
      <c r="D36" s="410" t="str">
        <f>IF(A36="","",VLOOKUP(A36,MAT,3,FALSE))</f>
        <v/>
      </c>
      <c r="E36" s="419" t="str">
        <f>IF(A36="","",VLOOKUP(A36,MAT,6,FALSE))</f>
        <v/>
      </c>
      <c r="F36" s="413" t="str">
        <f>IF(A36="","",VLOOKUP(A36,$A$23:$H$28,6,FALSE))</f>
        <v/>
      </c>
      <c r="G36" s="336" t="str">
        <f>IF(A36="","",VLOOKUP(A36,MAT,7,FALSE))</f>
        <v/>
      </c>
      <c r="H36" s="311" t="str">
        <f>IF(A36="","",ROUND((G36*F36*E36),0))</f>
        <v/>
      </c>
    </row>
    <row r="37" spans="1:8" ht="13.5" thickBot="1">
      <c r="A37" s="548"/>
      <c r="B37" s="338" t="str">
        <f>IF(A37="","",VLOOKUP(A37,MAT,2,FALSE))</f>
        <v/>
      </c>
      <c r="C37" s="338"/>
      <c r="D37" s="411" t="str">
        <f>IF(A37="","",VLOOKUP(A37,MAT,3,FALSE))</f>
        <v/>
      </c>
      <c r="E37" s="412" t="str">
        <f>IF(A37="","",VLOOKUP(A37,MAT,6,FALSE))</f>
        <v/>
      </c>
      <c r="F37" s="418" t="str">
        <f>IF(A37="","",VLOOKUP(A37,$A$23:$H$28,6,FALSE))</f>
        <v/>
      </c>
      <c r="G37" s="339" t="str">
        <f>IF(A37="","",VLOOKUP(A37,MAT,7,FALSE))</f>
        <v/>
      </c>
      <c r="H37" s="417" t="str">
        <f>IF(A37="","",ROUND((G37*F37*E37),0))</f>
        <v/>
      </c>
    </row>
    <row r="38" spans="1:8" ht="13.5" thickBot="1">
      <c r="E38" s="340"/>
      <c r="F38" s="341"/>
      <c r="G38" s="414" t="s">
        <v>529</v>
      </c>
      <c r="H38" s="415">
        <f>ROUND(SUM(H33:H37),0)</f>
        <v>2000000</v>
      </c>
    </row>
    <row r="39" spans="1:8">
      <c r="E39" s="340"/>
      <c r="F39" s="341"/>
      <c r="G39" s="286"/>
      <c r="H39" s="343"/>
    </row>
    <row r="40" spans="1:8" ht="13.5" thickBot="1">
      <c r="A40" s="295" t="s">
        <v>534</v>
      </c>
      <c r="B40" s="295"/>
      <c r="C40" s="295"/>
      <c r="D40" s="285"/>
      <c r="E40" s="286"/>
      <c r="F40" s="285"/>
      <c r="G40" s="285"/>
      <c r="H40" s="314"/>
    </row>
    <row r="41" spans="1:8" ht="13.5" thickBot="1">
      <c r="A41" s="297" t="s">
        <v>527</v>
      </c>
      <c r="B41" s="2189" t="s">
        <v>514</v>
      </c>
      <c r="C41" s="2190"/>
      <c r="D41" s="2191"/>
      <c r="E41" s="277" t="s">
        <v>515</v>
      </c>
      <c r="F41" s="277" t="s">
        <v>535</v>
      </c>
      <c r="G41" s="531" t="s">
        <v>944</v>
      </c>
      <c r="H41" s="416" t="s">
        <v>831</v>
      </c>
    </row>
    <row r="42" spans="1:8">
      <c r="A42" s="563" t="s">
        <v>897</v>
      </c>
      <c r="B42" s="2192" t="str">
        <f>IF(A42="","",VLOOKUP(A42,MO,2,FALSE))</f>
        <v>Cuadrilla FF: Eléctricas. (0.3 Encar. + 1 Of. + 1 Ayud.).</v>
      </c>
      <c r="C42" s="2193"/>
      <c r="D42" s="2194"/>
      <c r="E42" s="538" t="str">
        <f>IF(A42="","",VLOOKUP(A42,MO,13,FALSE))</f>
        <v>HC</v>
      </c>
      <c r="F42" s="544">
        <v>7.0000000000000001E-3</v>
      </c>
      <c r="G42" s="540">
        <f>IF(A42="","",VLOOKUP(A42,MO,15,FALSE))</f>
        <v>61300</v>
      </c>
      <c r="H42" s="542">
        <f>IF(A42="","",ROUND((G42/F42),0))</f>
        <v>8757143</v>
      </c>
    </row>
    <row r="43" spans="1:8">
      <c r="A43" s="563"/>
      <c r="B43" s="2179" t="str">
        <f>IF(A43="","",VLOOKUP(A43,MO,2,FALSE))</f>
        <v/>
      </c>
      <c r="C43" s="2180"/>
      <c r="D43" s="2181"/>
      <c r="E43" s="538" t="str">
        <f>IF(A43="","",VLOOKUP(A43,MO,13,FALSE))</f>
        <v/>
      </c>
      <c r="F43" s="544"/>
      <c r="G43" s="540" t="str">
        <f>IF(A43="","",VLOOKUP(A43,MO,15,FALSE))</f>
        <v/>
      </c>
      <c r="H43" s="542" t="str">
        <f>IF(A43="","",ROUND((G43/F43),0))</f>
        <v/>
      </c>
    </row>
    <row r="44" spans="1:8">
      <c r="A44" s="563"/>
      <c r="B44" s="2179" t="str">
        <f>IF(A44="","",VLOOKUP(A44,MO,2,FALSE))</f>
        <v/>
      </c>
      <c r="C44" s="2180"/>
      <c r="D44" s="2181"/>
      <c r="E44" s="538" t="str">
        <f>IF(A44="","",VLOOKUP(A44,MO,13,FALSE))</f>
        <v/>
      </c>
      <c r="F44" s="544"/>
      <c r="G44" s="541" t="str">
        <f>IF(A44="","",VLOOKUP(A44,MO,15,FALSE))</f>
        <v/>
      </c>
      <c r="H44" s="542" t="str">
        <f>IF(A44="","",ROUND((G44/F44),0))</f>
        <v/>
      </c>
    </row>
    <row r="45" spans="1:8" ht="13.5" thickBot="1">
      <c r="A45" s="564"/>
      <c r="B45" s="2182" t="str">
        <f>IF(A45="","",VLOOKUP(A45,MO,2,FALSE))</f>
        <v/>
      </c>
      <c r="C45" s="2183"/>
      <c r="D45" s="2184"/>
      <c r="E45" s="539" t="str">
        <f>IF(A45="","",VLOOKUP(A45,MO,13,FALSE))</f>
        <v/>
      </c>
      <c r="F45" s="545"/>
      <c r="G45" s="377" t="str">
        <f>IF(A45="","",VLOOKUP(A45,MO,15,FALSE))</f>
        <v/>
      </c>
      <c r="H45" s="543" t="str">
        <f>IF(A45="","",ROUND((G45/F45),0))</f>
        <v/>
      </c>
    </row>
    <row r="46" spans="1:8" ht="13.5" thickBot="1">
      <c r="A46" s="285"/>
      <c r="B46" s="285"/>
      <c r="C46" s="285"/>
      <c r="D46" s="285"/>
      <c r="E46" s="286"/>
      <c r="F46" s="285"/>
      <c r="G46" s="317" t="s">
        <v>529</v>
      </c>
      <c r="H46" s="342">
        <f>ROUND(SUM(H42:H45),0)</f>
        <v>8757143</v>
      </c>
    </row>
    <row r="47" spans="1:8" ht="13.5" thickBot="1">
      <c r="A47" s="285"/>
      <c r="B47" s="285"/>
      <c r="C47" s="285"/>
      <c r="D47" s="285"/>
      <c r="E47" s="286"/>
      <c r="F47" s="285"/>
      <c r="G47" s="285"/>
      <c r="H47" s="285"/>
    </row>
    <row r="48" spans="1:8" ht="13.5" thickBot="1">
      <c r="A48" s="285"/>
      <c r="B48" s="285"/>
      <c r="C48" s="285"/>
      <c r="D48" s="285"/>
      <c r="E48" s="346" t="s">
        <v>536</v>
      </c>
      <c r="F48" s="347"/>
      <c r="G48" s="347"/>
      <c r="H48" s="348">
        <f>+ROUND(H19+H29+H38+H46,0)</f>
        <v>31920000</v>
      </c>
    </row>
    <row r="49" spans="1:8">
      <c r="A49" s="285"/>
      <c r="B49" s="285"/>
      <c r="C49" s="285"/>
      <c r="D49" s="285"/>
      <c r="E49" s="346"/>
      <c r="F49" s="347"/>
      <c r="G49" s="347"/>
      <c r="H49" s="349"/>
    </row>
    <row r="50" spans="1:8">
      <c r="A50" s="285"/>
      <c r="B50" s="285"/>
      <c r="C50" s="285"/>
      <c r="D50" s="285"/>
      <c r="E50" s="346"/>
      <c r="F50" s="347"/>
      <c r="G50" s="347"/>
      <c r="H50" s="349"/>
    </row>
    <row r="51" spans="1:8">
      <c r="A51" s="285"/>
      <c r="B51" s="285"/>
      <c r="C51" s="285"/>
      <c r="D51" s="285"/>
      <c r="E51" s="346"/>
      <c r="F51" s="347"/>
      <c r="G51" s="347"/>
      <c r="H51" s="349"/>
    </row>
    <row r="52" spans="1:8">
      <c r="A52" s="285"/>
      <c r="B52" s="285"/>
      <c r="C52" s="285"/>
      <c r="D52" s="285"/>
      <c r="E52" s="346"/>
      <c r="F52" s="347"/>
      <c r="G52" s="347"/>
      <c r="H52" s="349"/>
    </row>
    <row r="53" spans="1:8">
      <c r="A53" s="285"/>
      <c r="B53" s="285"/>
      <c r="C53" s="285"/>
      <c r="D53" s="285"/>
      <c r="E53" s="346"/>
      <c r="F53" s="347"/>
      <c r="G53" s="347"/>
      <c r="H53" s="349"/>
    </row>
    <row r="55" spans="1:8">
      <c r="A55" s="703" t="str">
        <f>+[14]PRESUPUESTO!$A$113</f>
        <v>__________________________________________</v>
      </c>
      <c r="B55" s="703"/>
      <c r="C55" s="703"/>
    </row>
    <row r="56" spans="1:8">
      <c r="A56" s="810" t="str">
        <f>+[14]PRESUPUESTO!$A$114</f>
        <v>Ing. JHON FREDY GARCIA MENDEZ</v>
      </c>
      <c r="B56" s="703"/>
      <c r="C56" s="703"/>
    </row>
    <row r="57" spans="1:8">
      <c r="A57" s="811" t="str">
        <f>+[14]PRESUPUESTO!$A$115</f>
        <v>M.P.  70268-326294 TLM.</v>
      </c>
      <c r="B57" s="703"/>
      <c r="C57" s="703"/>
    </row>
    <row r="58" spans="1:8">
      <c r="A58" s="811" t="str">
        <f>+[14]PRESUPUESTO!$A$116</f>
        <v>CONSULTOR</v>
      </c>
      <c r="B58" s="703"/>
      <c r="C58" s="703"/>
    </row>
  </sheetData>
  <mergeCells count="16">
    <mergeCell ref="B42:D42"/>
    <mergeCell ref="B43:D43"/>
    <mergeCell ref="B44:D44"/>
    <mergeCell ref="B45:D45"/>
    <mergeCell ref="B6:D6"/>
    <mergeCell ref="B7:E7"/>
    <mergeCell ref="B8:E8"/>
    <mergeCell ref="B23:D23"/>
    <mergeCell ref="B32:C32"/>
    <mergeCell ref="B41:D41"/>
    <mergeCell ref="D2:E4"/>
    <mergeCell ref="F2:H2"/>
    <mergeCell ref="F3:H3"/>
    <mergeCell ref="F4:H4"/>
    <mergeCell ref="A5:E5"/>
    <mergeCell ref="F5:H5"/>
  </mergeCells>
  <pageMargins left="0.75" right="0.75" top="1" bottom="1" header="0" footer="0"/>
  <pageSetup paperSize="9" scale="69" orientation="portrait" r:id="rId1"/>
  <headerFooter alignWithMargins="0"/>
  <drawing r:id="rId2"/>
</worksheet>
</file>

<file path=xl/worksheets/sheet1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500-000000000000}">
  <sheetPr>
    <tabColor theme="6" tint="0.79998168889431442"/>
  </sheetPr>
  <dimension ref="A1:I62"/>
  <sheetViews>
    <sheetView workbookViewId="0"/>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5.42578125" style="247" bestFit="1" customWidth="1"/>
    <col min="8" max="8" width="16.5703125" style="247" bestFit="1" customWidth="1"/>
    <col min="9" max="16384" width="11.42578125" style="247"/>
  </cols>
  <sheetData>
    <row r="1" spans="1:9" ht="60.95" customHeight="1" thickBot="1"/>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t="e">
        <f>PRESUPUESTO!#REF!</f>
        <v>#REF!</v>
      </c>
      <c r="B7" s="2185" t="e">
        <f>PRESUPUESTO!#REF!</f>
        <v>#REF!</v>
      </c>
      <c r="C7" s="2185"/>
      <c r="D7" s="2185"/>
      <c r="E7" s="2185"/>
      <c r="F7" s="289"/>
      <c r="G7" s="290" t="s">
        <v>525</v>
      </c>
      <c r="H7" s="1063" t="e">
        <f>+PRESUPUESTO!#REF!</f>
        <v>#REF!</v>
      </c>
    </row>
    <row r="8" spans="1:9">
      <c r="A8" s="1062" t="e">
        <f>+PRESUPUESTO!#REF!</f>
        <v>#REF!</v>
      </c>
      <c r="B8" s="2273" t="e">
        <f>+PRESUPUESTO!#REF!</f>
        <v>#REF!</v>
      </c>
      <c r="C8" s="2217"/>
      <c r="D8" s="2217"/>
      <c r="E8" s="221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966</v>
      </c>
      <c r="B13" s="305" t="str">
        <f t="shared" ref="B13:B18" si="0">IF(A13="","",VLOOKUP(A13,EQUI,2,FALSE))</f>
        <v>Herramienta Menor (5% de la mano de obra).</v>
      </c>
      <c r="C13" s="306"/>
      <c r="D13" s="306"/>
      <c r="E13" s="276" t="str">
        <f t="shared" ref="E13:E18" si="1">IF(A13="","",VLOOKUP(A13,EQUI,3,FALSE))</f>
        <v>%</v>
      </c>
      <c r="F13" s="433">
        <f>IF(A13="","",VLOOKUP(A13,EQUI,4,FALSE))</f>
        <v>0.05</v>
      </c>
      <c r="G13" s="307">
        <f>ROUND(F13*H50,0)</f>
        <v>17028</v>
      </c>
      <c r="H13" s="308">
        <f>+G13</f>
        <v>17028</v>
      </c>
      <c r="I13" s="309"/>
    </row>
    <row r="14" spans="1:9">
      <c r="A14" s="536"/>
      <c r="B14" s="305" t="str">
        <f t="shared" si="0"/>
        <v/>
      </c>
      <c r="C14" s="306"/>
      <c r="D14" s="306"/>
      <c r="E14" s="276" t="str">
        <f t="shared" si="1"/>
        <v/>
      </c>
      <c r="F14" s="405"/>
      <c r="G14" s="310" t="str">
        <f>IF(A14="","",VLOOKUP(A14,EQUI,4,FALSE))</f>
        <v/>
      </c>
      <c r="H14" s="311" t="str">
        <f>IF(A14="","",ROUND((G14/F14),0))</f>
        <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8">
      <c r="A17" s="536"/>
      <c r="B17" s="305" t="str">
        <f t="shared" si="0"/>
        <v/>
      </c>
      <c r="C17" s="306"/>
      <c r="D17" s="306"/>
      <c r="E17" s="276" t="str">
        <f t="shared" si="1"/>
        <v/>
      </c>
      <c r="F17" s="405"/>
      <c r="G17" s="310" t="str">
        <f>IF(A17="","",VLOOKUP(A17,EQUI,4,FALSE))</f>
        <v/>
      </c>
      <c r="H17" s="311" t="str">
        <f>IF(A17="","",ROUND((G17/F17),0))</f>
        <v/>
      </c>
    </row>
    <row r="18" spans="1:8" ht="13.5" thickBot="1">
      <c r="A18" s="537"/>
      <c r="B18" s="313" t="str">
        <f t="shared" si="0"/>
        <v/>
      </c>
      <c r="C18" s="313"/>
      <c r="D18" s="314"/>
      <c r="E18" s="315" t="str">
        <f t="shared" si="1"/>
        <v/>
      </c>
      <c r="F18" s="408"/>
      <c r="G18" s="316" t="str">
        <f>IF(A18="","",VLOOKUP(A18,EQUI,4,FALSE))</f>
        <v/>
      </c>
      <c r="H18" s="311" t="str">
        <f>IF(A18="","",ROUND((G18/F18),0))</f>
        <v/>
      </c>
    </row>
    <row r="19" spans="1:8" ht="13.5" thickBot="1">
      <c r="A19" s="285"/>
      <c r="B19" s="285"/>
      <c r="C19" s="285"/>
      <c r="D19" s="285"/>
      <c r="E19" s="286"/>
      <c r="F19" s="285"/>
      <c r="G19" s="317" t="s">
        <v>529</v>
      </c>
      <c r="H19" s="318">
        <f>ROUND(SUM(H13:H18),0)</f>
        <v>17028</v>
      </c>
    </row>
    <row r="20" spans="1:8">
      <c r="A20" s="285"/>
      <c r="B20" s="285"/>
      <c r="C20" s="285"/>
      <c r="D20" s="285"/>
      <c r="E20" s="286"/>
      <c r="F20" s="285"/>
      <c r="G20" s="286"/>
      <c r="H20" s="319"/>
    </row>
    <row r="21" spans="1:8" ht="13.5" thickBot="1">
      <c r="A21" s="295" t="s">
        <v>530</v>
      </c>
      <c r="B21" s="295"/>
      <c r="C21" s="295"/>
      <c r="D21" s="295"/>
      <c r="E21" s="320"/>
      <c r="F21" s="314"/>
      <c r="G21" s="314"/>
      <c r="H21" s="314"/>
    </row>
    <row r="22" spans="1:8" ht="13.5" thickBot="1">
      <c r="A22" s="297" t="s">
        <v>527</v>
      </c>
      <c r="B22" s="298"/>
      <c r="C22" s="299" t="s">
        <v>521</v>
      </c>
      <c r="D22" s="299"/>
      <c r="E22" s="321" t="s">
        <v>515</v>
      </c>
      <c r="F22" s="322" t="s">
        <v>7</v>
      </c>
      <c r="G22" s="303" t="s">
        <v>832</v>
      </c>
      <c r="H22" s="278" t="s">
        <v>831</v>
      </c>
    </row>
    <row r="23" spans="1:8">
      <c r="A23" s="533"/>
      <c r="B23" s="2278" t="s">
        <v>2485</v>
      </c>
      <c r="C23" s="2279"/>
      <c r="D23" s="2280"/>
      <c r="E23" s="815" t="s">
        <v>1681</v>
      </c>
      <c r="F23" s="405">
        <v>1</v>
      </c>
      <c r="G23" s="1049">
        <v>200000</v>
      </c>
      <c r="H23" s="311">
        <f>ROUND(G23*F23,0)</f>
        <v>200000</v>
      </c>
    </row>
    <row r="24" spans="1:8">
      <c r="A24" s="534"/>
      <c r="B24" s="1033" t="s">
        <v>2486</v>
      </c>
      <c r="C24" s="305"/>
      <c r="D24" s="306"/>
      <c r="E24" s="815" t="s">
        <v>1681</v>
      </c>
      <c r="F24" s="405">
        <v>1</v>
      </c>
      <c r="G24" s="310">
        <v>125000</v>
      </c>
      <c r="H24" s="311">
        <f t="shared" ref="H24:H25" si="2">ROUND(G24*F24,0)</f>
        <v>125000</v>
      </c>
    </row>
    <row r="25" spans="1:8">
      <c r="A25" s="534"/>
      <c r="B25" s="1033" t="s">
        <v>2487</v>
      </c>
      <c r="C25" s="305"/>
      <c r="D25" s="306"/>
      <c r="E25" s="815" t="s">
        <v>1681</v>
      </c>
      <c r="F25" s="405">
        <v>1</v>
      </c>
      <c r="G25" s="310">
        <v>25000</v>
      </c>
      <c r="H25" s="311">
        <f t="shared" si="2"/>
        <v>25000</v>
      </c>
    </row>
    <row r="26" spans="1:8">
      <c r="A26" s="534"/>
      <c r="B26" s="305" t="str">
        <f t="shared" ref="B26:B32" si="3">IF(A26="","",VLOOKUP(A26,MAT,2,FALSE))</f>
        <v/>
      </c>
      <c r="C26" s="305"/>
      <c r="D26" s="306"/>
      <c r="E26" s="276" t="str">
        <f t="shared" ref="E26:E32" si="4">IF(A26="","",VLOOKUP(A26,MAT,3,FALSE))</f>
        <v/>
      </c>
      <c r="F26" s="405"/>
      <c r="G26" s="310" t="str">
        <f t="shared" ref="G26:G32" si="5">IF(A26="","",VLOOKUP(A26,MAT,5,FALSE))</f>
        <v/>
      </c>
      <c r="H26" s="311" t="str">
        <f t="shared" ref="H26:H32" si="6">IF(A26="","",ROUND((G26*F26),0))</f>
        <v/>
      </c>
    </row>
    <row r="27" spans="1:8">
      <c r="A27" s="534"/>
      <c r="B27" s="305" t="str">
        <f t="shared" si="3"/>
        <v/>
      </c>
      <c r="C27" s="305"/>
      <c r="D27" s="306"/>
      <c r="E27" s="276" t="str">
        <f t="shared" si="4"/>
        <v/>
      </c>
      <c r="F27" s="405"/>
      <c r="G27" s="310" t="str">
        <f t="shared" si="5"/>
        <v/>
      </c>
      <c r="H27" s="311" t="str">
        <f t="shared" si="6"/>
        <v/>
      </c>
    </row>
    <row r="28" spans="1:8">
      <c r="A28" s="534"/>
      <c r="B28" s="305" t="str">
        <f t="shared" si="3"/>
        <v/>
      </c>
      <c r="C28" s="305"/>
      <c r="D28" s="306"/>
      <c r="E28" s="276" t="str">
        <f t="shared" si="4"/>
        <v/>
      </c>
      <c r="F28" s="405"/>
      <c r="G28" s="310" t="str">
        <f t="shared" si="5"/>
        <v/>
      </c>
      <c r="H28" s="311" t="str">
        <f t="shared" si="6"/>
        <v/>
      </c>
    </row>
    <row r="29" spans="1:8">
      <c r="A29" s="534"/>
      <c r="B29" s="305" t="str">
        <f t="shared" si="3"/>
        <v/>
      </c>
      <c r="C29" s="305"/>
      <c r="D29" s="306"/>
      <c r="E29" s="276" t="str">
        <f t="shared" si="4"/>
        <v/>
      </c>
      <c r="F29" s="405"/>
      <c r="G29" s="310" t="str">
        <f t="shared" si="5"/>
        <v/>
      </c>
      <c r="H29" s="311" t="str">
        <f t="shared" si="6"/>
        <v/>
      </c>
    </row>
    <row r="30" spans="1:8">
      <c r="A30" s="534"/>
      <c r="B30" s="305" t="str">
        <f t="shared" si="3"/>
        <v/>
      </c>
      <c r="C30" s="305"/>
      <c r="D30" s="306"/>
      <c r="E30" s="276" t="str">
        <f t="shared" si="4"/>
        <v/>
      </c>
      <c r="F30" s="405"/>
      <c r="G30" s="310" t="str">
        <f t="shared" si="5"/>
        <v/>
      </c>
      <c r="H30" s="311" t="str">
        <f t="shared" si="6"/>
        <v/>
      </c>
    </row>
    <row r="31" spans="1:8">
      <c r="A31" s="534"/>
      <c r="B31" s="305" t="str">
        <f t="shared" si="3"/>
        <v/>
      </c>
      <c r="C31" s="305"/>
      <c r="D31" s="306"/>
      <c r="E31" s="276" t="str">
        <f t="shared" si="4"/>
        <v/>
      </c>
      <c r="F31" s="405"/>
      <c r="G31" s="310" t="str">
        <f t="shared" si="5"/>
        <v/>
      </c>
      <c r="H31" s="311" t="str">
        <f t="shared" si="6"/>
        <v/>
      </c>
    </row>
    <row r="32" spans="1:8" ht="13.5" thickBot="1">
      <c r="A32" s="535"/>
      <c r="B32" s="326" t="str">
        <f t="shared" si="3"/>
        <v/>
      </c>
      <c r="C32" s="314"/>
      <c r="D32" s="314"/>
      <c r="E32" s="315" t="str">
        <f t="shared" si="4"/>
        <v/>
      </c>
      <c r="F32" s="406"/>
      <c r="G32" s="327" t="str">
        <f t="shared" si="5"/>
        <v/>
      </c>
      <c r="H32" s="311" t="str">
        <f t="shared" si="6"/>
        <v/>
      </c>
    </row>
    <row r="33" spans="1:8" ht="13.5" thickBot="1">
      <c r="A33" s="285"/>
      <c r="B33" s="285"/>
      <c r="C33" s="285"/>
      <c r="D33" s="285"/>
      <c r="E33" s="286"/>
      <c r="F33" s="285"/>
      <c r="G33" s="210" t="s">
        <v>529</v>
      </c>
      <c r="H33" s="328">
        <f>ROUND(SUM(H23:H32),0)</f>
        <v>350000</v>
      </c>
    </row>
    <row r="34" spans="1:8">
      <c r="A34" s="285"/>
      <c r="B34" s="285"/>
      <c r="C34" s="285"/>
      <c r="D34" s="285"/>
      <c r="E34" s="286"/>
      <c r="F34" s="285"/>
      <c r="G34" s="286"/>
      <c r="H34" s="329"/>
    </row>
    <row r="35" spans="1:8" ht="13.5" thickBot="1">
      <c r="A35" s="295" t="s">
        <v>531</v>
      </c>
      <c r="B35" s="285"/>
      <c r="C35" s="285"/>
      <c r="D35" s="285"/>
      <c r="E35" s="286"/>
      <c r="F35" s="285"/>
      <c r="G35" s="286"/>
      <c r="H35" s="330"/>
    </row>
    <row r="36" spans="1:8" ht="13.5" thickBot="1">
      <c r="A36" s="297" t="s">
        <v>527</v>
      </c>
      <c r="B36" s="2187" t="s">
        <v>532</v>
      </c>
      <c r="C36" s="2188"/>
      <c r="D36" s="331" t="s">
        <v>821</v>
      </c>
      <c r="E36" s="331" t="s">
        <v>820</v>
      </c>
      <c r="F36" s="331" t="s">
        <v>823</v>
      </c>
      <c r="G36" s="331" t="s">
        <v>822</v>
      </c>
      <c r="H36" s="416" t="s">
        <v>831</v>
      </c>
    </row>
    <row r="37" spans="1:8">
      <c r="A37" s="546"/>
      <c r="B37" s="816" t="s">
        <v>2483</v>
      </c>
      <c r="C37" s="333"/>
      <c r="D37" s="817" t="s">
        <v>2469</v>
      </c>
      <c r="E37" s="419" t="str">
        <f>IF(A37="","",VLOOKUP(A37,MAT,6,FALSE))</f>
        <v/>
      </c>
      <c r="F37" s="413">
        <v>1</v>
      </c>
      <c r="G37" s="334">
        <v>100000</v>
      </c>
      <c r="H37" s="311">
        <f>ROUND(G37*F37,0)</f>
        <v>100000</v>
      </c>
    </row>
    <row r="38" spans="1:8">
      <c r="A38" s="532"/>
      <c r="B38" s="305" t="str">
        <f>IF(A38="","",VLOOKUP(A38,MAT,2,FALSE))</f>
        <v/>
      </c>
      <c r="C38" s="530"/>
      <c r="D38" s="409" t="str">
        <f>IF(A38="","",VLOOKUP(A38,MAT,3,FALSE))</f>
        <v/>
      </c>
      <c r="E38" s="419" t="str">
        <f>IF(A38="","",VLOOKUP(A38,MAT,6,FALSE))</f>
        <v/>
      </c>
      <c r="F38" s="413" t="str">
        <f>IF(A38="","",VLOOKUP(A38,$A$23:$H$32,6,FALSE))</f>
        <v/>
      </c>
      <c r="G38" s="334"/>
      <c r="H38" s="311" t="str">
        <f>IF(A38="","",ROUND((G38*F38*E38),0))</f>
        <v/>
      </c>
    </row>
    <row r="39" spans="1:8">
      <c r="A39" s="532"/>
      <c r="B39" s="305" t="str">
        <f>IF(A39="","",VLOOKUP(A39,MAT,2,FALSE))</f>
        <v/>
      </c>
      <c r="C39" s="530"/>
      <c r="D39" s="409" t="str">
        <f>IF(A39="","",VLOOKUP(A39,MAT,3,FALSE))</f>
        <v/>
      </c>
      <c r="E39" s="419" t="str">
        <f>IF(A39="","",VLOOKUP(A39,MAT,6,FALSE))</f>
        <v/>
      </c>
      <c r="F39" s="413" t="str">
        <f>IF(A39="","",VLOOKUP(A39,$A$23:$H$32,6,FALSE))</f>
        <v/>
      </c>
      <c r="G39" s="334" t="str">
        <f>IF(A39="","",VLOOKUP(A39,MAT,7,FALSE))</f>
        <v/>
      </c>
      <c r="H39" s="311" t="str">
        <f>IF(A39="","",ROUND((G39*F39*E39),0))</f>
        <v/>
      </c>
    </row>
    <row r="40" spans="1:8">
      <c r="A40" s="547"/>
      <c r="B40" s="305" t="str">
        <f>IF(A40="","",VLOOKUP(A40,MAT,2,FALSE))</f>
        <v/>
      </c>
      <c r="D40" s="410" t="str">
        <f>IF(A40="","",VLOOKUP(A40,MAT,3,FALSE))</f>
        <v/>
      </c>
      <c r="E40" s="419" t="str">
        <f>IF(A40="","",VLOOKUP(A40,MAT,6,FALSE))</f>
        <v/>
      </c>
      <c r="F40" s="413" t="str">
        <f>IF(A40="","",VLOOKUP(A40,$A$23:$H$32,6,FALSE))</f>
        <v/>
      </c>
      <c r="G40" s="336" t="str">
        <f>IF(A40="","",VLOOKUP(A40,MAT,7,FALSE))</f>
        <v/>
      </c>
      <c r="H40" s="311" t="str">
        <f>IF(A40="","",ROUND((G40*F40*E40),0))</f>
        <v/>
      </c>
    </row>
    <row r="41" spans="1:8" ht="13.5" thickBot="1">
      <c r="A41" s="548"/>
      <c r="B41" s="338" t="str">
        <f>IF(A41="","",VLOOKUP(A41,MAT,2,FALSE))</f>
        <v/>
      </c>
      <c r="C41" s="338"/>
      <c r="D41" s="411" t="str">
        <f>IF(A41="","",VLOOKUP(A41,MAT,3,FALSE))</f>
        <v/>
      </c>
      <c r="E41" s="412" t="str">
        <f>IF(A41="","",VLOOKUP(A41,MAT,6,FALSE))</f>
        <v/>
      </c>
      <c r="F41" s="418" t="str">
        <f>IF(A41="","",VLOOKUP(A41,$A$23:$H$32,6,FALSE))</f>
        <v/>
      </c>
      <c r="G41" s="339" t="str">
        <f>IF(A41="","",VLOOKUP(A41,MAT,7,FALSE))</f>
        <v/>
      </c>
      <c r="H41" s="417" t="str">
        <f>IF(A41="","",ROUND((G41*F41*E41),0))</f>
        <v/>
      </c>
    </row>
    <row r="42" spans="1:8" ht="13.5" thickBot="1">
      <c r="E42" s="340"/>
      <c r="F42" s="341"/>
      <c r="G42" s="414" t="s">
        <v>529</v>
      </c>
      <c r="H42" s="415">
        <f>ROUND(SUM(H37:H41),0)</f>
        <v>100000</v>
      </c>
    </row>
    <row r="43" spans="1:8">
      <c r="E43" s="340"/>
      <c r="F43" s="341"/>
      <c r="G43" s="286"/>
      <c r="H43" s="343"/>
    </row>
    <row r="44" spans="1:8" ht="13.5" thickBot="1">
      <c r="A44" s="295" t="s">
        <v>534</v>
      </c>
      <c r="B44" s="295"/>
      <c r="C44" s="295"/>
      <c r="D44" s="285"/>
      <c r="E44" s="286"/>
      <c r="F44" s="285"/>
      <c r="G44" s="285"/>
      <c r="H44" s="314"/>
    </row>
    <row r="45" spans="1:8" ht="13.5" thickBot="1">
      <c r="A45" s="297" t="s">
        <v>527</v>
      </c>
      <c r="B45" s="2189" t="s">
        <v>514</v>
      </c>
      <c r="C45" s="2190"/>
      <c r="D45" s="2191"/>
      <c r="E45" s="277" t="s">
        <v>515</v>
      </c>
      <c r="F45" s="277" t="s">
        <v>535</v>
      </c>
      <c r="G45" s="531" t="s">
        <v>944</v>
      </c>
      <c r="H45" s="416" t="s">
        <v>831</v>
      </c>
    </row>
    <row r="46" spans="1:8">
      <c r="A46" s="563" t="s">
        <v>897</v>
      </c>
      <c r="B46" s="2192" t="str">
        <f>IF(A46="","",VLOOKUP(A46,MO,2,FALSE))</f>
        <v>Cuadrilla FF: Eléctricas. (0.3 Encar. + 1 Of. + 1 Ayud.).</v>
      </c>
      <c r="C46" s="2193"/>
      <c r="D46" s="2194"/>
      <c r="E46" s="538" t="str">
        <f>IF(A46="","",VLOOKUP(A46,MO,13,FALSE))</f>
        <v>HC</v>
      </c>
      <c r="F46" s="544">
        <v>0.18</v>
      </c>
      <c r="G46" s="540">
        <f>IF(A46="","",VLOOKUP(A46,MO,15,FALSE))</f>
        <v>61300</v>
      </c>
      <c r="H46" s="542">
        <f>IF(A46="","",ROUND((G46/F46),0))</f>
        <v>340556</v>
      </c>
    </row>
    <row r="47" spans="1:8">
      <c r="A47" s="563"/>
      <c r="B47" s="2179" t="str">
        <f>IF(A47="","",VLOOKUP(A47,MO,2,FALSE))</f>
        <v/>
      </c>
      <c r="C47" s="2180"/>
      <c r="D47" s="2181"/>
      <c r="E47" s="538" t="str">
        <f>IF(A47="","",VLOOKUP(A47,MO,13,FALSE))</f>
        <v/>
      </c>
      <c r="F47" s="544"/>
      <c r="G47" s="540" t="str">
        <f>IF(A47="","",VLOOKUP(A47,MO,15,FALSE))</f>
        <v/>
      </c>
      <c r="H47" s="542" t="str">
        <f>IF(A47="","",ROUND((G47/F47),0))</f>
        <v/>
      </c>
    </row>
    <row r="48" spans="1:8">
      <c r="A48" s="563"/>
      <c r="B48" s="2179" t="str">
        <f>IF(A48="","",VLOOKUP(A48,MO,2,FALSE))</f>
        <v/>
      </c>
      <c r="C48" s="2180"/>
      <c r="D48" s="2181"/>
      <c r="E48" s="538" t="str">
        <f>IF(A48="","",VLOOKUP(A48,MO,13,FALSE))</f>
        <v/>
      </c>
      <c r="F48" s="544"/>
      <c r="G48" s="541" t="str">
        <f>IF(A48="","",VLOOKUP(A48,MO,15,FALSE))</f>
        <v/>
      </c>
      <c r="H48" s="542" t="str">
        <f>IF(A48="","",ROUND((G48/F48),0))</f>
        <v/>
      </c>
    </row>
    <row r="49" spans="1:8" ht="13.5" thickBot="1">
      <c r="A49" s="564"/>
      <c r="B49" s="2182" t="str">
        <f>IF(A49="","",VLOOKUP(A49,MO,2,FALSE))</f>
        <v/>
      </c>
      <c r="C49" s="2183"/>
      <c r="D49" s="2184"/>
      <c r="E49" s="539" t="str">
        <f>IF(A49="","",VLOOKUP(A49,MO,13,FALSE))</f>
        <v/>
      </c>
      <c r="F49" s="545"/>
      <c r="G49" s="377" t="str">
        <f>IF(A49="","",VLOOKUP(A49,MO,15,FALSE))</f>
        <v/>
      </c>
      <c r="H49" s="543" t="str">
        <f>IF(A49="","",ROUND((G49/F49),0))</f>
        <v/>
      </c>
    </row>
    <row r="50" spans="1:8" ht="13.5" thickBot="1">
      <c r="A50" s="285"/>
      <c r="B50" s="285"/>
      <c r="C50" s="285"/>
      <c r="D50" s="285"/>
      <c r="E50" s="286"/>
      <c r="F50" s="285"/>
      <c r="G50" s="317" t="s">
        <v>529</v>
      </c>
      <c r="H50" s="342">
        <f>ROUND(SUM(H46:H49),0)</f>
        <v>340556</v>
      </c>
    </row>
    <row r="51" spans="1:8" ht="13.5" thickBot="1">
      <c r="A51" s="285"/>
      <c r="B51" s="285"/>
      <c r="C51" s="285"/>
      <c r="D51" s="285"/>
      <c r="E51" s="286"/>
      <c r="F51" s="285"/>
      <c r="G51" s="285"/>
      <c r="H51" s="285"/>
    </row>
    <row r="52" spans="1:8" ht="13.5" thickBot="1">
      <c r="A52" s="285"/>
      <c r="B52" s="285"/>
      <c r="C52" s="285"/>
      <c r="D52" s="285"/>
      <c r="E52" s="346" t="s">
        <v>536</v>
      </c>
      <c r="F52" s="347"/>
      <c r="G52" s="347"/>
      <c r="H52" s="348">
        <f>+ROUND(H19+H33+H42+H50,0)</f>
        <v>807584</v>
      </c>
    </row>
    <row r="53" spans="1:8">
      <c r="A53" s="285"/>
      <c r="B53" s="285"/>
      <c r="C53" s="285"/>
      <c r="D53" s="285"/>
      <c r="E53" s="346"/>
      <c r="F53" s="347"/>
      <c r="G53" s="347"/>
      <c r="H53" s="349"/>
    </row>
    <row r="54" spans="1:8">
      <c r="A54" s="285"/>
      <c r="B54" s="285"/>
      <c r="C54" s="285"/>
      <c r="D54" s="285"/>
      <c r="E54" s="346"/>
      <c r="F54" s="347"/>
      <c r="G54" s="347"/>
      <c r="H54" s="349"/>
    </row>
    <row r="55" spans="1:8">
      <c r="A55" s="285"/>
      <c r="B55" s="285"/>
      <c r="C55" s="285"/>
      <c r="D55" s="285"/>
      <c r="E55" s="346"/>
      <c r="F55" s="347"/>
      <c r="G55" s="347"/>
      <c r="H55" s="349"/>
    </row>
    <row r="56" spans="1:8">
      <c r="A56" s="285"/>
      <c r="B56" s="285"/>
      <c r="C56" s="285"/>
      <c r="D56" s="285"/>
      <c r="E56" s="346"/>
      <c r="F56" s="347"/>
      <c r="G56" s="347"/>
      <c r="H56" s="349"/>
    </row>
    <row r="57" spans="1:8">
      <c r="A57" s="285"/>
      <c r="B57" s="285"/>
      <c r="C57" s="285"/>
      <c r="D57" s="285"/>
      <c r="E57" s="346"/>
      <c r="F57" s="347"/>
      <c r="G57" s="347"/>
      <c r="H57" s="349"/>
    </row>
    <row r="59" spans="1:8">
      <c r="A59" s="703" t="str">
        <f>+[14]PRESUPUESTO!$A$113</f>
        <v>__________________________________________</v>
      </c>
      <c r="B59" s="703"/>
      <c r="C59" s="703"/>
    </row>
    <row r="60" spans="1:8">
      <c r="A60" s="810" t="str">
        <f>+[14]PRESUPUESTO!$A$114</f>
        <v>Ing. JHON FREDY GARCIA MENDEZ</v>
      </c>
      <c r="B60" s="703"/>
      <c r="C60" s="703"/>
    </row>
    <row r="61" spans="1:8">
      <c r="A61" s="811" t="str">
        <f>+[14]PRESUPUESTO!$A$115</f>
        <v>M.P.  70268-326294 TLM.</v>
      </c>
      <c r="B61" s="703"/>
      <c r="C61" s="703"/>
    </row>
    <row r="62" spans="1:8">
      <c r="A62" s="811" t="str">
        <f>+[14]PRESUPUESTO!$A$116</f>
        <v>CONSULTOR</v>
      </c>
      <c r="B62" s="703"/>
      <c r="C62" s="703"/>
    </row>
  </sheetData>
  <mergeCells count="16">
    <mergeCell ref="B46:D46"/>
    <mergeCell ref="B47:D47"/>
    <mergeCell ref="B48:D48"/>
    <mergeCell ref="B49:D49"/>
    <mergeCell ref="B6:D6"/>
    <mergeCell ref="B7:E7"/>
    <mergeCell ref="B8:E8"/>
    <mergeCell ref="B23:D23"/>
    <mergeCell ref="B36:C36"/>
    <mergeCell ref="B45:D45"/>
    <mergeCell ref="D2:E4"/>
    <mergeCell ref="F2:H2"/>
    <mergeCell ref="F3:H3"/>
    <mergeCell ref="F4:H4"/>
    <mergeCell ref="A5:E5"/>
    <mergeCell ref="F5:H5"/>
  </mergeCells>
  <pageMargins left="0.75" right="0.75" top="1" bottom="1" header="0" footer="0"/>
  <pageSetup paperSize="9" scale="70" orientation="portrait" r:id="rId1"/>
  <headerFooter alignWithMargins="0"/>
  <drawing r:id="rId2"/>
</worksheet>
</file>

<file path=xl/worksheets/sheet1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600-000000000000}">
  <sheetPr>
    <tabColor theme="6" tint="0.79998168889431442"/>
  </sheetPr>
  <dimension ref="A1:N79"/>
  <sheetViews>
    <sheetView workbookViewId="0"/>
  </sheetViews>
  <sheetFormatPr baseColWidth="10" defaultColWidth="11.42578125" defaultRowHeight="12.75"/>
  <cols>
    <col min="1" max="1" width="9.140625" style="247" customWidth="1"/>
    <col min="2" max="2" width="12.28515625" style="247" bestFit="1" customWidth="1"/>
    <col min="3" max="3" width="25.85546875" style="247" customWidth="1"/>
    <col min="4" max="4" width="21" style="247" customWidth="1"/>
    <col min="5" max="5" width="13" style="247" customWidth="1"/>
    <col min="6" max="6" width="11.7109375" style="247" bestFit="1" customWidth="1"/>
    <col min="7" max="7" width="15.42578125" style="247" bestFit="1" customWidth="1"/>
    <col min="8" max="8" width="16.5703125" style="247" bestFit="1" customWidth="1"/>
    <col min="9" max="9" width="5.7109375" style="247" customWidth="1"/>
    <col min="10" max="10" width="54.140625" style="247" customWidth="1"/>
    <col min="11" max="11" width="11.42578125" style="247"/>
    <col min="12" max="12" width="13.7109375" style="247" bestFit="1" customWidth="1"/>
    <col min="13" max="13" width="11.42578125" style="247"/>
    <col min="14" max="14" width="12" style="247" bestFit="1" customWidth="1"/>
    <col min="15" max="16384" width="11.42578125" style="247"/>
  </cols>
  <sheetData>
    <row r="1" spans="1:9" ht="60.95" customHeight="1" thickBot="1">
      <c r="A1" s="847" t="s">
        <v>2494</v>
      </c>
    </row>
    <row r="2" spans="1:9" ht="42.2" customHeight="1" thickBot="1">
      <c r="A2" s="279"/>
      <c r="B2" s="280"/>
      <c r="C2" s="280"/>
      <c r="D2" s="2211" t="str">
        <f>+PRESUPUESTO!A9</f>
        <v>“CONSTRUCCIÓN DE LA PRIMERA FASE DEL ALCANTARILLADO SANITARIO PARA LA RECOLECCIÓN DE LAS AGUAS RESIDUALES DEL CENTRO POBLADO CACHIMBAL DEL MUNICIPIO DE GUADALUPE, DEPARTAMENTO DEL HUILA”</v>
      </c>
      <c r="E2" s="2212"/>
      <c r="F2" s="2199" t="e">
        <f>+PRESUPUESTO!#REF!</f>
        <v>#REF!</v>
      </c>
      <c r="G2" s="2200"/>
      <c r="H2" s="2201"/>
    </row>
    <row r="3" spans="1:9" ht="29.1" customHeight="1" thickBot="1">
      <c r="A3" s="281"/>
      <c r="B3" s="282"/>
      <c r="C3" s="282"/>
      <c r="D3" s="2213"/>
      <c r="E3" s="2214"/>
      <c r="F3" s="2202" t="e">
        <f>+PRESUPUESTO!#REF!</f>
        <v>#REF!</v>
      </c>
      <c r="G3" s="2203"/>
      <c r="H3" s="2204"/>
    </row>
    <row r="4" spans="1:9" ht="30.95" customHeight="1" thickBot="1">
      <c r="A4" s="98"/>
      <c r="B4" s="99"/>
      <c r="C4" s="283"/>
      <c r="D4" s="2215"/>
      <c r="E4" s="2216"/>
      <c r="F4" s="2202" t="s">
        <v>524</v>
      </c>
      <c r="G4" s="2203"/>
      <c r="H4" s="2204"/>
    </row>
    <row r="5" spans="1:9" ht="13.5" thickBot="1">
      <c r="A5" s="2205" t="s">
        <v>558</v>
      </c>
      <c r="B5" s="2206"/>
      <c r="C5" s="2206"/>
      <c r="D5" s="2206"/>
      <c r="E5" s="2207"/>
      <c r="F5" s="2208" t="e">
        <f>+PRESUPUESTO!#REF!</f>
        <v>#REF!</v>
      </c>
      <c r="G5" s="2209"/>
      <c r="H5" s="2210"/>
    </row>
    <row r="6" spans="1:9">
      <c r="A6" s="284"/>
      <c r="B6" s="2195"/>
      <c r="C6" s="2196"/>
      <c r="D6" s="2196"/>
      <c r="E6" s="284"/>
      <c r="F6" s="285"/>
      <c r="G6" s="286"/>
      <c r="H6" s="287"/>
      <c r="I6" s="288"/>
    </row>
    <row r="7" spans="1:9" ht="15.95" customHeight="1">
      <c r="A7" s="96" t="e">
        <f>PRESUPUESTO!#REF!</f>
        <v>#REF!</v>
      </c>
      <c r="B7" s="2185" t="e">
        <f>PRESUPUESTO!#REF!</f>
        <v>#REF!</v>
      </c>
      <c r="C7" s="2185"/>
      <c r="D7" s="2185"/>
      <c r="E7" s="2185"/>
      <c r="F7" s="289"/>
      <c r="G7" s="290" t="s">
        <v>525</v>
      </c>
      <c r="H7" s="1063" t="e">
        <f>+PRESUPUESTO!#REF!</f>
        <v>#REF!</v>
      </c>
    </row>
    <row r="8" spans="1:9">
      <c r="A8" s="1062" t="e">
        <f>+PRESUPUESTO!#REF!</f>
        <v>#REF!</v>
      </c>
      <c r="B8" s="2281" t="e">
        <f>+PRESUPUESTO!#REF!</f>
        <v>#REF!</v>
      </c>
      <c r="C8" s="2217"/>
      <c r="D8" s="2217"/>
      <c r="E8" s="2217"/>
      <c r="F8" s="291"/>
      <c r="G8" s="290"/>
      <c r="H8" s="97"/>
    </row>
    <row r="9" spans="1:9">
      <c r="A9" s="96"/>
      <c r="B9" s="420"/>
      <c r="C9" s="421"/>
      <c r="D9"/>
      <c r="E9" s="421"/>
      <c r="F9" s="292"/>
      <c r="G9" s="286"/>
      <c r="H9" s="287"/>
    </row>
    <row r="10" spans="1:9">
      <c r="A10" s="97"/>
      <c r="B10" s="293"/>
      <c r="C10" s="293"/>
      <c r="D10" s="293"/>
      <c r="E10" s="293"/>
      <c r="F10" s="293"/>
      <c r="G10" s="294"/>
      <c r="H10" s="294"/>
    </row>
    <row r="11" spans="1:9" ht="13.5" thickBot="1">
      <c r="A11" s="295" t="s">
        <v>526</v>
      </c>
      <c r="B11" s="295"/>
      <c r="C11" s="285"/>
      <c r="D11" s="296"/>
      <c r="E11" s="296"/>
      <c r="F11" s="296"/>
      <c r="G11" s="296"/>
      <c r="H11" s="296"/>
    </row>
    <row r="12" spans="1:9" ht="13.5" thickBot="1">
      <c r="A12" s="297" t="s">
        <v>527</v>
      </c>
      <c r="B12" s="298"/>
      <c r="C12" s="299" t="s">
        <v>521</v>
      </c>
      <c r="D12" s="300"/>
      <c r="E12" s="301" t="s">
        <v>515</v>
      </c>
      <c r="F12" s="302" t="s">
        <v>528</v>
      </c>
      <c r="G12" s="303" t="s">
        <v>832</v>
      </c>
      <c r="H12" s="278" t="s">
        <v>831</v>
      </c>
    </row>
    <row r="13" spans="1:9">
      <c r="A13" s="536" t="s">
        <v>966</v>
      </c>
      <c r="B13" s="305" t="str">
        <f t="shared" ref="B13:B18" si="0">IF(A13="","",VLOOKUP(A13,EQUI,2,FALSE))</f>
        <v>Herramienta Menor (5% de la mano de obra).</v>
      </c>
      <c r="C13" s="306"/>
      <c r="D13" s="306"/>
      <c r="E13" s="276" t="str">
        <f t="shared" ref="E13:E18" si="1">IF(A13="","",VLOOKUP(A13,EQUI,3,FALSE))</f>
        <v>%</v>
      </c>
      <c r="F13" s="433">
        <f>IF(A13="","",VLOOKUP(A13,EQUI,4,FALSE))</f>
        <v>0.05</v>
      </c>
      <c r="G13" s="307">
        <f>ROUND(F13*H67,0)</f>
        <v>26283</v>
      </c>
      <c r="H13" s="308">
        <f>+G13</f>
        <v>26283</v>
      </c>
      <c r="I13" s="309"/>
    </row>
    <row r="14" spans="1:9">
      <c r="A14" s="536"/>
      <c r="B14" s="305" t="str">
        <f t="shared" si="0"/>
        <v/>
      </c>
      <c r="C14" s="306"/>
      <c r="D14" s="306"/>
      <c r="E14" s="276" t="str">
        <f t="shared" si="1"/>
        <v/>
      </c>
      <c r="F14" s="405"/>
      <c r="G14" s="310" t="str">
        <f>IF(A14="","",VLOOKUP(A14,EQUI,4,FALSE))</f>
        <v/>
      </c>
      <c r="H14" s="311" t="str">
        <f>IF(A14="","",ROUND((G14/F14),0))</f>
        <v/>
      </c>
    </row>
    <row r="15" spans="1:9">
      <c r="A15" s="536"/>
      <c r="B15" s="305" t="str">
        <f t="shared" si="0"/>
        <v/>
      </c>
      <c r="C15" s="306"/>
      <c r="D15" s="306"/>
      <c r="E15" s="276" t="str">
        <f t="shared" si="1"/>
        <v/>
      </c>
      <c r="F15" s="405"/>
      <c r="G15" s="310" t="str">
        <f>IF(A15="","",VLOOKUP(A15,EQUI,4,FALSE))</f>
        <v/>
      </c>
      <c r="H15" s="311" t="str">
        <f>IF(A15="","",ROUND((G15/F15),0))</f>
        <v/>
      </c>
    </row>
    <row r="16" spans="1:9">
      <c r="A16" s="536"/>
      <c r="B16" s="305" t="str">
        <f t="shared" si="0"/>
        <v/>
      </c>
      <c r="C16" s="306"/>
      <c r="D16" s="306"/>
      <c r="E16" s="276" t="str">
        <f t="shared" si="1"/>
        <v/>
      </c>
      <c r="F16" s="405"/>
      <c r="G16" s="310" t="str">
        <f>IF(A16="","",VLOOKUP(A16,EQUI,4,FALSE))</f>
        <v/>
      </c>
      <c r="H16" s="311" t="str">
        <f>IF(A16="","",ROUND((G16/F16),0))</f>
        <v/>
      </c>
    </row>
    <row r="17" spans="1:14">
      <c r="A17" s="536"/>
      <c r="B17" s="305" t="str">
        <f t="shared" si="0"/>
        <v/>
      </c>
      <c r="C17" s="306"/>
      <c r="D17" s="306"/>
      <c r="E17" s="276" t="str">
        <f t="shared" si="1"/>
        <v/>
      </c>
      <c r="F17" s="405"/>
      <c r="G17" s="310" t="str">
        <f>IF(A17="","",VLOOKUP(A17,EQUI,4,FALSE))</f>
        <v/>
      </c>
      <c r="H17" s="311" t="str">
        <f>IF(A17="","",ROUND((G17/F17),0))</f>
        <v/>
      </c>
    </row>
    <row r="18" spans="1:14" ht="13.5" thickBot="1">
      <c r="A18" s="537"/>
      <c r="B18" s="313" t="str">
        <f t="shared" si="0"/>
        <v/>
      </c>
      <c r="C18" s="313"/>
      <c r="D18" s="314"/>
      <c r="E18" s="315" t="str">
        <f t="shared" si="1"/>
        <v/>
      </c>
      <c r="F18" s="408"/>
      <c r="G18" s="316" t="str">
        <f>IF(A18="","",VLOOKUP(A18,EQUI,4,FALSE))</f>
        <v/>
      </c>
      <c r="H18" s="311" t="str">
        <f>IF(A18="","",ROUND((G18/F18),0))</f>
        <v/>
      </c>
    </row>
    <row r="19" spans="1:14" ht="13.5" thickBot="1">
      <c r="A19" s="285"/>
      <c r="B19" s="285"/>
      <c r="C19" s="285"/>
      <c r="D19" s="285"/>
      <c r="E19" s="286"/>
      <c r="F19" s="285"/>
      <c r="G19" s="317" t="s">
        <v>529</v>
      </c>
      <c r="H19" s="318">
        <f>ROUND(SUM(H13:H18),0)</f>
        <v>26283</v>
      </c>
    </row>
    <row r="20" spans="1:14">
      <c r="A20" s="285"/>
      <c r="B20" s="285"/>
      <c r="C20" s="285"/>
      <c r="D20" s="285"/>
      <c r="E20" s="286"/>
      <c r="F20" s="285"/>
      <c r="G20" s="286"/>
      <c r="H20" s="319"/>
    </row>
    <row r="21" spans="1:14" ht="13.5" thickBot="1">
      <c r="A21" s="295" t="s">
        <v>530</v>
      </c>
      <c r="B21" s="295"/>
      <c r="C21" s="295"/>
      <c r="D21" s="295"/>
      <c r="E21" s="320"/>
      <c r="F21" s="314"/>
      <c r="G21" s="314"/>
      <c r="H21" s="314"/>
    </row>
    <row r="22" spans="1:14" ht="13.5" thickBot="1">
      <c r="A22" s="297" t="s">
        <v>527</v>
      </c>
      <c r="B22" s="298"/>
      <c r="C22" s="299" t="s">
        <v>521</v>
      </c>
      <c r="D22" s="299"/>
      <c r="E22" s="321" t="s">
        <v>515</v>
      </c>
      <c r="F22" s="322" t="s">
        <v>7</v>
      </c>
      <c r="G22" s="303" t="s">
        <v>832</v>
      </c>
      <c r="H22" s="278" t="s">
        <v>831</v>
      </c>
    </row>
    <row r="23" spans="1:14">
      <c r="A23" s="533"/>
      <c r="B23" s="2278" t="s">
        <v>2488</v>
      </c>
      <c r="C23" s="2279"/>
      <c r="D23" s="2280"/>
      <c r="E23" s="815" t="s">
        <v>1681</v>
      </c>
      <c r="F23" s="405">
        <v>26</v>
      </c>
      <c r="G23" s="1049">
        <v>2400</v>
      </c>
      <c r="H23" s="311">
        <f>ROUND(G23*F23,0)</f>
        <v>62400</v>
      </c>
      <c r="L23" s="1217"/>
      <c r="N23" s="1218"/>
    </row>
    <row r="24" spans="1:14">
      <c r="A24" s="534" t="s">
        <v>2473</v>
      </c>
      <c r="B24" s="353" t="str">
        <f>IF(A24="","",VLOOKUP(A24,MAT,2,FALSE))</f>
        <v>Mortero 1:4</v>
      </c>
      <c r="C24" s="305"/>
      <c r="D24" s="306"/>
      <c r="E24" s="276" t="str">
        <f>IF(A24="","",VLOOKUP(A24,MAT,3,FALSE))</f>
        <v>m3</v>
      </c>
      <c r="F24" s="405">
        <v>0.05</v>
      </c>
      <c r="G24" s="310">
        <f>IF(A24="","",VLOOKUP(A24,MAT,5,FALSE))</f>
        <v>462362</v>
      </c>
      <c r="H24" s="311">
        <f>IF(A24="","",ROUND((G24*F24),0))</f>
        <v>23118</v>
      </c>
      <c r="L24" s="1217"/>
      <c r="N24" s="1218"/>
    </row>
    <row r="25" spans="1:14">
      <c r="A25" s="534" t="s">
        <v>552</v>
      </c>
      <c r="B25" s="353" t="str">
        <f>IF(A25="","",VLOOKUP(A25,MAT,2,FALSE))</f>
        <v>Concreto de 175 Kg/cm2 (2500 PSI)</v>
      </c>
      <c r="C25" s="305"/>
      <c r="D25" s="306"/>
      <c r="E25" s="276" t="str">
        <f>IF(A25="","",VLOOKUP(A25,MAT,3,FALSE))</f>
        <v>m3</v>
      </c>
      <c r="F25" s="405">
        <v>0.16</v>
      </c>
      <c r="G25" s="310">
        <f>IF(A25="","",VLOOKUP(A25,MAT,5,FALSE))</f>
        <v>692114</v>
      </c>
      <c r="H25" s="311">
        <f>IF(A25="","",ROUND((G25*F25),0))</f>
        <v>110738</v>
      </c>
      <c r="L25" s="1217"/>
      <c r="N25" s="1218"/>
    </row>
    <row r="26" spans="1:14">
      <c r="A26" s="534" t="s">
        <v>2489</v>
      </c>
      <c r="B26" s="353" t="str">
        <f>IF(A26="","",VLOOKUP(A26,MAT,2,FALSE))</f>
        <v xml:space="preserve">Angulo de 1" x 3/16" </v>
      </c>
      <c r="C26" s="305"/>
      <c r="D26" s="306"/>
      <c r="E26" s="815" t="s">
        <v>1654</v>
      </c>
      <c r="F26" s="405">
        <v>2.0499999999999998</v>
      </c>
      <c r="G26" s="310">
        <f>IF(A26="","",VLOOKUP(A26,MAT,5,FALSE))</f>
        <v>8384</v>
      </c>
      <c r="H26" s="311">
        <f>IF(A26="","",ROUND((G26*F26),0))</f>
        <v>17187</v>
      </c>
      <c r="L26" s="1217"/>
      <c r="N26" s="1218"/>
    </row>
    <row r="27" spans="1:14">
      <c r="A27" s="534"/>
      <c r="B27" s="816" t="s">
        <v>2490</v>
      </c>
      <c r="C27" s="305"/>
      <c r="D27" s="306"/>
      <c r="E27" s="815" t="s">
        <v>1654</v>
      </c>
      <c r="F27" s="405">
        <v>3.05</v>
      </c>
      <c r="G27" s="310">
        <v>1197</v>
      </c>
      <c r="H27" s="311">
        <f>ROUND(G27*F27,0)</f>
        <v>3651</v>
      </c>
      <c r="L27" s="1217"/>
      <c r="N27" s="1218"/>
    </row>
    <row r="28" spans="1:14">
      <c r="A28" s="534"/>
      <c r="B28" s="816" t="s">
        <v>2491</v>
      </c>
      <c r="C28" s="305"/>
      <c r="D28" s="306"/>
      <c r="E28" s="815" t="s">
        <v>208</v>
      </c>
      <c r="F28" s="405">
        <v>0.55000000000000004</v>
      </c>
      <c r="G28" s="310">
        <v>23500</v>
      </c>
      <c r="H28" s="311">
        <f>ROUND(G28*F28,0)</f>
        <v>12925</v>
      </c>
      <c r="L28" s="1217"/>
      <c r="N28" s="1218"/>
    </row>
    <row r="29" spans="1:14">
      <c r="A29" s="534" t="s">
        <v>565</v>
      </c>
      <c r="B29" s="353" t="str">
        <f>IF(A29="","",VLOOKUP(A29,MAT,2,FALSE))</f>
        <v>Acero de refuerzo de 60.000psi</v>
      </c>
      <c r="C29" s="305"/>
      <c r="D29" s="306"/>
      <c r="E29" s="1050" t="s">
        <v>2419</v>
      </c>
      <c r="F29" s="405">
        <v>10.79</v>
      </c>
      <c r="G29" s="310">
        <f>IF(A29="","",VLOOKUP(A29,MAT,5,FALSE))</f>
        <v>5200</v>
      </c>
      <c r="H29" s="311">
        <f t="shared" ref="H29:H40" si="2">ROUND(G29*F29,0)</f>
        <v>56108</v>
      </c>
      <c r="L29" s="1217"/>
      <c r="N29" s="1218"/>
    </row>
    <row r="30" spans="1:14">
      <c r="A30" s="534"/>
      <c r="B30" s="847" t="s">
        <v>2531</v>
      </c>
      <c r="C30" s="305"/>
      <c r="D30" s="306"/>
      <c r="E30" s="815" t="s">
        <v>72</v>
      </c>
      <c r="F30" s="405">
        <v>0.12</v>
      </c>
      <c r="G30" s="310">
        <v>472329</v>
      </c>
      <c r="H30" s="311">
        <f t="shared" si="2"/>
        <v>56679</v>
      </c>
      <c r="L30" s="1217"/>
      <c r="N30" s="1218"/>
    </row>
    <row r="31" spans="1:14">
      <c r="A31" s="534"/>
      <c r="B31" s="816" t="s">
        <v>2524</v>
      </c>
      <c r="C31" s="305"/>
      <c r="D31" s="306"/>
      <c r="E31" s="815" t="s">
        <v>139</v>
      </c>
      <c r="F31" s="405">
        <v>2.02</v>
      </c>
      <c r="G31" s="310">
        <v>26500</v>
      </c>
      <c r="H31" s="311">
        <f t="shared" si="2"/>
        <v>53530</v>
      </c>
      <c r="L31" s="1217"/>
      <c r="N31" s="1218"/>
    </row>
    <row r="32" spans="1:14">
      <c r="A32" s="534"/>
      <c r="B32" s="816" t="s">
        <v>2525</v>
      </c>
      <c r="C32" s="305"/>
      <c r="D32" s="306"/>
      <c r="E32" s="815" t="s">
        <v>143</v>
      </c>
      <c r="F32" s="405">
        <v>0.25</v>
      </c>
      <c r="G32" s="310">
        <v>133300</v>
      </c>
      <c r="H32" s="311">
        <f t="shared" si="2"/>
        <v>33325</v>
      </c>
      <c r="L32" s="1217"/>
      <c r="N32" s="1218"/>
    </row>
    <row r="33" spans="1:14">
      <c r="A33" s="534"/>
      <c r="B33" s="816" t="s">
        <v>2526</v>
      </c>
      <c r="C33" s="305"/>
      <c r="D33" s="306"/>
      <c r="E33" s="815" t="s">
        <v>67</v>
      </c>
      <c r="F33" s="405">
        <v>1</v>
      </c>
      <c r="G33" s="310">
        <v>26000</v>
      </c>
      <c r="H33" s="311">
        <f t="shared" si="2"/>
        <v>26000</v>
      </c>
      <c r="L33" s="1217"/>
      <c r="N33" s="1218"/>
    </row>
    <row r="34" spans="1:14">
      <c r="A34" s="534"/>
      <c r="B34" s="816" t="s">
        <v>2527</v>
      </c>
      <c r="C34" s="305"/>
      <c r="D34" s="306"/>
      <c r="E34" s="815" t="s">
        <v>143</v>
      </c>
      <c r="F34" s="405">
        <v>0.6</v>
      </c>
      <c r="G34" s="310">
        <v>23550</v>
      </c>
      <c r="H34" s="311">
        <f t="shared" si="2"/>
        <v>14130</v>
      </c>
      <c r="L34" s="1217"/>
      <c r="N34" s="1218"/>
    </row>
    <row r="35" spans="1:14">
      <c r="A35" s="534"/>
      <c r="B35" s="816" t="s">
        <v>2528</v>
      </c>
      <c r="C35" s="305"/>
      <c r="D35" s="306"/>
      <c r="E35" s="815" t="s">
        <v>212</v>
      </c>
      <c r="F35" s="405">
        <v>3.6</v>
      </c>
      <c r="G35" s="310">
        <v>23003</v>
      </c>
      <c r="H35" s="311">
        <f t="shared" si="2"/>
        <v>82811</v>
      </c>
      <c r="L35" s="1217"/>
      <c r="N35" s="1218"/>
    </row>
    <row r="36" spans="1:14">
      <c r="A36" s="534"/>
      <c r="B36" s="816" t="s">
        <v>2522</v>
      </c>
      <c r="C36" s="305"/>
      <c r="D36" s="306"/>
      <c r="E36" s="815" t="s">
        <v>143</v>
      </c>
      <c r="F36" s="405">
        <v>0.8</v>
      </c>
      <c r="G36" s="310">
        <v>16000</v>
      </c>
      <c r="H36" s="311">
        <f t="shared" si="2"/>
        <v>12800</v>
      </c>
      <c r="L36" s="1217"/>
      <c r="N36" s="1218"/>
    </row>
    <row r="37" spans="1:14">
      <c r="A37" s="534"/>
      <c r="B37" s="816" t="s">
        <v>2523</v>
      </c>
      <c r="C37" s="305"/>
      <c r="D37" s="306"/>
      <c r="E37" s="815" t="s">
        <v>212</v>
      </c>
      <c r="F37" s="405">
        <v>3</v>
      </c>
      <c r="G37" s="310">
        <v>890</v>
      </c>
      <c r="H37" s="311">
        <f t="shared" si="2"/>
        <v>2670</v>
      </c>
      <c r="L37" s="1217"/>
      <c r="N37" s="1218"/>
    </row>
    <row r="38" spans="1:14">
      <c r="A38" s="534"/>
      <c r="B38" s="816" t="s">
        <v>256</v>
      </c>
      <c r="C38" s="305"/>
      <c r="D38" s="306"/>
      <c r="E38" s="815" t="s">
        <v>235</v>
      </c>
      <c r="F38" s="405">
        <v>0.04</v>
      </c>
      <c r="G38" s="310">
        <v>86900</v>
      </c>
      <c r="H38" s="311">
        <f t="shared" si="2"/>
        <v>3476</v>
      </c>
      <c r="L38" s="1217"/>
      <c r="N38" s="1218"/>
    </row>
    <row r="39" spans="1:14">
      <c r="A39" s="534"/>
      <c r="B39" s="816" t="s">
        <v>2529</v>
      </c>
      <c r="C39" s="305"/>
      <c r="D39" s="306"/>
      <c r="E39" s="815" t="s">
        <v>235</v>
      </c>
      <c r="F39" s="405">
        <v>1.4999999999999999E-2</v>
      </c>
      <c r="G39" s="310">
        <v>107900</v>
      </c>
      <c r="H39" s="311">
        <f t="shared" si="2"/>
        <v>1619</v>
      </c>
      <c r="L39" s="1217"/>
      <c r="N39" s="1218"/>
    </row>
    <row r="40" spans="1:14">
      <c r="A40" s="534"/>
      <c r="B40" s="816" t="s">
        <v>2530</v>
      </c>
      <c r="C40" s="305"/>
      <c r="D40" s="306"/>
      <c r="E40" s="815" t="s">
        <v>235</v>
      </c>
      <c r="F40" s="405">
        <v>0.1</v>
      </c>
      <c r="G40" s="310">
        <v>41890</v>
      </c>
      <c r="H40" s="311">
        <f t="shared" si="2"/>
        <v>4189</v>
      </c>
      <c r="L40" s="1217"/>
      <c r="N40" s="1218"/>
    </row>
    <row r="41" spans="1:14">
      <c r="A41" s="534"/>
      <c r="B41" s="816"/>
      <c r="C41" s="305"/>
      <c r="D41" s="306"/>
      <c r="E41" s="815"/>
      <c r="F41" s="405"/>
      <c r="G41" s="310"/>
      <c r="H41" s="311"/>
      <c r="L41" s="1217"/>
      <c r="N41" s="1218"/>
    </row>
    <row r="42" spans="1:14">
      <c r="A42" s="534"/>
      <c r="B42" s="816"/>
      <c r="C42" s="305"/>
      <c r="D42" s="306"/>
      <c r="E42" s="815"/>
      <c r="F42" s="405"/>
      <c r="G42" s="310"/>
      <c r="H42" s="311"/>
      <c r="L42" s="1217"/>
      <c r="N42" s="1218"/>
    </row>
    <row r="43" spans="1:14">
      <c r="A43" s="534"/>
      <c r="B43" s="816"/>
      <c r="C43" s="305"/>
      <c r="D43" s="306"/>
      <c r="E43" s="815"/>
      <c r="F43" s="405"/>
      <c r="G43" s="310"/>
      <c r="H43" s="311"/>
      <c r="L43" s="1217"/>
      <c r="N43" s="1218"/>
    </row>
    <row r="44" spans="1:14">
      <c r="A44" s="534"/>
      <c r="B44" s="816"/>
      <c r="C44" s="305"/>
      <c r="D44" s="306"/>
      <c r="E44" s="815"/>
      <c r="F44" s="405"/>
      <c r="G44" s="310"/>
      <c r="H44" s="311"/>
      <c r="L44" s="1217"/>
      <c r="N44" s="1218"/>
    </row>
    <row r="45" spans="1:14">
      <c r="A45" s="534"/>
      <c r="B45" s="816"/>
      <c r="C45" s="305"/>
      <c r="D45" s="306"/>
      <c r="E45" s="815"/>
      <c r="F45" s="405"/>
      <c r="G45" s="310"/>
      <c r="H45" s="311"/>
      <c r="L45" s="1217"/>
      <c r="N45" s="1218"/>
    </row>
    <row r="46" spans="1:14">
      <c r="A46" s="534"/>
      <c r="B46" s="305" t="str">
        <f t="shared" ref="B46:B49" si="3">IF(A46="","",VLOOKUP(A46,MAT,2,FALSE))</f>
        <v/>
      </c>
      <c r="C46" s="305"/>
      <c r="D46" s="306"/>
      <c r="E46" s="276" t="str">
        <f t="shared" ref="E46:E49" si="4">IF(A46="","",VLOOKUP(A46,MAT,3,FALSE))</f>
        <v/>
      </c>
      <c r="F46" s="405"/>
      <c r="G46" s="310" t="str">
        <f t="shared" ref="G46:G49" si="5">IF(A46="","",VLOOKUP(A46,MAT,5,FALSE))</f>
        <v/>
      </c>
      <c r="H46" s="311" t="str">
        <f t="shared" ref="H46:H49" si="6">IF(A46="","",ROUND((G46*F46),0))</f>
        <v/>
      </c>
    </row>
    <row r="47" spans="1:14">
      <c r="A47" s="534"/>
      <c r="B47" s="305" t="str">
        <f t="shared" si="3"/>
        <v/>
      </c>
      <c r="C47" s="305"/>
      <c r="D47" s="306"/>
      <c r="E47" s="276" t="str">
        <f t="shared" si="4"/>
        <v/>
      </c>
      <c r="F47" s="405"/>
      <c r="G47" s="310" t="str">
        <f t="shared" si="5"/>
        <v/>
      </c>
      <c r="H47" s="311" t="str">
        <f t="shared" si="6"/>
        <v/>
      </c>
    </row>
    <row r="48" spans="1:14">
      <c r="A48" s="534"/>
      <c r="B48" s="305" t="str">
        <f t="shared" si="3"/>
        <v/>
      </c>
      <c r="C48" s="305"/>
      <c r="D48" s="306"/>
      <c r="E48" s="276" t="str">
        <f t="shared" si="4"/>
        <v/>
      </c>
      <c r="F48" s="405"/>
      <c r="G48" s="310" t="str">
        <f t="shared" si="5"/>
        <v/>
      </c>
      <c r="H48" s="311" t="str">
        <f t="shared" si="6"/>
        <v/>
      </c>
    </row>
    <row r="49" spans="1:8" ht="13.5" thickBot="1">
      <c r="A49" s="535"/>
      <c r="B49" s="326" t="str">
        <f t="shared" si="3"/>
        <v/>
      </c>
      <c r="C49" s="314"/>
      <c r="D49" s="314"/>
      <c r="E49" s="315" t="str">
        <f t="shared" si="4"/>
        <v/>
      </c>
      <c r="F49" s="406"/>
      <c r="G49" s="327" t="str">
        <f t="shared" si="5"/>
        <v/>
      </c>
      <c r="H49" s="311" t="str">
        <f t="shared" si="6"/>
        <v/>
      </c>
    </row>
    <row r="50" spans="1:8" ht="13.5" thickBot="1">
      <c r="A50" s="285"/>
      <c r="B50" s="285"/>
      <c r="C50" s="285"/>
      <c r="D50" s="285"/>
      <c r="E50" s="286"/>
      <c r="F50" s="285"/>
      <c r="G50" s="210" t="s">
        <v>529</v>
      </c>
      <c r="H50" s="328">
        <f>ROUND(SUM(H23:H49),0)</f>
        <v>577356</v>
      </c>
    </row>
    <row r="51" spans="1:8">
      <c r="A51" s="285"/>
      <c r="B51" s="285"/>
      <c r="C51" s="285"/>
      <c r="D51" s="285"/>
      <c r="E51" s="286"/>
      <c r="F51" s="285"/>
      <c r="G51" s="286"/>
      <c r="H51" s="329"/>
    </row>
    <row r="52" spans="1:8" ht="13.5" thickBot="1">
      <c r="A52" s="295" t="s">
        <v>531</v>
      </c>
      <c r="B52" s="285"/>
      <c r="C52" s="285"/>
      <c r="D52" s="285"/>
      <c r="E52" s="286"/>
      <c r="F52" s="285"/>
      <c r="G52" s="286"/>
      <c r="H52" s="330"/>
    </row>
    <row r="53" spans="1:8" ht="13.5" thickBot="1">
      <c r="A53" s="297" t="s">
        <v>527</v>
      </c>
      <c r="B53" s="2187" t="s">
        <v>532</v>
      </c>
      <c r="C53" s="2188"/>
      <c r="D53" s="331" t="s">
        <v>821</v>
      </c>
      <c r="E53" s="331" t="s">
        <v>820</v>
      </c>
      <c r="F53" s="331" t="s">
        <v>823</v>
      </c>
      <c r="G53" s="331" t="s">
        <v>822</v>
      </c>
      <c r="H53" s="416" t="s">
        <v>831</v>
      </c>
    </row>
    <row r="54" spans="1:8">
      <c r="A54" s="546"/>
      <c r="B54" s="737" t="s">
        <v>2430</v>
      </c>
      <c r="C54" s="772"/>
      <c r="D54" s="773" t="s">
        <v>2431</v>
      </c>
      <c r="E54" s="774">
        <v>40</v>
      </c>
      <c r="F54" s="775">
        <v>0.05</v>
      </c>
      <c r="G54" s="776">
        <v>1700</v>
      </c>
      <c r="H54" s="746">
        <f>ROUND(E54*F54*G54,0)</f>
        <v>3400</v>
      </c>
    </row>
    <row r="55" spans="1:8">
      <c r="A55" s="532"/>
      <c r="B55" s="305" t="str">
        <f>IF(A55="","",VLOOKUP(A55,MAT,2,FALSE))</f>
        <v/>
      </c>
      <c r="C55" s="530"/>
      <c r="D55" s="409" t="str">
        <f>IF(A55="","",VLOOKUP(A55,MAT,3,FALSE))</f>
        <v/>
      </c>
      <c r="E55" s="419" t="str">
        <f>IF(A55="","",VLOOKUP(A55,MAT,6,FALSE))</f>
        <v/>
      </c>
      <c r="F55" s="413" t="str">
        <f>IF(A55="","",VLOOKUP(A55,$A$23:$H$49,6,FALSE))</f>
        <v/>
      </c>
      <c r="G55" s="334"/>
      <c r="H55" s="311" t="str">
        <f>IF(A55="","",ROUND((G55*F55*E55),0))</f>
        <v/>
      </c>
    </row>
    <row r="56" spans="1:8">
      <c r="A56" s="532"/>
      <c r="B56" s="305" t="str">
        <f>IF(A56="","",VLOOKUP(A56,MAT,2,FALSE))</f>
        <v/>
      </c>
      <c r="C56" s="530"/>
      <c r="D56" s="409" t="str">
        <f>IF(A56="","",VLOOKUP(A56,MAT,3,FALSE))</f>
        <v/>
      </c>
      <c r="E56" s="419" t="str">
        <f>IF(A56="","",VLOOKUP(A56,MAT,6,FALSE))</f>
        <v/>
      </c>
      <c r="F56" s="413" t="str">
        <f>IF(A56="","",VLOOKUP(A56,$A$23:$H$49,6,FALSE))</f>
        <v/>
      </c>
      <c r="G56" s="334" t="str">
        <f>IF(A56="","",VLOOKUP(A56,MAT,7,FALSE))</f>
        <v/>
      </c>
      <c r="H56" s="311" t="str">
        <f>IF(A56="","",ROUND((G56*F56*E56),0))</f>
        <v/>
      </c>
    </row>
    <row r="57" spans="1:8">
      <c r="A57" s="547"/>
      <c r="B57" s="305" t="str">
        <f>IF(A57="","",VLOOKUP(A57,MAT,2,FALSE))</f>
        <v/>
      </c>
      <c r="D57" s="410" t="str">
        <f>IF(A57="","",VLOOKUP(A57,MAT,3,FALSE))</f>
        <v/>
      </c>
      <c r="E57" s="419" t="str">
        <f>IF(A57="","",VLOOKUP(A57,MAT,6,FALSE))</f>
        <v/>
      </c>
      <c r="F57" s="413" t="str">
        <f>IF(A57="","",VLOOKUP(A57,$A$23:$H$49,6,FALSE))</f>
        <v/>
      </c>
      <c r="G57" s="336" t="str">
        <f>IF(A57="","",VLOOKUP(A57,MAT,7,FALSE))</f>
        <v/>
      </c>
      <c r="H57" s="311" t="str">
        <f>IF(A57="","",ROUND((G57*F57*E57),0))</f>
        <v/>
      </c>
    </row>
    <row r="58" spans="1:8" ht="13.5" thickBot="1">
      <c r="A58" s="548"/>
      <c r="B58" s="338" t="str">
        <f>IF(A58="","",VLOOKUP(A58,MAT,2,FALSE))</f>
        <v/>
      </c>
      <c r="C58" s="338"/>
      <c r="D58" s="411" t="str">
        <f>IF(A58="","",VLOOKUP(A58,MAT,3,FALSE))</f>
        <v/>
      </c>
      <c r="E58" s="412" t="str">
        <f>IF(A58="","",VLOOKUP(A58,MAT,6,FALSE))</f>
        <v/>
      </c>
      <c r="F58" s="418" t="str">
        <f>IF(A58="","",VLOOKUP(A58,$A$23:$H$49,6,FALSE))</f>
        <v/>
      </c>
      <c r="G58" s="339" t="str">
        <f>IF(A58="","",VLOOKUP(A58,MAT,7,FALSE))</f>
        <v/>
      </c>
      <c r="H58" s="417" t="str">
        <f>IF(A58="","",ROUND((G58*F58*E58),0))</f>
        <v/>
      </c>
    </row>
    <row r="59" spans="1:8" ht="13.5" thickBot="1">
      <c r="E59" s="340"/>
      <c r="F59" s="341"/>
      <c r="G59" s="414" t="s">
        <v>529</v>
      </c>
      <c r="H59" s="415">
        <f>ROUND(SUM(H54:H58),0)</f>
        <v>3400</v>
      </c>
    </row>
    <row r="60" spans="1:8">
      <c r="E60" s="340"/>
      <c r="F60" s="341"/>
      <c r="G60" s="286"/>
      <c r="H60" s="343"/>
    </row>
    <row r="61" spans="1:8" ht="13.5" thickBot="1">
      <c r="A61" s="295" t="s">
        <v>534</v>
      </c>
      <c r="B61" s="295"/>
      <c r="C61" s="295"/>
      <c r="D61" s="285"/>
      <c r="E61" s="286"/>
      <c r="F61" s="285"/>
      <c r="G61" s="285"/>
      <c r="H61" s="314"/>
    </row>
    <row r="62" spans="1:8" ht="13.5" thickBot="1">
      <c r="A62" s="297" t="s">
        <v>527</v>
      </c>
      <c r="B62" s="2189" t="s">
        <v>514</v>
      </c>
      <c r="C62" s="2190"/>
      <c r="D62" s="2191"/>
      <c r="E62" s="277" t="s">
        <v>515</v>
      </c>
      <c r="F62" s="277" t="s">
        <v>535</v>
      </c>
      <c r="G62" s="531" t="s">
        <v>944</v>
      </c>
      <c r="H62" s="416" t="s">
        <v>831</v>
      </c>
    </row>
    <row r="63" spans="1:8">
      <c r="A63" s="563" t="s">
        <v>883</v>
      </c>
      <c r="B63" s="2192" t="str">
        <f>IF(A63="","",VLOOKUP(A63,MO,2,FALSE))</f>
        <v>Cuadrilla AA: Albañilería. (1 Of. + 1 Ayud.).</v>
      </c>
      <c r="C63" s="2193"/>
      <c r="D63" s="2194"/>
      <c r="E63" s="538" t="str">
        <f>IF(A63="","",VLOOKUP(A63,MO,13,FALSE))</f>
        <v>HC</v>
      </c>
      <c r="F63" s="544">
        <v>0.1</v>
      </c>
      <c r="G63" s="540">
        <f>IF(A63="","",VLOOKUP(A63,MO,15,FALSE))</f>
        <v>38949</v>
      </c>
      <c r="H63" s="542">
        <f>IF(A63="","",ROUND((G63/F63),0))</f>
        <v>389490</v>
      </c>
    </row>
    <row r="64" spans="1:8">
      <c r="A64" s="563" t="s">
        <v>907</v>
      </c>
      <c r="B64" s="2179" t="str">
        <f>IF(A64="","",VLOOKUP(A64,MO,2,FALSE))</f>
        <v>Cuadrilla HH: Metálicas. (1 Sold. + 1 Of. + 1 Ayud.).</v>
      </c>
      <c r="C64" s="2180"/>
      <c r="D64" s="2181"/>
      <c r="E64" s="538" t="str">
        <f>IF(A64="","",VLOOKUP(A64,MO,13,FALSE))</f>
        <v>HC</v>
      </c>
      <c r="F64" s="544">
        <v>0.4</v>
      </c>
      <c r="G64" s="540">
        <f>IF(A64="","",VLOOKUP(A64,MO,15,FALSE))</f>
        <v>54464</v>
      </c>
      <c r="H64" s="542">
        <f>IF(A64="","",ROUND((G64/F64),0))</f>
        <v>136160</v>
      </c>
    </row>
    <row r="65" spans="1:8">
      <c r="A65" s="563"/>
      <c r="B65" s="2179" t="str">
        <f>IF(A65="","",VLOOKUP(A65,MO,2,FALSE))</f>
        <v/>
      </c>
      <c r="C65" s="2180"/>
      <c r="D65" s="2181"/>
      <c r="E65" s="538" t="str">
        <f>IF(A65="","",VLOOKUP(A65,MO,13,FALSE))</f>
        <v/>
      </c>
      <c r="F65" s="544"/>
      <c r="G65" s="541" t="str">
        <f>IF(A65="","",VLOOKUP(A65,MO,15,FALSE))</f>
        <v/>
      </c>
      <c r="H65" s="542" t="str">
        <f>IF(A65="","",ROUND((G65/F65),0))</f>
        <v/>
      </c>
    </row>
    <row r="66" spans="1:8" ht="13.5" thickBot="1">
      <c r="A66" s="564"/>
      <c r="B66" s="2182" t="str">
        <f>IF(A66="","",VLOOKUP(A66,MO,2,FALSE))</f>
        <v/>
      </c>
      <c r="C66" s="2183"/>
      <c r="D66" s="2184"/>
      <c r="E66" s="539" t="str">
        <f>IF(A66="","",VLOOKUP(A66,MO,13,FALSE))</f>
        <v/>
      </c>
      <c r="F66" s="545"/>
      <c r="G66" s="377" t="str">
        <f>IF(A66="","",VLOOKUP(A66,MO,15,FALSE))</f>
        <v/>
      </c>
      <c r="H66" s="543" t="str">
        <f>IF(A66="","",ROUND((G66/F66),0))</f>
        <v/>
      </c>
    </row>
    <row r="67" spans="1:8" ht="13.5" thickBot="1">
      <c r="A67" s="285"/>
      <c r="B67" s="285"/>
      <c r="C67" s="285"/>
      <c r="D67" s="285"/>
      <c r="E67" s="286"/>
      <c r="F67" s="285"/>
      <c r="G67" s="317" t="s">
        <v>529</v>
      </c>
      <c r="H67" s="342">
        <f>ROUND(SUM(H63:H66),0)</f>
        <v>525650</v>
      </c>
    </row>
    <row r="68" spans="1:8" ht="13.5" thickBot="1">
      <c r="A68" s="285"/>
      <c r="B68" s="285"/>
      <c r="C68" s="285"/>
      <c r="D68" s="285"/>
      <c r="E68" s="286"/>
      <c r="F68" s="285"/>
      <c r="G68" s="285"/>
      <c r="H68" s="285"/>
    </row>
    <row r="69" spans="1:8" ht="13.5" thickBot="1">
      <c r="A69" s="285"/>
      <c r="B69" s="285"/>
      <c r="C69" s="285"/>
      <c r="D69" s="285"/>
      <c r="E69" s="346" t="s">
        <v>536</v>
      </c>
      <c r="F69" s="347"/>
      <c r="G69" s="347"/>
      <c r="H69" s="348">
        <f>+ROUND(H19+H50+H59+H67,0)</f>
        <v>1132689</v>
      </c>
    </row>
    <row r="70" spans="1:8">
      <c r="A70" s="285"/>
      <c r="B70" s="285"/>
      <c r="C70" s="285"/>
      <c r="D70" s="285"/>
      <c r="E70" s="346"/>
      <c r="F70" s="347"/>
      <c r="G70" s="347"/>
      <c r="H70" s="349"/>
    </row>
    <row r="71" spans="1:8">
      <c r="A71" s="285"/>
      <c r="B71" s="285"/>
      <c r="C71" s="285"/>
      <c r="D71" s="285"/>
      <c r="E71" s="346"/>
      <c r="F71" s="347"/>
      <c r="G71" s="347"/>
      <c r="H71" s="349"/>
    </row>
    <row r="72" spans="1:8">
      <c r="A72" s="285"/>
      <c r="B72" s="285"/>
      <c r="C72" s="285"/>
      <c r="D72" s="285"/>
      <c r="E72" s="346"/>
      <c r="F72" s="347"/>
      <c r="G72" s="347"/>
      <c r="H72" s="349"/>
    </row>
    <row r="73" spans="1:8">
      <c r="A73" s="285"/>
      <c r="B73" s="285"/>
      <c r="C73" s="285"/>
      <c r="D73" s="285"/>
      <c r="E73" s="346"/>
      <c r="F73" s="347"/>
      <c r="G73" s="347"/>
      <c r="H73" s="349"/>
    </row>
    <row r="74" spans="1:8">
      <c r="A74" s="285"/>
      <c r="B74" s="285"/>
      <c r="C74" s="285"/>
      <c r="D74" s="285"/>
      <c r="E74" s="346"/>
      <c r="F74" s="347"/>
      <c r="G74" s="347"/>
      <c r="H74" s="349"/>
    </row>
    <row r="76" spans="1:8">
      <c r="A76" s="703" t="str">
        <f>+[14]PRESUPUESTO!$A$113</f>
        <v>__________________________________________</v>
      </c>
      <c r="B76" s="703"/>
      <c r="C76" s="703"/>
    </row>
    <row r="77" spans="1:8">
      <c r="A77" s="810" t="str">
        <f>+[14]PRESUPUESTO!$A$114</f>
        <v>Ing. JHON FREDY GARCIA MENDEZ</v>
      </c>
      <c r="B77" s="703"/>
      <c r="C77" s="703"/>
    </row>
    <row r="78" spans="1:8">
      <c r="A78" s="811" t="str">
        <f>+[14]PRESUPUESTO!$A$115</f>
        <v>M.P.  70268-326294 TLM.</v>
      </c>
      <c r="B78" s="703"/>
      <c r="C78" s="703"/>
    </row>
    <row r="79" spans="1:8">
      <c r="A79" s="811" t="str">
        <f>+[14]PRESUPUESTO!$A$116</f>
        <v>CONSULTOR</v>
      </c>
      <c r="B79" s="703"/>
      <c r="C79" s="703"/>
    </row>
  </sheetData>
  <mergeCells count="16">
    <mergeCell ref="B63:D63"/>
    <mergeCell ref="B64:D64"/>
    <mergeCell ref="B65:D65"/>
    <mergeCell ref="B66:D66"/>
    <mergeCell ref="B6:D6"/>
    <mergeCell ref="B7:E7"/>
    <mergeCell ref="B8:E8"/>
    <mergeCell ref="B23:D23"/>
    <mergeCell ref="B53:C53"/>
    <mergeCell ref="B62:D62"/>
    <mergeCell ref="D2:E4"/>
    <mergeCell ref="F2:H2"/>
    <mergeCell ref="F3:H3"/>
    <mergeCell ref="F4:H4"/>
    <mergeCell ref="A5:E5"/>
    <mergeCell ref="F5:H5"/>
  </mergeCells>
  <phoneticPr fontId="22" type="noConversion"/>
  <pageMargins left="0.75" right="0.75" top="1" bottom="1" header="0" footer="0"/>
  <pageSetup paperSize="9" scale="7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132</vt:i4>
      </vt:variant>
      <vt:variant>
        <vt:lpstr>Rangos con nombre</vt:lpstr>
      </vt:variant>
      <vt:variant>
        <vt:i4>134</vt:i4>
      </vt:variant>
    </vt:vector>
  </HeadingPairs>
  <TitlesOfParts>
    <vt:vector size="266" baseType="lpstr">
      <vt:lpstr>INS</vt:lpstr>
      <vt:lpstr>INSUMOS</vt:lpstr>
      <vt:lpstr>Mem_CALCULO</vt:lpstr>
      <vt:lpstr>AIU</vt:lpstr>
      <vt:lpstr>ADMIN_SUMISTRO</vt:lpstr>
      <vt:lpstr>PAGA</vt:lpstr>
      <vt:lpstr>PMT</vt:lpstr>
      <vt:lpstr>F. MULT</vt:lpstr>
      <vt:lpstr>INTER OBRA</vt:lpstr>
      <vt:lpstr>INTER_SUMIN</vt:lpstr>
      <vt:lpstr>SMMV</vt:lpstr>
      <vt:lpstr>FP</vt:lpstr>
      <vt:lpstr>CUADRILLAS</vt:lpstr>
      <vt:lpstr>CRONOGRAMA</vt:lpstr>
      <vt:lpstr>PRESUPUESTO</vt:lpstr>
      <vt:lpstr>PTOOC PLIEGOS</vt:lpstr>
      <vt:lpstr>BASICOS</vt:lpstr>
      <vt:lpstr>APU-Modelo</vt:lpstr>
      <vt:lpstr>1.1.1</vt:lpstr>
      <vt:lpstr>1.1.2</vt:lpstr>
      <vt:lpstr>1.1.3</vt:lpstr>
      <vt:lpstr>1.1.4</vt:lpstr>
      <vt:lpstr>1.1.5</vt:lpstr>
      <vt:lpstr>1.1.6</vt:lpstr>
      <vt:lpstr>1.2.1</vt:lpstr>
      <vt:lpstr>1.2.2</vt:lpstr>
      <vt:lpstr>1.2.3</vt:lpstr>
      <vt:lpstr>1.2.4</vt:lpstr>
      <vt:lpstr>1.3.1</vt:lpstr>
      <vt:lpstr>1.3.2</vt:lpstr>
      <vt:lpstr>1.3.3</vt:lpstr>
      <vt:lpstr>1.3.4</vt:lpstr>
      <vt:lpstr>1.4.1</vt:lpstr>
      <vt:lpstr>1.4.2</vt:lpstr>
      <vt:lpstr>1.5.1</vt:lpstr>
      <vt:lpstr>1.5.2</vt:lpstr>
      <vt:lpstr>1.5.3</vt:lpstr>
      <vt:lpstr>1.6.1</vt:lpstr>
      <vt:lpstr>Kit 160</vt:lpstr>
      <vt:lpstr>1.6.2</vt:lpstr>
      <vt:lpstr>1.6.3</vt:lpstr>
      <vt:lpstr>1.6.4</vt:lpstr>
      <vt:lpstr>1.7.1</vt:lpstr>
      <vt:lpstr>1.7.2</vt:lpstr>
      <vt:lpstr>1.7.3</vt:lpstr>
      <vt:lpstr>1.7.4</vt:lpstr>
      <vt:lpstr>1.7.5</vt:lpstr>
      <vt:lpstr>1.7.6</vt:lpstr>
      <vt:lpstr>1.8.1</vt:lpstr>
      <vt:lpstr>1.8.2</vt:lpstr>
      <vt:lpstr>1.8.3</vt:lpstr>
      <vt:lpstr>1.9.1</vt:lpstr>
      <vt:lpstr>1.9.2</vt:lpstr>
      <vt:lpstr>1.9.3</vt:lpstr>
      <vt:lpstr>2.1.1</vt:lpstr>
      <vt:lpstr>2.1.2</vt:lpstr>
      <vt:lpstr>2.1.3</vt:lpstr>
      <vt:lpstr>2.1.4</vt:lpstr>
      <vt:lpstr>2.1.5</vt:lpstr>
      <vt:lpstr>2.1.6</vt:lpstr>
      <vt:lpstr>2.1.7</vt:lpstr>
      <vt:lpstr>2.1.9</vt:lpstr>
      <vt:lpstr>2.1.10</vt:lpstr>
      <vt:lpstr>2.1.11</vt:lpstr>
      <vt:lpstr>2.1.12</vt:lpstr>
      <vt:lpstr>2.1.13</vt:lpstr>
      <vt:lpstr>2.1.15</vt:lpstr>
      <vt:lpstr>2.1.16</vt:lpstr>
      <vt:lpstr>2.1.17</vt:lpstr>
      <vt:lpstr>2.2.1</vt:lpstr>
      <vt:lpstr>2.2.2</vt:lpstr>
      <vt:lpstr>2.2.3</vt:lpstr>
      <vt:lpstr>2.2.4</vt:lpstr>
      <vt:lpstr>2.2.5</vt:lpstr>
      <vt:lpstr>2.2.6</vt:lpstr>
      <vt:lpstr>2.2.7</vt:lpstr>
      <vt:lpstr>2.2.8</vt:lpstr>
      <vt:lpstr>2.2.9</vt:lpstr>
      <vt:lpstr>2.2.11</vt:lpstr>
      <vt:lpstr>2.2.12</vt:lpstr>
      <vt:lpstr>2.2.13</vt:lpstr>
      <vt:lpstr>2.3.1</vt:lpstr>
      <vt:lpstr>2.3.2</vt:lpstr>
      <vt:lpstr>2.3.3</vt:lpstr>
      <vt:lpstr>2.3.4</vt:lpstr>
      <vt:lpstr>2.3.5</vt:lpstr>
      <vt:lpstr>2.3.6</vt:lpstr>
      <vt:lpstr>2.3.8</vt:lpstr>
      <vt:lpstr>2.3.9</vt:lpstr>
      <vt:lpstr>2.3.10</vt:lpstr>
      <vt:lpstr>2.3.11</vt:lpstr>
      <vt:lpstr>2.3.12</vt:lpstr>
      <vt:lpstr>2.3.13</vt:lpstr>
      <vt:lpstr>2.3.14</vt:lpstr>
      <vt:lpstr>2.3.15</vt:lpstr>
      <vt:lpstr>2.3.16</vt:lpstr>
      <vt:lpstr>2.3.17</vt:lpstr>
      <vt:lpstr>2.4.1</vt:lpstr>
      <vt:lpstr>2.4.2</vt:lpstr>
      <vt:lpstr>2.4.3</vt:lpstr>
      <vt:lpstr>2.4.4</vt:lpstr>
      <vt:lpstr>2.4.5</vt:lpstr>
      <vt:lpstr>2.4.6</vt:lpstr>
      <vt:lpstr>2.4.8</vt:lpstr>
      <vt:lpstr>2.4.9</vt:lpstr>
      <vt:lpstr>2.4.10</vt:lpstr>
      <vt:lpstr>2.4.11</vt:lpstr>
      <vt:lpstr>2.4.12</vt:lpstr>
      <vt:lpstr>2.4.13</vt:lpstr>
      <vt:lpstr>2.4.14</vt:lpstr>
      <vt:lpstr>2.4.15</vt:lpstr>
      <vt:lpstr>2.4.16</vt:lpstr>
      <vt:lpstr>2.4.17</vt:lpstr>
      <vt:lpstr>2.4.18</vt:lpstr>
      <vt:lpstr>2.4.19</vt:lpstr>
      <vt:lpstr>2.4.20</vt:lpstr>
      <vt:lpstr>2.4.21</vt:lpstr>
      <vt:lpstr>2.4.22</vt:lpstr>
      <vt:lpstr>2.4.23</vt:lpstr>
      <vt:lpstr>2.4.24</vt:lpstr>
      <vt:lpstr>2.5.1</vt:lpstr>
      <vt:lpstr>2.5.2</vt:lpstr>
      <vt:lpstr>2.5.3</vt:lpstr>
      <vt:lpstr>2.5.4</vt:lpstr>
      <vt:lpstr>2.5.5</vt:lpstr>
      <vt:lpstr>2.5.7</vt:lpstr>
      <vt:lpstr>2.5.8</vt:lpstr>
      <vt:lpstr>2.5.9</vt:lpstr>
      <vt:lpstr>2.6.1</vt:lpstr>
      <vt:lpstr>2.7.1</vt:lpstr>
      <vt:lpstr>2.7.2</vt:lpstr>
      <vt:lpstr>2.8.1</vt:lpstr>
      <vt:lpstr>'1.1.1'!Área_de_impresión</vt:lpstr>
      <vt:lpstr>'1.1.2'!Área_de_impresión</vt:lpstr>
      <vt:lpstr>'1.1.3'!Área_de_impresión</vt:lpstr>
      <vt:lpstr>'1.1.4'!Área_de_impresión</vt:lpstr>
      <vt:lpstr>'1.1.5'!Área_de_impresión</vt:lpstr>
      <vt:lpstr>'1.1.6'!Área_de_impresión</vt:lpstr>
      <vt:lpstr>'1.2.1'!Área_de_impresión</vt:lpstr>
      <vt:lpstr>'1.2.2'!Área_de_impresión</vt:lpstr>
      <vt:lpstr>'1.2.3'!Área_de_impresión</vt:lpstr>
      <vt:lpstr>'1.2.4'!Área_de_impresión</vt:lpstr>
      <vt:lpstr>'1.3.1'!Área_de_impresión</vt:lpstr>
      <vt:lpstr>'1.3.2'!Área_de_impresión</vt:lpstr>
      <vt:lpstr>'1.3.3'!Área_de_impresión</vt:lpstr>
      <vt:lpstr>'1.3.4'!Área_de_impresión</vt:lpstr>
      <vt:lpstr>'1.4.1'!Área_de_impresión</vt:lpstr>
      <vt:lpstr>'1.4.2'!Área_de_impresión</vt:lpstr>
      <vt:lpstr>'1.5.1'!Área_de_impresión</vt:lpstr>
      <vt:lpstr>'1.5.2'!Área_de_impresión</vt:lpstr>
      <vt:lpstr>'1.5.3'!Área_de_impresión</vt:lpstr>
      <vt:lpstr>'1.6.1'!Área_de_impresión</vt:lpstr>
      <vt:lpstr>'1.6.2'!Área_de_impresión</vt:lpstr>
      <vt:lpstr>'1.6.3'!Área_de_impresión</vt:lpstr>
      <vt:lpstr>'1.6.4'!Área_de_impresión</vt:lpstr>
      <vt:lpstr>'1.7.1'!Área_de_impresión</vt:lpstr>
      <vt:lpstr>'1.7.2'!Área_de_impresión</vt:lpstr>
      <vt:lpstr>'1.7.3'!Área_de_impresión</vt:lpstr>
      <vt:lpstr>'1.7.4'!Área_de_impresión</vt:lpstr>
      <vt:lpstr>'1.7.5'!Área_de_impresión</vt:lpstr>
      <vt:lpstr>'1.7.6'!Área_de_impresión</vt:lpstr>
      <vt:lpstr>'1.8.1'!Área_de_impresión</vt:lpstr>
      <vt:lpstr>'1.8.2'!Área_de_impresión</vt:lpstr>
      <vt:lpstr>'1.8.3'!Área_de_impresión</vt:lpstr>
      <vt:lpstr>'1.9.1'!Área_de_impresión</vt:lpstr>
      <vt:lpstr>'1.9.2'!Área_de_impresión</vt:lpstr>
      <vt:lpstr>'1.9.3'!Área_de_impresión</vt:lpstr>
      <vt:lpstr>'2.1.1'!Área_de_impresión</vt:lpstr>
      <vt:lpstr>'2.1.10'!Área_de_impresión</vt:lpstr>
      <vt:lpstr>'2.1.11'!Área_de_impresión</vt:lpstr>
      <vt:lpstr>'2.1.12'!Área_de_impresión</vt:lpstr>
      <vt:lpstr>'2.1.13'!Área_de_impresión</vt:lpstr>
      <vt:lpstr>'2.1.15'!Área_de_impresión</vt:lpstr>
      <vt:lpstr>'2.1.16'!Área_de_impresión</vt:lpstr>
      <vt:lpstr>'2.1.17'!Área_de_impresión</vt:lpstr>
      <vt:lpstr>'2.1.2'!Área_de_impresión</vt:lpstr>
      <vt:lpstr>'2.1.3'!Área_de_impresión</vt:lpstr>
      <vt:lpstr>'2.1.4'!Área_de_impresión</vt:lpstr>
      <vt:lpstr>'2.1.5'!Área_de_impresión</vt:lpstr>
      <vt:lpstr>'2.1.6'!Área_de_impresión</vt:lpstr>
      <vt:lpstr>'2.1.7'!Área_de_impresión</vt:lpstr>
      <vt:lpstr>'2.1.9'!Área_de_impresión</vt:lpstr>
      <vt:lpstr>'2.2.1'!Área_de_impresión</vt:lpstr>
      <vt:lpstr>'2.2.11'!Área_de_impresión</vt:lpstr>
      <vt:lpstr>'2.2.12'!Área_de_impresión</vt:lpstr>
      <vt:lpstr>'2.2.13'!Área_de_impresión</vt:lpstr>
      <vt:lpstr>'2.2.2'!Área_de_impresión</vt:lpstr>
      <vt:lpstr>'2.2.3'!Área_de_impresión</vt:lpstr>
      <vt:lpstr>'2.2.4'!Área_de_impresión</vt:lpstr>
      <vt:lpstr>'2.2.5'!Área_de_impresión</vt:lpstr>
      <vt:lpstr>'2.2.6'!Área_de_impresión</vt:lpstr>
      <vt:lpstr>'2.2.7'!Área_de_impresión</vt:lpstr>
      <vt:lpstr>'2.2.8'!Área_de_impresión</vt:lpstr>
      <vt:lpstr>'2.2.9'!Área_de_impresión</vt:lpstr>
      <vt:lpstr>'2.3.1'!Área_de_impresión</vt:lpstr>
      <vt:lpstr>'2.3.10'!Área_de_impresión</vt:lpstr>
      <vt:lpstr>'2.3.11'!Área_de_impresión</vt:lpstr>
      <vt:lpstr>'2.3.12'!Área_de_impresión</vt:lpstr>
      <vt:lpstr>'2.3.13'!Área_de_impresión</vt:lpstr>
      <vt:lpstr>'2.3.14'!Área_de_impresión</vt:lpstr>
      <vt:lpstr>'2.3.15'!Área_de_impresión</vt:lpstr>
      <vt:lpstr>'2.3.16'!Área_de_impresión</vt:lpstr>
      <vt:lpstr>'2.3.17'!Área_de_impresión</vt:lpstr>
      <vt:lpstr>'2.3.2'!Área_de_impresión</vt:lpstr>
      <vt:lpstr>'2.3.3'!Área_de_impresión</vt:lpstr>
      <vt:lpstr>'2.3.4'!Área_de_impresión</vt:lpstr>
      <vt:lpstr>'2.3.5'!Área_de_impresión</vt:lpstr>
      <vt:lpstr>'2.3.6'!Área_de_impresión</vt:lpstr>
      <vt:lpstr>'2.3.8'!Área_de_impresión</vt:lpstr>
      <vt:lpstr>'2.3.9'!Área_de_impresión</vt:lpstr>
      <vt:lpstr>'2.4.1'!Área_de_impresión</vt:lpstr>
      <vt:lpstr>'2.4.10'!Área_de_impresión</vt:lpstr>
      <vt:lpstr>'2.4.11'!Área_de_impresión</vt:lpstr>
      <vt:lpstr>'2.4.12'!Área_de_impresión</vt:lpstr>
      <vt:lpstr>'2.4.13'!Área_de_impresión</vt:lpstr>
      <vt:lpstr>'2.4.14'!Área_de_impresión</vt:lpstr>
      <vt:lpstr>'2.4.15'!Área_de_impresión</vt:lpstr>
      <vt:lpstr>'2.4.16'!Área_de_impresión</vt:lpstr>
      <vt:lpstr>'2.4.17'!Área_de_impresión</vt:lpstr>
      <vt:lpstr>'2.4.18'!Área_de_impresión</vt:lpstr>
      <vt:lpstr>'2.4.19'!Área_de_impresión</vt:lpstr>
      <vt:lpstr>'2.4.2'!Área_de_impresión</vt:lpstr>
      <vt:lpstr>'2.4.20'!Área_de_impresión</vt:lpstr>
      <vt:lpstr>'2.4.21'!Área_de_impresión</vt:lpstr>
      <vt:lpstr>'2.4.22'!Área_de_impresión</vt:lpstr>
      <vt:lpstr>'2.4.23'!Área_de_impresión</vt:lpstr>
      <vt:lpstr>'2.4.24'!Área_de_impresión</vt:lpstr>
      <vt:lpstr>'2.4.3'!Área_de_impresión</vt:lpstr>
      <vt:lpstr>'2.4.4'!Área_de_impresión</vt:lpstr>
      <vt:lpstr>'2.4.5'!Área_de_impresión</vt:lpstr>
      <vt:lpstr>'2.4.6'!Área_de_impresión</vt:lpstr>
      <vt:lpstr>'2.4.8'!Área_de_impresión</vt:lpstr>
      <vt:lpstr>'2.4.9'!Área_de_impresión</vt:lpstr>
      <vt:lpstr>'2.5.1'!Área_de_impresión</vt:lpstr>
      <vt:lpstr>'2.5.2'!Área_de_impresión</vt:lpstr>
      <vt:lpstr>'2.5.3'!Área_de_impresión</vt:lpstr>
      <vt:lpstr>'2.5.4'!Área_de_impresión</vt:lpstr>
      <vt:lpstr>'2.5.5'!Área_de_impresión</vt:lpstr>
      <vt:lpstr>'2.5.7'!Área_de_impresión</vt:lpstr>
      <vt:lpstr>'2.5.8'!Área_de_impresión</vt:lpstr>
      <vt:lpstr>'2.5.9'!Área_de_impresión</vt:lpstr>
      <vt:lpstr>'2.6.1'!Área_de_impresión</vt:lpstr>
      <vt:lpstr>'2.7.1'!Área_de_impresión</vt:lpstr>
      <vt:lpstr>'2.7.2'!Área_de_impresión</vt:lpstr>
      <vt:lpstr>'2.8.1'!Área_de_impresión</vt:lpstr>
      <vt:lpstr>AIU!Área_de_impresión</vt:lpstr>
      <vt:lpstr>'APU-Modelo'!Área_de_impresión</vt:lpstr>
      <vt:lpstr>BASICOS!Área_de_impresión</vt:lpstr>
      <vt:lpstr>CRONOGRAMA!Área_de_impresión</vt:lpstr>
      <vt:lpstr>CUADRILLAS!Área_de_impresión</vt:lpstr>
      <vt:lpstr>FP!Área_de_impresión</vt:lpstr>
      <vt:lpstr>INSUMOS!Área_de_impresión</vt:lpstr>
      <vt:lpstr>INTER_SUMIN!Área_de_impresión</vt:lpstr>
      <vt:lpstr>'Kit 160'!Área_de_impresión</vt:lpstr>
      <vt:lpstr>Mem_CALCULO!Área_de_impresión</vt:lpstr>
      <vt:lpstr>PAGA!Área_de_impresión</vt:lpstr>
      <vt:lpstr>PRESUPUESTO!Área_de_impresión</vt:lpstr>
      <vt:lpstr>'PTOOC PLIEGOS'!Área_de_impresión</vt:lpstr>
      <vt:lpstr>SMMV!Área_de_impresión</vt:lpstr>
      <vt:lpstr>EQUI</vt:lpstr>
      <vt:lpstr>MAT</vt:lpstr>
      <vt:lpstr>MO</vt:lpstr>
      <vt:lpstr>BASICOS!Títulos_a_imprimir</vt:lpstr>
      <vt:lpstr>CRONOGRAMA!Títulos_a_imprimir</vt:lpstr>
      <vt:lpstr>Mem_CALCULO!Títulos_a_imprimir</vt:lpstr>
      <vt:lpstr>PRESUPUESTO!Títulos_a_imprimir</vt:lpstr>
    </vt:vector>
  </TitlesOfParts>
  <Company>CONSTRUCCIONES CIVILES 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CONCIVILES S.A.</dc:creator>
  <cp:lastModifiedBy>Yesid  Rojas Peña</cp:lastModifiedBy>
  <cp:lastPrinted>2026-06-22T21:27:29Z</cp:lastPrinted>
  <dcterms:created xsi:type="dcterms:W3CDTF">2002-04-05T03:52:09Z</dcterms:created>
  <dcterms:modified xsi:type="dcterms:W3CDTF">2026-07-10T20:25:29Z</dcterms:modified>
</cp:coreProperties>
</file>